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1515" yWindow="180" windowWidth="10815"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DATA'!$B$2:$D$53</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I5" i="7"/>
  <c r="L11" i="35"/>
  <c r="G7" i="35"/>
  <c r="H22" i="35" l="1"/>
  <c r="H30" i="35"/>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<sst xmlns="http://schemas.openxmlformats.org/spreadsheetml/2006/main" count="4090" uniqueCount="1066">
  <si>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</si>
  <si>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</si>
  <si>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</si>
  <si>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</si>
  <si>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</si>
  <si>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</si>
  <si>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</si>
  <si>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</si>
  <si>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</si>
  <si>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</si>
  <si>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</si>
  <si>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</si>
  <si>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</si>
  <si>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</si>
  <si>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</si>
  <si>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</si>
  <si>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</si>
  <si>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</si>
  <si>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</si>
  <si>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</si>
  <si>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</si>
  <si>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</si>
  <si>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</si>
  <si>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</si>
  <si>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</si>
  <si>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</si>
  <si>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</si>
  <si>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</si>
  <si>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Current Work Items Pending</t>
  </si>
  <si>
    <t>Work Items Pending Last Week</t>
  </si>
  <si>
    <t>Weekly Change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</si>
  <si>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</si>
  <si>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</si>
  <si>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</si>
  <si>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</si>
  <si>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</si>
  <si>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</si>
  <si>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</si>
  <si>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</si>
  <si>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</si>
  <si>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</si>
  <si>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</si>
  <si>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</si>
  <si>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</si>
  <si>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</si>
  <si>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</si>
  <si>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</si>
  <si>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</si>
  <si>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</si>
  <si>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</si>
  <si>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</si>
  <si>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</si>
  <si>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</si>
  <si>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</si>
  <si>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</si>
  <si>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</si>
  <si>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</si>
  <si>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</si>
  <si>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</si>
  <si>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</si>
  <si>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</si>
  <si>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</si>
  <si>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</si>
  <si>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</si>
  <si>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</si>
  <si>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</si>
  <si>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</si>
  <si>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</si>
  <si>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</si>
  <si>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</si>
  <si>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</si>
  <si>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</si>
  <si>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</si>
  <si>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</si>
  <si>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</si>
  <si>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</si>
  <si>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</si>
  <si>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</si>
  <si>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</si>
  <si>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</si>
  <si>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</si>
  <si>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</si>
  <si>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</si>
  <si>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</si>
  <si>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</si>
  <si>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</si>
  <si>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</si>
  <si>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</si>
  <si>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</si>
  <si>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</si>
  <si>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</si>
  <si>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</si>
  <si>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</si>
  <si>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</si>
  <si>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</si>
  <si>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</si>
  <si>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</si>
  <si>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</si>
  <si>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</si>
  <si>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</si>
  <si>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</si>
  <si>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</si>
  <si>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</si>
  <si>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</si>
  <si>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</si>
  <si>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</si>
  <si>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</si>
  <si>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</si>
  <si>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</si>
  <si>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</si>
  <si>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</si>
  <si>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</si>
  <si>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</si>
  <si>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</si>
  <si>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</si>
  <si>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</si>
  <si>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</si>
  <si>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</si>
  <si>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</si>
  <si>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</si>
  <si>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</si>
  <si>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</si>
  <si>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</si>
  <si>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</si>
  <si>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</si>
  <si>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</si>
  <si>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</si>
  <si>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</si>
  <si>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</si>
  <si>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</si>
  <si>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</si>
  <si>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</si>
  <si>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</si>
  <si>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</si>
  <si>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</si>
  <si>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</si>
  <si>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</si>
  <si>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</si>
  <si>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</si>
  <si>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</si>
  <si>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</si>
  <si>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</si>
  <si>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</si>
  <si>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</si>
  <si>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</si>
  <si>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</si>
  <si>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</si>
  <si>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</si>
  <si>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</si>
  <si>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</si>
  <si>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</si>
  <si>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</si>
  <si>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</si>
  <si>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</si>
  <si>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</si>
  <si>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</si>
  <si>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</si>
  <si>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</si>
  <si>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</si>
  <si>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</si>
  <si>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</si>
  <si>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</si>
  <si>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</si>
  <si>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</si>
  <si>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</si>
  <si>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</si>
  <si>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</si>
  <si>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</si>
  <si>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</si>
  <si>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</si>
  <si>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</si>
  <si>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</si>
  <si>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</si>
  <si>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</si>
  <si>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</si>
  <si>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</si>
  <si>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</si>
  <si>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</si>
  <si>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</si>
  <si>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</si>
  <si>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</si>
  <si>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</si>
  <si>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</si>
  <si>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</si>
  <si>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</si>
  <si>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</si>
  <si>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</si>
  <si>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</si>
  <si>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</si>
  <si>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</si>
  <si>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</si>
  <si>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</si>
  <si>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</si>
  <si>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</si>
  <si>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</si>
  <si>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</si>
  <si>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</si>
  <si>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</si>
  <si>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</si>
  <si>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</si>
  <si>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</si>
  <si>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</si>
  <si>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</si>
  <si>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</si>
  <si>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</si>
  <si>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</si>
  <si>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</si>
  <si>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</si>
  <si>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</si>
  <si>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</si>
  <si>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</si>
  <si>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</si>
  <si>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</si>
  <si>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</si>
  <si>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</si>
  <si>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</si>
  <si>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</si>
  <si>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</si>
  <si>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</si>
  <si>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</si>
  <si>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</si>
  <si>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</si>
  <si>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</si>
  <si>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</si>
  <si>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</si>
  <si>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</si>
  <si>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</si>
  <si>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</si>
  <si>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</si>
  <si>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</si>
  <si>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</si>
  <si>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</si>
  <si>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</si>
  <si>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</si>
  <si>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</si>
  <si>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</si>
  <si>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</si>
  <si>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</si>
  <si>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</si>
  <si>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</si>
  <si>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</si>
  <si>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</si>
  <si>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</si>
  <si>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</si>
  <si>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</si>
  <si>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</si>
  <si>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</si>
  <si>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</si>
  <si>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</si>
  <si>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</si>
  <si>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</si>
  <si>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</si>
  <si>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</si>
  <si>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</si>
  <si>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</si>
  <si>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</si>
  <si>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</si>
  <si>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</si>
  <si>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</si>
  <si>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</si>
  <si>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</si>
  <si>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</si>
  <si>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</si>
  <si>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</si>
  <si>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</si>
  <si>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</si>
  <si>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</si>
  <si>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</si>
  <si>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</si>
  <si>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</si>
  <si>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</si>
  <si>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</si>
  <si>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</si>
  <si>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</si>
  <si>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</si>
  <si>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</si>
  <si>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</si>
  <si>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</si>
  <si>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</si>
  <si>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</si>
  <si>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</si>
  <si>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</si>
  <si>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</si>
  <si>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</si>
  <si>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</si>
  <si>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</si>
  <si>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</si>
  <si>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</si>
  <si>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</si>
  <si>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</si>
  <si>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</si>
  <si>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</si>
  <si>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</si>
  <si>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</si>
  <si>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</si>
  <si>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</si>
  <si>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</si>
  <si>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</si>
  <si>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</si>
  <si>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</si>
  <si>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</si>
  <si>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</si>
  <si>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</si>
  <si>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</si>
  <si>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</si>
  <si>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</si>
  <si>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</si>
  <si>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</si>
  <si>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</si>
  <si>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</si>
  <si>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</si>
  <si>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</si>
  <si>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</si>
  <si>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</si>
  <si>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</si>
  <si>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</si>
  <si>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</si>
  <si>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</si>
  <si>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</si>
  <si>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</si>
  <si>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687</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</si>
  <si>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</si>
  <si>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</si>
  <si>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</si>
  <si>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</si>
  <si>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</si>
  <si>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</si>
  <si>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</si>
  <si>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</si>
  <si>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</si>
  <si>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</si>
  <si>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</si>
  <si>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</si>
  <si>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</si>
  <si>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</si>
  <si>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</si>
  <si>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</si>
  <si>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</si>
  <si>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</si>
  <si>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</si>
  <si>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</si>
  <si>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</si>
  <si>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</si>
  <si>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</si>
  <si>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</si>
  <si>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</si>
  <si>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</si>
  <si>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</si>
  <si>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</si>
  <si>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</si>
  <si>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</si>
  <si>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</si>
  <si>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</si>
  <si>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</si>
  <si>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</si>
  <si>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</si>
  <si>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</si>
  <si>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</si>
  <si>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</si>
  <si>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</si>
  <si>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</si>
  <si>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</si>
  <si>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</si>
  <si>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</si>
  <si>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</si>
  <si>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</si>
  <si>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</si>
  <si>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</si>
  <si>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</si>
  <si>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</si>
  <si>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</si>
  <si>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</si>
  <si>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</si>
  <si>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</si>
  <si>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</si>
  <si>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</si>
  <si>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</si>
  <si>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</si>
  <si>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</si>
  <si>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</si>
  <si>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</si>
  <si>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</si>
  <si>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</si>
  <si>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</si>
  <si>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</si>
  <si>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</si>
  <si>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</si>
  <si>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</si>
  <si>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</si>
  <si>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</si>
  <si>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</si>
  <si>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</si>
  <si>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</si>
  <si>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</si>
  <si>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</si>
  <si>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</si>
  <si>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</si>
  <si>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</si>
  <si>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</si>
  <si>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</si>
  <si>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</si>
  <si>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</si>
  <si>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</si>
  <si>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</si>
  <si>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</si>
  <si>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</si>
  <si>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</si>
  <si>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</si>
  <si>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</si>
  <si>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</si>
  <si>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</si>
  <si>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</si>
  <si>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</si>
  <si>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</si>
  <si>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</si>
  <si>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</si>
  <si>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</si>
  <si>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</si>
  <si>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</si>
  <si>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</si>
  <si>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</si>
  <si>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</si>
  <si>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</si>
  <si>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</si>
  <si>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</si>
  <si>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</si>
  <si>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</si>
  <si>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</si>
  <si>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</si>
  <si>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</si>
  <si>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</si>
  <si>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</si>
  <si>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</si>
  <si>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</si>
  <si>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</si>
  <si>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</si>
  <si>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</si>
  <si>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</si>
  <si>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</si>
  <si>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</si>
  <si>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</si>
  <si>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</si>
  <si>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</si>
  <si>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</si>
  <si>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</si>
  <si>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</si>
  <si>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</si>
  <si>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</si>
  <si>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</si>
  <si>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</si>
  <si>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</si>
  <si>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</si>
  <si>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</si>
  <si>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</si>
  <si>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</si>
  <si>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</si>
  <si>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</si>
  <si>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</si>
  <si>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</si>
  <si>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</si>
  <si>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</si>
  <si>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</si>
  <si>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</si>
  <si>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</si>
  <si>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</si>
  <si>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</si>
  <si>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</si>
  <si>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</si>
  <si>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</si>
  <si>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</si>
  <si>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</si>
  <si>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</si>
  <si>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</si>
  <si>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</si>
  <si>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</si>
  <si>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</si>
  <si>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</si>
  <si>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</si>
  <si>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</si>
  <si>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</si>
  <si>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</si>
  <si>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</si>
  <si>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</si>
  <si>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</si>
  <si>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</si>
  <si>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</si>
  <si>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</si>
  <si>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</si>
  <si>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</si>
  <si>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</si>
  <si>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</si>
  <si>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</si>
  <si>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</si>
  <si>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</si>
  <si>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</si>
  <si>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</si>
  <si>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</si>
  <si>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</si>
  <si>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</si>
  <si>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</si>
  <si>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</si>
  <si>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</si>
  <si>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</si>
  <si>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</si>
  <si>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</si>
  <si>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</si>
  <si>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</si>
  <si>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</si>
  <si>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</si>
  <si>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</si>
  <si>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</si>
  <si>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</si>
  <si>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</si>
  <si>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</si>
  <si>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</si>
  <si>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</si>
  <si>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</si>
  <si>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</si>
  <si>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</si>
  <si>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</si>
  <si>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</si>
  <si>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</si>
  <si>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</si>
  <si>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</si>
  <si>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</si>
  <si>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</si>
  <si>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</si>
  <si>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</si>
  <si>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</si>
  <si>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</si>
  <si>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</si>
  <si>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</si>
  <si>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</si>
  <si>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</si>
  <si>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</si>
  <si>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</si>
  <si>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</si>
  <si>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</si>
  <si>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</si>
  <si>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</si>
  <si>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</si>
  <si>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</si>
  <si>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</si>
  <si>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</si>
  <si>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</si>
  <si>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</si>
  <si>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</si>
  <si>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</si>
  <si>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</si>
  <si>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</si>
  <si>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</si>
  <si>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</si>
  <si>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</si>
  <si>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</si>
  <si>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</si>
  <si>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</si>
  <si>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</si>
  <si>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</si>
  <si>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</si>
  <si>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</si>
  <si>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</si>
  <si>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</si>
  <si>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</si>
  <si>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</si>
  <si>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</si>
  <si>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</si>
  <si>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</si>
  <si>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</si>
  <si>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</si>
  <si>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</si>
  <si>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</si>
  <si>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</si>
  <si>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</si>
  <si>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</si>
  <si>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</si>
  <si>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</si>
  <si>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</si>
  <si>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</si>
  <si>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</si>
  <si>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</si>
  <si>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</si>
  <si>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</si>
  <si>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</si>
  <si>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</si>
  <si>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</si>
  <si>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</si>
  <si>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</si>
  <si>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</si>
  <si>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</si>
  <si>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</si>
  <si>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</si>
  <si>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</si>
  <si>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</si>
  <si>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</si>
  <si>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</si>
  <si>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</si>
  <si>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</si>
  <si>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</si>
  <si>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</si>
  <si>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</si>
  <si>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</si>
  <si>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</si>
  <si>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</si>
  <si>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</si>
  <si>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</si>
  <si>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</si>
  <si>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</si>
  <si>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</si>
  <si>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</si>
  <si>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</si>
  <si>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</si>
  <si>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</si>
  <si>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</si>
  <si>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</si>
  <si>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</si>
  <si>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</si>
  <si>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</si>
  <si>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</si>
  <si>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</si>
  <si>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</si>
  <si>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</si>
  <si>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</si>
  <si>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</si>
  <si>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</si>
  <si>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</si>
  <si>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</si>
  <si>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</si>
  <si>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</si>
  <si>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</si>
  <si>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</si>
  <si>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</si>
  <si>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</si>
  <si>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</si>
  <si>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</si>
  <si>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</si>
  <si>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</si>
  <si>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</si>
  <si>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</si>
  <si>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</si>
  <si>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</si>
  <si>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</si>
  <si>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</si>
  <si>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</si>
  <si>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</si>
  <si>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</si>
  <si>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</si>
  <si>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</si>
  <si>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</si>
  <si>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</si>
  <si>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</si>
  <si>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</si>
  <si>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</si>
  <si>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</si>
  <si>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</si>
  <si>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</si>
  <si>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</si>
  <si>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</si>
  <si>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</si>
  <si>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</si>
  <si>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</si>
  <si>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</si>
  <si>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</si>
  <si>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</si>
  <si>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</si>
  <si>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</si>
  <si>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</si>
  <si>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</si>
  <si>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</si>
  <si>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</si>
  <si>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</si>
  <si>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</si>
  <si>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</si>
  <si>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</si>
  <si>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</si>
  <si>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</si>
  <si>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</si>
  <si>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</si>
  <si>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</si>
  <si>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</si>
  <si>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</si>
  <si>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</si>
  <si>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</si>
  <si>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</si>
  <si>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</si>
  <si>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</si>
  <si>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</si>
  <si>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</si>
  <si>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</si>
  <si>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</si>
  <si>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</si>
  <si>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</si>
  <si>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</si>
  <si>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</si>
  <si>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</si>
  <si>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</si>
  <si>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</si>
  <si>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</si>
  <si>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</si>
  <si>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</si>
  <si>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</si>
  <si>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</si>
  <si>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</si>
  <si>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</si>
  <si>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</si>
  <si>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</si>
  <si>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</si>
  <si>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</si>
  <si>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</si>
  <si>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</si>
  <si>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</si>
  <si>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</si>
  <si>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</si>
  <si>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</si>
  <si>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</si>
  <si>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</si>
  <si>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</si>
  <si>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</si>
  <si>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</si>
  <si>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</si>
  <si>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</si>
  <si>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</si>
  <si>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</si>
  <si>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</si>
  <si>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</si>
  <si>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</si>
  <si>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</si>
  <si>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</si>
  <si>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</si>
  <si>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</si>
  <si>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</si>
  <si>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</si>
  <si>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</si>
  <si>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</si>
  <si>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</si>
  <si>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</si>
  <si>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</si>
  <si>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</si>
  <si>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</si>
  <si>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</si>
  <si>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</si>
  <si>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</si>
  <si>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</si>
  <si>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</si>
  <si>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</si>
  <si>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</si>
  <si>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</si>
  <si>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</si>
  <si>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</si>
  <si>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</si>
  <si>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</si>
  <si>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</si>
  <si>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</si>
  <si>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</si>
  <si>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</si>
  <si>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</si>
  <si>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</si>
  <si>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</si>
  <si>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</si>
  <si>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</si>
  <si>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</si>
  <si>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</si>
  <si>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</si>
  <si>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</si>
  <si>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</si>
  <si>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</si>
  <si>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</si>
  <si>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</si>
  <si>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</si>
  <si>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</si>
  <si>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</si>
  <si>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</si>
  <si>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</si>
  <si>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</si>
  <si>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</si>
  <si>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</si>
  <si>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</si>
  <si>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</si>
  <si>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</si>
  <si>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</si>
  <si>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</si>
  <si>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</si>
  <si>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</si>
  <si>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</si>
  <si>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</si>
  <si>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</si>
  <si>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</si>
  <si>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</si>
  <si>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</si>
  <si>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</si>
  <si>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</si>
  <si>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</si>
  <si>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</si>
  <si>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</si>
  <si>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</si>
  <si>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</si>
  <si>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</si>
  <si>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</si>
  <si>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</si>
  <si>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</si>
  <si>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</si>
  <si>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</si>
  <si>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</si>
  <si>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</si>
  <si>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</si>
  <si>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</si>
  <si>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</si>
  <si>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</si>
  <si>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</si>
  <si>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</si>
  <si>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</si>
  <si>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</si>
  <si>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</si>
  <si>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</si>
  <si>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</si>
  <si>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</si>
  <si>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</si>
  <si>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</si>
  <si>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</si>
  <si>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</si>
  <si>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</si>
  <si>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</si>
  <si>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</si>
  <si>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</si>
  <si>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</si>
  <si>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</si>
  <si>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</si>
  <si>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</si>
  <si>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</si>
  <si>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</si>
  <si>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</si>
  <si>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</si>
  <si>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</si>
  <si>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</si>
  <si>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</si>
  <si>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</si>
  <si>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</si>
  <si>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</si>
  <si>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</si>
  <si>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</si>
  <si>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</si>
  <si>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</si>
  <si>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</si>
  <si>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</si>
  <si>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</si>
  <si>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</si>
  <si>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</si>
  <si>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</si>
  <si>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</si>
  <si>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</si>
  <si>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</si>
  <si>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</si>
  <si>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</si>
  <si>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</si>
  <si>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</si>
  <si>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</si>
  <si>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</si>
  <si>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</si>
  <si>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</si>
  <si>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</si>
  <si>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</si>
  <si>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</si>
  <si>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</si>
  <si>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</si>
  <si>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</si>
  <si>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</si>
  <si>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</si>
  <si>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</si>
  <si>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</si>
  <si>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</si>
  <si>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</si>
  <si>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</si>
  <si>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</si>
  <si>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</si>
  <si>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</si>
  <si>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</si>
  <si>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</si>
  <si>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</si>
  <si>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</si>
  <si>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</si>
  <si>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</si>
  <si>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</si>
  <si>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</si>
  <si>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</si>
  <si>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</si>
  <si>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</si>
  <si>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</si>
  <si>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</si>
  <si>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</si>
  <si>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</si>
  <si>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</si>
  <si>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</si>
  <si>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</si>
  <si>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</si>
  <si>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</si>
  <si>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</si>
  <si>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</si>
  <si>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</si>
  <si>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</si>
  <si>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</si>
  <si>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</si>
  <si>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</si>
  <si>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</si>
  <si>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</si>
  <si>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</si>
  <si>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</si>
  <si>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</si>
  <si>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</si>
  <si>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</si>
  <si>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</si>
  <si>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</si>
  <si>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</si>
  <si>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</si>
  <si>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</si>
  <si>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</si>
  <si>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</si>
  <si>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</si>
  <si>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</si>
  <si>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</si>
  <si>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</si>
  <si>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</si>
  <si>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</si>
  <si>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</si>
  <si>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</si>
  <si>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</si>
  <si>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</si>
  <si>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</si>
  <si>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</si>
  <si>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</si>
  <si>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</si>
  <si>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</si>
  <si>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</si>
  <si>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</si>
  <si>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</si>
  <si>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</si>
  <si>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</si>
  <si>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</si>
  <si>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</si>
  <si>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</si>
  <si>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</si>
  <si>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</si>
  <si>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</si>
  <si>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</si>
  <si>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</si>
  <si>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</si>
  <si>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</si>
  <si>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</si>
  <si>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</si>
  <si>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</si>
  <si>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</si>
  <si>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</si>
  <si>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</si>
  <si>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</si>
  <si>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</si>
  <si>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</si>
  <si>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</si>
  <si>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</si>
  <si>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</si>
  <si>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</si>
  <si>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</si>
  <si>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</si>
  <si>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</si>
  <si>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</si>
  <si>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</si>
  <si>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</si>
  <si>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</si>
  <si>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</si>
  <si>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</si>
  <si>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</si>
  <si>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</si>
  <si>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</si>
  <si>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</si>
  <si>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</si>
  <si>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</si>
  <si>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</si>
  <si>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</si>
  <si>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</si>
  <si>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</si>
  <si>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</si>
  <si>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</si>
  <si>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</si>
  <si>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</si>
  <si>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</si>
  <si>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</si>
  <si>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409</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</si>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</sst>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2">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8" fillId="0" borderId="20" xfId="0" applyFont="1" applyFill="1" applyBorder="1" applyAlignment="1" applyProtection="1">
      <alignment horizontal="center"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0" fontId="8" fillId="38" borderId="2" xfId="58"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0" fontId="8" fillId="38" borderId="8" xfId="0" applyFont="1" applyFill="1" applyBorder="1" applyProtection="1">
      <protection hidden="1"/>
    </xf>
    <xf numFmtId="0" fontId="8" fillId="38" borderId="0" xfId="0" applyFont="1" applyFill="1" applyBorder="1" applyProtection="1">
      <protection hidden="1"/>
    </xf>
    <xf numFmtId="0" fontId="8" fillId="38" borderId="4" xfId="0" applyFont="1" applyFill="1" applyBorder="1" applyProtection="1">
      <protection hidden="1"/>
    </xf>
    <xf numFmtId="4" fontId="8" fillId="38" borderId="8" xfId="0" applyNumberFormat="1" applyFont="1" applyFill="1" applyBorder="1" applyProtection="1">
      <protection hidden="1"/>
    </xf>
    <xf numFmtId="4" fontId="8" fillId="38" borderId="0" xfId="0" applyNumberFormat="1" applyFont="1" applyFill="1" applyBorder="1" applyProtection="1">
      <protection hidden="1"/>
    </xf>
    <xf numFmtId="4" fontId="8" fillId="38" borderId="4" xfId="0" applyNumberFormat="1" applyFont="1" applyFill="1" applyBorder="1" applyProtection="1">
      <protection hidden="1"/>
    </xf>
    <xf numFmtId="4" fontId="8" fillId="38" borderId="15" xfId="0" applyNumberFormat="1" applyFont="1" applyFill="1" applyBorder="1" applyProtection="1">
      <protection hidden="1"/>
    </xf>
    <xf numFmtId="4" fontId="8" fillId="38" borderId="16" xfId="0" applyNumberFormat="1" applyFont="1" applyFill="1" applyBorder="1" applyProtection="1">
      <protection hidden="1"/>
    </xf>
    <xf numFmtId="4" fontId="8" fillId="38" borderId="29" xfId="0" applyNumberFormat="1" applyFont="1" applyFill="1" applyBorder="1" applyProtection="1">
      <protection hidden="1"/>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 fontId="8" fillId="38" borderId="53" xfId="0" applyNumberFormat="1" applyFont="1" applyFill="1" applyBorder="1" applyProtection="1">
      <protection hidden="1"/>
    </xf>
    <xf numFmtId="4" fontId="8" fillId="38" borderId="50" xfId="0" applyNumberFormat="1" applyFont="1" applyFill="1" applyBorder="1" applyProtection="1">
      <protection hidden="1"/>
    </xf>
    <xf numFmtId="4" fontId="8" fillId="38" borderId="51" xfId="0" applyNumberFormat="1" applyFont="1" applyFill="1" applyBorder="1" applyProtection="1">
      <protection hidden="1"/>
    </xf>
    <xf numFmtId="4" fontId="8" fillId="38" borderId="25" xfId="0" applyNumberFormat="1" applyFont="1" applyFill="1" applyBorder="1" applyProtection="1">
      <protection hidden="1"/>
    </xf>
    <xf numFmtId="4" fontId="8" fillId="38" borderId="43" xfId="0" applyNumberFormat="1" applyFont="1" applyFill="1" applyBorder="1" applyProtection="1">
      <protection hidden="1"/>
    </xf>
    <xf numFmtId="4" fontId="8" fillId="38" borderId="36" xfId="0" applyNumberFormat="1" applyFont="1" applyFill="1" applyBorder="1" applyProtection="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14" fillId="38" borderId="4" xfId="0"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4" fillId="38" borderId="29" xfId="0" applyFont="1" applyFill="1" applyBorder="1" applyAlignment="1" applyProtection="1">
      <alignment horizontal="left"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14" fillId="38" borderId="6" xfId="0" applyFont="1" applyFill="1" applyBorder="1" applyAlignment="1" applyProtection="1">
      <alignment horizontal="left" vertical="center" wrapText="1"/>
      <protection hidden="1"/>
    </xf>
    <xf numFmtId="0" fontId="14" fillId="38" borderId="40"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49" fontId="14" fillId="38" borderId="4" xfId="0" applyNumberFormat="1" applyFont="1" applyFill="1" applyBorder="1" applyAlignment="1" applyProtection="1">
      <alignment horizontal="left"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0" fontId="14" fillId="38" borderId="18"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172" formatCode="m/d/yyyy\ h:mm"/>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73" formatCode="m/d/yyyy"/>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7"/>
      <queryTableField id="2" name="DIST_TYP" tableColumnId="18"/>
      <queryTableField id="3" name="SOO_INVENTORY" tableColumnId="19"/>
      <queryTableField id="4" name="SOO_BL_INVENTORY" tableColumnId="20"/>
      <queryTableField id="5" name="SOO_ADP" tableColumnId="21"/>
      <queryTableField id="6" name="SOO_PRODUCTION_FYTD" tableColumnId="22"/>
      <queryTableField id="7" name="SOO_PRODUCTION_MTD" tableColumnId="23"/>
      <queryTableField id="8" name="SOO_ADC_FYTD" tableColumnId="24"/>
      <queryTableField id="9" name="SOO_ADC_MTD" tableColumnId="25"/>
      <queryTableField id="10" name="SOJ_INVENTORY" tableColumnId="26"/>
      <queryTableField id="11" name="SOJ_BL_INVENTORY" tableColumnId="27"/>
      <queryTableField id="12" name="SOJ_ADP" tableColumnId="28"/>
      <queryTableField id="13" name="SOJ_PRODUCTION_FYTD" tableColumnId="29"/>
      <queryTableField id="14" name="SOJ_PRODUCTION_MTD" tableColumnId="30"/>
      <queryTableField id="15" name="SOJ_ADC_FYTD" tableColumnId="31"/>
      <queryTableField id="16" name="SOJ_ADC_MTD" tableColumnId="32"/>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M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3"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7" uniqueName="17" name="MMWR_RATING_RO_ROLLUP" queryTableFieldId="1"/>
    <tableColumn id="18" uniqueName="18" name="DIST_TYP" queryTableFieldId="2"/>
    <tableColumn id="19" uniqueName="19" name="SOO_INVENTORY" queryTableFieldId="3"/>
    <tableColumn id="20" uniqueName="20" name="SOO_BL_INVENTORY" queryTableFieldId="4"/>
    <tableColumn id="21" uniqueName="21" name="SOO_ADP" queryTableFieldId="5"/>
    <tableColumn id="22" uniqueName="22" name="SOO_PRODUCTION_FYTD" queryTableFieldId="6"/>
    <tableColumn id="23" uniqueName="23" name="SOO_PRODUCTION_MTD" queryTableFieldId="7"/>
    <tableColumn id="24" uniqueName="24" name="SOO_ADC_FYTD" queryTableFieldId="8"/>
    <tableColumn id="25" uniqueName="25" name="SOO_ADC_MTD" queryTableFieldId="9"/>
    <tableColumn id="26" uniqueName="26" name="SOJ_INVENTORY" queryTableFieldId="10"/>
    <tableColumn id="27" uniqueName="27" name="SOJ_BL_INVENTORY" queryTableFieldId="11"/>
    <tableColumn id="28" uniqueName="28" name="SOJ_ADP" queryTableFieldId="12"/>
    <tableColumn id="29" uniqueName="29" name="SOJ_PRODUCTION_FYTD" queryTableFieldId="13"/>
    <tableColumn id="30" uniqueName="30" name="SOJ_PRODUCTION_MTD" queryTableFieldId="14"/>
    <tableColumn id="31" uniqueName="31" name="SOJ_ADC_FYTD" queryTableFieldId="15"/>
    <tableColumn id="32" uniqueName="32"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 uniqueName="1" name="MMWR_ACCURACY_RO" queryTableFieldId="1"/>
    <tableColumn id="2" uniqueName="2" name="DEF_DIST" queryTableFieldId="2"/>
    <tableColumn id="3" uniqueName="3" name="RELEASE_DATE" queryTableFieldId="3" dataDxfId="15"/>
    <tableColumn id="4" uniqueName="4" name="RO" queryTableFieldId="4"/>
    <tableColumn id="5" uniqueName="5" name="COMP3_ISSUES_WGHTED_ACC" queryTableFieldId="5" dataDxfId="14"/>
    <tableColumn id="6" uniqueName="6" name="COMP3_RTNG_CLM_WGHTED_ACC" queryTableFieldId="6" dataDxfId="13"/>
    <tableColumn id="7" uniqueName="7" name="COMP12_RTNG_CLM_WGHTED_ACC" queryTableFieldId="7" dataDxfId="12"/>
    <tableColumn id="8" uniqueName="8" name="COMP12_RTNG_CLM_MOE" queryTableFieldId="8" dataDxfId="11"/>
    <tableColumn id="9" uniqueName="9" name="COMP12_AUTH_CLM_WGHTED_ACC" queryTableFieldId="9" dataDxfId="10"/>
    <tableColumn id="10" uniqueName="10" name="COMP12_AUTH_CLM_MOE" queryTableFieldId="10" dataDxfId="9"/>
    <tableColumn id="11" uniqueName="11" name="PMC3_RTNG_CLM_WGHTED_ACC" queryTableFieldId="11" dataDxfId="8"/>
    <tableColumn id="12" uniqueName="12" name="PMC12_RTNG_CLM_WGHTED_ACC" queryTableFieldId="12" dataDxfId="7"/>
    <tableColumn id="13" uniqueName="13" name="PMC12_RTNG_CLM_MOE" queryTableFieldId="13" dataDxfId="6"/>
    <tableColumn id="14" uniqueName="14" name="PMC12_AUTH_CLM_WGHTED_ACC" queryTableFieldId="14" dataDxfId="5"/>
    <tableColumn id="15" uniqueName="15" name="PMC12_AUTH_CLM_MOE" queryTableFieldId="15" dataDxfId="4"/>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4" t="s">
        <v>309</v>
      </c>
      <c r="B1" s="275"/>
      <c r="C1" s="275"/>
      <c r="D1" s="275"/>
      <c r="E1" s="275"/>
      <c r="F1" s="275"/>
      <c r="G1" s="275"/>
      <c r="H1" s="275"/>
      <c r="I1" s="275"/>
      <c r="J1" s="275"/>
      <c r="K1" s="275"/>
      <c r="L1" s="275"/>
      <c r="M1" s="275"/>
      <c r="N1" s="275"/>
      <c r="O1" s="275"/>
      <c r="P1" s="276"/>
    </row>
    <row r="2" spans="1:16" ht="29.25" customHeight="1" x14ac:dyDescent="0.2">
      <c r="A2" s="268" t="s">
        <v>311</v>
      </c>
      <c r="B2" s="269"/>
      <c r="C2" s="269"/>
      <c r="D2" s="269"/>
      <c r="E2" s="269"/>
      <c r="F2" s="269"/>
      <c r="G2" s="269"/>
      <c r="H2" s="269"/>
      <c r="I2" s="269"/>
      <c r="J2" s="269"/>
      <c r="K2" s="269"/>
      <c r="L2" s="269"/>
      <c r="M2" s="269"/>
      <c r="N2" s="270"/>
      <c r="O2" s="277"/>
      <c r="P2" s="278"/>
    </row>
    <row r="3" spans="1:16" x14ac:dyDescent="0.2">
      <c r="A3" s="268"/>
      <c r="B3" s="269"/>
      <c r="C3" s="269"/>
      <c r="D3" s="269"/>
      <c r="E3" s="269"/>
      <c r="F3" s="269"/>
      <c r="G3" s="269"/>
      <c r="H3" s="269"/>
      <c r="I3" s="269"/>
      <c r="J3" s="269"/>
      <c r="K3" s="269"/>
      <c r="L3" s="269"/>
      <c r="M3" s="269"/>
      <c r="N3" s="270"/>
      <c r="O3" s="279"/>
      <c r="P3" s="280"/>
    </row>
    <row r="4" spans="1:16" x14ac:dyDescent="0.2">
      <c r="A4" s="268"/>
      <c r="B4" s="269"/>
      <c r="C4" s="269"/>
      <c r="D4" s="269"/>
      <c r="E4" s="269"/>
      <c r="F4" s="269"/>
      <c r="G4" s="269"/>
      <c r="H4" s="269"/>
      <c r="I4" s="269"/>
      <c r="J4" s="269"/>
      <c r="K4" s="269"/>
      <c r="L4" s="269"/>
      <c r="M4" s="269"/>
      <c r="N4" s="270"/>
      <c r="O4" s="279"/>
      <c r="P4" s="280"/>
    </row>
    <row r="5" spans="1:16" x14ac:dyDescent="0.2">
      <c r="A5" s="268"/>
      <c r="B5" s="269"/>
      <c r="C5" s="269"/>
      <c r="D5" s="269"/>
      <c r="E5" s="269"/>
      <c r="F5" s="269"/>
      <c r="G5" s="269"/>
      <c r="H5" s="269"/>
      <c r="I5" s="269"/>
      <c r="J5" s="269"/>
      <c r="K5" s="269"/>
      <c r="L5" s="269"/>
      <c r="M5" s="269"/>
      <c r="N5" s="270"/>
      <c r="O5" s="279"/>
      <c r="P5" s="280"/>
    </row>
    <row r="6" spans="1:16" x14ac:dyDescent="0.2">
      <c r="A6" s="268"/>
      <c r="B6" s="269"/>
      <c r="C6" s="269"/>
      <c r="D6" s="269"/>
      <c r="E6" s="269"/>
      <c r="F6" s="269"/>
      <c r="G6" s="269"/>
      <c r="H6" s="269"/>
      <c r="I6" s="269"/>
      <c r="J6" s="269"/>
      <c r="K6" s="269"/>
      <c r="L6" s="269"/>
      <c r="M6" s="269"/>
      <c r="N6" s="270"/>
      <c r="O6" s="279"/>
      <c r="P6" s="280"/>
    </row>
    <row r="7" spans="1:16" ht="18" customHeight="1" thickBot="1" x14ac:dyDescent="0.25">
      <c r="A7" s="271"/>
      <c r="B7" s="272"/>
      <c r="C7" s="272"/>
      <c r="D7" s="272"/>
      <c r="E7" s="272"/>
      <c r="F7" s="272"/>
      <c r="G7" s="272"/>
      <c r="H7" s="272"/>
      <c r="I7" s="272"/>
      <c r="J7" s="272"/>
      <c r="K7" s="272"/>
      <c r="L7" s="272"/>
      <c r="M7" s="272"/>
      <c r="N7" s="273"/>
      <c r="O7" s="281"/>
      <c r="P7" s="282"/>
    </row>
    <row r="8" spans="1:16" ht="18.75" thickBot="1" x14ac:dyDescent="0.25">
      <c r="A8" s="265" t="s">
        <v>307</v>
      </c>
      <c r="B8" s="266"/>
      <c r="C8" s="266"/>
      <c r="D8" s="266"/>
      <c r="E8" s="266"/>
      <c r="F8" s="266"/>
      <c r="G8" s="267"/>
      <c r="H8" s="265" t="s">
        <v>308</v>
      </c>
      <c r="I8" s="266"/>
      <c r="J8" s="266"/>
      <c r="K8" s="266"/>
      <c r="L8" s="266"/>
      <c r="M8" s="266"/>
      <c r="N8" s="266"/>
      <c r="O8" s="266"/>
      <c r="P8" s="267"/>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85" zoomScaleNormal="85" zoomScaleSheetLayoutView="75" workbookViewId="0">
      <selection activeCell="H21" sqref="H21:J22"/>
    </sheetView>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24" t="s">
        <v>986</v>
      </c>
      <c r="C2" s="325"/>
      <c r="D2" s="325"/>
      <c r="E2" s="325"/>
      <c r="F2" s="325"/>
      <c r="G2" s="326"/>
      <c r="H2" s="135" t="s">
        <v>5</v>
      </c>
      <c r="I2" s="136" t="s">
        <v>2</v>
      </c>
      <c r="J2" s="136" t="s">
        <v>234</v>
      </c>
      <c r="K2" s="134"/>
    </row>
    <row r="3" spans="1:11" ht="59.25" customHeight="1" x14ac:dyDescent="0.2">
      <c r="A3" s="130"/>
      <c r="B3" s="327"/>
      <c r="C3" s="328"/>
      <c r="D3" s="328"/>
      <c r="E3" s="328"/>
      <c r="F3" s="328"/>
      <c r="G3" s="328"/>
      <c r="H3" s="320">
        <f>SUM(H5,H10)</f>
        <v>368140</v>
      </c>
      <c r="I3" s="320">
        <f>SUM(I5,I10)</f>
        <v>74055</v>
      </c>
      <c r="J3" s="322">
        <f>ROUND(I3/H3,5)</f>
        <v>0.20116000000000001</v>
      </c>
      <c r="K3" s="134"/>
    </row>
    <row r="4" spans="1:11" ht="33" customHeight="1" thickBot="1" x14ac:dyDescent="0.25">
      <c r="A4" s="130"/>
      <c r="B4" s="329" t="str">
        <f>"As of: "&amp;TEXT(INDEX(MMWR_DATES[],1,1),"MMMM DD, YYYY")</f>
        <v>As of: October 31, 2015</v>
      </c>
      <c r="C4" s="330"/>
      <c r="D4" s="330"/>
      <c r="E4" s="330"/>
      <c r="F4" s="330"/>
      <c r="G4" s="331"/>
      <c r="H4" s="321"/>
      <c r="I4" s="321"/>
      <c r="J4" s="323"/>
      <c r="K4" s="137"/>
    </row>
    <row r="5" spans="1:11" ht="16.5" customHeight="1" thickBot="1" x14ac:dyDescent="0.25">
      <c r="A5" s="130"/>
      <c r="B5" s="318" t="s">
        <v>239</v>
      </c>
      <c r="C5" s="319"/>
      <c r="D5" s="319"/>
      <c r="E5" s="319"/>
      <c r="F5" s="319"/>
      <c r="G5" s="138" t="s">
        <v>250</v>
      </c>
      <c r="H5" s="160">
        <f>SUM(H6:H9)</f>
        <v>138079</v>
      </c>
      <c r="I5" s="160">
        <f>SUM(I6:I9)</f>
        <v>33470</v>
      </c>
      <c r="J5" s="161">
        <f t="shared" ref="J5:J15" si="0">IF(H5=0, 0,I5/H5)</f>
        <v>0.24239746811607848</v>
      </c>
      <c r="K5" s="134"/>
    </row>
    <row r="6" spans="1:11" ht="16.5" customHeight="1" x14ac:dyDescent="0.2">
      <c r="A6" s="130"/>
      <c r="B6" s="283" t="s">
        <v>16</v>
      </c>
      <c r="C6" s="284"/>
      <c r="D6" s="284"/>
      <c r="E6" s="284"/>
      <c r="F6" s="284"/>
      <c r="G6" s="139" t="s">
        <v>196</v>
      </c>
      <c r="H6" s="162">
        <f>IFERROR(VLOOKUP(MID($G6,4,3),MMWR_TRAD_AGG_NATIONAL[],2,0),0)</f>
        <v>40605</v>
      </c>
      <c r="I6" s="162">
        <f>IFERROR(VLOOKUP(MID($G6,4,3),MMWR_TRAD_AGG_NATIONAL[],3,0),0)</f>
        <v>11240</v>
      </c>
      <c r="J6" s="163">
        <f t="shared" si="0"/>
        <v>0.27681320034478513</v>
      </c>
      <c r="K6" s="134"/>
    </row>
    <row r="7" spans="1:11" ht="16.5" customHeight="1" x14ac:dyDescent="0.2">
      <c r="A7" s="130"/>
      <c r="B7" s="285" t="s">
        <v>0</v>
      </c>
      <c r="C7" s="286"/>
      <c r="D7" s="286"/>
      <c r="E7" s="286"/>
      <c r="F7" s="286"/>
      <c r="G7" s="140" t="s">
        <v>197</v>
      </c>
      <c r="H7" s="162">
        <f>IFERROR(VLOOKUP(MID($G7,4,3),MMWR_TRAD_AGG_NATIONAL[],2,0),0)</f>
        <v>83271</v>
      </c>
      <c r="I7" s="162">
        <f>IFERROR(VLOOKUP(MID($G7,4,3),MMWR_TRAD_AGG_NATIONAL[],3,0),0)</f>
        <v>20864</v>
      </c>
      <c r="J7" s="163">
        <f t="shared" si="0"/>
        <v>0.25055541545075716</v>
      </c>
      <c r="K7" s="134"/>
    </row>
    <row r="8" spans="1:11" ht="16.5" customHeight="1" x14ac:dyDescent="0.2">
      <c r="A8" s="130"/>
      <c r="B8" s="287" t="s">
        <v>240</v>
      </c>
      <c r="C8" s="288"/>
      <c r="D8" s="288"/>
      <c r="E8" s="288"/>
      <c r="F8" s="288"/>
      <c r="G8" s="141" t="s">
        <v>199</v>
      </c>
      <c r="H8" s="162">
        <f>IFERROR(VLOOKUP(MID($G8,4,3),MMWR_TRAD_AGG_NATIONAL[],2,0),0)</f>
        <v>7211</v>
      </c>
      <c r="I8" s="162">
        <f>IFERROR(VLOOKUP(MID($G8,4,3),MMWR_TRAD_AGG_NATIONAL[],3,0),0)</f>
        <v>248</v>
      </c>
      <c r="J8" s="163">
        <f t="shared" si="0"/>
        <v>3.4391901261960893E-2</v>
      </c>
      <c r="K8" s="134"/>
    </row>
    <row r="9" spans="1:11" ht="16.5" customHeight="1" thickBot="1" x14ac:dyDescent="0.25">
      <c r="A9" s="130"/>
      <c r="B9" s="292" t="s">
        <v>17</v>
      </c>
      <c r="C9" s="293"/>
      <c r="D9" s="293"/>
      <c r="E9" s="293"/>
      <c r="F9" s="293"/>
      <c r="G9" s="140" t="s">
        <v>201</v>
      </c>
      <c r="H9" s="162">
        <f>IFERROR(VLOOKUP(MID($G9,4,3),MMWR_TRAD_AGG_NATIONAL[],2,0),0)</f>
        <v>6992</v>
      </c>
      <c r="I9" s="162">
        <f>IFERROR(VLOOKUP(MID($G9,4,3),MMWR_TRAD_AGG_NATIONAL[],3,0),0)</f>
        <v>1118</v>
      </c>
      <c r="J9" s="163">
        <f t="shared" si="0"/>
        <v>0.15989702517162471</v>
      </c>
      <c r="K9" s="134"/>
    </row>
    <row r="10" spans="1:11" ht="17.25" thickBot="1" x14ac:dyDescent="0.25">
      <c r="A10" s="130"/>
      <c r="B10" s="318" t="s">
        <v>1</v>
      </c>
      <c r="C10" s="319"/>
      <c r="D10" s="319"/>
      <c r="E10" s="319"/>
      <c r="F10" s="319"/>
      <c r="G10" s="138" t="s">
        <v>250</v>
      </c>
      <c r="H10" s="160">
        <f>SUM(H11:H18)</f>
        <v>230061</v>
      </c>
      <c r="I10" s="160">
        <f>SUM(I11:I18)</f>
        <v>40585</v>
      </c>
      <c r="J10" s="161">
        <f t="shared" si="0"/>
        <v>0.17640973480946356</v>
      </c>
      <c r="K10" s="134"/>
    </row>
    <row r="11" spans="1:11" ht="16.5" customHeight="1" x14ac:dyDescent="0.2">
      <c r="A11" s="130"/>
      <c r="B11" s="283" t="s">
        <v>205</v>
      </c>
      <c r="C11" s="284"/>
      <c r="D11" s="284"/>
      <c r="E11" s="284"/>
      <c r="F11" s="284"/>
      <c r="G11" s="142" t="s">
        <v>200</v>
      </c>
      <c r="H11" s="164">
        <f>IFERROR(VLOOKUP(MID($G11,4,3),MMWR_TRAD_AGG_NATIONAL[],2,0),0)</f>
        <v>6781</v>
      </c>
      <c r="I11" s="162">
        <f>IFERROR(VLOOKUP(MID($G11,4,3),MMWR_TRAD_AGG_NATIONAL[],3,0),0)</f>
        <v>217</v>
      </c>
      <c r="J11" s="163">
        <f t="shared" si="0"/>
        <v>3.200117976699602E-2</v>
      </c>
      <c r="K11" s="134"/>
    </row>
    <row r="12" spans="1:11" ht="16.5" customHeight="1" x14ac:dyDescent="0.2">
      <c r="A12" s="130"/>
      <c r="B12" s="285" t="s">
        <v>18</v>
      </c>
      <c r="C12" s="286"/>
      <c r="D12" s="286"/>
      <c r="E12" s="286"/>
      <c r="F12" s="286"/>
      <c r="G12" s="143" t="s">
        <v>198</v>
      </c>
      <c r="H12" s="165">
        <f>IFERROR(VLOOKUP(MID($G12,4,3),MMWR_TRAD_AGG_NATIONAL[],2,0),0)</f>
        <v>207784</v>
      </c>
      <c r="I12" s="162">
        <f>IFERROR(VLOOKUP(MID($G12,4,3),MMWR_TRAD_AGG_NATIONAL[],3,0),0)</f>
        <v>39011</v>
      </c>
      <c r="J12" s="163">
        <f t="shared" si="0"/>
        <v>0.18774785354021484</v>
      </c>
      <c r="K12" s="134"/>
    </row>
    <row r="13" spans="1:11" ht="16.5" customHeight="1" x14ac:dyDescent="0.2">
      <c r="A13" s="130"/>
      <c r="B13" s="285" t="s">
        <v>14</v>
      </c>
      <c r="C13" s="286"/>
      <c r="D13" s="286"/>
      <c r="E13" s="286"/>
      <c r="F13" s="286"/>
      <c r="G13" s="143" t="s">
        <v>202</v>
      </c>
      <c r="H13" s="165">
        <f>IFERROR(VLOOKUP(MID($G13,4,3),MMWR_TRAD_AGG_NATIONAL[],2,0),0)</f>
        <v>15194</v>
      </c>
      <c r="I13" s="162">
        <f>IFERROR(VLOOKUP(MID($G13,4,3),MMWR_TRAD_AGG_NATIONAL[],3,0),0)</f>
        <v>1286</v>
      </c>
      <c r="J13" s="163">
        <f t="shared" si="0"/>
        <v>8.4638673160458075E-2</v>
      </c>
      <c r="K13" s="134"/>
    </row>
    <row r="14" spans="1:11" ht="16.5" customHeight="1" x14ac:dyDescent="0.2">
      <c r="A14" s="130"/>
      <c r="B14" s="287" t="s">
        <v>19</v>
      </c>
      <c r="C14" s="288"/>
      <c r="D14" s="288"/>
      <c r="E14" s="288"/>
      <c r="F14" s="288"/>
      <c r="G14" s="142" t="s">
        <v>203</v>
      </c>
      <c r="H14" s="165">
        <f>IFERROR(VLOOKUP(MID($G14,4,3),MMWR_TRAD_AGG_NATIONAL[],2,0),0)</f>
        <v>280</v>
      </c>
      <c r="I14" s="162">
        <f>IFERROR(VLOOKUP(MID($G14,4,3),MMWR_TRAD_AGG_NATIONAL[],3,0),0)</f>
        <v>59</v>
      </c>
      <c r="J14" s="163">
        <f t="shared" si="0"/>
        <v>0.21071428571428572</v>
      </c>
      <c r="K14" s="134"/>
    </row>
    <row r="15" spans="1:11" ht="16.5" customHeight="1" x14ac:dyDescent="0.2">
      <c r="A15" s="130"/>
      <c r="B15" s="287" t="s">
        <v>87</v>
      </c>
      <c r="C15" s="288"/>
      <c r="D15" s="288"/>
      <c r="E15" s="288"/>
      <c r="F15" s="288"/>
      <c r="G15" s="142" t="s">
        <v>206</v>
      </c>
      <c r="H15" s="165">
        <f>IFERROR(VLOOKUP(MID($G15,4,3),MMWR_TRAD_AGG_NATIONAL[],2,0),0)</f>
        <v>9</v>
      </c>
      <c r="I15" s="162">
        <f>IFERROR(VLOOKUP(MID($G15,4,3),MMWR_TRAD_AGG_NATIONAL[],3,0),0)</f>
        <v>6</v>
      </c>
      <c r="J15" s="163">
        <f t="shared" si="0"/>
        <v>0.66666666666666663</v>
      </c>
      <c r="K15" s="134"/>
    </row>
    <row r="16" spans="1:11" ht="15" x14ac:dyDescent="0.2">
      <c r="A16" s="130"/>
      <c r="B16" s="287" t="s">
        <v>88</v>
      </c>
      <c r="C16" s="288"/>
      <c r="D16" s="288"/>
      <c r="E16" s="288"/>
      <c r="F16" s="288"/>
      <c r="G16" s="142" t="s">
        <v>207</v>
      </c>
      <c r="H16" s="165">
        <f>IFERROR(VLOOKUP(MID($G16,4,3),MMWR_TRAD_AGG_NATIONAL[],2,0),0)</f>
        <v>2</v>
      </c>
      <c r="I16" s="162">
        <f>IFERROR(VLOOKUP(MID($G16,4,3),MMWR_TRAD_AGG_NATIONAL[],3,0),0)</f>
        <v>0</v>
      </c>
      <c r="J16" s="163">
        <f>IF(H16=0, 0,I16/H16)</f>
        <v>0</v>
      </c>
      <c r="K16" s="134"/>
    </row>
    <row r="17" spans="1:11" ht="16.5" customHeight="1" x14ac:dyDescent="0.2">
      <c r="A17" s="130"/>
      <c r="B17" s="287" t="s">
        <v>90</v>
      </c>
      <c r="C17" s="288"/>
      <c r="D17" s="288"/>
      <c r="E17" s="288"/>
      <c r="F17" s="288"/>
      <c r="G17" s="142" t="s">
        <v>208</v>
      </c>
      <c r="H17" s="165">
        <f>IFERROR(VLOOKUP(MID($G17,4,3),MMWR_TRAD_AGG_NATIONAL[],2,0),0)</f>
        <v>7</v>
      </c>
      <c r="I17" s="162">
        <f>IFERROR(VLOOKUP(MID($G17,4,3),MMWR_TRAD_AGG_NATIONAL[],3,0),0)</f>
        <v>3</v>
      </c>
      <c r="J17" s="163">
        <f>IF(H17=0, 0,I17/H17)</f>
        <v>0.42857142857142855</v>
      </c>
      <c r="K17" s="134"/>
    </row>
    <row r="18" spans="1:11" ht="16.5" customHeight="1" thickBot="1" x14ac:dyDescent="0.25">
      <c r="A18" s="130"/>
      <c r="B18" s="292" t="s">
        <v>89</v>
      </c>
      <c r="C18" s="293"/>
      <c r="D18" s="293"/>
      <c r="E18" s="293"/>
      <c r="F18" s="293"/>
      <c r="G18" s="142" t="s">
        <v>209</v>
      </c>
      <c r="H18" s="166">
        <f>IFERROR(VLOOKUP(MID($G18,4,3),MMWR_TRAD_AGG_NATIONAL[],2,0),0)</f>
        <v>4</v>
      </c>
      <c r="I18" s="162">
        <f>IFERROR(VLOOKUP(MID($G18,4,3),MMWR_TRAD_AGG_NATIONAL[],3,0),0)</f>
        <v>3</v>
      </c>
      <c r="J18" s="167">
        <f>IF(H18=0, 0,I18/H18)</f>
        <v>0.75</v>
      </c>
      <c r="K18" s="134"/>
    </row>
    <row r="19" spans="1:11" ht="16.5" customHeight="1" x14ac:dyDescent="0.2">
      <c r="A19" s="130"/>
      <c r="B19" s="297" t="s">
        <v>976</v>
      </c>
      <c r="C19" s="298"/>
      <c r="D19" s="298"/>
      <c r="E19" s="298"/>
      <c r="F19" s="298"/>
      <c r="G19" s="298"/>
      <c r="H19" s="298"/>
      <c r="I19" s="298"/>
      <c r="J19" s="299"/>
      <c r="K19" s="134"/>
    </row>
    <row r="20" spans="1:11" ht="36" customHeight="1" thickBot="1" x14ac:dyDescent="0.25">
      <c r="A20" s="130"/>
      <c r="B20" s="300"/>
      <c r="C20" s="301"/>
      <c r="D20" s="301"/>
      <c r="E20" s="301"/>
      <c r="F20" s="301"/>
      <c r="G20" s="301"/>
      <c r="H20" s="301"/>
      <c r="I20" s="301"/>
      <c r="J20" s="302"/>
      <c r="K20" s="134"/>
    </row>
    <row r="21" spans="1:11" ht="36" customHeight="1" x14ac:dyDescent="0.2">
      <c r="A21" s="130"/>
      <c r="B21" s="312" t="s">
        <v>967</v>
      </c>
      <c r="C21" s="313"/>
      <c r="D21" s="314"/>
      <c r="E21" s="312" t="s">
        <v>968</v>
      </c>
      <c r="F21" s="313"/>
      <c r="G21" s="314"/>
      <c r="H21" s="312" t="s">
        <v>969</v>
      </c>
      <c r="I21" s="313"/>
      <c r="J21" s="314"/>
      <c r="K21" s="134"/>
    </row>
    <row r="22" spans="1:11" ht="29.25" customHeight="1" thickBot="1" x14ac:dyDescent="0.25">
      <c r="A22" s="130"/>
      <c r="B22" s="315"/>
      <c r="C22" s="316"/>
      <c r="D22" s="317"/>
      <c r="E22" s="315"/>
      <c r="F22" s="316"/>
      <c r="G22" s="317"/>
      <c r="H22" s="315"/>
      <c r="I22" s="316"/>
      <c r="J22" s="317"/>
      <c r="K22" s="134"/>
    </row>
    <row r="23" spans="1:11" ht="36" customHeight="1" x14ac:dyDescent="0.35">
      <c r="A23" s="130"/>
      <c r="B23" s="312" t="s">
        <v>961</v>
      </c>
      <c r="C23" s="313"/>
      <c r="D23" s="314"/>
      <c r="E23" s="312" t="s">
        <v>962</v>
      </c>
      <c r="F23" s="313"/>
      <c r="G23" s="314"/>
      <c r="H23" s="144"/>
      <c r="I23" s="144"/>
      <c r="J23" s="144"/>
      <c r="K23" s="134"/>
    </row>
    <row r="24" spans="1:11" ht="29.25" customHeight="1" thickBot="1" x14ac:dyDescent="0.4">
      <c r="A24" s="130"/>
      <c r="B24" s="315"/>
      <c r="C24" s="316"/>
      <c r="D24" s="317"/>
      <c r="E24" s="315"/>
      <c r="F24" s="316"/>
      <c r="G24" s="317"/>
      <c r="H24" s="144"/>
      <c r="I24" s="144"/>
      <c r="J24" s="144"/>
      <c r="K24" s="134"/>
    </row>
    <row r="25" spans="1:11" ht="29.25" customHeight="1" thickBot="1" x14ac:dyDescent="0.25">
      <c r="A25" s="130"/>
      <c r="B25" s="145"/>
      <c r="C25" s="146"/>
      <c r="D25" s="146"/>
      <c r="E25" s="146"/>
      <c r="F25" s="146"/>
      <c r="G25" s="146"/>
      <c r="H25" s="146"/>
      <c r="I25" s="146"/>
      <c r="J25" s="146"/>
      <c r="K25" s="147"/>
    </row>
    <row r="26" spans="1:11" ht="38.25" x14ac:dyDescent="0.2">
      <c r="A26" s="130"/>
      <c r="B26" s="148" t="s">
        <v>23</v>
      </c>
      <c r="C26" s="338"/>
      <c r="D26" s="338"/>
      <c r="E26" s="338"/>
      <c r="F26" s="339"/>
      <c r="G26" s="49" t="s">
        <v>28</v>
      </c>
      <c r="H26" s="49" t="s">
        <v>29</v>
      </c>
      <c r="I26" s="49" t="s">
        <v>30</v>
      </c>
      <c r="J26" s="149" t="s">
        <v>31</v>
      </c>
      <c r="K26" s="134"/>
    </row>
    <row r="27" spans="1:11" ht="16.5" x14ac:dyDescent="0.2">
      <c r="A27" s="130"/>
      <c r="B27" s="294" t="s">
        <v>970</v>
      </c>
      <c r="C27" s="295"/>
      <c r="D27" s="295"/>
      <c r="E27" s="295"/>
      <c r="F27" s="296"/>
      <c r="G27" s="258">
        <v>8074</v>
      </c>
      <c r="H27" s="258">
        <v>8756</v>
      </c>
      <c r="I27" s="258">
        <v>-682</v>
      </c>
      <c r="J27" s="262">
        <v>-7.8E-2</v>
      </c>
      <c r="K27" s="134"/>
    </row>
    <row r="28" spans="1:11" ht="15" x14ac:dyDescent="0.2">
      <c r="A28" s="130"/>
      <c r="B28" s="332" t="s">
        <v>24</v>
      </c>
      <c r="C28" s="333"/>
      <c r="D28" s="333"/>
      <c r="E28" s="333"/>
      <c r="F28" s="334"/>
      <c r="G28" s="259">
        <v>2254</v>
      </c>
      <c r="H28" s="259">
        <v>2638</v>
      </c>
      <c r="I28" s="259">
        <v>-384</v>
      </c>
      <c r="J28" s="255">
        <v>-0.14599999999999999</v>
      </c>
      <c r="K28" s="134"/>
    </row>
    <row r="29" spans="1:11" ht="15" x14ac:dyDescent="0.2">
      <c r="A29" s="130"/>
      <c r="B29" s="303" t="s">
        <v>25</v>
      </c>
      <c r="C29" s="304"/>
      <c r="D29" s="304"/>
      <c r="E29" s="304"/>
      <c r="F29" s="305"/>
      <c r="G29" s="260">
        <v>582</v>
      </c>
      <c r="H29" s="260">
        <v>687</v>
      </c>
      <c r="I29" s="260">
        <v>-105</v>
      </c>
      <c r="J29" s="256">
        <v>-0.153</v>
      </c>
      <c r="K29" s="134"/>
    </row>
    <row r="30" spans="1:11" ht="15" x14ac:dyDescent="0.2">
      <c r="A30" s="130"/>
      <c r="B30" s="306" t="s">
        <v>26</v>
      </c>
      <c r="C30" s="307"/>
      <c r="D30" s="307"/>
      <c r="E30" s="307"/>
      <c r="F30" s="308"/>
      <c r="G30" s="260">
        <v>2137</v>
      </c>
      <c r="H30" s="260">
        <v>1757</v>
      </c>
      <c r="I30" s="260">
        <v>380</v>
      </c>
      <c r="J30" s="256">
        <v>0.216</v>
      </c>
      <c r="K30" s="134"/>
    </row>
    <row r="31" spans="1:11" ht="15" x14ac:dyDescent="0.2">
      <c r="A31" s="130"/>
      <c r="B31" s="335" t="s">
        <v>27</v>
      </c>
      <c r="C31" s="336"/>
      <c r="D31" s="336"/>
      <c r="E31" s="336"/>
      <c r="F31" s="337"/>
      <c r="G31" s="261">
        <v>3101</v>
      </c>
      <c r="H31" s="261">
        <v>3674</v>
      </c>
      <c r="I31" s="261">
        <v>-573</v>
      </c>
      <c r="J31" s="257">
        <v>-0.156</v>
      </c>
      <c r="K31" s="134"/>
    </row>
    <row r="32" spans="1:11" ht="16.5" x14ac:dyDescent="0.2">
      <c r="A32" s="130"/>
      <c r="B32" s="294" t="s">
        <v>241</v>
      </c>
      <c r="C32" s="295"/>
      <c r="D32" s="295"/>
      <c r="E32" s="295"/>
      <c r="F32" s="296"/>
      <c r="G32" s="258">
        <v>69154</v>
      </c>
      <c r="H32" s="258">
        <v>93758</v>
      </c>
      <c r="I32" s="258">
        <v>-24604</v>
      </c>
      <c r="J32" s="262">
        <v>-0.26200000000000001</v>
      </c>
      <c r="K32" s="134"/>
    </row>
    <row r="33" spans="1:11" ht="15" x14ac:dyDescent="0.2">
      <c r="A33" s="130"/>
      <c r="B33" s="332" t="s">
        <v>24</v>
      </c>
      <c r="C33" s="333"/>
      <c r="D33" s="333"/>
      <c r="E33" s="333"/>
      <c r="F33" s="334"/>
      <c r="G33" s="259">
        <v>16148</v>
      </c>
      <c r="H33" s="259">
        <v>22319</v>
      </c>
      <c r="I33" s="259">
        <v>-6171</v>
      </c>
      <c r="J33" s="255">
        <v>-0.27600000000000002</v>
      </c>
      <c r="K33" s="134"/>
    </row>
    <row r="34" spans="1:11" ht="15" x14ac:dyDescent="0.2">
      <c r="A34" s="130"/>
      <c r="B34" s="303" t="s">
        <v>25</v>
      </c>
      <c r="C34" s="304"/>
      <c r="D34" s="304"/>
      <c r="E34" s="304"/>
      <c r="F34" s="305"/>
      <c r="G34" s="260">
        <v>6209</v>
      </c>
      <c r="H34" s="260">
        <v>7866</v>
      </c>
      <c r="I34" s="260">
        <v>-1657</v>
      </c>
      <c r="J34" s="256">
        <v>-0.21099999999999999</v>
      </c>
      <c r="K34" s="134"/>
    </row>
    <row r="35" spans="1:11" ht="15" x14ac:dyDescent="0.2">
      <c r="A35" s="130"/>
      <c r="B35" s="306" t="s">
        <v>26</v>
      </c>
      <c r="C35" s="307"/>
      <c r="D35" s="307"/>
      <c r="E35" s="307"/>
      <c r="F35" s="308"/>
      <c r="G35" s="260">
        <v>29614</v>
      </c>
      <c r="H35" s="260">
        <v>37327</v>
      </c>
      <c r="I35" s="260">
        <v>-7713</v>
      </c>
      <c r="J35" s="256">
        <v>-0.20699999999999999</v>
      </c>
      <c r="K35" s="134"/>
    </row>
    <row r="36" spans="1:11" ht="15.75" thickBot="1" x14ac:dyDescent="0.25">
      <c r="A36" s="130"/>
      <c r="B36" s="309" t="s">
        <v>27</v>
      </c>
      <c r="C36" s="310"/>
      <c r="D36" s="310"/>
      <c r="E36" s="310"/>
      <c r="F36" s="311"/>
      <c r="G36" s="260">
        <v>17183</v>
      </c>
      <c r="H36" s="260">
        <v>26246</v>
      </c>
      <c r="I36" s="260">
        <v>-9063</v>
      </c>
      <c r="J36" s="256">
        <v>-0.34499999999999997</v>
      </c>
      <c r="K36" s="134"/>
    </row>
    <row r="37" spans="1:11" ht="15.75" customHeight="1" thickBot="1" x14ac:dyDescent="0.25">
      <c r="A37" s="130"/>
      <c r="B37" s="289" t="s">
        <v>975</v>
      </c>
      <c r="C37" s="290"/>
      <c r="D37" s="290"/>
      <c r="E37" s="290"/>
      <c r="F37" s="290"/>
      <c r="G37" s="290"/>
      <c r="H37" s="290"/>
      <c r="I37" s="290"/>
      <c r="J37" s="291"/>
      <c r="K37" s="134"/>
    </row>
    <row r="38" spans="1:11" ht="15" customHeight="1" x14ac:dyDescent="0.2">
      <c r="A38" s="150"/>
      <c r="B38" s="151"/>
      <c r="C38" s="151"/>
      <c r="D38" s="151"/>
      <c r="E38" s="151"/>
      <c r="F38" s="151"/>
      <c r="G38" s="151"/>
      <c r="H38" s="151"/>
      <c r="I38" s="151"/>
      <c r="J38" s="151"/>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21:D22"/>
    <mergeCell ref="E21:G22"/>
    <mergeCell ref="H21:J22"/>
    <mergeCell ref="B33:F33"/>
    <mergeCell ref="B28:F28"/>
    <mergeCell ref="B29:F29"/>
    <mergeCell ref="B30:F30"/>
    <mergeCell ref="B31:F31"/>
    <mergeCell ref="B32:F32"/>
    <mergeCell ref="C26:F26"/>
    <mergeCell ref="I3:I4"/>
    <mergeCell ref="J3:J4"/>
    <mergeCell ref="H3:H4"/>
    <mergeCell ref="B2:G3"/>
    <mergeCell ref="B5:F5"/>
    <mergeCell ref="B4:G4"/>
    <mergeCell ref="B6:F6"/>
    <mergeCell ref="B7:F7"/>
    <mergeCell ref="B8:F8"/>
    <mergeCell ref="B9:F9"/>
    <mergeCell ref="B10:F10"/>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80" zoomScaleNormal="8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49" t="s">
        <v>301</v>
      </c>
      <c r="D2" s="350"/>
      <c r="E2" s="350"/>
      <c r="F2" s="350"/>
      <c r="G2" s="350"/>
      <c r="H2" s="350"/>
      <c r="I2" s="350"/>
      <c r="J2" s="350"/>
      <c r="K2" s="351"/>
      <c r="L2" s="349" t="s">
        <v>306</v>
      </c>
      <c r="M2" s="350"/>
      <c r="N2" s="350"/>
      <c r="O2" s="351"/>
      <c r="P2" s="28"/>
    </row>
    <row r="3" spans="1:16" ht="24" customHeight="1" thickBot="1" x14ac:dyDescent="0.4">
      <c r="A3" s="25"/>
      <c r="B3" s="29"/>
      <c r="C3" s="352"/>
      <c r="D3" s="353"/>
      <c r="E3" s="353"/>
      <c r="F3" s="353"/>
      <c r="G3" s="353"/>
      <c r="H3" s="353"/>
      <c r="I3" s="353"/>
      <c r="J3" s="353"/>
      <c r="K3" s="354"/>
      <c r="L3" s="352" t="str">
        <f>Transformation!B4</f>
        <v>As of: October 31, 2015</v>
      </c>
      <c r="M3" s="353"/>
      <c r="N3" s="353"/>
      <c r="O3" s="354"/>
      <c r="P3" s="28"/>
    </row>
    <row r="4" spans="1:16" ht="51.75" customHeight="1" thickBot="1" x14ac:dyDescent="0.35">
      <c r="A4" s="30"/>
      <c r="B4" s="248" t="s">
        <v>462</v>
      </c>
      <c r="C4" s="355" t="s">
        <v>310</v>
      </c>
      <c r="D4" s="356"/>
      <c r="E4" s="356"/>
      <c r="F4" s="356"/>
      <c r="G4" s="356"/>
      <c r="H4" s="356"/>
      <c r="I4" s="356"/>
      <c r="J4" s="356"/>
      <c r="K4" s="356"/>
      <c r="L4" s="356"/>
      <c r="M4" s="356"/>
      <c r="N4" s="356"/>
      <c r="O4" s="357"/>
      <c r="P4" s="28"/>
    </row>
    <row r="5" spans="1:16" ht="27" customHeight="1" thickBot="1" x14ac:dyDescent="0.25">
      <c r="A5" s="30"/>
      <c r="B5" s="26"/>
      <c r="C5" s="358" t="s">
        <v>1049</v>
      </c>
      <c r="D5" s="359"/>
      <c r="E5" s="359"/>
      <c r="F5" s="359"/>
      <c r="G5" s="359"/>
      <c r="H5" s="359"/>
      <c r="I5" s="359"/>
      <c r="J5" s="359"/>
      <c r="K5" s="359"/>
      <c r="L5" s="359"/>
      <c r="M5" s="359"/>
      <c r="N5" s="359"/>
      <c r="O5" s="360"/>
      <c r="P5" s="28"/>
    </row>
    <row r="6" spans="1:16" ht="55.5" customHeight="1" x14ac:dyDescent="0.2">
      <c r="A6" s="30"/>
      <c r="B6" s="31"/>
      <c r="C6" s="32" t="s">
        <v>196</v>
      </c>
      <c r="D6" s="361" t="s">
        <v>16</v>
      </c>
      <c r="E6" s="362"/>
      <c r="F6" s="33" t="s">
        <v>199</v>
      </c>
      <c r="G6" s="361" t="s">
        <v>204</v>
      </c>
      <c r="H6" s="363"/>
      <c r="I6" s="33" t="s">
        <v>202</v>
      </c>
      <c r="J6" s="367" t="s">
        <v>14</v>
      </c>
      <c r="K6" s="368"/>
      <c r="L6" s="33" t="s">
        <v>207</v>
      </c>
      <c r="M6" s="364" t="s">
        <v>88</v>
      </c>
      <c r="N6" s="365"/>
      <c r="O6" s="366"/>
      <c r="P6" s="28"/>
    </row>
    <row r="7" spans="1:16" ht="51.75" customHeight="1" x14ac:dyDescent="0.2">
      <c r="A7" s="30"/>
      <c r="B7" s="34"/>
      <c r="C7" s="35" t="s">
        <v>197</v>
      </c>
      <c r="D7" s="379" t="s">
        <v>0</v>
      </c>
      <c r="E7" s="380"/>
      <c r="F7" s="36" t="s">
        <v>200</v>
      </c>
      <c r="G7" s="381" t="s">
        <v>205</v>
      </c>
      <c r="H7" s="381"/>
      <c r="I7" s="36" t="s">
        <v>203</v>
      </c>
      <c r="J7" s="369" t="s">
        <v>19</v>
      </c>
      <c r="K7" s="370"/>
      <c r="L7" s="36" t="s">
        <v>208</v>
      </c>
      <c r="M7" s="373" t="s">
        <v>90</v>
      </c>
      <c r="N7" s="374"/>
      <c r="O7" s="375"/>
      <c r="P7" s="28"/>
    </row>
    <row r="8" spans="1:16" ht="51.75" customHeight="1" thickBot="1" x14ac:dyDescent="0.25">
      <c r="A8" s="25"/>
      <c r="B8" s="28"/>
      <c r="C8" s="37" t="s">
        <v>198</v>
      </c>
      <c r="D8" s="382" t="s">
        <v>18</v>
      </c>
      <c r="E8" s="383"/>
      <c r="F8" s="38" t="s">
        <v>201</v>
      </c>
      <c r="G8" s="384" t="s">
        <v>17</v>
      </c>
      <c r="H8" s="384"/>
      <c r="I8" s="38" t="s">
        <v>206</v>
      </c>
      <c r="J8" s="371" t="s">
        <v>87</v>
      </c>
      <c r="K8" s="372"/>
      <c r="L8" s="38" t="s">
        <v>209</v>
      </c>
      <c r="M8" s="346" t="s">
        <v>89</v>
      </c>
      <c r="N8" s="347"/>
      <c r="O8" s="348"/>
      <c r="P8" s="28"/>
    </row>
    <row r="9" spans="1:16" x14ac:dyDescent="0.2">
      <c r="A9" s="28"/>
      <c r="B9" s="28"/>
      <c r="C9" s="39" t="s">
        <v>711</v>
      </c>
      <c r="D9" s="39" t="s">
        <v>713</v>
      </c>
      <c r="E9" s="39" t="s">
        <v>712</v>
      </c>
      <c r="F9" s="39" t="s">
        <v>715</v>
      </c>
      <c r="G9" s="39" t="s">
        <v>714</v>
      </c>
      <c r="H9" s="39" t="s">
        <v>717</v>
      </c>
      <c r="I9" s="39" t="s">
        <v>716</v>
      </c>
      <c r="J9" s="39" t="s">
        <v>927</v>
      </c>
      <c r="K9" s="39" t="s">
        <v>928</v>
      </c>
      <c r="L9" s="39" t="s">
        <v>930</v>
      </c>
      <c r="M9" s="39" t="s">
        <v>1050</v>
      </c>
      <c r="N9" s="39" t="s">
        <v>931</v>
      </c>
      <c r="O9" s="39" t="s">
        <v>932</v>
      </c>
      <c r="P9" s="28"/>
    </row>
    <row r="10" spans="1:16" ht="15.75" customHeight="1" x14ac:dyDescent="0.2">
      <c r="A10" s="25"/>
      <c r="B10" s="26"/>
      <c r="C10" s="385" t="s">
        <v>299</v>
      </c>
      <c r="D10" s="385"/>
      <c r="E10" s="385"/>
      <c r="F10" s="385"/>
      <c r="G10" s="385"/>
      <c r="H10" s="385"/>
      <c r="I10" s="385"/>
      <c r="J10" s="385"/>
      <c r="K10" s="385"/>
      <c r="L10" s="385"/>
      <c r="M10" s="385"/>
      <c r="N10" s="385"/>
      <c r="O10" s="385"/>
      <c r="P10" s="28"/>
    </row>
    <row r="11" spans="1:16" ht="32.25" customHeight="1" x14ac:dyDescent="0.2">
      <c r="A11" s="25"/>
      <c r="B11" s="26"/>
      <c r="C11" s="340" t="s">
        <v>232</v>
      </c>
      <c r="D11" s="340" t="s">
        <v>140</v>
      </c>
      <c r="E11" s="340" t="s">
        <v>233</v>
      </c>
      <c r="F11" s="340" t="s">
        <v>195</v>
      </c>
      <c r="G11" s="340" t="s">
        <v>210</v>
      </c>
      <c r="H11" s="340" t="s">
        <v>212</v>
      </c>
      <c r="I11" s="340" t="s">
        <v>213</v>
      </c>
      <c r="J11" s="344" t="s">
        <v>1061</v>
      </c>
      <c r="K11" s="344" t="s">
        <v>1062</v>
      </c>
      <c r="L11" s="342" t="s">
        <v>1059</v>
      </c>
      <c r="M11" s="343"/>
      <c r="N11" s="342" t="s">
        <v>1060</v>
      </c>
      <c r="O11" s="343"/>
      <c r="P11" s="28"/>
    </row>
    <row r="12" spans="1:16" ht="32.25" customHeight="1" x14ac:dyDescent="0.2">
      <c r="A12" s="25"/>
      <c r="B12" s="26"/>
      <c r="C12" s="341"/>
      <c r="D12" s="341"/>
      <c r="E12" s="341"/>
      <c r="F12" s="341"/>
      <c r="G12" s="341"/>
      <c r="H12" s="341"/>
      <c r="I12" s="341"/>
      <c r="J12" s="345"/>
      <c r="K12" s="345"/>
      <c r="L12" s="40" t="s">
        <v>933</v>
      </c>
      <c r="M12" s="40" t="s">
        <v>938</v>
      </c>
      <c r="N12" s="40" t="s">
        <v>933</v>
      </c>
      <c r="O12" s="40" t="s">
        <v>938</v>
      </c>
      <c r="P12" s="28"/>
    </row>
    <row r="13" spans="1:16" x14ac:dyDescent="0.2">
      <c r="A13" s="25"/>
      <c r="B13" s="41" t="s">
        <v>1057</v>
      </c>
      <c r="C13" s="155">
        <f>IF($B13=" ","",IFERROR(INDEX(MMWR_RATING_RO_ROLLUP[],MATCH($B13,MMWR_RATING_RO_ROLLUP[MMWR_RATING_RO_ROLLUP],0),MATCH(C$9,MMWR_RATING_RO_ROLLUP[#Headers],0)),"ERROR"))</f>
        <v>368140</v>
      </c>
      <c r="D13" s="156">
        <f>IF($B13=" ","",IFERROR(INDEX(MMWR_RATING_RO_ROLLUP[],MATCH($B13,MMWR_RATING_RO_ROLLUP[MMWR_RATING_RO_ROLLUP],0),MATCH(D$9,MMWR_RATING_RO_ROLLUP[#Headers],0)),"ERROR"))</f>
        <v>92.059776172100001</v>
      </c>
      <c r="E13" s="157">
        <f>IF($B13=" ","",IFERROR(INDEX(MMWR_RATING_RO_ROLLUP[],MATCH($B13,MMWR_RATING_RO_ROLLUP[MMWR_RATING_RO_ROLLUP],0),MATCH(E$9,MMWR_RATING_RO_ROLLUP[#Headers],0))/$C13,"ERROR"))</f>
        <v>0.20115988482642472</v>
      </c>
      <c r="F13" s="155">
        <f>IF($B13=" ","",IFERROR(INDEX(MMWR_RATING_RO_ROLLUP[],MATCH($B13,MMWR_RATING_RO_ROLLUP[MMWR_RATING_RO_ROLLUP],0),MATCH(F$9,MMWR_RATING_RO_ROLLUP[#Headers],0)),"ERROR"))</f>
        <v>100865</v>
      </c>
      <c r="G13" s="155">
        <f>IF($B13=" ","",IFERROR(INDEX(MMWR_RATING_RO_ROLLUP[],MATCH($B13,MMWR_RATING_RO_ROLLUP[MMWR_RATING_RO_ROLLUP],0),MATCH(G$9,MMWR_RATING_RO_ROLLUP[#Headers],0)),"ERROR"))</f>
        <v>100865</v>
      </c>
      <c r="H13" s="156">
        <f>IF($B13=" ","",IFERROR(INDEX(MMWR_RATING_RO_ROLLUP[],MATCH($B13,MMWR_RATING_RO_ROLLUP[MMWR_RATING_RO_ROLLUP],0),MATCH(H$9,MMWR_RATING_RO_ROLLUP[#Headers],0)),"ERROR"))</f>
        <v>129.38029048729999</v>
      </c>
      <c r="I13" s="156">
        <f>IF($B13=" ","",IFERROR(INDEX(MMWR_RATING_RO_ROLLUP[],MATCH($B13,MMWR_RATING_RO_ROLLUP[MMWR_RATING_RO_ROLLUP],0),MATCH(I$9,MMWR_RATING_RO_ROLLUP[#Headers],0)),"ERROR"))</f>
        <v>129.38029048729999</v>
      </c>
      <c r="J13" s="42"/>
      <c r="K13" s="42"/>
      <c r="L13" s="42"/>
      <c r="M13" s="42"/>
      <c r="N13" s="42"/>
      <c r="O13" s="42"/>
      <c r="P13" s="28"/>
    </row>
    <row r="14" spans="1:16" x14ac:dyDescent="0.2">
      <c r="A14" s="25"/>
      <c r="B14" s="377" t="s">
        <v>739</v>
      </c>
      <c r="C14" s="378"/>
      <c r="D14" s="378"/>
      <c r="E14" s="378"/>
      <c r="F14" s="378"/>
      <c r="G14" s="378"/>
      <c r="H14" s="378"/>
      <c r="I14" s="378"/>
      <c r="J14" s="378"/>
      <c r="K14" s="378"/>
      <c r="L14" s="378"/>
      <c r="M14" s="378"/>
      <c r="N14" s="378"/>
      <c r="O14" s="378"/>
      <c r="P14" s="28"/>
    </row>
    <row r="15" spans="1:16" x14ac:dyDescent="0.2">
      <c r="A15" s="25"/>
      <c r="B15" s="41" t="s">
        <v>735</v>
      </c>
      <c r="C15" s="155">
        <f>IF($B15=" ","",IFERROR(INDEX(MMWR_RATING_RO_ROLLUP[],MATCH($B15,MMWR_RATING_RO_ROLLUP[MMWR_RATING_RO_ROLLUP],0),MATCH(C$9,MMWR_RATING_RO_ROLLUP[#Headers],0)),"ERROR"))</f>
        <v>324485</v>
      </c>
      <c r="D15" s="156">
        <f>IF($B15=" ","",IFERROR(INDEX(MMWR_RATING_RO_ROLLUP[],MATCH($B15,MMWR_RATING_RO_ROLLUP[MMWR_RATING_RO_ROLLUP],0),MATCH(D$9,MMWR_RATING_RO_ROLLUP[#Headers],0)),"ERROR"))</f>
        <v>95.181805014099993</v>
      </c>
      <c r="E15" s="157">
        <f>IF($B15=" ","",IFERROR(INDEX(MMWR_RATING_RO_ROLLUP[],MATCH($B15,MMWR_RATING_RO_ROLLUP[MMWR_RATING_RO_ROLLUP],0),MATCH(E$9,MMWR_RATING_RO_ROLLUP[#Headers],0))/$C15,"ERROR"))</f>
        <v>0.2151717336702775</v>
      </c>
      <c r="F15" s="155">
        <f>IF($B15=" ","",IFERROR(INDEX(MMWR_RATING_RO_ROLLUP[],MATCH($B15,MMWR_RATING_RO_ROLLUP[MMWR_RATING_RO_ROLLUP],0),MATCH(F$9,MMWR_RATING_RO_ROLLUP[#Headers],0)),"ERROR"))</f>
        <v>86025</v>
      </c>
      <c r="G15" s="155">
        <f>IF($B15=" ","",IFERROR(INDEX(MMWR_RATING_RO_ROLLUP[],MATCH($B15,MMWR_RATING_RO_ROLLUP[MMWR_RATING_RO_ROLLUP],0),MATCH(G$9,MMWR_RATING_RO_ROLLUP[#Headers],0)),"ERROR"))</f>
        <v>86025</v>
      </c>
      <c r="H15" s="156">
        <f>IF($B15=" ","",IFERROR(INDEX(MMWR_RATING_RO_ROLLUP[],MATCH($B15,MMWR_RATING_RO_ROLLUP[MMWR_RATING_RO_ROLLUP],0),MATCH(H$9,MMWR_RATING_RO_ROLLUP[#Headers],0)),"ERROR"))</f>
        <v>137.7918628306</v>
      </c>
      <c r="I15" s="156">
        <f>IF($B15=" ","",IFERROR(INDEX(MMWR_RATING_RO_ROLLUP[],MATCH($B15,MMWR_RATING_RO_ROLLUP[MMWR_RATING_RO_ROLLUP],0),MATCH(I$9,MMWR_RATING_RO_ROLLUP[#Headers],0)),"ERROR"))</f>
        <v>137.7918628306</v>
      </c>
      <c r="J15" s="158">
        <f>VLOOKUP($B$13,MMWR_ACCURACY_RO[],MATCH(J$9,MMWR_ACCURACY_RO[#Headers],0),0)</f>
        <v>0.96197517057151161</v>
      </c>
      <c r="K15" s="158">
        <f>VLOOKUP($B$13,MMWR_ACCURACY_RO[],MATCH(K$9,MMWR_ACCURACY_RO[#Headers],0),0)</f>
        <v>0.89083669187831571</v>
      </c>
      <c r="L15" s="158">
        <f>VLOOKUP($B$13,MMWR_ACCURACY_RO[],MATCH(L$9,MMWR_ACCURACY_RO[#Headers],0),0)</f>
        <v>0.90443172791620985</v>
      </c>
      <c r="M15" s="158">
        <f>VLOOKUP($B$13,MMWR_ACCURACY_RO[],MATCH(M$9,MMWR_ACCURACY_RO[#Headers],0),0)</f>
        <v>7.428510364121124E-3</v>
      </c>
      <c r="N15" s="158">
        <f>VLOOKUP($B$13,MMWR_ACCURACY_RO[],MATCH(N$9,MMWR_ACCURACY_RO[#Headers],0),0)</f>
        <v>0.91007123385233935</v>
      </c>
      <c r="O15" s="158">
        <f>VLOOKUP($B$13,MMWR_ACCURACY_RO[],MATCH(O$9,MMWR_ACCURACY_RO[#Headers],0),0)</f>
        <v>8.7197515642858294E-3</v>
      </c>
      <c r="P15" s="28"/>
    </row>
    <row r="16" spans="1:16" x14ac:dyDescent="0.2">
      <c r="A16" s="25"/>
      <c r="B16" s="249" t="s">
        <v>376</v>
      </c>
      <c r="C16" s="155">
        <f>IF($B16=" ","",IFERROR(INDEX(MMWR_RATING_RO_ROLLUP[],MATCH($B16,MMWR_RATING_RO_ROLLUP[MMWR_RATING_RO_ROLLUP],0),MATCH(C$9,MMWR_RATING_RO_ROLLUP[#Headers],0)),"ERROR"))</f>
        <v>70831</v>
      </c>
      <c r="D16" s="156">
        <f>IF($B16=" ","",IFERROR(INDEX(MMWR_RATING_RO_ROLLUP[],MATCH($B16,MMWR_RATING_RO_ROLLUP[MMWR_RATING_RO_ROLLUP],0),MATCH(D$9,MMWR_RATING_RO_ROLLUP[#Headers],0)),"ERROR"))</f>
        <v>94.496534003500003</v>
      </c>
      <c r="E16" s="157">
        <f>IF($B16=" ","",IFERROR(INDEX(MMWR_RATING_RO_ROLLUP[],MATCH($B16,MMWR_RATING_RO_ROLLUP[MMWR_RATING_RO_ROLLUP],0),MATCH(E$9,MMWR_RATING_RO_ROLLUP[#Headers],0))/$C16,"ERROR"))</f>
        <v>0.21695302904095665</v>
      </c>
      <c r="F16" s="155">
        <f>IF($B16=" ","",IFERROR(INDEX(MMWR_RATING_RO_ROLLUP[],MATCH($B16,MMWR_RATING_RO_ROLLUP[MMWR_RATING_RO_ROLLUP],0),MATCH(F$9,MMWR_RATING_RO_ROLLUP[#Headers],0)),"ERROR"))</f>
        <v>18947</v>
      </c>
      <c r="G16" s="155">
        <f>IF($B16=" ","",IFERROR(INDEX(MMWR_RATING_RO_ROLLUP[],MATCH($B16,MMWR_RATING_RO_ROLLUP[MMWR_RATING_RO_ROLLUP],0),MATCH(G$9,MMWR_RATING_RO_ROLLUP[#Headers],0)),"ERROR"))</f>
        <v>18947</v>
      </c>
      <c r="H16" s="156">
        <f>IF($B16=" ","",IFERROR(INDEX(MMWR_RATING_RO_ROLLUP[],MATCH($B16,MMWR_RATING_RO_ROLLUP[MMWR_RATING_RO_ROLLUP],0),MATCH(H$9,MMWR_RATING_RO_ROLLUP[#Headers],0)),"ERROR"))</f>
        <v>136.4772787249</v>
      </c>
      <c r="I16" s="156">
        <f>IF($B16=" ","",IFERROR(INDEX(MMWR_RATING_RO_ROLLUP[],MATCH($B16,MMWR_RATING_RO_ROLLUP[MMWR_RATING_RO_ROLLUP],0),MATCH(I$9,MMWR_RATING_RO_ROLLUP[#Headers],0)),"ERROR"))</f>
        <v>136.4772787249</v>
      </c>
      <c r="J16" s="159">
        <f>IF($B16=" ","",IFERROR(VLOOKUP($B16,MMWR_ACCURACY_RO[],MATCH(J$9,MMWR_ACCURACY_RO[#Headers],0),0),"ERROR"))</f>
        <v>0.95778857039061238</v>
      </c>
      <c r="K16" s="159">
        <f>IF($B16=" ","",IFERROR(VLOOKUP($B16,MMWR_ACCURACY_RO[],MATCH(K$9,MMWR_ACCURACY_RO[#Headers],0),0),"ERROR"))</f>
        <v>0.87836340800168822</v>
      </c>
      <c r="L16" s="159">
        <f>IF($B16=" ","",IFERROR(VLOOKUP($B16,MMWR_ACCURACY_RO[],MATCH(L$9,MMWR_ACCURACY_RO[#Headers],0),0),"ERROR"))</f>
        <v>0.8775453719867089</v>
      </c>
      <c r="M16" s="159">
        <f>IF($B16=" ","",IFERROR(VLOOKUP($B16,MMWR_ACCURACY_RO[],MATCH(M$9,MMWR_ACCURACY_RO[#Headers],0),0),"ERROR"))</f>
        <v>1.6307426192625697E-2</v>
      </c>
      <c r="N16" s="159">
        <f>IF($B16=" ","",IFERROR(VLOOKUP($B16,MMWR_ACCURACY_RO[],MATCH(N$9,MMWR_ACCURACY_RO[#Headers],0),0),"ERROR"))</f>
        <v>0.89986077826019018</v>
      </c>
      <c r="O16" s="159">
        <f>IF($B16=" ","",IFERROR(VLOOKUP($B16,MMWR_ACCURACY_RO[],MATCH(O$9,MMWR_ACCURACY_RO[#Headers],0),0),"ERROR"))</f>
        <v>1.4925297438005317E-2</v>
      </c>
      <c r="P16" s="28"/>
    </row>
    <row r="17" spans="1:16" x14ac:dyDescent="0.2">
      <c r="A17" s="25"/>
      <c r="B17" s="8" t="str">
        <f>VLOOKUP($B$16,DISTRICT_RO[],2,0)</f>
        <v>Baltimore VSC</v>
      </c>
      <c r="C17" s="155">
        <f>IF($B17=" ","",IFERROR(INDEX(MMWR_RATING_RO_ROLLUP[],MATCH($B17,MMWR_RATING_RO_ROLLUP[MMWR_RATING_RO_ROLLUP],0),MATCH(C$9,MMWR_RATING_RO_ROLLUP[#Headers],0)),"ERROR"))</f>
        <v>3263</v>
      </c>
      <c r="D17" s="156">
        <f>IF($B17=" ","",IFERROR(INDEX(MMWR_RATING_RO_ROLLUP[],MATCH($B17,MMWR_RATING_RO_ROLLUP[MMWR_RATING_RO_ROLLUP],0),MATCH(D$9,MMWR_RATING_RO_ROLLUP[#Headers],0)),"ERROR"))</f>
        <v>72.435488813999996</v>
      </c>
      <c r="E17" s="157">
        <f>IF($B17=" ","",IFERROR(INDEX(MMWR_RATING_RO_ROLLUP[],MATCH($B17,MMWR_RATING_RO_ROLLUP[MMWR_RATING_RO_ROLLUP],0),MATCH(E$9,MMWR_RATING_RO_ROLLUP[#Headers],0))/$C17,"ERROR"))</f>
        <v>0.16273368066196753</v>
      </c>
      <c r="F17" s="155">
        <f>IF($B17=" ","",IFERROR(INDEX(MMWR_RATING_RO_ROLLUP[],MATCH($B17,MMWR_RATING_RO_ROLLUP[MMWR_RATING_RO_ROLLUP],0),MATCH(F$9,MMWR_RATING_RO_ROLLUP[#Headers],0)),"ERROR"))</f>
        <v>814</v>
      </c>
      <c r="G17" s="155">
        <f>IF($B17=" ","",IFERROR(INDEX(MMWR_RATING_RO_ROLLUP[],MATCH($B17,MMWR_RATING_RO_ROLLUP[MMWR_RATING_RO_ROLLUP],0),MATCH(G$9,MMWR_RATING_RO_ROLLUP[#Headers],0)),"ERROR"))</f>
        <v>814</v>
      </c>
      <c r="H17" s="156">
        <f>IF($B17=" ","",IFERROR(INDEX(MMWR_RATING_RO_ROLLUP[],MATCH($B17,MMWR_RATING_RO_ROLLUP[MMWR_RATING_RO_ROLLUP],0),MATCH(H$9,MMWR_RATING_RO_ROLLUP[#Headers],0)),"ERROR"))</f>
        <v>129.35626535630001</v>
      </c>
      <c r="I17" s="156">
        <f>IF($B17=" ","",IFERROR(INDEX(MMWR_RATING_RO_ROLLUP[],MATCH($B17,MMWR_RATING_RO_ROLLUP[MMWR_RATING_RO_ROLLUP],0),MATCH(I$9,MMWR_RATING_RO_ROLLUP[#Headers],0)),"ERROR"))</f>
        <v>129.35626535630001</v>
      </c>
      <c r="J17" s="159">
        <f>IF($B17=" ","",IFERROR(VLOOKUP($B17,MMWR_ACCURACY_RO[],MATCH(J$9,MMWR_ACCURACY_RO[#Headers],0),0),"ERROR"))</f>
        <v>0.95129643599938585</v>
      </c>
      <c r="K17" s="159">
        <f>IF($B17=" ","",IFERROR(VLOOKUP($B17,MMWR_ACCURACY_RO[],MATCH(K$9,MMWR_ACCURACY_RO[#Headers],0),0),"ERROR"))</f>
        <v>0.8283526549305853</v>
      </c>
      <c r="L17" s="159">
        <f>IF($B17=" ","",IFERROR(VLOOKUP($B17,MMWR_ACCURACY_RO[],MATCH(L$9,MMWR_ACCURACY_RO[#Headers],0),0),"ERROR"))</f>
        <v>0.84502927317503596</v>
      </c>
      <c r="M17" s="159">
        <f>IF($B17=" ","",IFERROR(VLOOKUP($B17,MMWR_ACCURACY_RO[],MATCH(M$9,MMWR_ACCURACY_RO[#Headers],0),0),"ERROR"))</f>
        <v>4.6513856373376752E-2</v>
      </c>
      <c r="N17" s="159">
        <f>IF($B17=" ","",IFERROR(VLOOKUP($B17,MMWR_ACCURACY_RO[],MATCH(N$9,MMWR_ACCURACY_RO[#Headers],0),0),"ERROR"))</f>
        <v>0.86853960915422723</v>
      </c>
      <c r="O17" s="159">
        <f>IF($B17=" ","",IFERROR(VLOOKUP($B17,MMWR_ACCURACY_RO[],MATCH(O$9,MMWR_ACCURACY_RO[#Headers],0),0),"ERROR"))</f>
        <v>4.8847158340241704E-2</v>
      </c>
      <c r="P17" s="28"/>
    </row>
    <row r="18" spans="1:16" x14ac:dyDescent="0.2">
      <c r="A18" s="25"/>
      <c r="B18" s="8" t="str">
        <f>VLOOKUP($B$16,DISTRICT_RO[],3,0)</f>
        <v>Boston VSC</v>
      </c>
      <c r="C18" s="155">
        <f>IF($B18=" ","",IFERROR(INDEX(MMWR_RATING_RO_ROLLUP[],MATCH($B18,MMWR_RATING_RO_ROLLUP[MMWR_RATING_RO_ROLLUP],0),MATCH(C$9,MMWR_RATING_RO_ROLLUP[#Headers],0)),"ERROR"))</f>
        <v>3279</v>
      </c>
      <c r="D18" s="156">
        <f>IF($B18=" ","",IFERROR(INDEX(MMWR_RATING_RO_ROLLUP[],MATCH($B18,MMWR_RATING_RO_ROLLUP[MMWR_RATING_RO_ROLLUP],0),MATCH(D$9,MMWR_RATING_RO_ROLLUP[#Headers],0)),"ERROR"))</f>
        <v>86.888380603800002</v>
      </c>
      <c r="E18" s="157">
        <f>IF($B18=" ","",IFERROR(INDEX(MMWR_RATING_RO_ROLLUP[],MATCH($B18,MMWR_RATING_RO_ROLLUP[MMWR_RATING_RO_ROLLUP],0),MATCH(E$9,MMWR_RATING_RO_ROLLUP[#Headers],0))/$C18,"ERROR"))</f>
        <v>0.20524550167734065</v>
      </c>
      <c r="F18" s="155">
        <f>IF($B18=" ","",IFERROR(INDEX(MMWR_RATING_RO_ROLLUP[],MATCH($B18,MMWR_RATING_RO_ROLLUP[MMWR_RATING_RO_ROLLUP],0),MATCH(F$9,MMWR_RATING_RO_ROLLUP[#Headers],0)),"ERROR"))</f>
        <v>895</v>
      </c>
      <c r="G18" s="155">
        <f>IF($B18=" ","",IFERROR(INDEX(MMWR_RATING_RO_ROLLUP[],MATCH($B18,MMWR_RATING_RO_ROLLUP[MMWR_RATING_RO_ROLLUP],0),MATCH(G$9,MMWR_RATING_RO_ROLLUP[#Headers],0)),"ERROR"))</f>
        <v>895</v>
      </c>
      <c r="H18" s="156">
        <f>IF($B18=" ","",IFERROR(INDEX(MMWR_RATING_RO_ROLLUP[],MATCH($B18,MMWR_RATING_RO_ROLLUP[MMWR_RATING_RO_ROLLUP],0),MATCH(H$9,MMWR_RATING_RO_ROLLUP[#Headers],0)),"ERROR"))</f>
        <v>113.17094972069999</v>
      </c>
      <c r="I18" s="156">
        <f>IF($B18=" ","",IFERROR(INDEX(MMWR_RATING_RO_ROLLUP[],MATCH($B18,MMWR_RATING_RO_ROLLUP[MMWR_RATING_RO_ROLLUP],0),MATCH(I$9,MMWR_RATING_RO_ROLLUP[#Headers],0)),"ERROR"))</f>
        <v>113.17094972069999</v>
      </c>
      <c r="J18" s="159">
        <f>IF($B18=" ","",IFERROR(VLOOKUP($B18,MMWR_ACCURACY_RO[],MATCH(J$9,MMWR_ACCURACY_RO[#Headers],0),0),"ERROR"))</f>
        <v>0.88119549824849064</v>
      </c>
      <c r="K18" s="159">
        <f>IF($B18=" ","",IFERROR(VLOOKUP($B18,MMWR_ACCURACY_RO[],MATCH(K$9,MMWR_ACCURACY_RO[#Headers],0),0),"ERROR"))</f>
        <v>0.76483451785188605</v>
      </c>
      <c r="L18" s="159">
        <f>IF($B18=" ","",IFERROR(VLOOKUP($B18,MMWR_ACCURACY_RO[],MATCH(L$9,MMWR_ACCURACY_RO[#Headers],0),0),"ERROR"))</f>
        <v>0.8372912299048858</v>
      </c>
      <c r="M18" s="159">
        <f>IF($B18=" ","",IFERROR(VLOOKUP($B18,MMWR_ACCURACY_RO[],MATCH(M$9,MMWR_ACCURACY_RO[#Headers],0),0),"ERROR"))</f>
        <v>5.8340780926119606E-2</v>
      </c>
      <c r="N18" s="159">
        <f>IF($B18=" ","",IFERROR(VLOOKUP($B18,MMWR_ACCURACY_RO[],MATCH(N$9,MMWR_ACCURACY_RO[#Headers],0),0),"ERROR"))</f>
        <v>0.90632496806665086</v>
      </c>
      <c r="O18" s="159">
        <f>IF($B18=" ","",IFERROR(VLOOKUP($B18,MMWR_ACCURACY_RO[],MATCH(O$9,MMWR_ACCURACY_RO[#Headers],0),0),"ERROR"))</f>
        <v>5.7508076754825624E-2</v>
      </c>
      <c r="P18" s="28"/>
    </row>
    <row r="19" spans="1:16" x14ac:dyDescent="0.2">
      <c r="A19" s="25"/>
      <c r="B19" s="8" t="str">
        <f>VLOOKUP($B$16,DISTRICT_RO[],4,0)</f>
        <v>Buffalo VSC</v>
      </c>
      <c r="C19" s="155">
        <f>IF($B19=" ","",IFERROR(INDEX(MMWR_RATING_RO_ROLLUP[],MATCH($B19,MMWR_RATING_RO_ROLLUP[MMWR_RATING_RO_ROLLUP],0),MATCH(C$9,MMWR_RATING_RO_ROLLUP[#Headers],0)),"ERROR"))</f>
        <v>3448</v>
      </c>
      <c r="D19" s="156">
        <f>IF($B19=" ","",IFERROR(INDEX(MMWR_RATING_RO_ROLLUP[],MATCH($B19,MMWR_RATING_RO_ROLLUP[MMWR_RATING_RO_ROLLUP],0),MATCH(D$9,MMWR_RATING_RO_ROLLUP[#Headers],0)),"ERROR"))</f>
        <v>81.450696055700007</v>
      </c>
      <c r="E19" s="157">
        <f>IF($B19=" ","",IFERROR(INDEX(MMWR_RATING_RO_ROLLUP[],MATCH($B19,MMWR_RATING_RO_ROLLUP[MMWR_RATING_RO_ROLLUP],0),MATCH(E$9,MMWR_RATING_RO_ROLLUP[#Headers],0))/$C19,"ERROR"))</f>
        <v>0.16473317865429235</v>
      </c>
      <c r="F19" s="155">
        <f>IF($B19=" ","",IFERROR(INDEX(MMWR_RATING_RO_ROLLUP[],MATCH($B19,MMWR_RATING_RO_ROLLUP[MMWR_RATING_RO_ROLLUP],0),MATCH(F$9,MMWR_RATING_RO_ROLLUP[#Headers],0)),"ERROR"))</f>
        <v>902</v>
      </c>
      <c r="G19" s="155">
        <f>IF($B19=" ","",IFERROR(INDEX(MMWR_RATING_RO_ROLLUP[],MATCH($B19,MMWR_RATING_RO_ROLLUP[MMWR_RATING_RO_ROLLUP],0),MATCH(G$9,MMWR_RATING_RO_ROLLUP[#Headers],0)),"ERROR"))</f>
        <v>902</v>
      </c>
      <c r="H19" s="156">
        <f>IF($B19=" ","",IFERROR(INDEX(MMWR_RATING_RO_ROLLUP[],MATCH($B19,MMWR_RATING_RO_ROLLUP[MMWR_RATING_RO_ROLLUP],0),MATCH(H$9,MMWR_RATING_RO_ROLLUP[#Headers],0)),"ERROR"))</f>
        <v>152.08647450110001</v>
      </c>
      <c r="I19" s="156">
        <f>IF($B19=" ","",IFERROR(INDEX(MMWR_RATING_RO_ROLLUP[],MATCH($B19,MMWR_RATING_RO_ROLLUP[MMWR_RATING_RO_ROLLUP],0),MATCH(I$9,MMWR_RATING_RO_ROLLUP[#Headers],0)),"ERROR"))</f>
        <v>152.08647450110001</v>
      </c>
      <c r="J19" s="159">
        <f>IF($B19=" ","",IFERROR(VLOOKUP($B19,MMWR_ACCURACY_RO[],MATCH(J$9,MMWR_ACCURACY_RO[#Headers],0),0),"ERROR"))</f>
        <v>0.96937473063024249</v>
      </c>
      <c r="K19" s="159">
        <f>IF($B19=" ","",IFERROR(VLOOKUP($B19,MMWR_ACCURACY_RO[],MATCH(K$9,MMWR_ACCURACY_RO[#Headers],0),0),"ERROR"))</f>
        <v>0.90978136798665388</v>
      </c>
      <c r="L19" s="159">
        <f>IF($B19=" ","",IFERROR(VLOOKUP($B19,MMWR_ACCURACY_RO[],MATCH(L$9,MMWR_ACCURACY_RO[#Headers],0),0),"ERROR"))</f>
        <v>0.88751142508285352</v>
      </c>
      <c r="M19" s="159">
        <f>IF($B19=" ","",IFERROR(VLOOKUP($B19,MMWR_ACCURACY_RO[],MATCH(M$9,MMWR_ACCURACY_RO[#Headers],0),0),"ERROR"))</f>
        <v>4.8995721940674031E-2</v>
      </c>
      <c r="N19" s="159">
        <f>IF($B19=" ","",IFERROR(VLOOKUP($B19,MMWR_ACCURACY_RO[],MATCH(N$9,MMWR_ACCURACY_RO[#Headers],0),0),"ERROR"))</f>
        <v>0.86573608077914377</v>
      </c>
      <c r="O19" s="159">
        <f>IF($B19=" ","",IFERROR(VLOOKUP($B19,MMWR_ACCURACY_RO[],MATCH(O$9,MMWR_ACCURACY_RO[#Headers],0),0),"ERROR"))</f>
        <v>4.9172621505335384E-2</v>
      </c>
      <c r="P19" s="28"/>
    </row>
    <row r="20" spans="1:16" x14ac:dyDescent="0.2">
      <c r="A20" s="25"/>
      <c r="B20" s="8" t="str">
        <f>VLOOKUP($B$16,DISTRICT_RO[],5,0)</f>
        <v>Hartford VSC</v>
      </c>
      <c r="C20" s="155">
        <f>IF($B20=" ","",IFERROR(INDEX(MMWR_RATING_RO_ROLLUP[],MATCH($B20,MMWR_RATING_RO_ROLLUP[MMWR_RATING_RO_ROLLUP],0),MATCH(C$9,MMWR_RATING_RO_ROLLUP[#Headers],0)),"ERROR"))</f>
        <v>2247</v>
      </c>
      <c r="D20" s="156">
        <f>IF($B20=" ","",IFERROR(INDEX(MMWR_RATING_RO_ROLLUP[],MATCH($B20,MMWR_RATING_RO_ROLLUP[MMWR_RATING_RO_ROLLUP],0),MATCH(D$9,MMWR_RATING_RO_ROLLUP[#Headers],0)),"ERROR"))</f>
        <v>95.616377392100006</v>
      </c>
      <c r="E20" s="157">
        <f>IF($B20=" ","",IFERROR(INDEX(MMWR_RATING_RO_ROLLUP[],MATCH($B20,MMWR_RATING_RO_ROLLUP[MMWR_RATING_RO_ROLLUP],0),MATCH(E$9,MMWR_RATING_RO_ROLLUP[#Headers],0))/$C20,"ERROR"))</f>
        <v>0.19225634178905207</v>
      </c>
      <c r="F20" s="155">
        <f>IF($B20=" ","",IFERROR(INDEX(MMWR_RATING_RO_ROLLUP[],MATCH($B20,MMWR_RATING_RO_ROLLUP[MMWR_RATING_RO_ROLLUP],0),MATCH(F$9,MMWR_RATING_RO_ROLLUP[#Headers],0)),"ERROR"))</f>
        <v>781</v>
      </c>
      <c r="G20" s="155">
        <f>IF($B20=" ","",IFERROR(INDEX(MMWR_RATING_RO_ROLLUP[],MATCH($B20,MMWR_RATING_RO_ROLLUP[MMWR_RATING_RO_ROLLUP],0),MATCH(G$9,MMWR_RATING_RO_ROLLUP[#Headers],0)),"ERROR"))</f>
        <v>781</v>
      </c>
      <c r="H20" s="156">
        <f>IF($B20=" ","",IFERROR(INDEX(MMWR_RATING_RO_ROLLUP[],MATCH($B20,MMWR_RATING_RO_ROLLUP[MMWR_RATING_RO_ROLLUP],0),MATCH(H$9,MMWR_RATING_RO_ROLLUP[#Headers],0)),"ERROR"))</f>
        <v>130.23559539050001</v>
      </c>
      <c r="I20" s="156">
        <f>IF($B20=" ","",IFERROR(INDEX(MMWR_RATING_RO_ROLLUP[],MATCH($B20,MMWR_RATING_RO_ROLLUP[MMWR_RATING_RO_ROLLUP],0),MATCH(I$9,MMWR_RATING_RO_ROLLUP[#Headers],0)),"ERROR"))</f>
        <v>130.23559539050001</v>
      </c>
      <c r="J20" s="159">
        <f>IF($B20=" ","",IFERROR(VLOOKUP($B20,MMWR_ACCURACY_RO[],MATCH(J$9,MMWR_ACCURACY_RO[#Headers],0),0),"ERROR"))</f>
        <v>0.9548573103987491</v>
      </c>
      <c r="K20" s="159">
        <f>IF($B20=" ","",IFERROR(VLOOKUP($B20,MMWR_ACCURACY_RO[],MATCH(K$9,MMWR_ACCURACY_RO[#Headers],0),0),"ERROR"))</f>
        <v>0.81594896331738442</v>
      </c>
      <c r="L20" s="159">
        <f>IF($B20=" ","",IFERROR(VLOOKUP($B20,MMWR_ACCURACY_RO[],MATCH(L$9,MMWR_ACCURACY_RO[#Headers],0),0),"ERROR"))</f>
        <v>0.90311218120916648</v>
      </c>
      <c r="M20" s="159">
        <f>IF($B20=" ","",IFERROR(VLOOKUP($B20,MMWR_ACCURACY_RO[],MATCH(M$9,MMWR_ACCURACY_RO[#Headers],0),0),"ERROR"))</f>
        <v>4.7503614568745078E-2</v>
      </c>
      <c r="N20" s="159">
        <f>IF($B20=" ","",IFERROR(VLOOKUP($B20,MMWR_ACCURACY_RO[],MATCH(N$9,MMWR_ACCURACY_RO[#Headers],0),0),"ERROR"))</f>
        <v>0.98479530297712115</v>
      </c>
      <c r="O20" s="159">
        <f>IF($B20=" ","",IFERROR(VLOOKUP($B20,MMWR_ACCURACY_RO[],MATCH(O$9,MMWR_ACCURACY_RO[#Headers],0),0),"ERROR"))</f>
        <v>1.9002226756790749E-2</v>
      </c>
      <c r="P20" s="28"/>
    </row>
    <row r="21" spans="1:16" x14ac:dyDescent="0.2">
      <c r="A21" s="25"/>
      <c r="B21" s="8" t="str">
        <f>VLOOKUP($B$16,DISTRICT_RO[],6,0)</f>
        <v>Huntington VSC</v>
      </c>
      <c r="C21" s="155">
        <f>IF($B21=" ","",IFERROR(INDEX(MMWR_RATING_RO_ROLLUP[],MATCH($B21,MMWR_RATING_RO_ROLLUP[MMWR_RATING_RO_ROLLUP],0),MATCH(C$9,MMWR_RATING_RO_ROLLUP[#Headers],0)),"ERROR"))</f>
        <v>4412</v>
      </c>
      <c r="D21" s="156">
        <f>IF($B21=" ","",IFERROR(INDEX(MMWR_RATING_RO_ROLLUP[],MATCH($B21,MMWR_RATING_RO_ROLLUP[MMWR_RATING_RO_ROLLUP],0),MATCH(D$9,MMWR_RATING_RO_ROLLUP[#Headers],0)),"ERROR"))</f>
        <v>106.0396645512</v>
      </c>
      <c r="E21" s="157">
        <f>IF($B21=" ","",IFERROR(INDEX(MMWR_RATING_RO_ROLLUP[],MATCH($B21,MMWR_RATING_RO_ROLLUP[MMWR_RATING_RO_ROLLUP],0),MATCH(E$9,MMWR_RATING_RO_ROLLUP[#Headers],0))/$C21,"ERROR"))</f>
        <v>0.20058930190389845</v>
      </c>
      <c r="F21" s="155">
        <f>IF($B21=" ","",IFERROR(INDEX(MMWR_RATING_RO_ROLLUP[],MATCH($B21,MMWR_RATING_RO_ROLLUP[MMWR_RATING_RO_ROLLUP],0),MATCH(F$9,MMWR_RATING_RO_ROLLUP[#Headers],0)),"ERROR"))</f>
        <v>1451</v>
      </c>
      <c r="G21" s="155">
        <f>IF($B21=" ","",IFERROR(INDEX(MMWR_RATING_RO_ROLLUP[],MATCH($B21,MMWR_RATING_RO_ROLLUP[MMWR_RATING_RO_ROLLUP],0),MATCH(G$9,MMWR_RATING_RO_ROLLUP[#Headers],0)),"ERROR"))</f>
        <v>1451</v>
      </c>
      <c r="H21" s="156">
        <f>IF($B21=" ","",IFERROR(INDEX(MMWR_RATING_RO_ROLLUP[],MATCH($B21,MMWR_RATING_RO_ROLLUP[MMWR_RATING_RO_ROLLUP],0),MATCH(H$9,MMWR_RATING_RO_ROLLUP[#Headers],0)),"ERROR"))</f>
        <v>140.90006891799999</v>
      </c>
      <c r="I21" s="156">
        <f>IF($B21=" ","",IFERROR(INDEX(MMWR_RATING_RO_ROLLUP[],MATCH($B21,MMWR_RATING_RO_ROLLUP[MMWR_RATING_RO_ROLLUP],0),MATCH(I$9,MMWR_RATING_RO_ROLLUP[#Headers],0)),"ERROR"))</f>
        <v>140.90006891799999</v>
      </c>
      <c r="J21" s="159">
        <f>IF($B21=" ","",IFERROR(VLOOKUP($B21,MMWR_ACCURACY_RO[],MATCH(J$9,MMWR_ACCURACY_RO[#Headers],0),0),"ERROR"))</f>
        <v>0.97379004779937894</v>
      </c>
      <c r="K21" s="159">
        <f>IF($B21=" ","",IFERROR(VLOOKUP($B21,MMWR_ACCURACY_RO[],MATCH(K$9,MMWR_ACCURACY_RO[#Headers],0),0),"ERROR"))</f>
        <v>0.91297665716322163</v>
      </c>
      <c r="L21" s="159">
        <f>IF($B21=" ","",IFERROR(VLOOKUP($B21,MMWR_ACCURACY_RO[],MATCH(L$9,MMWR_ACCURACY_RO[#Headers],0),0),"ERROR"))</f>
        <v>0.89601158131045056</v>
      </c>
      <c r="M21" s="159">
        <f>IF($B21=" ","",IFERROR(VLOOKUP($B21,MMWR_ACCURACY_RO[],MATCH(M$9,MMWR_ACCURACY_RO[#Headers],0),0),"ERROR"))</f>
        <v>4.4272498373342725E-2</v>
      </c>
      <c r="N21" s="159">
        <f>IF($B21=" ","",IFERROR(VLOOKUP($B21,MMWR_ACCURACY_RO[],MATCH(N$9,MMWR_ACCURACY_RO[#Headers],0),0),"ERROR"))</f>
        <v>0.90085604842621403</v>
      </c>
      <c r="O21" s="159">
        <f>IF($B21=" ","",IFERROR(VLOOKUP($B21,MMWR_ACCURACY_RO[],MATCH(O$9,MMWR_ACCURACY_RO[#Headers],0),0),"ERROR"))</f>
        <v>4.9385725990458554E-2</v>
      </c>
      <c r="P21" s="28"/>
    </row>
    <row r="22" spans="1:16" x14ac:dyDescent="0.2">
      <c r="A22" s="25"/>
      <c r="B22" s="8" t="str">
        <f>VLOOKUP($B$16,DISTRICT_RO[],7,0)</f>
        <v>Manchester VSC</v>
      </c>
      <c r="C22" s="155">
        <f>IF($B22=" ","",IFERROR(INDEX(MMWR_RATING_RO_ROLLUP[],MATCH($B22,MMWR_RATING_RO_ROLLUP[MMWR_RATING_RO_ROLLUP],0),MATCH(C$9,MMWR_RATING_RO_ROLLUP[#Headers],0)),"ERROR"))</f>
        <v>1293</v>
      </c>
      <c r="D22" s="156">
        <f>IF($B22=" ","",IFERROR(INDEX(MMWR_RATING_RO_ROLLUP[],MATCH($B22,MMWR_RATING_RO_ROLLUP[MMWR_RATING_RO_ROLLUP],0),MATCH(D$9,MMWR_RATING_RO_ROLLUP[#Headers],0)),"ERROR"))</f>
        <v>89.482598607900002</v>
      </c>
      <c r="E22" s="157">
        <f>IF($B22=" ","",IFERROR(INDEX(MMWR_RATING_RO_ROLLUP[],MATCH($B22,MMWR_RATING_RO_ROLLUP[MMWR_RATING_RO_ROLLUP],0),MATCH(E$9,MMWR_RATING_RO_ROLLUP[#Headers],0))/$C22,"ERROR"))</f>
        <v>0.1902552204176334</v>
      </c>
      <c r="F22" s="155">
        <f>IF($B22=" ","",IFERROR(INDEX(MMWR_RATING_RO_ROLLUP[],MATCH($B22,MMWR_RATING_RO_ROLLUP[MMWR_RATING_RO_ROLLUP],0),MATCH(F$9,MMWR_RATING_RO_ROLLUP[#Headers],0)),"ERROR"))</f>
        <v>303</v>
      </c>
      <c r="G22" s="155">
        <f>IF($B22=" ","",IFERROR(INDEX(MMWR_RATING_RO_ROLLUP[],MATCH($B22,MMWR_RATING_RO_ROLLUP[MMWR_RATING_RO_ROLLUP],0),MATCH(G$9,MMWR_RATING_RO_ROLLUP[#Headers],0)),"ERROR"))</f>
        <v>303</v>
      </c>
      <c r="H22" s="156">
        <f>IF($B22=" ","",IFERROR(INDEX(MMWR_RATING_RO_ROLLUP[],MATCH($B22,MMWR_RATING_RO_ROLLUP[MMWR_RATING_RO_ROLLUP],0),MATCH(H$9,MMWR_RATING_RO_ROLLUP[#Headers],0)),"ERROR"))</f>
        <v>150.53465346530001</v>
      </c>
      <c r="I22" s="156">
        <f>IF($B22=" ","",IFERROR(INDEX(MMWR_RATING_RO_ROLLUP[],MATCH($B22,MMWR_RATING_RO_ROLLUP[MMWR_RATING_RO_ROLLUP],0),MATCH(I$9,MMWR_RATING_RO_ROLLUP[#Headers],0)),"ERROR"))</f>
        <v>150.53465346530001</v>
      </c>
      <c r="J22" s="159">
        <f>IF($B22=" ","",IFERROR(VLOOKUP($B22,MMWR_ACCURACY_RO[],MATCH(J$9,MMWR_ACCURACY_RO[#Headers],0),0),"ERROR"))</f>
        <v>0.97234211947155058</v>
      </c>
      <c r="K22" s="159">
        <f>IF($B22=" ","",IFERROR(VLOOKUP($B22,MMWR_ACCURACY_RO[],MATCH(K$9,MMWR_ACCURACY_RO[#Headers],0),0),"ERROR"))</f>
        <v>0.95747294748337131</v>
      </c>
      <c r="L22" s="159">
        <f>IF($B22=" ","",IFERROR(VLOOKUP($B22,MMWR_ACCURACY_RO[],MATCH(L$9,MMWR_ACCURACY_RO[#Headers],0),0),"ERROR"))</f>
        <v>0.91646977444530531</v>
      </c>
      <c r="M22" s="159">
        <f>IF($B22=" ","",IFERROR(VLOOKUP($B22,MMWR_ACCURACY_RO[],MATCH(M$9,MMWR_ACCURACY_RO[#Headers],0),0),"ERROR"))</f>
        <v>3.9361522831223822E-2</v>
      </c>
      <c r="N22" s="159">
        <f>IF($B22=" ","",IFERROR(VLOOKUP($B22,MMWR_ACCURACY_RO[],MATCH(N$9,MMWR_ACCURACY_RO[#Headers],0),0),"ERROR"))</f>
        <v>0.92775358511527128</v>
      </c>
      <c r="O22" s="159">
        <f>IF($B22=" ","",IFERROR(VLOOKUP($B22,MMWR_ACCURACY_RO[],MATCH(O$9,MMWR_ACCURACY_RO[#Headers],0),0),"ERROR"))</f>
        <v>4.0266680775589377E-2</v>
      </c>
      <c r="P22" s="28"/>
    </row>
    <row r="23" spans="1:16" x14ac:dyDescent="0.2">
      <c r="A23" s="25"/>
      <c r="B23" s="8" t="str">
        <f>VLOOKUP($B$16,DISTRICT_RO[],8,0)</f>
        <v>New York VSC</v>
      </c>
      <c r="C23" s="155">
        <f>IF($B23=" ","",IFERROR(INDEX(MMWR_RATING_RO_ROLLUP[],MATCH($B23,MMWR_RATING_RO_ROLLUP[MMWR_RATING_RO_ROLLUP],0),MATCH(C$9,MMWR_RATING_RO_ROLLUP[#Headers],0)),"ERROR"))</f>
        <v>4376</v>
      </c>
      <c r="D23" s="156">
        <f>IF($B23=" ","",IFERROR(INDEX(MMWR_RATING_RO_ROLLUP[],MATCH($B23,MMWR_RATING_RO_ROLLUP[MMWR_RATING_RO_ROLLUP],0),MATCH(D$9,MMWR_RATING_RO_ROLLUP[#Headers],0)),"ERROR"))</f>
        <v>82.791819012800005</v>
      </c>
      <c r="E23" s="157">
        <f>IF($B23=" ","",IFERROR(INDEX(MMWR_RATING_RO_ROLLUP[],MATCH($B23,MMWR_RATING_RO_ROLLUP[MMWR_RATING_RO_ROLLUP],0),MATCH(E$9,MMWR_RATING_RO_ROLLUP[#Headers],0))/$C23,"ERROR"))</f>
        <v>0.19606946983546619</v>
      </c>
      <c r="F23" s="155">
        <f>IF($B23=" ","",IFERROR(INDEX(MMWR_RATING_RO_ROLLUP[],MATCH($B23,MMWR_RATING_RO_ROLLUP[MMWR_RATING_RO_ROLLUP],0),MATCH(F$9,MMWR_RATING_RO_ROLLUP[#Headers],0)),"ERROR"))</f>
        <v>1002</v>
      </c>
      <c r="G23" s="155">
        <f>IF($B23=" ","",IFERROR(INDEX(MMWR_RATING_RO_ROLLUP[],MATCH($B23,MMWR_RATING_RO_ROLLUP[MMWR_RATING_RO_ROLLUP],0),MATCH(G$9,MMWR_RATING_RO_ROLLUP[#Headers],0)),"ERROR"))</f>
        <v>1002</v>
      </c>
      <c r="H23" s="156">
        <f>IF($B23=" ","",IFERROR(INDEX(MMWR_RATING_RO_ROLLUP[],MATCH($B23,MMWR_RATING_RO_ROLLUP[MMWR_RATING_RO_ROLLUP],0),MATCH(H$9,MMWR_RATING_RO_ROLLUP[#Headers],0)),"ERROR"))</f>
        <v>127.9321357285</v>
      </c>
      <c r="I23" s="156">
        <f>IF($B23=" ","",IFERROR(INDEX(MMWR_RATING_RO_ROLLUP[],MATCH($B23,MMWR_RATING_RO_ROLLUP[MMWR_RATING_RO_ROLLUP],0),MATCH(I$9,MMWR_RATING_RO_ROLLUP[#Headers],0)),"ERROR"))</f>
        <v>127.9321357285</v>
      </c>
      <c r="J23" s="159">
        <f>IF($B23=" ","",IFERROR(VLOOKUP($B23,MMWR_ACCURACY_RO[],MATCH(J$9,MMWR_ACCURACY_RO[#Headers],0),0),"ERROR"))</f>
        <v>0.92762088921360031</v>
      </c>
      <c r="K23" s="159">
        <f>IF($B23=" ","",IFERROR(VLOOKUP($B23,MMWR_ACCURACY_RO[],MATCH(K$9,MMWR_ACCURACY_RO[#Headers],0),0),"ERROR"))</f>
        <v>0.83374746133859789</v>
      </c>
      <c r="L23" s="159">
        <f>IF($B23=" ","",IFERROR(VLOOKUP($B23,MMWR_ACCURACY_RO[],MATCH(L$9,MMWR_ACCURACY_RO[#Headers],0),0),"ERROR"))</f>
        <v>0.90122804377362342</v>
      </c>
      <c r="M23" s="159">
        <f>IF($B23=" ","",IFERROR(VLOOKUP($B23,MMWR_ACCURACY_RO[],MATCH(M$9,MMWR_ACCURACY_RO[#Headers],0),0),"ERROR"))</f>
        <v>4.6615854786643499E-2</v>
      </c>
      <c r="N23" s="159">
        <f>IF($B23=" ","",IFERROR(VLOOKUP($B23,MMWR_ACCURACY_RO[],MATCH(N$9,MMWR_ACCURACY_RO[#Headers],0),0),"ERROR"))</f>
        <v>0.92420400509008116</v>
      </c>
      <c r="O23" s="159">
        <f>IF($B23=" ","",IFERROR(VLOOKUP($B23,MMWR_ACCURACY_RO[],MATCH(O$9,MMWR_ACCURACY_RO[#Headers],0),0),"ERROR"))</f>
        <v>4.0540646149701584E-2</v>
      </c>
      <c r="P23" s="28"/>
    </row>
    <row r="24" spans="1:16" x14ac:dyDescent="0.2">
      <c r="A24" s="25"/>
      <c r="B24" s="8" t="str">
        <f>VLOOKUP($B$16,DISTRICT_RO[],9,0)</f>
        <v>Newark VSC</v>
      </c>
      <c r="C24" s="155">
        <f>IF($B24=" ","",IFERROR(INDEX(MMWR_RATING_RO_ROLLUP[],MATCH($B24,MMWR_RATING_RO_ROLLUP[MMWR_RATING_RO_ROLLUP],0),MATCH(C$9,MMWR_RATING_RO_ROLLUP[#Headers],0)),"ERROR"))</f>
        <v>2521</v>
      </c>
      <c r="D24" s="156">
        <f>IF($B24=" ","",IFERROR(INDEX(MMWR_RATING_RO_ROLLUP[],MATCH($B24,MMWR_RATING_RO_ROLLUP[MMWR_RATING_RO_ROLLUP],0),MATCH(D$9,MMWR_RATING_RO_ROLLUP[#Headers],0)),"ERROR"))</f>
        <v>81.319714399000006</v>
      </c>
      <c r="E24" s="157">
        <f>IF($B24=" ","",IFERROR(INDEX(MMWR_RATING_RO_ROLLUP[],MATCH($B24,MMWR_RATING_RO_ROLLUP[MMWR_RATING_RO_ROLLUP],0),MATCH(E$9,MMWR_RATING_RO_ROLLUP[#Headers],0))/$C24,"ERROR"))</f>
        <v>0.17770725902419673</v>
      </c>
      <c r="F24" s="155">
        <f>IF($B24=" ","",IFERROR(INDEX(MMWR_RATING_RO_ROLLUP[],MATCH($B24,MMWR_RATING_RO_ROLLUP[MMWR_RATING_RO_ROLLUP],0),MATCH(F$9,MMWR_RATING_RO_ROLLUP[#Headers],0)),"ERROR"))</f>
        <v>653</v>
      </c>
      <c r="G24" s="155">
        <f>IF($B24=" ","",IFERROR(INDEX(MMWR_RATING_RO_ROLLUP[],MATCH($B24,MMWR_RATING_RO_ROLLUP[MMWR_RATING_RO_ROLLUP],0),MATCH(G$9,MMWR_RATING_RO_ROLLUP[#Headers],0)),"ERROR"))</f>
        <v>653</v>
      </c>
      <c r="H24" s="156">
        <f>IF($B24=" ","",IFERROR(INDEX(MMWR_RATING_RO_ROLLUP[],MATCH($B24,MMWR_RATING_RO_ROLLUP[MMWR_RATING_RO_ROLLUP],0),MATCH(H$9,MMWR_RATING_RO_ROLLUP[#Headers],0)),"ERROR"))</f>
        <v>132.5359877489</v>
      </c>
      <c r="I24" s="156">
        <f>IF($B24=" ","",IFERROR(INDEX(MMWR_RATING_RO_ROLLUP[],MATCH($B24,MMWR_RATING_RO_ROLLUP[MMWR_RATING_RO_ROLLUP],0),MATCH(I$9,MMWR_RATING_RO_ROLLUP[#Headers],0)),"ERROR"))</f>
        <v>132.5359877489</v>
      </c>
      <c r="J24" s="159">
        <f>IF($B24=" ","",IFERROR(VLOOKUP($B24,MMWR_ACCURACY_RO[],MATCH(J$9,MMWR_ACCURACY_RO[#Headers],0),0),"ERROR"))</f>
        <v>0.94757185634220265</v>
      </c>
      <c r="K24" s="159">
        <f>IF($B24=" ","",IFERROR(VLOOKUP($B24,MMWR_ACCURACY_RO[],MATCH(K$9,MMWR_ACCURACY_RO[#Headers],0),0),"ERROR"))</f>
        <v>0.87498899889989001</v>
      </c>
      <c r="L24" s="159">
        <f>IF($B24=" ","",IFERROR(VLOOKUP($B24,MMWR_ACCURACY_RO[],MATCH(L$9,MMWR_ACCURACY_RO[#Headers],0),0),"ERROR"))</f>
        <v>0.88175720246046263</v>
      </c>
      <c r="M24" s="159">
        <f>IF($B24=" ","",IFERROR(VLOOKUP($B24,MMWR_ACCURACY_RO[],MATCH(M$9,MMWR_ACCURACY_RO[#Headers],0),0),"ERROR"))</f>
        <v>4.3699791311454843E-2</v>
      </c>
      <c r="N24" s="159">
        <f>IF($B24=" ","",IFERROR(VLOOKUP($B24,MMWR_ACCURACY_RO[],MATCH(N$9,MMWR_ACCURACY_RO[#Headers],0),0),"ERROR"))</f>
        <v>0.89000864779677613</v>
      </c>
      <c r="O24" s="159">
        <f>IF($B24=" ","",IFERROR(VLOOKUP($B24,MMWR_ACCURACY_RO[],MATCH(O$9,MMWR_ACCURACY_RO[#Headers],0),0),"ERROR"))</f>
        <v>4.1832471669698917E-2</v>
      </c>
      <c r="P24" s="28"/>
    </row>
    <row r="25" spans="1:16" x14ac:dyDescent="0.2">
      <c r="A25" s="25"/>
      <c r="B25" s="8" t="str">
        <f>VLOOKUP($B$16,DISTRICT_RO[],10,0)</f>
        <v>Philadelphia VSC</v>
      </c>
      <c r="C25" s="155">
        <f>IF($B25=" ","",IFERROR(INDEX(MMWR_RATING_RO_ROLLUP[],MATCH($B25,MMWR_RATING_RO_ROLLUP[MMWR_RATING_RO_ROLLUP],0),MATCH(C$9,MMWR_RATING_RO_ROLLUP[#Headers],0)),"ERROR"))</f>
        <v>7179</v>
      </c>
      <c r="D25" s="156">
        <f>IF($B25=" ","",IFERROR(INDEX(MMWR_RATING_RO_ROLLUP[],MATCH($B25,MMWR_RATING_RO_ROLLUP[MMWR_RATING_RO_ROLLUP],0),MATCH(D$9,MMWR_RATING_RO_ROLLUP[#Headers],0)),"ERROR"))</f>
        <v>124.4600919348</v>
      </c>
      <c r="E25" s="157">
        <f>IF($B25=" ","",IFERROR(INDEX(MMWR_RATING_RO_ROLLUP[],MATCH($B25,MMWR_RATING_RO_ROLLUP[MMWR_RATING_RO_ROLLUP],0),MATCH(E$9,MMWR_RATING_RO_ROLLUP[#Headers],0))/$C25,"ERROR"))</f>
        <v>0.33040813483772113</v>
      </c>
      <c r="F25" s="155">
        <f>IF($B25=" ","",IFERROR(INDEX(MMWR_RATING_RO_ROLLUP[],MATCH($B25,MMWR_RATING_RO_ROLLUP[MMWR_RATING_RO_ROLLUP],0),MATCH(F$9,MMWR_RATING_RO_ROLLUP[#Headers],0)),"ERROR"))</f>
        <v>2104</v>
      </c>
      <c r="G25" s="155">
        <f>IF($B25=" ","",IFERROR(INDEX(MMWR_RATING_RO_ROLLUP[],MATCH($B25,MMWR_RATING_RO_ROLLUP[MMWR_RATING_RO_ROLLUP],0),MATCH(G$9,MMWR_RATING_RO_ROLLUP[#Headers],0)),"ERROR"))</f>
        <v>2104</v>
      </c>
      <c r="H25" s="156">
        <f>IF($B25=" ","",IFERROR(INDEX(MMWR_RATING_RO_ROLLUP[],MATCH($B25,MMWR_RATING_RO_ROLLUP[MMWR_RATING_RO_ROLLUP],0),MATCH(H$9,MMWR_RATING_RO_ROLLUP[#Headers],0)),"ERROR"))</f>
        <v>163.91159695819999</v>
      </c>
      <c r="I25" s="156">
        <f>IF($B25=" ","",IFERROR(INDEX(MMWR_RATING_RO_ROLLUP[],MATCH($B25,MMWR_RATING_RO_ROLLUP[MMWR_RATING_RO_ROLLUP],0),MATCH(I$9,MMWR_RATING_RO_ROLLUP[#Headers],0)),"ERROR"))</f>
        <v>163.91159695819999</v>
      </c>
      <c r="J25" s="159">
        <f>IF($B25=" ","",IFERROR(VLOOKUP($B25,MMWR_ACCURACY_RO[],MATCH(J$9,MMWR_ACCURACY_RO[#Headers],0),0),"ERROR"))</f>
        <v>0.93847158096847338</v>
      </c>
      <c r="K25" s="159">
        <f>IF($B25=" ","",IFERROR(VLOOKUP($B25,MMWR_ACCURACY_RO[],MATCH(K$9,MMWR_ACCURACY_RO[#Headers],0),0),"ERROR"))</f>
        <v>0.87801642423061244</v>
      </c>
      <c r="L25" s="159">
        <f>IF($B25=" ","",IFERROR(VLOOKUP($B25,MMWR_ACCURACY_RO[],MATCH(L$9,MMWR_ACCURACY_RO[#Headers],0),0),"ERROR"))</f>
        <v>0.86373632207941298</v>
      </c>
      <c r="M25" s="159">
        <f>IF($B25=" ","",IFERROR(VLOOKUP($B25,MMWR_ACCURACY_RO[],MATCH(M$9,MMWR_ACCURACY_RO[#Headers],0),0),"ERROR"))</f>
        <v>4.9808351949732384E-2</v>
      </c>
      <c r="N25" s="159">
        <f>IF($B25=" ","",IFERROR(VLOOKUP($B25,MMWR_ACCURACY_RO[],MATCH(N$9,MMWR_ACCURACY_RO[#Headers],0),0),"ERROR"))</f>
        <v>0.89697460289753872</v>
      </c>
      <c r="O25" s="159">
        <f>IF($B25=" ","",IFERROR(VLOOKUP($B25,MMWR_ACCURACY_RO[],MATCH(O$9,MMWR_ACCURACY_RO[#Headers],0),0),"ERROR"))</f>
        <v>5.0612065522264944E-2</v>
      </c>
      <c r="P25" s="28"/>
    </row>
    <row r="26" spans="1:16" x14ac:dyDescent="0.2">
      <c r="A26" s="25"/>
      <c r="B26" s="8" t="str">
        <f>VLOOKUP($B$16,DISTRICT_RO[],11,0)</f>
        <v>Pittsburgh VSC</v>
      </c>
      <c r="C26" s="155">
        <f>IF($B26=" ","",IFERROR(INDEX(MMWR_RATING_RO_ROLLUP[],MATCH($B26,MMWR_RATING_RO_ROLLUP[MMWR_RATING_RO_ROLLUP],0),MATCH(C$9,MMWR_RATING_RO_ROLLUP[#Headers],0)),"ERROR"))</f>
        <v>5043</v>
      </c>
      <c r="D26" s="156">
        <f>IF($B26=" ","",IFERROR(INDEX(MMWR_RATING_RO_ROLLUP[],MATCH($B26,MMWR_RATING_RO_ROLLUP[MMWR_RATING_RO_ROLLUP],0),MATCH(D$9,MMWR_RATING_RO_ROLLUP[#Headers],0)),"ERROR"))</f>
        <v>121.8594090819</v>
      </c>
      <c r="E26" s="157">
        <f>IF($B26=" ","",IFERROR(INDEX(MMWR_RATING_RO_ROLLUP[],MATCH($B26,MMWR_RATING_RO_ROLLUP[MMWR_RATING_RO_ROLLUP],0),MATCH(E$9,MMWR_RATING_RO_ROLLUP[#Headers],0))/$C26,"ERROR"))</f>
        <v>0.35256791592306169</v>
      </c>
      <c r="F26" s="155">
        <f>IF($B26=" ","",IFERROR(INDEX(MMWR_RATING_RO_ROLLUP[],MATCH($B26,MMWR_RATING_RO_ROLLUP[MMWR_RATING_RO_ROLLUP],0),MATCH(F$9,MMWR_RATING_RO_ROLLUP[#Headers],0)),"ERROR"))</f>
        <v>903</v>
      </c>
      <c r="G26" s="155">
        <f>IF($B26=" ","",IFERROR(INDEX(MMWR_RATING_RO_ROLLUP[],MATCH($B26,MMWR_RATING_RO_ROLLUP[MMWR_RATING_RO_ROLLUP],0),MATCH(G$9,MMWR_RATING_RO_ROLLUP[#Headers],0)),"ERROR"))</f>
        <v>903</v>
      </c>
      <c r="H26" s="156">
        <f>IF($B26=" ","",IFERROR(INDEX(MMWR_RATING_RO_ROLLUP[],MATCH($B26,MMWR_RATING_RO_ROLLUP[MMWR_RATING_RO_ROLLUP],0),MATCH(H$9,MMWR_RATING_RO_ROLLUP[#Headers],0)),"ERROR"))</f>
        <v>195.98560354369999</v>
      </c>
      <c r="I26" s="156">
        <f>IF($B26=" ","",IFERROR(INDEX(MMWR_RATING_RO_ROLLUP[],MATCH($B26,MMWR_RATING_RO_ROLLUP[MMWR_RATING_RO_ROLLUP],0),MATCH(I$9,MMWR_RATING_RO_ROLLUP[#Headers],0)),"ERROR"))</f>
        <v>195.98560354369999</v>
      </c>
      <c r="J26" s="159">
        <f>IF($B26=" ","",IFERROR(VLOOKUP($B26,MMWR_ACCURACY_RO[],MATCH(J$9,MMWR_ACCURACY_RO[#Headers],0),0),"ERROR"))</f>
        <v>0.94858893021220736</v>
      </c>
      <c r="K26" s="159">
        <f>IF($B26=" ","",IFERROR(VLOOKUP($B26,MMWR_ACCURACY_RO[],MATCH(K$9,MMWR_ACCURACY_RO[#Headers],0),0),"ERROR"))</f>
        <v>0.93268259845169976</v>
      </c>
      <c r="L26" s="159">
        <f>IF($B26=" ","",IFERROR(VLOOKUP($B26,MMWR_ACCURACY_RO[],MATCH(L$9,MMWR_ACCURACY_RO[#Headers],0),0),"ERROR"))</f>
        <v>0.91041230955110364</v>
      </c>
      <c r="M26" s="159">
        <f>IF($B26=" ","",IFERROR(VLOOKUP($B26,MMWR_ACCURACY_RO[],MATCH(M$9,MMWR_ACCURACY_RO[#Headers],0),0),"ERROR"))</f>
        <v>4.3674640168291888E-2</v>
      </c>
      <c r="N26" s="159">
        <f>IF($B26=" ","",IFERROR(VLOOKUP($B26,MMWR_ACCURACY_RO[],MATCH(N$9,MMWR_ACCURACY_RO[#Headers],0),0),"ERROR"))</f>
        <v>0.92300128444351914</v>
      </c>
      <c r="O26" s="159">
        <f>IF($B26=" ","",IFERROR(VLOOKUP($B26,MMWR_ACCURACY_RO[],MATCH(O$9,MMWR_ACCURACY_RO[#Headers],0),0),"ERROR"))</f>
        <v>4.6679149656925462E-2</v>
      </c>
      <c r="P26" s="28"/>
    </row>
    <row r="27" spans="1:16" x14ac:dyDescent="0.2">
      <c r="A27" s="25"/>
      <c r="B27" s="8" t="str">
        <f>VLOOKUP($B$16,DISTRICT_RO[],12,0)</f>
        <v>Providence VSC</v>
      </c>
      <c r="C27" s="155">
        <f>IF($B27=" ","",IFERROR(INDEX(MMWR_RATING_RO_ROLLUP[],MATCH($B27,MMWR_RATING_RO_ROLLUP[MMWR_RATING_RO_ROLLUP],0),MATCH(C$9,MMWR_RATING_RO_ROLLUP[#Headers],0)),"ERROR"))</f>
        <v>3436</v>
      </c>
      <c r="D27" s="156">
        <f>IF($B27=" ","",IFERROR(INDEX(MMWR_RATING_RO_ROLLUP[],MATCH($B27,MMWR_RATING_RO_ROLLUP[MMWR_RATING_RO_ROLLUP],0),MATCH(D$9,MMWR_RATING_RO_ROLLUP[#Headers],0)),"ERROR"))</f>
        <v>111.2252619325</v>
      </c>
      <c r="E27" s="157">
        <f>IF($B27=" ","",IFERROR(INDEX(MMWR_RATING_RO_ROLLUP[],MATCH($B27,MMWR_RATING_RO_ROLLUP[MMWR_RATING_RO_ROLLUP],0),MATCH(E$9,MMWR_RATING_RO_ROLLUP[#Headers],0))/$C27,"ERROR"))</f>
        <v>0.29831199068684516</v>
      </c>
      <c r="F27" s="155">
        <f>IF($B27=" ","",IFERROR(INDEX(MMWR_RATING_RO_ROLLUP[],MATCH($B27,MMWR_RATING_RO_ROLLUP[MMWR_RATING_RO_ROLLUP],0),MATCH(F$9,MMWR_RATING_RO_ROLLUP[#Headers],0)),"ERROR"))</f>
        <v>2060</v>
      </c>
      <c r="G27" s="155">
        <f>IF($B27=" ","",IFERROR(INDEX(MMWR_RATING_RO_ROLLUP[],MATCH($B27,MMWR_RATING_RO_ROLLUP[MMWR_RATING_RO_ROLLUP],0),MATCH(G$9,MMWR_RATING_RO_ROLLUP[#Headers],0)),"ERROR"))</f>
        <v>2060</v>
      </c>
      <c r="H27" s="156">
        <f>IF($B27=" ","",IFERROR(INDEX(MMWR_RATING_RO_ROLLUP[],MATCH($B27,MMWR_RATING_RO_ROLLUP[MMWR_RATING_RO_ROLLUP],0),MATCH(H$9,MMWR_RATING_RO_ROLLUP[#Headers],0)),"ERROR"))</f>
        <v>78.013106796100004</v>
      </c>
      <c r="I27" s="156">
        <f>IF($B27=" ","",IFERROR(INDEX(MMWR_RATING_RO_ROLLUP[],MATCH($B27,MMWR_RATING_RO_ROLLUP[MMWR_RATING_RO_ROLLUP],0),MATCH(I$9,MMWR_RATING_RO_ROLLUP[#Headers],0)),"ERROR"))</f>
        <v>78.013106796100004</v>
      </c>
      <c r="J27" s="159">
        <f>IF($B27=" ","",IFERROR(VLOOKUP($B27,MMWR_ACCURACY_RO[],MATCH(J$9,MMWR_ACCURACY_RO[#Headers],0),0),"ERROR"))</f>
        <v>0.9800127755325132</v>
      </c>
      <c r="K27" s="159">
        <f>IF($B27=" ","",IFERROR(VLOOKUP($B27,MMWR_ACCURACY_RO[],MATCH(K$9,MMWR_ACCURACY_RO[#Headers],0),0),"ERROR"))</f>
        <v>0.85638326585695013</v>
      </c>
      <c r="L27" s="159">
        <f>IF($B27=" ","",IFERROR(VLOOKUP($B27,MMWR_ACCURACY_RO[],MATCH(L$9,MMWR_ACCURACY_RO[#Headers],0),0),"ERROR"))</f>
        <v>0.86922098710218321</v>
      </c>
      <c r="M27" s="159">
        <f>IF($B27=" ","",IFERROR(VLOOKUP($B27,MMWR_ACCURACY_RO[],MATCH(M$9,MMWR_ACCURACY_RO[#Headers],0),0),"ERROR"))</f>
        <v>5.8931356640570129E-2</v>
      </c>
      <c r="N27" s="159">
        <f>IF($B27=" ","",IFERROR(VLOOKUP($B27,MMWR_ACCURACY_RO[],MATCH(N$9,MMWR_ACCURACY_RO[#Headers],0),0),"ERROR"))</f>
        <v>0.95831631986978105</v>
      </c>
      <c r="O27" s="159">
        <f>IF($B27=" ","",IFERROR(VLOOKUP($B27,MMWR_ACCURACY_RO[],MATCH(O$9,MMWR_ACCURACY_RO[#Headers],0),0),"ERROR"))</f>
        <v>3.3399802629907001E-2</v>
      </c>
      <c r="P27" s="28"/>
    </row>
    <row r="28" spans="1:16" x14ac:dyDescent="0.2">
      <c r="A28" s="25"/>
      <c r="B28" s="8" t="str">
        <f>VLOOKUP($B$16,DISTRICT_RO[],13,0)</f>
        <v>Roanoke VSC</v>
      </c>
      <c r="C28" s="155">
        <f>IF($B28=" ","",IFERROR(INDEX(MMWR_RATING_RO_ROLLUP[],MATCH($B28,MMWR_RATING_RO_ROLLUP[MMWR_RATING_RO_ROLLUP],0),MATCH(C$9,MMWR_RATING_RO_ROLLUP[#Headers],0)),"ERROR"))</f>
        <v>12249</v>
      </c>
      <c r="D28" s="156">
        <f>IF($B28=" ","",IFERROR(INDEX(MMWR_RATING_RO_ROLLUP[],MATCH($B28,MMWR_RATING_RO_ROLLUP[MMWR_RATING_RO_ROLLUP],0),MATCH(D$9,MMWR_RATING_RO_ROLLUP[#Headers],0)),"ERROR"))</f>
        <v>83.291207445500007</v>
      </c>
      <c r="E28" s="157">
        <f>IF($B28=" ","",IFERROR(INDEX(MMWR_RATING_RO_ROLLUP[],MATCH($B28,MMWR_RATING_RO_ROLLUP[MMWR_RATING_RO_ROLLUP],0),MATCH(E$9,MMWR_RATING_RO_ROLLUP[#Headers],0))/$C28,"ERROR"))</f>
        <v>0.16180912727569596</v>
      </c>
      <c r="F28" s="155">
        <f>IF($B28=" ","",IFERROR(INDEX(MMWR_RATING_RO_ROLLUP[],MATCH($B28,MMWR_RATING_RO_ROLLUP[MMWR_RATING_RO_ROLLUP],0),MATCH(F$9,MMWR_RATING_RO_ROLLUP[#Headers],0)),"ERROR"))</f>
        <v>2700</v>
      </c>
      <c r="G28" s="155">
        <f>IF($B28=" ","",IFERROR(INDEX(MMWR_RATING_RO_ROLLUP[],MATCH($B28,MMWR_RATING_RO_ROLLUP[MMWR_RATING_RO_ROLLUP],0),MATCH(G$9,MMWR_RATING_RO_ROLLUP[#Headers],0)),"ERROR"))</f>
        <v>2700</v>
      </c>
      <c r="H28" s="156">
        <f>IF($B28=" ","",IFERROR(INDEX(MMWR_RATING_RO_ROLLUP[],MATCH($B28,MMWR_RATING_RO_ROLLUP[MMWR_RATING_RO_ROLLUP],0),MATCH(H$9,MMWR_RATING_RO_ROLLUP[#Headers],0)),"ERROR"))</f>
        <v>135.49222222220001</v>
      </c>
      <c r="I28" s="156">
        <f>IF($B28=" ","",IFERROR(INDEX(MMWR_RATING_RO_ROLLUP[],MATCH($B28,MMWR_RATING_RO_ROLLUP[MMWR_RATING_RO_ROLLUP],0),MATCH(I$9,MMWR_RATING_RO_ROLLUP[#Headers],0)),"ERROR"))</f>
        <v>135.49222222220001</v>
      </c>
      <c r="J28" s="159">
        <f>IF($B28=" ","",IFERROR(VLOOKUP($B28,MMWR_ACCURACY_RO[],MATCH(J$9,MMWR_ACCURACY_RO[#Headers],0),0),"ERROR"))</f>
        <v>0.98019304856245926</v>
      </c>
      <c r="K28" s="159">
        <f>IF($B28=" ","",IFERROR(VLOOKUP($B28,MMWR_ACCURACY_RO[],MATCH(K$9,MMWR_ACCURACY_RO[#Headers],0),0),"ERROR"))</f>
        <v>0.96886134779240896</v>
      </c>
      <c r="L28" s="159">
        <f>IF($B28=" ","",IFERROR(VLOOKUP($B28,MMWR_ACCURACY_RO[],MATCH(L$9,MMWR_ACCURACY_RO[#Headers],0),0),"ERROR"))</f>
        <v>0.92939080470501678</v>
      </c>
      <c r="M28" s="159">
        <f>IF($B28=" ","",IFERROR(VLOOKUP($B28,MMWR_ACCURACY_RO[],MATCH(M$9,MMWR_ACCURACY_RO[#Headers],0),0),"ERROR"))</f>
        <v>4.3893721253619587E-2</v>
      </c>
      <c r="N28" s="159">
        <f>IF($B28=" ","",IFERROR(VLOOKUP($B28,MMWR_ACCURACY_RO[],MATCH(N$9,MMWR_ACCURACY_RO[#Headers],0),0),"ERROR"))</f>
        <v>0.91554323665372994</v>
      </c>
      <c r="O28" s="159">
        <f>IF($B28=" ","",IFERROR(VLOOKUP($B28,MMWR_ACCURACY_RO[],MATCH(O$9,MMWR_ACCURACY_RO[#Headers],0),0),"ERROR"))</f>
        <v>4.5373338504892689E-2</v>
      </c>
      <c r="P28" s="28"/>
    </row>
    <row r="29" spans="1:16" x14ac:dyDescent="0.2">
      <c r="A29" s="25"/>
      <c r="B29" s="8" t="str">
        <f>VLOOKUP($B$16,DISTRICT_RO[],14,0)</f>
        <v>Togus VSC</v>
      </c>
      <c r="C29" s="155">
        <f>IF($B29=" ","",IFERROR(INDEX(MMWR_RATING_RO_ROLLUP[],MATCH($B29,MMWR_RATING_RO_ROLLUP[MMWR_RATING_RO_ROLLUP],0),MATCH(C$9,MMWR_RATING_RO_ROLLUP[#Headers],0)),"ERROR"))</f>
        <v>3793</v>
      </c>
      <c r="D29" s="156">
        <f>IF($B29=" ","",IFERROR(INDEX(MMWR_RATING_RO_ROLLUP[],MATCH($B29,MMWR_RATING_RO_ROLLUP[MMWR_RATING_RO_ROLLUP],0),MATCH(D$9,MMWR_RATING_RO_ROLLUP[#Headers],0)),"ERROR"))</f>
        <v>111.3762193514</v>
      </c>
      <c r="E29" s="157">
        <f>IF($B29=" ","",IFERROR(INDEX(MMWR_RATING_RO_ROLLUP[],MATCH($B29,MMWR_RATING_RO_ROLLUP[MMWR_RATING_RO_ROLLUP],0),MATCH(E$9,MMWR_RATING_RO_ROLLUP[#Headers],0))/$C29,"ERROR"))</f>
        <v>0.27102557342472977</v>
      </c>
      <c r="F29" s="155">
        <f>IF($B29=" ","",IFERROR(INDEX(MMWR_RATING_RO_ROLLUP[],MATCH($B29,MMWR_RATING_RO_ROLLUP[MMWR_RATING_RO_ROLLUP],0),MATCH(F$9,MMWR_RATING_RO_ROLLUP[#Headers],0)),"ERROR"))</f>
        <v>1547</v>
      </c>
      <c r="G29" s="155">
        <f>IF($B29=" ","",IFERROR(INDEX(MMWR_RATING_RO_ROLLUP[],MATCH($B29,MMWR_RATING_RO_ROLLUP[MMWR_RATING_RO_ROLLUP],0),MATCH(G$9,MMWR_RATING_RO_ROLLUP[#Headers],0)),"ERROR"))</f>
        <v>1547</v>
      </c>
      <c r="H29" s="156">
        <f>IF($B29=" ","",IFERROR(INDEX(MMWR_RATING_RO_ROLLUP[],MATCH($B29,MMWR_RATING_RO_ROLLUP[MMWR_RATING_RO_ROLLUP],0),MATCH(H$9,MMWR_RATING_RO_ROLLUP[#Headers],0)),"ERROR"))</f>
        <v>132.38073691010001</v>
      </c>
      <c r="I29" s="156">
        <f>IF($B29=" ","",IFERROR(INDEX(MMWR_RATING_RO_ROLLUP[],MATCH($B29,MMWR_RATING_RO_ROLLUP[MMWR_RATING_RO_ROLLUP],0),MATCH(I$9,MMWR_RATING_RO_ROLLUP[#Headers],0)),"ERROR"))</f>
        <v>132.38073691010001</v>
      </c>
      <c r="J29" s="159">
        <f>IF($B29=" ","",IFERROR(VLOOKUP($B29,MMWR_ACCURACY_RO[],MATCH(J$9,MMWR_ACCURACY_RO[#Headers],0),0),"ERROR"))</f>
        <v>0.95502946108662379</v>
      </c>
      <c r="K29" s="159">
        <f>IF($B29=" ","",IFERROR(VLOOKUP($B29,MMWR_ACCURACY_RO[],MATCH(K$9,MMWR_ACCURACY_RO[#Headers],0),0),"ERROR"))</f>
        <v>0.8291744840525328</v>
      </c>
      <c r="L29" s="159">
        <f>IF($B29=" ","",IFERROR(VLOOKUP($B29,MMWR_ACCURACY_RO[],MATCH(L$9,MMWR_ACCURACY_RO[#Headers],0),0),"ERROR"))</f>
        <v>0.86390867966092122</v>
      </c>
      <c r="M29" s="159">
        <f>IF($B29=" ","",IFERROR(VLOOKUP($B29,MMWR_ACCURACY_RO[],MATCH(M$9,MMWR_ACCURACY_RO[#Headers],0),0),"ERROR"))</f>
        <v>6.0097717726135542E-2</v>
      </c>
      <c r="N29" s="159">
        <f>IF($B29=" ","",IFERROR(VLOOKUP($B29,MMWR_ACCURACY_RO[],MATCH(N$9,MMWR_ACCURACY_RO[#Headers],0),0),"ERROR"))</f>
        <v>0.96309565047955137</v>
      </c>
      <c r="O29" s="159">
        <f>IF($B29=" ","",IFERROR(VLOOKUP($B29,MMWR_ACCURACY_RO[],MATCH(O$9,MMWR_ACCURACY_RO[#Headers],0),0),"ERROR"))</f>
        <v>3.5935553262145488E-2</v>
      </c>
      <c r="P29" s="28"/>
    </row>
    <row r="30" spans="1:16" x14ac:dyDescent="0.2">
      <c r="A30" s="25"/>
      <c r="B30" s="8" t="str">
        <f>VLOOKUP($B$16,DISTRICT_RO[],15,0)</f>
        <v>White River Junction VSC</v>
      </c>
      <c r="C30" s="155">
        <f>IF($B30=" ","",IFERROR(INDEX(MMWR_RATING_RO_ROLLUP[],MATCH($B30,MMWR_RATING_RO_ROLLUP[MMWR_RATING_RO_ROLLUP],0),MATCH(C$9,MMWR_RATING_RO_ROLLUP[#Headers],0)),"ERROR"))</f>
        <v>617</v>
      </c>
      <c r="D30" s="156">
        <f>IF($B30=" ","",IFERROR(INDEX(MMWR_RATING_RO_ROLLUP[],MATCH($B30,MMWR_RATING_RO_ROLLUP[MMWR_RATING_RO_ROLLUP],0),MATCH(D$9,MMWR_RATING_RO_ROLLUP[#Headers],0)),"ERROR"))</f>
        <v>120.4683954619</v>
      </c>
      <c r="E30" s="157">
        <f>IF($B30=" ","",IFERROR(INDEX(MMWR_RATING_RO_ROLLUP[],MATCH($B30,MMWR_RATING_RO_ROLLUP[MMWR_RATING_RO_ROLLUP],0),MATCH(E$9,MMWR_RATING_RO_ROLLUP[#Headers],0))/$C30,"ERROR"))</f>
        <v>0.3841166936790924</v>
      </c>
      <c r="F30" s="155">
        <f>IF($B30=" ","",IFERROR(INDEX(MMWR_RATING_RO_ROLLUP[],MATCH($B30,MMWR_RATING_RO_ROLLUP[MMWR_RATING_RO_ROLLUP],0),MATCH(F$9,MMWR_RATING_RO_ROLLUP[#Headers],0)),"ERROR"))</f>
        <v>136</v>
      </c>
      <c r="G30" s="155">
        <f>IF($B30=" ","",IFERROR(INDEX(MMWR_RATING_RO_ROLLUP[],MATCH($B30,MMWR_RATING_RO_ROLLUP[MMWR_RATING_RO_ROLLUP],0),MATCH(G$9,MMWR_RATING_RO_ROLLUP[#Headers],0)),"ERROR"))</f>
        <v>136</v>
      </c>
      <c r="H30" s="156">
        <f>IF($B30=" ","",IFERROR(INDEX(MMWR_RATING_RO_ROLLUP[],MATCH($B30,MMWR_RATING_RO_ROLLUP[MMWR_RATING_RO_ROLLUP],0),MATCH(H$9,MMWR_RATING_RO_ROLLUP[#Headers],0)),"ERROR"))</f>
        <v>154.38970588239999</v>
      </c>
      <c r="I30" s="156">
        <f>IF($B30=" ","",IFERROR(INDEX(MMWR_RATING_RO_ROLLUP[],MATCH($B30,MMWR_RATING_RO_ROLLUP[MMWR_RATING_RO_ROLLUP],0),MATCH(I$9,MMWR_RATING_RO_ROLLUP[#Headers],0)),"ERROR"))</f>
        <v>154.38970588239999</v>
      </c>
      <c r="J30" s="159">
        <f>IF($B30=" ","",IFERROR(VLOOKUP($B30,MMWR_ACCURACY_RO[],MATCH(J$9,MMWR_ACCURACY_RO[#Headers],0),0),"ERROR"))</f>
        <v>0.91123054114158641</v>
      </c>
      <c r="K30" s="159">
        <f>IF($B30=" ","",IFERROR(VLOOKUP($B30,MMWR_ACCURACY_RO[],MATCH(K$9,MMWR_ACCURACY_RO[#Headers],0),0),"ERROR"))</f>
        <v>0.87345615479621264</v>
      </c>
      <c r="L30" s="159">
        <f>IF($B30=" ","",IFERROR(VLOOKUP($B30,MMWR_ACCURACY_RO[],MATCH(L$9,MMWR_ACCURACY_RO[#Headers],0),0),"ERROR"))</f>
        <v>0.84419915601575757</v>
      </c>
      <c r="M30" s="159">
        <f>IF($B30=" ","",IFERROR(VLOOKUP($B30,MMWR_ACCURACY_RO[],MATCH(M$9,MMWR_ACCURACY_RO[#Headers],0),0),"ERROR"))</f>
        <v>5.1845298671013042E-2</v>
      </c>
      <c r="N30" s="159">
        <f>IF($B30=" ","",IFERROR(VLOOKUP($B30,MMWR_ACCURACY_RO[],MATCH(N$9,MMWR_ACCURACY_RO[#Headers],0),0),"ERROR"))</f>
        <v>0.91283465244663509</v>
      </c>
      <c r="O30" s="159">
        <f>IF($B30=" ","",IFERROR(VLOOKUP($B30,MMWR_ACCURACY_RO[],MATCH(O$9,MMWR_ACCURACY_RO[#Headers],0),0),"ERROR"))</f>
        <v>3.4927324923456876E-2</v>
      </c>
      <c r="P30" s="28"/>
    </row>
    <row r="31" spans="1:16" x14ac:dyDescent="0.2">
      <c r="A31" s="25"/>
      <c r="B31" s="8" t="str">
        <f>VLOOKUP($B$16,DISTRICT_RO[],16,0)</f>
        <v>Wilmington VSC</v>
      </c>
      <c r="C31" s="155">
        <f>IF($B31=" ","",IFERROR(INDEX(MMWR_RATING_RO_ROLLUP[],MATCH($B31,MMWR_RATING_RO_ROLLUP[MMWR_RATING_RO_ROLLUP],0),MATCH(C$9,MMWR_RATING_RO_ROLLUP[#Headers],0)),"ERROR"))</f>
        <v>675</v>
      </c>
      <c r="D31" s="156">
        <f>IF($B31=" ","",IFERROR(INDEX(MMWR_RATING_RO_ROLLUP[],MATCH($B31,MMWR_RATING_RO_ROLLUP[MMWR_RATING_RO_ROLLUP],0),MATCH(D$9,MMWR_RATING_RO_ROLLUP[#Headers],0)),"ERROR"))</f>
        <v>78.345185185199995</v>
      </c>
      <c r="E31" s="157">
        <f>IF($B31=" ","",IFERROR(INDEX(MMWR_RATING_RO_ROLLUP[],MATCH($B31,MMWR_RATING_RO_ROLLUP[MMWR_RATING_RO_ROLLUP],0),MATCH(E$9,MMWR_RATING_RO_ROLLUP[#Headers],0))/$C31,"ERROR"))</f>
        <v>0.11555555555555555</v>
      </c>
      <c r="F31" s="155">
        <f>IF($B31=" ","",IFERROR(INDEX(MMWR_RATING_RO_ROLLUP[],MATCH($B31,MMWR_RATING_RO_ROLLUP[MMWR_RATING_RO_ROLLUP],0),MATCH(F$9,MMWR_RATING_RO_ROLLUP[#Headers],0)),"ERROR"))</f>
        <v>117</v>
      </c>
      <c r="G31" s="155">
        <f>IF($B31=" ","",IFERROR(INDEX(MMWR_RATING_RO_ROLLUP[],MATCH($B31,MMWR_RATING_RO_ROLLUP[MMWR_RATING_RO_ROLLUP],0),MATCH(G$9,MMWR_RATING_RO_ROLLUP[#Headers],0)),"ERROR"))</f>
        <v>117</v>
      </c>
      <c r="H31" s="156">
        <f>IF($B31=" ","",IFERROR(INDEX(MMWR_RATING_RO_ROLLUP[],MATCH($B31,MMWR_RATING_RO_ROLLUP[MMWR_RATING_RO_ROLLUP],0),MATCH(H$9,MMWR_RATING_RO_ROLLUP[#Headers],0)),"ERROR"))</f>
        <v>110.76923076920001</v>
      </c>
      <c r="I31" s="156">
        <f>IF($B31=" ","",IFERROR(INDEX(MMWR_RATING_RO_ROLLUP[],MATCH($B31,MMWR_RATING_RO_ROLLUP[MMWR_RATING_RO_ROLLUP],0),MATCH(I$9,MMWR_RATING_RO_ROLLUP[#Headers],0)),"ERROR"))</f>
        <v>110.76923076920001</v>
      </c>
      <c r="J31" s="159">
        <f>IF($B31=" ","",IFERROR(VLOOKUP($B31,MMWR_ACCURACY_RO[],MATCH(J$9,MMWR_ACCURACY_RO[#Headers],0),0),"ERROR"))</f>
        <v>0.94593067372737683</v>
      </c>
      <c r="K31" s="159">
        <f>IF($B31=" ","",IFERROR(VLOOKUP($B31,MMWR_ACCURACY_RO[],MATCH(K$9,MMWR_ACCURACY_RO[#Headers],0),0),"ERROR"))</f>
        <v>0.85256410256410253</v>
      </c>
      <c r="L31" s="159">
        <f>IF($B31=" ","",IFERROR(VLOOKUP($B31,MMWR_ACCURACY_RO[],MATCH(L$9,MMWR_ACCURACY_RO[#Headers],0),0),"ERROR"))</f>
        <v>0.85562553660788376</v>
      </c>
      <c r="M31" s="159">
        <f>IF($B31=" ","",IFERROR(VLOOKUP($B31,MMWR_ACCURACY_RO[],MATCH(M$9,MMWR_ACCURACY_RO[#Headers],0),0),"ERROR"))</f>
        <v>4.6982260482152115E-2</v>
      </c>
      <c r="N31" s="159">
        <f>IF($B31=" ","",IFERROR(VLOOKUP($B31,MMWR_ACCURACY_RO[],MATCH(N$9,MMWR_ACCURACY_RO[#Headers],0),0),"ERROR"))</f>
        <v>0.88517869804523708</v>
      </c>
      <c r="O31" s="159">
        <f>IF($B31=" ","",IFERROR(VLOOKUP($B31,MMWR_ACCURACY_RO[],MATCH(O$9,MMWR_ACCURACY_RO[#Headers],0),0),"ERROR"))</f>
        <v>5.2727461847557819E-2</v>
      </c>
      <c r="P31" s="28"/>
    </row>
    <row r="32" spans="1:16" x14ac:dyDescent="0.2">
      <c r="A32" s="25"/>
      <c r="B32" s="8" t="str">
        <f>VLOOKUP($B$16,DISTRICT_RO[],17,0)</f>
        <v>Winston-Salem VSC</v>
      </c>
      <c r="C32" s="155">
        <f>IF($B32=" ","",IFERROR(INDEX(MMWR_RATING_RO_ROLLUP[],MATCH($B32,MMWR_RATING_RO_ROLLUP[MMWR_RATING_RO_ROLLUP],0),MATCH(C$9,MMWR_RATING_RO_ROLLUP[#Headers],0)),"ERROR"))</f>
        <v>13000</v>
      </c>
      <c r="D32" s="156">
        <f>IF($B32=" ","",IFERROR(INDEX(MMWR_RATING_RO_ROLLUP[],MATCH($B32,MMWR_RATING_RO_ROLLUP[MMWR_RATING_RO_ROLLUP],0),MATCH(D$9,MMWR_RATING_RO_ROLLUP[#Headers],0)),"ERROR"))</f>
        <v>81.951846153800005</v>
      </c>
      <c r="E32" s="157">
        <f>IF($B32=" ","",IFERROR(INDEX(MMWR_RATING_RO_ROLLUP[],MATCH($B32,MMWR_RATING_RO_ROLLUP[MMWR_RATING_RO_ROLLUP],0),MATCH(E$9,MMWR_RATING_RO_ROLLUP[#Headers],0))/$C32,"ERROR"))</f>
        <v>0.17123076923076924</v>
      </c>
      <c r="F32" s="155">
        <f>IF($B32=" ","",IFERROR(INDEX(MMWR_RATING_RO_ROLLUP[],MATCH($B32,MMWR_RATING_RO_ROLLUP[MMWR_RATING_RO_ROLLUP],0),MATCH(F$9,MMWR_RATING_RO_ROLLUP[#Headers],0)),"ERROR"))</f>
        <v>2579</v>
      </c>
      <c r="G32" s="155">
        <f>IF($B32=" ","",IFERROR(INDEX(MMWR_RATING_RO_ROLLUP[],MATCH($B32,MMWR_RATING_RO_ROLLUP[MMWR_RATING_RO_ROLLUP],0),MATCH(G$9,MMWR_RATING_RO_ROLLUP[#Headers],0)),"ERROR"))</f>
        <v>2579</v>
      </c>
      <c r="H32" s="156">
        <f>IF($B32=" ","",IFERROR(INDEX(MMWR_RATING_RO_ROLLUP[],MATCH($B32,MMWR_RATING_RO_ROLLUP[MMWR_RATING_RO_ROLLUP],0),MATCH(H$9,MMWR_RATING_RO_ROLLUP[#Headers],0)),"ERROR"))</f>
        <v>150.61341605269999</v>
      </c>
      <c r="I32" s="156">
        <f>IF($B32=" ","",IFERROR(INDEX(MMWR_RATING_RO_ROLLUP[],MATCH($B32,MMWR_RATING_RO_ROLLUP[MMWR_RATING_RO_ROLLUP],0),MATCH(I$9,MMWR_RATING_RO_ROLLUP[#Headers],0)),"ERROR"))</f>
        <v>150.61341605269999</v>
      </c>
      <c r="J32" s="159">
        <f>IF($B32=" ","",IFERROR(VLOOKUP($B32,MMWR_ACCURACY_RO[],MATCH(J$9,MMWR_ACCURACY_RO[#Headers],0),0),"ERROR"))</f>
        <v>0.95325332820193764</v>
      </c>
      <c r="K32" s="159">
        <f>IF($B32=" ","",IFERROR(VLOOKUP($B32,MMWR_ACCURACY_RO[],MATCH(K$9,MMWR_ACCURACY_RO[#Headers],0),0),"ERROR"))</f>
        <v>0.8671306385221268</v>
      </c>
      <c r="L32" s="159">
        <f>IF($B32=" ","",IFERROR(VLOOKUP($B32,MMWR_ACCURACY_RO[],MATCH(L$9,MMWR_ACCURACY_RO[#Headers],0),0),"ERROR"))</f>
        <v>0.84527408971012141</v>
      </c>
      <c r="M32" s="159">
        <f>IF($B32=" ","",IFERROR(VLOOKUP($B32,MMWR_ACCURACY_RO[],MATCH(M$9,MMWR_ACCURACY_RO[#Headers],0),0),"ERROR"))</f>
        <v>5.0945282127898395E-2</v>
      </c>
      <c r="N32" s="159">
        <f>IF($B32=" ","",IFERROR(VLOOKUP($B32,MMWR_ACCURACY_RO[],MATCH(N$9,MMWR_ACCURACY_RO[#Headers],0),0),"ERROR"))</f>
        <v>0.94947295147140531</v>
      </c>
      <c r="O32" s="159">
        <f>IF($B32=" ","",IFERROR(VLOOKUP($B32,MMWR_ACCURACY_RO[],MATCH(O$9,MMWR_ACCURACY_RO[#Headers],0),0),"ERROR"))</f>
        <v>3.5021400766322944E-2</v>
      </c>
      <c r="P32" s="28"/>
    </row>
    <row r="33" spans="1:16" x14ac:dyDescent="0.2">
      <c r="A33" s="25"/>
      <c r="B33" s="377" t="s">
        <v>740</v>
      </c>
      <c r="C33" s="378"/>
      <c r="D33" s="378"/>
      <c r="E33" s="378"/>
      <c r="F33" s="378"/>
      <c r="G33" s="378"/>
      <c r="H33" s="378"/>
      <c r="I33" s="378"/>
      <c r="J33" s="378"/>
      <c r="K33" s="378"/>
      <c r="L33" s="378"/>
      <c r="M33" s="378"/>
      <c r="N33" s="378"/>
      <c r="O33" s="378"/>
      <c r="P33" s="28"/>
    </row>
    <row r="34" spans="1:16" x14ac:dyDescent="0.2">
      <c r="A34" s="25"/>
      <c r="B34" s="11" t="s">
        <v>703</v>
      </c>
      <c r="C34" s="155">
        <f>IF($B34=" ","",IFERROR(INDEX(MMWR_RATING_RO_ROLLUP[],MATCH($B34,MMWR_RATING_RO_ROLLUP[MMWR_RATING_RO_ROLLUP],0),MATCH(C$9,MMWR_RATING_RO_ROLLUP[#Headers],0)),"ERROR"))</f>
        <v>22626</v>
      </c>
      <c r="D34" s="156">
        <f>IF($B34=" ","",IFERROR(INDEX(MMWR_RATING_RO_ROLLUP[],MATCH($B34,MMWR_RATING_RO_ROLLUP[MMWR_RATING_RO_ROLLUP],0),MATCH(D$9,MMWR_RATING_RO_ROLLUP[#Headers],0)),"ERROR"))</f>
        <v>62.445239989400001</v>
      </c>
      <c r="E34" s="157">
        <f>IF($B34=" ","",IFERROR(INDEX(MMWR_RATING_RO_ROLLUP[],MATCH($B34,MMWR_RATING_RO_ROLLUP[MMWR_RATING_RO_ROLLUP],0),MATCH(E$9,MMWR_RATING_RO_ROLLUP[#Headers],0))/$C34,"ERROR"))</f>
        <v>8.021744895253248E-2</v>
      </c>
      <c r="F34" s="155">
        <f>IF($B34=" ","",IFERROR(INDEX(MMWR_RATING_RO_ROLLUP[],MATCH($B34,MMWR_RATING_RO_ROLLUP[MMWR_RATING_RO_ROLLUP],0),MATCH(F$9,MMWR_RATING_RO_ROLLUP[#Headers],0)),"ERROR"))</f>
        <v>11866</v>
      </c>
      <c r="G34" s="155">
        <f>IF($B34=" ","",IFERROR(INDEX(MMWR_RATING_RO_ROLLUP[],MATCH($B34,MMWR_RATING_RO_ROLLUP[MMWR_RATING_RO_ROLLUP],0),MATCH(G$9,MMWR_RATING_RO_ROLLUP[#Headers],0)),"ERROR"))</f>
        <v>11866</v>
      </c>
      <c r="H34" s="156">
        <f>IF($B34=" ","",IFERROR(INDEX(MMWR_RATING_RO_ROLLUP[],MATCH($B34,MMWR_RATING_RO_ROLLUP[MMWR_RATING_RO_ROLLUP],0),MATCH(H$9,MMWR_RATING_RO_ROLLUP[#Headers],0)),"ERROR"))</f>
        <v>68.022501264100001</v>
      </c>
      <c r="I34" s="156">
        <f>IF($B34=" ","",IFERROR(INDEX(MMWR_RATING_RO_ROLLUP[],MATCH($B34,MMWR_RATING_RO_ROLLUP[MMWR_RATING_RO_ROLLUP],0),MATCH(I$9,MMWR_RATING_RO_ROLLUP[#Headers],0)),"ERROR"))</f>
        <v>68.022501264100001</v>
      </c>
      <c r="J34" s="42"/>
      <c r="K34" s="264">
        <f>IF($B34=" ","",IFERROR(VLOOKUP($B34,MMWR_ACCURACY_RO[],MATCH(K$50,MMWR_ACCURACY_RO[#Headers],0),0),"ERROR"))</f>
        <v>0.95160262468609058</v>
      </c>
      <c r="L34" s="264">
        <f>IF($B34=" ","",IFERROR(VLOOKUP($B34,MMWR_ACCURACY_RO[],MATCH(L$50,MMWR_ACCURACY_RO[#Headers],0),0),"ERROR"))</f>
        <v>0.96399894169750566</v>
      </c>
      <c r="M34" s="264">
        <f>IF($B34=" ","",IFERROR(VLOOKUP($B34,MMWR_ACCURACY_RO[],MATCH(M$50,MMWR_ACCURACY_RO[#Headers],0),0),"ERROR"))</f>
        <v>1.6489981077915702E-2</v>
      </c>
      <c r="N34" s="264">
        <f>IF($B34=" ","",IFERROR(VLOOKUP($B34,MMWR_ACCURACY_RO[],MATCH(N$50,MMWR_ACCURACY_RO[#Headers],0),0),"ERROR"))</f>
        <v>0.96300643857320334</v>
      </c>
      <c r="O34" s="264">
        <f>IF($B34=" ","",IFERROR(VLOOKUP($B34,MMWR_ACCURACY_RO[],MATCH(O$50,MMWR_ACCURACY_RO[#Headers],0),0),"ERROR"))</f>
        <v>1.9719875218875204E-2</v>
      </c>
      <c r="P34" s="28"/>
    </row>
    <row r="35" spans="1:16" x14ac:dyDescent="0.2">
      <c r="A35" s="25"/>
      <c r="B35" s="12" t="s">
        <v>216</v>
      </c>
      <c r="C35" s="155">
        <f>IF($B35=" ","",IFERROR(INDEX(MMWR_RATING_RO_ROLLUP[],MATCH($B35,MMWR_RATING_RO_ROLLUP[MMWR_RATING_RO_ROLLUP],0),MATCH(C$9,MMWR_RATING_RO_ROLLUP[#Headers],0)),"ERROR"))</f>
        <v>7778</v>
      </c>
      <c r="D35" s="156">
        <f>IF($B35=" ","",IFERROR(INDEX(MMWR_RATING_RO_ROLLUP[],MATCH($B35,MMWR_RATING_RO_ROLLUP[MMWR_RATING_RO_ROLLUP],0),MATCH(D$9,MMWR_RATING_RO_ROLLUP[#Headers],0)),"ERROR"))</f>
        <v>66.452944201600005</v>
      </c>
      <c r="E35" s="157">
        <f>IF($B35=" ","",IFERROR(INDEX(MMWR_RATING_RO_ROLLUP[],MATCH($B35,MMWR_RATING_RO_ROLLUP[MMWR_RATING_RO_ROLLUP],0),MATCH(E$9,MMWR_RATING_RO_ROLLUP[#Headers],0))/$C35,"ERROR"))</f>
        <v>9.0125996400102854E-2</v>
      </c>
      <c r="F35" s="155">
        <f>IF($B35=" ","",IFERROR(INDEX(MMWR_RATING_RO_ROLLUP[],MATCH($B35,MMWR_RATING_RO_ROLLUP[MMWR_RATING_RO_ROLLUP],0),MATCH(F$9,MMWR_RATING_RO_ROLLUP[#Headers],0)),"ERROR"))</f>
        <v>3605</v>
      </c>
      <c r="G35" s="155">
        <f>IF($B35=" ","",IFERROR(INDEX(MMWR_RATING_RO_ROLLUP[],MATCH($B35,MMWR_RATING_RO_ROLLUP[MMWR_RATING_RO_ROLLUP],0),MATCH(G$9,MMWR_RATING_RO_ROLLUP[#Headers],0)),"ERROR"))</f>
        <v>3605</v>
      </c>
      <c r="H35" s="156">
        <f>IF($B35=" ","",IFERROR(INDEX(MMWR_RATING_RO_ROLLUP[],MATCH($B35,MMWR_RATING_RO_ROLLUP[MMWR_RATING_RO_ROLLUP],0),MATCH(H$9,MMWR_RATING_RO_ROLLUP[#Headers],0)),"ERROR"))</f>
        <v>81.800554785000003</v>
      </c>
      <c r="I35" s="156">
        <f>IF($B35=" ","",IFERROR(INDEX(MMWR_RATING_RO_ROLLUP[],MATCH($B35,MMWR_RATING_RO_ROLLUP[MMWR_RATING_RO_ROLLUP],0),MATCH(I$9,MMWR_RATING_RO_ROLLUP[#Headers],0)),"ERROR"))</f>
        <v>81.800554785000003</v>
      </c>
      <c r="J35" s="42"/>
      <c r="K35" s="253">
        <f>IF($B35=" ","",IFERROR(VLOOKUP($B35,MMWR_ACCURACY_RO[],MATCH(K$50,MMWR_ACCURACY_RO[#Headers],0),0),"ERROR"))</f>
        <v>0.88344205262013464</v>
      </c>
      <c r="L35" s="253">
        <f>IF($B35=" ","",IFERROR(VLOOKUP($B35,MMWR_ACCURACY_RO[],MATCH(L$50,MMWR_ACCURACY_RO[#Headers],0),0),"ERROR"))</f>
        <v>0.95086237848457134</v>
      </c>
      <c r="M35" s="253">
        <f>IF($B35=" ","",IFERROR(VLOOKUP($B35,MMWR_ACCURACY_RO[],MATCH(M$50,MMWR_ACCURACY_RO[#Headers],0),0),"ERROR"))</f>
        <v>3.6346171305150603E-2</v>
      </c>
      <c r="N35" s="253">
        <f>IF($B35=" ","",IFERROR(VLOOKUP($B35,MMWR_ACCURACY_RO[],MATCH(N$50,MMWR_ACCURACY_RO[#Headers],0),0),"ERROR"))</f>
        <v>0.93329754203073223</v>
      </c>
      <c r="O35" s="253">
        <f>IF($B35=" ","",IFERROR(VLOOKUP($B35,MMWR_ACCURACY_RO[],MATCH(O$50,MMWR_ACCURACY_RO[#Headers],0),0),"ERROR"))</f>
        <v>4.5983312047488949E-2</v>
      </c>
      <c r="P35" s="28"/>
    </row>
    <row r="36" spans="1:16" x14ac:dyDescent="0.2">
      <c r="A36" s="43"/>
      <c r="B36" s="12" t="s">
        <v>215</v>
      </c>
      <c r="C36" s="155">
        <f>IF($B36=" ","",IFERROR(INDEX(MMWR_RATING_RO_ROLLUP[],MATCH($B36,MMWR_RATING_RO_ROLLUP[MMWR_RATING_RO_ROLLUP],0),MATCH(C$9,MMWR_RATING_RO_ROLLUP[#Headers],0)),"ERROR"))</f>
        <v>6659</v>
      </c>
      <c r="D36" s="156">
        <f>IF($B36=" ","",IFERROR(INDEX(MMWR_RATING_RO_ROLLUP[],MATCH($B36,MMWR_RATING_RO_ROLLUP[MMWR_RATING_RO_ROLLUP],0),MATCH(D$9,MMWR_RATING_RO_ROLLUP[#Headers],0)),"ERROR"))</f>
        <v>57.194173299299997</v>
      </c>
      <c r="E36" s="157">
        <f>IF($B36=" ","",IFERROR(INDEX(MMWR_RATING_RO_ROLLUP[],MATCH($B36,MMWR_RATING_RO_ROLLUP[MMWR_RATING_RO_ROLLUP],0),MATCH(E$9,MMWR_RATING_RO_ROLLUP[#Headers],0))/$C36,"ERROR"))</f>
        <v>6.3523051509235623E-2</v>
      </c>
      <c r="F36" s="155">
        <f>IF($B36=" ","",IFERROR(INDEX(MMWR_RATING_RO_ROLLUP[],MATCH($B36,MMWR_RATING_RO_ROLLUP[MMWR_RATING_RO_ROLLUP],0),MATCH(F$9,MMWR_RATING_RO_ROLLUP[#Headers],0)),"ERROR"))</f>
        <v>3134</v>
      </c>
      <c r="G36" s="155">
        <f>IF($B36=" ","",IFERROR(INDEX(MMWR_RATING_RO_ROLLUP[],MATCH($B36,MMWR_RATING_RO_ROLLUP[MMWR_RATING_RO_ROLLUP],0),MATCH(G$9,MMWR_RATING_RO_ROLLUP[#Headers],0)),"ERROR"))</f>
        <v>3134</v>
      </c>
      <c r="H36" s="156">
        <f>IF($B36=" ","",IFERROR(INDEX(MMWR_RATING_RO_ROLLUP[],MATCH($B36,MMWR_RATING_RO_ROLLUP[MMWR_RATING_RO_ROLLUP],0),MATCH(H$9,MMWR_RATING_RO_ROLLUP[#Headers],0)),"ERROR"))</f>
        <v>63.2862156988</v>
      </c>
      <c r="I36" s="156">
        <f>IF($B36=" ","",IFERROR(INDEX(MMWR_RATING_RO_ROLLUP[],MATCH($B36,MMWR_RATING_RO_ROLLUP[MMWR_RATING_RO_ROLLUP],0),MATCH(I$9,MMWR_RATING_RO_ROLLUP[#Headers],0)),"ERROR"))</f>
        <v>63.2862156988</v>
      </c>
      <c r="J36" s="42"/>
      <c r="K36" s="253">
        <f>IF($B36=" ","",IFERROR(VLOOKUP($B36,MMWR_ACCURACY_RO[],MATCH(K$50,MMWR_ACCURACY_RO[#Headers],0),0),"ERROR"))</f>
        <v>0.96443507808926343</v>
      </c>
      <c r="L36" s="253">
        <f>IF($B36=" ","",IFERROR(VLOOKUP($B36,MMWR_ACCURACY_RO[],MATCH(L$50,MMWR_ACCURACY_RO[#Headers],0),0),"ERROR"))</f>
        <v>0.94246724745958388</v>
      </c>
      <c r="M36" s="253">
        <f>IF($B36=" ","",IFERROR(VLOOKUP($B36,MMWR_ACCURACY_RO[],MATCH(M$50,MMWR_ACCURACY_RO[#Headers],0),0),"ERROR"))</f>
        <v>3.65270119796854E-2</v>
      </c>
      <c r="N36" s="253">
        <f>IF($B36=" ","",IFERROR(VLOOKUP($B36,MMWR_ACCURACY_RO[],MATCH(N$50,MMWR_ACCURACY_RO[#Headers],0),0),"ERROR"))</f>
        <v>0.98916148473289089</v>
      </c>
      <c r="O36" s="253">
        <f>IF($B36=" ","",IFERROR(VLOOKUP($B36,MMWR_ACCURACY_RO[],MATCH(O$50,MMWR_ACCURACY_RO[#Headers],0),0),"ERROR"))</f>
        <v>1.3449144113758749E-2</v>
      </c>
      <c r="P36" s="28"/>
    </row>
    <row r="37" spans="1:16" x14ac:dyDescent="0.2">
      <c r="A37" s="25"/>
      <c r="B37" s="12" t="s">
        <v>218</v>
      </c>
      <c r="C37" s="155">
        <f>IF($B37=" ","",IFERROR(INDEX(MMWR_RATING_RO_ROLLUP[],MATCH($B37,MMWR_RATING_RO_ROLLUP[MMWR_RATING_RO_ROLLUP],0),MATCH(C$9,MMWR_RATING_RO_ROLLUP[#Headers],0)),"ERROR"))</f>
        <v>7673</v>
      </c>
      <c r="D37" s="156">
        <f>IF($B37=" ","",IFERROR(INDEX(MMWR_RATING_RO_ROLLUP[],MATCH($B37,MMWR_RATING_RO_ROLLUP[MMWR_RATING_RO_ROLLUP],0),MATCH(D$9,MMWR_RATING_RO_ROLLUP[#Headers],0)),"ERROR"))</f>
        <v>54.9142447543</v>
      </c>
      <c r="E37" s="157">
        <f>IF($B37=" ","",IFERROR(INDEX(MMWR_RATING_RO_ROLLUP[],MATCH($B37,MMWR_RATING_RO_ROLLUP[MMWR_RATING_RO_ROLLUP],0),MATCH(E$9,MMWR_RATING_RO_ROLLUP[#Headers],0))/$C37,"ERROR"))</f>
        <v>5.6561970546070636E-2</v>
      </c>
      <c r="F37" s="155">
        <f>IF($B37=" ","",IFERROR(INDEX(MMWR_RATING_RO_ROLLUP[],MATCH($B37,MMWR_RATING_RO_ROLLUP[MMWR_RATING_RO_ROLLUP],0),MATCH(F$9,MMWR_RATING_RO_ROLLUP[#Headers],0)),"ERROR"))</f>
        <v>4775</v>
      </c>
      <c r="G37" s="155">
        <f>IF($B37=" ","",IFERROR(INDEX(MMWR_RATING_RO_ROLLUP[],MATCH($B37,MMWR_RATING_RO_ROLLUP[MMWR_RATING_RO_ROLLUP],0),MATCH(G$9,MMWR_RATING_RO_ROLLUP[#Headers],0)),"ERROR"))</f>
        <v>4775</v>
      </c>
      <c r="H37" s="156">
        <f>IF($B37=" ","",IFERROR(INDEX(MMWR_RATING_RO_ROLLUP[],MATCH($B37,MMWR_RATING_RO_ROLLUP[MMWR_RATING_RO_ROLLUP],0),MATCH(H$9,MMWR_RATING_RO_ROLLUP[#Headers],0)),"ERROR"))</f>
        <v>62.980523560199998</v>
      </c>
      <c r="I37" s="156">
        <f>IF($B37=" ","",IFERROR(INDEX(MMWR_RATING_RO_ROLLUP[],MATCH($B37,MMWR_RATING_RO_ROLLUP[MMWR_RATING_RO_ROLLUP],0),MATCH(I$9,MMWR_RATING_RO_ROLLUP[#Headers],0)),"ERROR"))</f>
        <v>62.980523560199998</v>
      </c>
      <c r="J37" s="42"/>
      <c r="K37" s="253">
        <f>IF($B37=" ","",IFERROR(VLOOKUP($B37,MMWR_ACCURACY_RO[],MATCH(K$50,MMWR_ACCURACY_RO[#Headers],0),0),"ERROR"))</f>
        <v>1</v>
      </c>
      <c r="L37" s="253">
        <f>IF($B37=" ","",IFERROR(VLOOKUP($B37,MMWR_ACCURACY_RO[],MATCH(L$50,MMWR_ACCURACY_RO[#Headers],0),0),"ERROR"))</f>
        <v>0.99183479661474583</v>
      </c>
      <c r="M37" s="253">
        <f>IF($B37=" ","",IFERROR(VLOOKUP($B37,MMWR_ACCURACY_RO[],MATCH(M$50,MMWR_ACCURACY_RO[#Headers],0),0),"ERROR"))</f>
        <v>9.7910430844567742E-3</v>
      </c>
      <c r="N37" s="253">
        <f>IF($B37=" ","",IFERROR(VLOOKUP($B37,MMWR_ACCURACY_RO[],MATCH(N$50,MMWR_ACCURACY_RO[#Headers],0),0),"ERROR"))</f>
        <v>0.96758764966882405</v>
      </c>
      <c r="O37" s="253">
        <f>IF($B37=" ","",IFERROR(VLOOKUP($B37,MMWR_ACCURACY_RO[],MATCH(O$50,MMWR_ACCURACY_RO[#Headers],0),0),"ERROR"))</f>
        <v>3.2715751039337063E-2</v>
      </c>
      <c r="P37" s="28"/>
    </row>
    <row r="38" spans="1:16" x14ac:dyDescent="0.2">
      <c r="A38" s="25"/>
      <c r="B38" s="13" t="s">
        <v>230</v>
      </c>
      <c r="C38" s="155">
        <f>IF($B38=" ","",IFERROR(INDEX(MMWR_RATING_RO_ROLLUP[],MATCH($B38,MMWR_RATING_RO_ROLLUP[MMWR_RATING_RO_ROLLUP],0),MATCH(C$9,MMWR_RATING_RO_ROLLUP[#Headers],0)),"ERROR"))</f>
        <v>516</v>
      </c>
      <c r="D38" s="156">
        <f>IF($B38=" ","",IFERROR(INDEX(MMWR_RATING_RO_ROLLUP[],MATCH($B38,MMWR_RATING_RO_ROLLUP[MMWR_RATING_RO_ROLLUP],0),MATCH(D$9,MMWR_RATING_RO_ROLLUP[#Headers],0)),"ERROR"))</f>
        <v>181.7868217054</v>
      </c>
      <c r="E38" s="157">
        <f>IF($B38=" ","",IFERROR(INDEX(MMWR_RATING_RO_ROLLUP[],MATCH($B38,MMWR_RATING_RO_ROLLUP[MMWR_RATING_RO_ROLLUP],0),MATCH(E$9,MMWR_RATING_RO_ROLLUP[#Headers],0))/$C38,"ERROR"))</f>
        <v>0.49806201550387597</v>
      </c>
      <c r="F38" s="155">
        <f>IF($B38=" ","",IFERROR(INDEX(MMWR_RATING_RO_ROLLUP[],MATCH($B38,MMWR_RATING_RO_ROLLUP[MMWR_RATING_RO_ROLLUP],0),MATCH(F$9,MMWR_RATING_RO_ROLLUP[#Headers],0)),"ERROR"))</f>
        <v>352</v>
      </c>
      <c r="G38" s="155">
        <f>IF($B38=" ","",IFERROR(INDEX(MMWR_RATING_RO_ROLLUP[],MATCH($B38,MMWR_RATING_RO_ROLLUP[MMWR_RATING_RO_ROLLUP],0),MATCH(G$9,MMWR_RATING_RO_ROLLUP[#Headers],0)),"ERROR"))</f>
        <v>352</v>
      </c>
      <c r="H38" s="156">
        <f>IF($B38=" ","",IFERROR(INDEX(MMWR_RATING_RO_ROLLUP[],MATCH($B38,MMWR_RATING_RO_ROLLUP[MMWR_RATING_RO_ROLLUP],0),MATCH(H$9,MMWR_RATING_RO_ROLLUP[#Headers],0)),"ERROR"))</f>
        <v>37.480113636399999</v>
      </c>
      <c r="I38" s="156">
        <f>IF($B38=" ","",IFERROR(INDEX(MMWR_RATING_RO_ROLLUP[],MATCH($B38,MMWR_RATING_RO_ROLLUP[MMWR_RATING_RO_ROLLUP],0),MATCH(I$9,MMWR_RATING_RO_ROLLUP[#Headers],0)),"ERROR"))</f>
        <v>37.480113636399999</v>
      </c>
      <c r="J38" s="42"/>
      <c r="K38" s="42"/>
      <c r="L38" s="42"/>
      <c r="M38" s="42"/>
      <c r="N38" s="42"/>
      <c r="O38" s="42"/>
      <c r="P38" s="28"/>
    </row>
    <row r="39" spans="1:16" x14ac:dyDescent="0.2">
      <c r="A39" s="25"/>
      <c r="B39" s="377" t="s">
        <v>923</v>
      </c>
      <c r="C39" s="378"/>
      <c r="D39" s="378"/>
      <c r="E39" s="378"/>
      <c r="F39" s="378"/>
      <c r="G39" s="378"/>
      <c r="H39" s="378"/>
      <c r="I39" s="378"/>
      <c r="J39" s="378"/>
      <c r="K39" s="378"/>
      <c r="L39" s="378"/>
      <c r="M39" s="378"/>
      <c r="N39" s="378"/>
      <c r="O39" s="378"/>
      <c r="P39" s="28"/>
    </row>
    <row r="40" spans="1:16" x14ac:dyDescent="0.2">
      <c r="A40" s="25"/>
      <c r="B40" s="44" t="s">
        <v>704</v>
      </c>
      <c r="C40" s="155">
        <f>IF($B40=" ","",IFERROR(INDEX(MMWR_RATING_RO_ROLLUP[],MATCH($B40,MMWR_RATING_RO_ROLLUP[MMWR_RATING_RO_ROLLUP],0),MATCH(C$9,MMWR_RATING_RO_ROLLUP[#Headers],0)),"ERROR"))</f>
        <v>9976</v>
      </c>
      <c r="D40" s="156">
        <f>IF($B40=" ","",IFERROR(INDEX(MMWR_RATING_RO_ROLLUP[],MATCH($B40,MMWR_RATING_RO_ROLLUP[MMWR_RATING_RO_ROLLUP],0),MATCH(D$9,MMWR_RATING_RO_ROLLUP[#Headers],0)),"ERROR"))</f>
        <v>74.850541299100001</v>
      </c>
      <c r="E40" s="157">
        <f>IF($B40=" ","",IFERROR(INDEX(MMWR_RATING_RO_ROLLUP[],MATCH($B40,MMWR_RATING_RO_ROLLUP[MMWR_RATING_RO_ROLLUP],0),MATCH(E$9,MMWR_RATING_RO_ROLLUP[#Headers],0))/$C40,"ERROR"))</f>
        <v>0.12910986367281477</v>
      </c>
      <c r="F40" s="155">
        <f>IF($B40=" ","",IFERROR(INDEX(MMWR_RATING_RO_ROLLUP[],MATCH($B40,MMWR_RATING_RO_ROLLUP[MMWR_RATING_RO_ROLLUP],0),MATCH(F$9,MMWR_RATING_RO_ROLLUP[#Headers],0)),"ERROR"))</f>
        <v>1398</v>
      </c>
      <c r="G40" s="155">
        <f>IF($B40=" ","",IFERROR(INDEX(MMWR_RATING_RO_ROLLUP[],MATCH($B40,MMWR_RATING_RO_ROLLUP[MMWR_RATING_RO_ROLLUP],0),MATCH(G$9,MMWR_RATING_RO_ROLLUP[#Headers],0)),"ERROR"))</f>
        <v>1398</v>
      </c>
      <c r="H40" s="156">
        <f>IF($B40=" ","",IFERROR(INDEX(MMWR_RATING_RO_ROLLUP[],MATCH($B40,MMWR_RATING_RO_ROLLUP[MMWR_RATING_RO_ROLLUP],0),MATCH(H$9,MMWR_RATING_RO_ROLLUP[#Headers],0)),"ERROR"))</f>
        <v>132.9949928469</v>
      </c>
      <c r="I40" s="156">
        <f>IF($B40=" ","",IFERROR(INDEX(MMWR_RATING_RO_ROLLUP[],MATCH($B40,MMWR_RATING_RO_ROLLUP[MMWR_RATING_RO_ROLLUP],0),MATCH(I$9,MMWR_RATING_RO_ROLLUP[#Headers],0)),"ERROR"))</f>
        <v>132.9949928469</v>
      </c>
      <c r="J40" s="42"/>
      <c r="K40" s="42"/>
      <c r="L40" s="42"/>
      <c r="M40" s="42"/>
      <c r="N40" s="42"/>
      <c r="O40" s="42"/>
      <c r="P40" s="28"/>
    </row>
    <row r="41" spans="1:16" x14ac:dyDescent="0.2">
      <c r="A41" s="25"/>
      <c r="B41" s="45" t="s">
        <v>963</v>
      </c>
      <c r="C41" s="155">
        <f>IF($B41=" ","",IFERROR(INDEX(MMWR_RATING_RO_ROLLUP[],MATCH($B41,MMWR_RATING_RO_ROLLUP[MMWR_RATING_RO_ROLLUP],0),MATCH(C$9,MMWR_RATING_RO_ROLLUP[#Headers],0)),"ERROR"))</f>
        <v>4349</v>
      </c>
      <c r="D41" s="156">
        <f>IF($B41=" ","",IFERROR(INDEX(MMWR_RATING_RO_ROLLUP[],MATCH($B41,MMWR_RATING_RO_ROLLUP[MMWR_RATING_RO_ROLLUP],0),MATCH(D$9,MMWR_RATING_RO_ROLLUP[#Headers],0)),"ERROR"))</f>
        <v>68.447229248100001</v>
      </c>
      <c r="E41" s="157">
        <f>IF($B41=" ","",IFERROR(INDEX(MMWR_RATING_RO_ROLLUP[],MATCH($B41,MMWR_RATING_RO_ROLLUP[MMWR_RATING_RO_ROLLUP],0),MATCH(E$9,MMWR_RATING_RO_ROLLUP[#Headers],0))/$C41,"ERROR"))</f>
        <v>9.1285352954702234E-2</v>
      </c>
      <c r="F41" s="155">
        <f>IF($B41=" ","",IFERROR(INDEX(MMWR_RATING_RO_ROLLUP[],MATCH($B41,MMWR_RATING_RO_ROLLUP[MMWR_RATING_RO_ROLLUP],0),MATCH(F$9,MMWR_RATING_RO_ROLLUP[#Headers],0)),"ERROR"))</f>
        <v>768</v>
      </c>
      <c r="G41" s="155">
        <f>IF($B41=" ","",IFERROR(INDEX(MMWR_RATING_RO_ROLLUP[],MATCH($B41,MMWR_RATING_RO_ROLLUP[MMWR_RATING_RO_ROLLUP],0),MATCH(G$9,MMWR_RATING_RO_ROLLUP[#Headers],0)),"ERROR"))</f>
        <v>768</v>
      </c>
      <c r="H41" s="156">
        <f>IF($B41=" ","",IFERROR(INDEX(MMWR_RATING_RO_ROLLUP[],MATCH($B41,MMWR_RATING_RO_ROLLUP[MMWR_RATING_RO_ROLLUP],0),MATCH(H$9,MMWR_RATING_RO_ROLLUP[#Headers],0)),"ERROR"))</f>
        <v>114.8072916667</v>
      </c>
      <c r="I41" s="156">
        <f>IF($B41=" ","",IFERROR(INDEX(MMWR_RATING_RO_ROLLUP[],MATCH($B41,MMWR_RATING_RO_ROLLUP[MMWR_RATING_RO_ROLLUP],0),MATCH(I$9,MMWR_RATING_RO_ROLLUP[#Headers],0)),"ERROR"))</f>
        <v>114.8072916667</v>
      </c>
      <c r="J41" s="42"/>
      <c r="K41" s="42"/>
      <c r="L41" s="42"/>
      <c r="M41" s="42"/>
      <c r="N41" s="42"/>
      <c r="O41" s="42"/>
      <c r="P41" s="28"/>
    </row>
    <row r="42" spans="1:16" x14ac:dyDescent="0.2">
      <c r="A42" s="25"/>
      <c r="B42" s="45" t="s">
        <v>964</v>
      </c>
      <c r="C42" s="155">
        <f>IF($B42=" ","",IFERROR(INDEX(MMWR_RATING_RO_ROLLUP[],MATCH($B42,MMWR_RATING_RO_ROLLUP[MMWR_RATING_RO_ROLLUP],0),MATCH(C$9,MMWR_RATING_RO_ROLLUP[#Headers],0)),"ERROR"))</f>
        <v>5114</v>
      </c>
      <c r="D42" s="156">
        <f>IF($B42=" ","",IFERROR(INDEX(MMWR_RATING_RO_ROLLUP[],MATCH($B42,MMWR_RATING_RO_ROLLUP[MMWR_RATING_RO_ROLLUP],0),MATCH(D$9,MMWR_RATING_RO_ROLLUP[#Headers],0)),"ERROR"))</f>
        <v>81.3455220962</v>
      </c>
      <c r="E42" s="157">
        <f>IF($B42=" ","",IFERROR(INDEX(MMWR_RATING_RO_ROLLUP[],MATCH($B42,MMWR_RATING_RO_ROLLUP[MMWR_RATING_RO_ROLLUP],0),MATCH(E$9,MMWR_RATING_RO_ROLLUP[#Headers],0))/$C42,"ERROR"))</f>
        <v>0.16405944466171293</v>
      </c>
      <c r="F42" s="155">
        <f>IF($B42=" ","",IFERROR(INDEX(MMWR_RATING_RO_ROLLUP[],MATCH($B42,MMWR_RATING_RO_ROLLUP[MMWR_RATING_RO_ROLLUP],0),MATCH(F$9,MMWR_RATING_RO_ROLLUP[#Headers],0)),"ERROR"))</f>
        <v>597</v>
      </c>
      <c r="G42" s="155">
        <f>IF($B42=" ","",IFERROR(INDEX(MMWR_RATING_RO_ROLLUP[],MATCH($B42,MMWR_RATING_RO_ROLLUP[MMWR_RATING_RO_ROLLUP],0),MATCH(G$9,MMWR_RATING_RO_ROLLUP[#Headers],0)),"ERROR"))</f>
        <v>597</v>
      </c>
      <c r="H42" s="156">
        <f>IF($B42=" ","",IFERROR(INDEX(MMWR_RATING_RO_ROLLUP[],MATCH($B42,MMWR_RATING_RO_ROLLUP[MMWR_RATING_RO_ROLLUP],0),MATCH(H$9,MMWR_RATING_RO_ROLLUP[#Headers],0)),"ERROR"))</f>
        <v>157.65996649920001</v>
      </c>
      <c r="I42" s="156">
        <f>IF($B42=" ","",IFERROR(INDEX(MMWR_RATING_RO_ROLLUP[],MATCH($B42,MMWR_RATING_RO_ROLLUP[MMWR_RATING_RO_ROLLUP],0),MATCH(I$9,MMWR_RATING_RO_ROLLUP[#Headers],0)),"ERROR"))</f>
        <v>157.65996649920001</v>
      </c>
      <c r="J42" s="42"/>
      <c r="K42" s="42"/>
      <c r="L42" s="42"/>
      <c r="M42" s="42"/>
      <c r="N42" s="42"/>
      <c r="O42" s="42"/>
      <c r="P42" s="28"/>
    </row>
    <row r="43" spans="1:16" x14ac:dyDescent="0.2">
      <c r="A43" s="25"/>
      <c r="B43" s="46" t="s">
        <v>313</v>
      </c>
      <c r="C43" s="155">
        <f>IF($B43=" ","",IFERROR(INDEX(MMWR_RATING_RO_ROLLUP[],MATCH($B43,MMWR_RATING_RO_ROLLUP[MMWR_RATING_RO_ROLLUP],0),MATCH(C$9,MMWR_RATING_RO_ROLLUP[#Headers],0)),"ERROR"))</f>
        <v>513</v>
      </c>
      <c r="D43" s="156">
        <f>IF($B43=" ","",IFERROR(INDEX(MMWR_RATING_RO_ROLLUP[],MATCH($B43,MMWR_RATING_RO_ROLLUP[MMWR_RATING_RO_ROLLUP],0),MATCH(D$9,MMWR_RATING_RO_ROLLUP[#Headers],0)),"ERROR"))</f>
        <v>64.387914230000007</v>
      </c>
      <c r="E43" s="157">
        <f>IF($B43=" ","",IFERROR(INDEX(MMWR_RATING_RO_ROLLUP[],MATCH($B43,MMWR_RATING_RO_ROLLUP[MMWR_RATING_RO_ROLLUP],0),MATCH(E$9,MMWR_RATING_RO_ROLLUP[#Headers],0))/$C43,"ERROR"))</f>
        <v>0.10136452241715399</v>
      </c>
      <c r="F43" s="155">
        <f>IF($B43=" ","",IFERROR(INDEX(MMWR_RATING_RO_ROLLUP[],MATCH($B43,MMWR_RATING_RO_ROLLUP[MMWR_RATING_RO_ROLLUP],0),MATCH(F$9,MMWR_RATING_RO_ROLLUP[#Headers],0)),"ERROR"))</f>
        <v>33</v>
      </c>
      <c r="G43" s="155">
        <f>IF($B43=" ","",IFERROR(INDEX(MMWR_RATING_RO_ROLLUP[],MATCH($B43,MMWR_RATING_RO_ROLLUP[MMWR_RATING_RO_ROLLUP],0),MATCH(G$9,MMWR_RATING_RO_ROLLUP[#Headers],0)),"ERROR"))</f>
        <v>33</v>
      </c>
      <c r="H43" s="156">
        <f>IF($B43=" ","",IFERROR(INDEX(MMWR_RATING_RO_ROLLUP[],MATCH($B43,MMWR_RATING_RO_ROLLUP[MMWR_RATING_RO_ROLLUP],0),MATCH(H$9,MMWR_RATING_RO_ROLLUP[#Headers],0)),"ERROR"))</f>
        <v>110.06060606059999</v>
      </c>
      <c r="I43" s="156">
        <f>IF($B43=" ","",IFERROR(INDEX(MMWR_RATING_RO_ROLLUP[],MATCH($B43,MMWR_RATING_RO_ROLLUP[MMWR_RATING_RO_ROLLUP],0),MATCH(I$9,MMWR_RATING_RO_ROLLUP[#Headers],0)),"ERROR"))</f>
        <v>110.06060606059999</v>
      </c>
      <c r="J43" s="42"/>
      <c r="K43" s="42"/>
      <c r="L43" s="42"/>
      <c r="M43" s="42"/>
      <c r="N43" s="42"/>
      <c r="O43" s="42"/>
      <c r="P43" s="28"/>
    </row>
    <row r="44" spans="1:16" x14ac:dyDescent="0.2">
      <c r="A44" s="25"/>
      <c r="B44" s="377" t="s">
        <v>741</v>
      </c>
      <c r="C44" s="378"/>
      <c r="D44" s="378"/>
      <c r="E44" s="378"/>
      <c r="F44" s="378"/>
      <c r="G44" s="378"/>
      <c r="H44" s="378"/>
      <c r="I44" s="378"/>
      <c r="J44" s="378"/>
      <c r="K44" s="378"/>
      <c r="L44" s="378"/>
      <c r="M44" s="378"/>
      <c r="N44" s="378"/>
      <c r="O44" s="378"/>
      <c r="P44" s="28"/>
    </row>
    <row r="45" spans="1:16" x14ac:dyDescent="0.2">
      <c r="A45" s="25"/>
      <c r="B45" s="44" t="s">
        <v>702</v>
      </c>
      <c r="C45" s="155">
        <f>IF($B45=" ","",IFERROR(INDEX(MMWR_RATING_RO_ROLLUP[],MATCH($B45,MMWR_RATING_RO_ROLLUP[MMWR_RATING_RO_ROLLUP],0),MATCH(C$9,MMWR_RATING_RO_ROLLUP[#Headers],0)),"ERROR"))</f>
        <v>11053</v>
      </c>
      <c r="D45" s="156">
        <f>IF($B45=" ","",IFERROR(INDEX(MMWR_RATING_RO_ROLLUP[],MATCH($B45,MMWR_RATING_RO_ROLLUP[MMWR_RATING_RO_ROLLUP],0),MATCH(D$9,MMWR_RATING_RO_ROLLUP[#Headers],0)),"ERROR"))</f>
        <v>76.560481317300003</v>
      </c>
      <c r="E45" s="157">
        <f>IF($B45=" ","",IFERROR(INDEX(MMWR_RATING_RO_ROLLUP[],MATCH($B45,MMWR_RATING_RO_ROLLUP[MMWR_RATING_RO_ROLLUP],0),MATCH(E$9,MMWR_RATING_RO_ROLLUP[#Headers],0))/$C45,"ERROR"))</f>
        <v>0.1024156337645888</v>
      </c>
      <c r="F45" s="155">
        <f>IF($B45=" ","",IFERROR(INDEX(MMWR_RATING_RO_ROLLUP[],MATCH($B45,MMWR_RATING_RO_ROLLUP[MMWR_RATING_RO_ROLLUP],0),MATCH(F$9,MMWR_RATING_RO_ROLLUP[#Headers],0)),"ERROR"))</f>
        <v>1576</v>
      </c>
      <c r="G45" s="155">
        <f>IF($B45=" ","",IFERROR(INDEX(MMWR_RATING_RO_ROLLUP[],MATCH($B45,MMWR_RATING_RO_ROLLUP[MMWR_RATING_RO_ROLLUP],0),MATCH(G$9,MMWR_RATING_RO_ROLLUP[#Headers],0)),"ERROR"))</f>
        <v>1576</v>
      </c>
      <c r="H45" s="156">
        <f>IF($B45=" ","",IFERROR(INDEX(MMWR_RATING_RO_ROLLUP[],MATCH($B45,MMWR_RATING_RO_ROLLUP[MMWR_RATING_RO_ROLLUP],0),MATCH(H$9,MMWR_RATING_RO_ROLLUP[#Headers],0)),"ERROR"))</f>
        <v>129.00761421319999</v>
      </c>
      <c r="I45" s="156">
        <f>IF($B45=" ","",IFERROR(INDEX(MMWR_RATING_RO_ROLLUP[],MATCH($B45,MMWR_RATING_RO_ROLLUP[MMWR_RATING_RO_ROLLUP],0),MATCH(I$9,MMWR_RATING_RO_ROLLUP[#Headers],0)),"ERROR"))</f>
        <v>129.00761421319999</v>
      </c>
      <c r="J45" s="42"/>
      <c r="K45" s="42"/>
      <c r="L45" s="42"/>
      <c r="M45" s="42"/>
      <c r="N45" s="42"/>
      <c r="O45" s="42"/>
      <c r="P45" s="28"/>
    </row>
    <row r="46" spans="1:16" x14ac:dyDescent="0.2">
      <c r="A46" s="25"/>
      <c r="B46" s="45" t="s">
        <v>217</v>
      </c>
      <c r="C46" s="155">
        <f>IF($B46=" ","",IFERROR(INDEX(MMWR_RATING_RO_ROLLUP[],MATCH($B46,MMWR_RATING_RO_ROLLUP[MMWR_RATING_RO_ROLLUP],0),MATCH(C$9,MMWR_RATING_RO_ROLLUP[#Headers],0)),"ERROR"))</f>
        <v>3982</v>
      </c>
      <c r="D46" s="156">
        <f>IF($B46=" ","",IFERROR(INDEX(MMWR_RATING_RO_ROLLUP[],MATCH($B46,MMWR_RATING_RO_ROLLUP[MMWR_RATING_RO_ROLLUP],0),MATCH(D$9,MMWR_RATING_RO_ROLLUP[#Headers],0)),"ERROR"))</f>
        <v>68.351330989499999</v>
      </c>
      <c r="E46" s="157">
        <f>IF($B46=" ","",IFERROR(INDEX(MMWR_RATING_RO_ROLLUP[],MATCH($B46,MMWR_RATING_RO_ROLLUP[MMWR_RATING_RO_ROLLUP],0),MATCH(E$9,MMWR_RATING_RO_ROLLUP[#Headers],0))/$C46,"ERROR"))</f>
        <v>5.1983927674535406E-2</v>
      </c>
      <c r="F46" s="155">
        <f>IF($B46=" ","",IFERROR(INDEX(MMWR_RATING_RO_ROLLUP[],MATCH($B46,MMWR_RATING_RO_ROLLUP[MMWR_RATING_RO_ROLLUP],0),MATCH(F$9,MMWR_RATING_RO_ROLLUP[#Headers],0)),"ERROR"))</f>
        <v>752</v>
      </c>
      <c r="G46" s="155">
        <f>IF($B46=" ","",IFERROR(INDEX(MMWR_RATING_RO_ROLLUP[],MATCH($B46,MMWR_RATING_RO_ROLLUP[MMWR_RATING_RO_ROLLUP],0),MATCH(G$9,MMWR_RATING_RO_ROLLUP[#Headers],0)),"ERROR"))</f>
        <v>752</v>
      </c>
      <c r="H46" s="156">
        <f>IF($B46=" ","",IFERROR(INDEX(MMWR_RATING_RO_ROLLUP[],MATCH($B46,MMWR_RATING_RO_ROLLUP[MMWR_RATING_RO_ROLLUP],0),MATCH(H$9,MMWR_RATING_RO_ROLLUP[#Headers],0)),"ERROR"))</f>
        <v>115.977393617</v>
      </c>
      <c r="I46" s="156">
        <f>IF($B46=" ","",IFERROR(INDEX(MMWR_RATING_RO_ROLLUP[],MATCH($B46,MMWR_RATING_RO_ROLLUP[MMWR_RATING_RO_ROLLUP],0),MATCH(I$9,MMWR_RATING_RO_ROLLUP[#Headers],0)),"ERROR"))</f>
        <v>115.977393617</v>
      </c>
      <c r="J46" s="42"/>
      <c r="K46" s="42"/>
      <c r="L46" s="42"/>
      <c r="M46" s="42"/>
      <c r="N46" s="42"/>
      <c r="O46" s="42"/>
      <c r="P46" s="28"/>
    </row>
    <row r="47" spans="1:16" x14ac:dyDescent="0.2">
      <c r="A47" s="25"/>
      <c r="B47" s="45" t="s">
        <v>219</v>
      </c>
      <c r="C47" s="155">
        <f>IF($B47=" ","",IFERROR(INDEX(MMWR_RATING_RO_ROLLUP[],MATCH($B47,MMWR_RATING_RO_ROLLUP[MMWR_RATING_RO_ROLLUP],0),MATCH(C$9,MMWR_RATING_RO_ROLLUP[#Headers],0)),"ERROR"))</f>
        <v>6420</v>
      </c>
      <c r="D47" s="156">
        <f>IF($B47=" ","",IFERROR(INDEX(MMWR_RATING_RO_ROLLUP[],MATCH($B47,MMWR_RATING_RO_ROLLUP[MMWR_RATING_RO_ROLLUP],0),MATCH(D$9,MMWR_RATING_RO_ROLLUP[#Headers],0)),"ERROR"))</f>
        <v>82.100934579400004</v>
      </c>
      <c r="E47" s="157">
        <f>IF($B47=" ","",IFERROR(INDEX(MMWR_RATING_RO_ROLLUP[],MATCH($B47,MMWR_RATING_RO_ROLLUP[MMWR_RATING_RO_ROLLUP],0),MATCH(E$9,MMWR_RATING_RO_ROLLUP[#Headers],0))/$C47,"ERROR"))</f>
        <v>0.13115264797507789</v>
      </c>
      <c r="F47" s="155">
        <f>IF($B47=" ","",IFERROR(INDEX(MMWR_RATING_RO_ROLLUP[],MATCH($B47,MMWR_RATING_RO_ROLLUP[MMWR_RATING_RO_ROLLUP],0),MATCH(F$9,MMWR_RATING_RO_ROLLUP[#Headers],0)),"ERROR"))</f>
        <v>704</v>
      </c>
      <c r="G47" s="155">
        <f>IF($B47=" ","",IFERROR(INDEX(MMWR_RATING_RO_ROLLUP[],MATCH($B47,MMWR_RATING_RO_ROLLUP[MMWR_RATING_RO_ROLLUP],0),MATCH(G$9,MMWR_RATING_RO_ROLLUP[#Headers],0)),"ERROR"))</f>
        <v>704</v>
      </c>
      <c r="H47" s="156">
        <f>IF($B47=" ","",IFERROR(INDEX(MMWR_RATING_RO_ROLLUP[],MATCH($B47,MMWR_RATING_RO_ROLLUP[MMWR_RATING_RO_ROLLUP],0),MATCH(H$9,MMWR_RATING_RO_ROLLUP[#Headers],0)),"ERROR"))</f>
        <v>151.45738636359999</v>
      </c>
      <c r="I47" s="156">
        <f>IF($B47=" ","",IFERROR(INDEX(MMWR_RATING_RO_ROLLUP[],MATCH($B47,MMWR_RATING_RO_ROLLUP[MMWR_RATING_RO_ROLLUP],0),MATCH(I$9,MMWR_RATING_RO_ROLLUP[#Headers],0)),"ERROR"))</f>
        <v>151.45738636359999</v>
      </c>
      <c r="J47" s="42"/>
      <c r="K47" s="42"/>
      <c r="L47" s="42"/>
      <c r="M47" s="42"/>
      <c r="N47" s="42"/>
      <c r="O47" s="42"/>
      <c r="P47" s="28"/>
    </row>
    <row r="48" spans="1:16" x14ac:dyDescent="0.2">
      <c r="A48" s="25"/>
      <c r="B48" s="47" t="s">
        <v>314</v>
      </c>
      <c r="C48" s="155">
        <f>IF($B48=" ","",IFERROR(INDEX(MMWR_RATING_RO_ROLLUP[],MATCH($B48,MMWR_RATING_RO_ROLLUP[MMWR_RATING_RO_ROLLUP],0),MATCH(C$9,MMWR_RATING_RO_ROLLUP[#Headers],0)),"ERROR"))</f>
        <v>651</v>
      </c>
      <c r="D48" s="156">
        <f>IF($B48=" ","",IFERROR(INDEX(MMWR_RATING_RO_ROLLUP[],MATCH($B48,MMWR_RATING_RO_ROLLUP[MMWR_RATING_RO_ROLLUP],0),MATCH(D$9,MMWR_RATING_RO_ROLLUP[#Headers],0)),"ERROR"))</f>
        <v>72.1351766513</v>
      </c>
      <c r="E48" s="157">
        <f>IF($B48=" ","",IFERROR(INDEX(MMWR_RATING_RO_ROLLUP[],MATCH($B48,MMWR_RATING_RO_ROLLUP[MMWR_RATING_RO_ROLLUP],0),MATCH(E$9,MMWR_RATING_RO_ROLLUP[#Headers],0))/$C48,"ERROR"))</f>
        <v>0.12749615975422426</v>
      </c>
      <c r="F48" s="155">
        <f>IF($B48=" ","",IFERROR(INDEX(MMWR_RATING_RO_ROLLUP[],MATCH($B48,MMWR_RATING_RO_ROLLUP[MMWR_RATING_RO_ROLLUP],0),MATCH(F$9,MMWR_RATING_RO_ROLLUP[#Headers],0)),"ERROR"))</f>
        <v>120</v>
      </c>
      <c r="G48" s="155">
        <f>IF($B48=" ","",IFERROR(INDEX(MMWR_RATING_RO_ROLLUP[],MATCH($B48,MMWR_RATING_RO_ROLLUP[MMWR_RATING_RO_ROLLUP],0),MATCH(G$9,MMWR_RATING_RO_ROLLUP[#Headers],0)),"ERROR"))</f>
        <v>120</v>
      </c>
      <c r="H48" s="156">
        <f>IF($B48=" ","",IFERROR(INDEX(MMWR_RATING_RO_ROLLUP[],MATCH($B48,MMWR_RATING_RO_ROLLUP[MMWR_RATING_RO_ROLLUP],0),MATCH(H$9,MMWR_RATING_RO_ROLLUP[#Headers],0)),"ERROR"))</f>
        <v>78.958333333300004</v>
      </c>
      <c r="I48" s="156">
        <f>IF($B48=" ","",IFERROR(INDEX(MMWR_RATING_RO_ROLLUP[],MATCH($B48,MMWR_RATING_RO_ROLLUP[MMWR_RATING_RO_ROLLUP],0),MATCH(I$9,MMWR_RATING_RO_ROLLUP[#Headers],0)),"ERROR"))</f>
        <v>78.958333333300004</v>
      </c>
      <c r="J48" s="42"/>
      <c r="K48" s="42"/>
      <c r="L48" s="42"/>
      <c r="M48" s="42"/>
      <c r="N48" s="42"/>
      <c r="O48" s="42"/>
      <c r="P48" s="28"/>
    </row>
    <row r="49" spans="1:16" ht="15.75" x14ac:dyDescent="0.25">
      <c r="A49" s="25"/>
      <c r="B49" s="376" t="s">
        <v>1058</v>
      </c>
      <c r="C49" s="376"/>
      <c r="D49" s="376"/>
      <c r="E49" s="376"/>
      <c r="F49" s="376"/>
      <c r="G49" s="376"/>
      <c r="H49" s="376"/>
      <c r="I49" s="376"/>
      <c r="J49" s="376"/>
      <c r="K49" s="376"/>
      <c r="L49" s="376"/>
      <c r="M49" s="376"/>
      <c r="N49" s="376"/>
      <c r="O49" s="263"/>
      <c r="P49" s="28"/>
    </row>
    <row r="50" spans="1:16" ht="12" customHeight="1" x14ac:dyDescent="0.2">
      <c r="A50" s="25"/>
      <c r="B50" s="26"/>
      <c r="C50" s="26"/>
      <c r="D50" s="26"/>
      <c r="E50" s="26"/>
      <c r="F50" s="26"/>
      <c r="G50" s="26"/>
      <c r="H50" s="26"/>
      <c r="I50" s="26"/>
      <c r="J50" s="26"/>
      <c r="K50" s="27" t="s">
        <v>929</v>
      </c>
      <c r="L50" s="27" t="s">
        <v>934</v>
      </c>
      <c r="M50" s="27" t="s">
        <v>935</v>
      </c>
      <c r="N50" s="27" t="s">
        <v>936</v>
      </c>
      <c r="O50" s="27" t="s">
        <v>937</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 ref="M8:O8"/>
    <mergeCell ref="L2:O2"/>
    <mergeCell ref="L3:O3"/>
    <mergeCell ref="C4:O4"/>
    <mergeCell ref="C5:O5"/>
    <mergeCell ref="D6:E6"/>
    <mergeCell ref="G6:H6"/>
    <mergeCell ref="C2:K3"/>
    <mergeCell ref="M6:O6"/>
    <mergeCell ref="J6:K6"/>
    <mergeCell ref="J7:K7"/>
    <mergeCell ref="J8:K8"/>
    <mergeCell ref="M7:O7"/>
    <mergeCell ref="I11:I12"/>
    <mergeCell ref="L11:M11"/>
    <mergeCell ref="N11:O11"/>
    <mergeCell ref="J11:J12"/>
    <mergeCell ref="K11:K12"/>
  </mergeCells>
  <conditionalFormatting sqref="A1:P3 P6:P8 L6:M8 A6:J8 A5:P5 A4 C4:P4 A50:P50 A49 O49:P49 A9:P48">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80" zoomScaleNormal="8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49" t="s">
        <v>300</v>
      </c>
      <c r="D2" s="350"/>
      <c r="E2" s="350"/>
      <c r="F2" s="350"/>
      <c r="G2" s="350"/>
      <c r="H2" s="350"/>
      <c r="I2" s="350"/>
      <c r="J2" s="349" t="s">
        <v>306</v>
      </c>
      <c r="K2" s="350"/>
      <c r="L2" s="350"/>
      <c r="M2" s="351"/>
      <c r="N2" s="28"/>
    </row>
    <row r="3" spans="1:16" ht="24" customHeight="1" thickBot="1" x14ac:dyDescent="0.4">
      <c r="A3" s="25"/>
      <c r="B3" s="29"/>
      <c r="C3" s="352"/>
      <c r="D3" s="353"/>
      <c r="E3" s="353"/>
      <c r="F3" s="353"/>
      <c r="G3" s="353"/>
      <c r="H3" s="353"/>
      <c r="I3" s="353"/>
      <c r="J3" s="352" t="str">
        <f>Transformation!B4</f>
        <v>As of: October 31, 2015</v>
      </c>
      <c r="K3" s="353"/>
      <c r="L3" s="353"/>
      <c r="M3" s="354"/>
      <c r="N3" s="28"/>
    </row>
    <row r="4" spans="1:16" ht="51" customHeight="1" thickBot="1" x14ac:dyDescent="0.35">
      <c r="A4" s="30"/>
      <c r="B4" s="248" t="s">
        <v>462</v>
      </c>
      <c r="C4" s="355" t="s">
        <v>977</v>
      </c>
      <c r="D4" s="356"/>
      <c r="E4" s="356"/>
      <c r="F4" s="356"/>
      <c r="G4" s="356"/>
      <c r="H4" s="356"/>
      <c r="I4" s="356"/>
      <c r="J4" s="356"/>
      <c r="K4" s="356"/>
      <c r="L4" s="356"/>
      <c r="M4" s="357"/>
      <c r="N4" s="28"/>
      <c r="O4" s="22"/>
      <c r="P4" s="23"/>
    </row>
    <row r="5" spans="1:16" ht="27" customHeight="1" thickBot="1" x14ac:dyDescent="0.25">
      <c r="A5" s="30"/>
      <c r="B5" s="48"/>
      <c r="C5" s="358" t="s">
        <v>1049</v>
      </c>
      <c r="D5" s="359"/>
      <c r="E5" s="359"/>
      <c r="F5" s="359"/>
      <c r="G5" s="359"/>
      <c r="H5" s="359"/>
      <c r="I5" s="359"/>
      <c r="J5" s="359"/>
      <c r="K5" s="359"/>
      <c r="L5" s="359"/>
      <c r="M5" s="359"/>
      <c r="N5" s="359"/>
      <c r="O5" s="360"/>
    </row>
    <row r="6" spans="1:16" ht="55.5" customHeight="1" x14ac:dyDescent="0.2">
      <c r="A6" s="30"/>
      <c r="B6" s="31"/>
      <c r="C6" s="32" t="s">
        <v>196</v>
      </c>
      <c r="D6" s="361" t="s">
        <v>16</v>
      </c>
      <c r="E6" s="362"/>
      <c r="F6" s="33" t="s">
        <v>199</v>
      </c>
      <c r="G6" s="361" t="s">
        <v>204</v>
      </c>
      <c r="H6" s="363"/>
      <c r="I6" s="33" t="s">
        <v>202</v>
      </c>
      <c r="J6" s="49" t="s">
        <v>14</v>
      </c>
      <c r="K6" s="33" t="s">
        <v>207</v>
      </c>
      <c r="L6" s="367" t="s">
        <v>88</v>
      </c>
      <c r="M6" s="395"/>
      <c r="N6" s="28"/>
    </row>
    <row r="7" spans="1:16" ht="51.75" customHeight="1" x14ac:dyDescent="0.2">
      <c r="A7" s="30"/>
      <c r="B7" s="34"/>
      <c r="C7" s="35" t="s">
        <v>197</v>
      </c>
      <c r="D7" s="379" t="s">
        <v>0</v>
      </c>
      <c r="E7" s="380"/>
      <c r="F7" s="36" t="s">
        <v>200</v>
      </c>
      <c r="G7" s="381" t="s">
        <v>205</v>
      </c>
      <c r="H7" s="381"/>
      <c r="I7" s="36" t="s">
        <v>203</v>
      </c>
      <c r="J7" s="50" t="s">
        <v>19</v>
      </c>
      <c r="K7" s="36" t="s">
        <v>208</v>
      </c>
      <c r="L7" s="391" t="s">
        <v>90</v>
      </c>
      <c r="M7" s="392"/>
      <c r="N7" s="28"/>
    </row>
    <row r="8" spans="1:16" ht="51.75" customHeight="1" thickBot="1" x14ac:dyDescent="0.25">
      <c r="A8" s="25"/>
      <c r="B8" s="28"/>
      <c r="C8" s="37" t="s">
        <v>198</v>
      </c>
      <c r="D8" s="382" t="s">
        <v>18</v>
      </c>
      <c r="E8" s="383"/>
      <c r="F8" s="38" t="s">
        <v>201</v>
      </c>
      <c r="G8" s="384" t="s">
        <v>17</v>
      </c>
      <c r="H8" s="384"/>
      <c r="I8" s="38" t="s">
        <v>206</v>
      </c>
      <c r="J8" s="51" t="s">
        <v>87</v>
      </c>
      <c r="K8" s="38" t="s">
        <v>209</v>
      </c>
      <c r="L8" s="393" t="s">
        <v>89</v>
      </c>
      <c r="M8" s="394"/>
      <c r="N8" s="28"/>
    </row>
    <row r="9" spans="1:16" x14ac:dyDescent="0.2">
      <c r="A9" s="28"/>
      <c r="B9" s="28"/>
      <c r="C9" s="39" t="s">
        <v>706</v>
      </c>
      <c r="D9" s="39" t="s">
        <v>708</v>
      </c>
      <c r="E9" s="39" t="s">
        <v>707</v>
      </c>
      <c r="F9" s="39" t="s">
        <v>710</v>
      </c>
      <c r="G9" s="39" t="s">
        <v>709</v>
      </c>
      <c r="H9" s="39" t="s">
        <v>720</v>
      </c>
      <c r="I9" s="39" t="s">
        <v>719</v>
      </c>
      <c r="J9" s="39"/>
      <c r="K9" s="39"/>
      <c r="L9" s="39"/>
      <c r="M9" s="39"/>
      <c r="N9" s="28"/>
    </row>
    <row r="10" spans="1:16" ht="15.75" customHeight="1" x14ac:dyDescent="0.2">
      <c r="A10" s="25"/>
      <c r="B10" s="26"/>
      <c r="C10" s="385" t="s">
        <v>299</v>
      </c>
      <c r="D10" s="385"/>
      <c r="E10" s="385"/>
      <c r="F10" s="385"/>
      <c r="G10" s="385"/>
      <c r="H10" s="385"/>
      <c r="I10" s="385"/>
      <c r="J10" s="385"/>
      <c r="K10" s="385"/>
      <c r="L10" s="385"/>
      <c r="M10" s="386"/>
      <c r="N10" s="28"/>
    </row>
    <row r="11" spans="1:16" ht="64.5" customHeight="1" x14ac:dyDescent="0.2">
      <c r="A11" s="25"/>
      <c r="B11" s="26"/>
      <c r="C11" s="52" t="s">
        <v>232</v>
      </c>
      <c r="D11" s="52" t="s">
        <v>140</v>
      </c>
      <c r="E11" s="52" t="s">
        <v>233</v>
      </c>
      <c r="F11" s="52" t="s">
        <v>195</v>
      </c>
      <c r="G11" s="52" t="s">
        <v>210</v>
      </c>
      <c r="H11" s="52" t="s">
        <v>212</v>
      </c>
      <c r="I11" s="52" t="s">
        <v>213</v>
      </c>
      <c r="J11" s="388" t="s">
        <v>978</v>
      </c>
      <c r="K11" s="389"/>
      <c r="L11" s="389"/>
      <c r="M11" s="390"/>
      <c r="N11" s="28"/>
    </row>
    <row r="12" spans="1:16" x14ac:dyDescent="0.2">
      <c r="A12" s="25"/>
      <c r="B12" s="41" t="s">
        <v>736</v>
      </c>
      <c r="C12" s="155">
        <f>IF($B12=" ","",IFERROR(INDEX(MMWR_RATING_RO_ROLLUP[],MATCH($B12,MMWR_RATING_RO_ROLLUP[MMWR_RATING_RO_ROLLUP],0),MATCH(C$9,MMWR_RATING_RO_ROLLUP[#Headers],0)),"ERROR"))</f>
        <v>368140</v>
      </c>
      <c r="D12" s="156">
        <f>IF($B12=" ","",IFERROR(INDEX(MMWR_RATING_RO_ROLLUP[],MATCH($B12,MMWR_RATING_RO_ROLLUP[MMWR_RATING_RO_ROLLUP],0),MATCH(D$9,MMWR_RATING_RO_ROLLUP[#Headers],0)),"ERROR"))</f>
        <v>92.059776172100001</v>
      </c>
      <c r="E12" s="157">
        <f>IF($B12=" ","",IFERROR(INDEX(MMWR_RATING_RO_ROLLUP[],MATCH($B12,MMWR_RATING_RO_ROLLUP[MMWR_RATING_RO_ROLLUP],0),MATCH(E$9,MMWR_RATING_RO_ROLLUP[#Headers],0))/$C12,"ERROR"))</f>
        <v>0.20115988482642472</v>
      </c>
      <c r="F12" s="155">
        <f>IF($B12=" ","",IFERROR(INDEX(MMWR_RATING_RO_ROLLUP[],MATCH($B12,MMWR_RATING_RO_ROLLUP[MMWR_RATING_RO_ROLLUP],0),MATCH(F$9,MMWR_RATING_RO_ROLLUP[#Headers],0)),"ERROR"))</f>
        <v>100865</v>
      </c>
      <c r="G12" s="155">
        <f>IF($B12=" ","",IFERROR(INDEX(MMWR_RATING_RO_ROLLUP[],MATCH($B12,MMWR_RATING_RO_ROLLUP[MMWR_RATING_RO_ROLLUP],0),MATCH(G$9,MMWR_RATING_RO_ROLLUP[#Headers],0)),"ERROR"))</f>
        <v>100865</v>
      </c>
      <c r="H12" s="156">
        <f>IF($B12=" ","",IFERROR(INDEX(MMWR_RATING_RO_ROLLUP[],MATCH($B12,MMWR_RATING_RO_ROLLUP[MMWR_RATING_RO_ROLLUP],0),MATCH(H$9,MMWR_RATING_RO_ROLLUP[#Headers],0)),"ERROR"))</f>
        <v>129.38029048729999</v>
      </c>
      <c r="I12" s="156">
        <f>IF($B12=" ","",IFERROR(INDEX(MMWR_RATING_RO_ROLLUP[],MATCH($B12,MMWR_RATING_RO_ROLLUP[MMWR_RATING_RO_ROLLUP],0),MATCH(I$9,MMWR_RATING_RO_ROLLUP[#Headers],0)),"ERROR"))</f>
        <v>129.38029048729999</v>
      </c>
      <c r="J12" s="42"/>
      <c r="K12" s="42"/>
      <c r="L12" s="42"/>
      <c r="M12" s="42"/>
      <c r="N12" s="28"/>
    </row>
    <row r="13" spans="1:16" x14ac:dyDescent="0.2">
      <c r="A13" s="25"/>
      <c r="B13" s="377" t="s">
        <v>739</v>
      </c>
      <c r="C13" s="378"/>
      <c r="D13" s="378"/>
      <c r="E13" s="378"/>
      <c r="F13" s="378"/>
      <c r="G13" s="378"/>
      <c r="H13" s="378"/>
      <c r="I13" s="378"/>
      <c r="J13" s="378"/>
      <c r="K13" s="378"/>
      <c r="L13" s="378"/>
      <c r="M13" s="387"/>
      <c r="N13" s="28"/>
    </row>
    <row r="14" spans="1:16" x14ac:dyDescent="0.2">
      <c r="A14" s="25"/>
      <c r="B14" s="41" t="s">
        <v>735</v>
      </c>
      <c r="C14" s="155">
        <f>IF($B14=" ","",IFERROR(INDEX(MMWR_RATING_RO_ROLLUP[],MATCH($B14,MMWR_RATING_RO_ROLLUP[MMWR_RATING_RO_ROLLUP],0),MATCH(C$9,MMWR_RATING_RO_ROLLUP[#Headers],0)),"ERROR"))</f>
        <v>324485</v>
      </c>
      <c r="D14" s="156">
        <f>IF($B14=" ","",IFERROR(INDEX(MMWR_RATING_RO_ROLLUP[],MATCH($B14,MMWR_RATING_RO_ROLLUP[MMWR_RATING_RO_ROLLUP],0),MATCH(D$9,MMWR_RATING_RO_ROLLUP[#Headers],0)),"ERROR"))</f>
        <v>95.181805014099993</v>
      </c>
      <c r="E14" s="157">
        <f>IF($B14=" ","",IFERROR(INDEX(MMWR_RATING_RO_ROLLUP[],MATCH($B14,MMWR_RATING_RO_ROLLUP[MMWR_RATING_RO_ROLLUP],0),MATCH(E$9,MMWR_RATING_RO_ROLLUP[#Headers],0))/$C14,"ERROR"))</f>
        <v>0.2151717336702775</v>
      </c>
      <c r="F14" s="155">
        <f>IF($B14=" ","",IFERROR(INDEX(MMWR_RATING_RO_ROLLUP[],MATCH($B14,MMWR_RATING_RO_ROLLUP[MMWR_RATING_RO_ROLLUP],0),MATCH(F$9,MMWR_RATING_RO_ROLLUP[#Headers],0)),"ERROR"))</f>
        <v>86025</v>
      </c>
      <c r="G14" s="155">
        <f>IF($B14=" ","",IFERROR(INDEX(MMWR_RATING_RO_ROLLUP[],MATCH($B14,MMWR_RATING_RO_ROLLUP[MMWR_RATING_RO_ROLLUP],0),MATCH(G$9,MMWR_RATING_RO_ROLLUP[#Headers],0)),"ERROR"))</f>
        <v>86025</v>
      </c>
      <c r="H14" s="156">
        <f>IF($B14=" ","",IFERROR(INDEX(MMWR_RATING_RO_ROLLUP[],MATCH($B14,MMWR_RATING_RO_ROLLUP[MMWR_RATING_RO_ROLLUP],0),MATCH(H$9,MMWR_RATING_RO_ROLLUP[#Headers],0)),"ERROR"))</f>
        <v>137.7918628306</v>
      </c>
      <c r="I14" s="156">
        <f>IF($B14=" ","",IFERROR(INDEX(MMWR_RATING_RO_ROLLUP[],MATCH($B14,MMWR_RATING_RO_ROLLUP[MMWR_RATING_RO_ROLLUP],0),MATCH(I$9,MMWR_RATING_RO_ROLLUP[#Headers],0)),"ERROR"))</f>
        <v>137.7918628306</v>
      </c>
      <c r="J14" s="42"/>
      <c r="K14" s="42"/>
      <c r="L14" s="42"/>
      <c r="M14" s="42"/>
      <c r="N14" s="28"/>
    </row>
    <row r="15" spans="1:16" x14ac:dyDescent="0.2">
      <c r="A15" s="25"/>
      <c r="B15" s="249" t="s">
        <v>376</v>
      </c>
      <c r="C15" s="155">
        <f>IF($B15=" ","",IFERROR(INDEX(MMWR_RATING_RO_ROLLUP[],MATCH($B15,MMWR_RATING_RO_ROLLUP[MMWR_RATING_RO_ROLLUP],0),MATCH(C$9,MMWR_RATING_RO_ROLLUP[#Headers],0)),"ERROR"))</f>
        <v>72507</v>
      </c>
      <c r="D15" s="156">
        <f>IF($B15=" ","",IFERROR(INDEX(MMWR_RATING_RO_ROLLUP[],MATCH($B15,MMWR_RATING_RO_ROLLUP[MMWR_RATING_RO_ROLLUP],0),MATCH(D$9,MMWR_RATING_RO_ROLLUP[#Headers],0)),"ERROR"))</f>
        <v>97.006040796099995</v>
      </c>
      <c r="E15" s="157">
        <f>IF($B15=" ","",IFERROR(INDEX(MMWR_RATING_RO_ROLLUP[],MATCH($B15,MMWR_RATING_RO_ROLLUP[MMWR_RATING_RO_ROLLUP],0),MATCH(E$9,MMWR_RATING_RO_ROLLUP[#Headers],0))/$C15,"ERROR"))</f>
        <v>0.22458521246224503</v>
      </c>
      <c r="F15" s="155">
        <f>IF($B15=" ","",IFERROR(INDEX(MMWR_RATING_RO_ROLLUP[],MATCH($B15,MMWR_RATING_RO_ROLLUP[MMWR_RATING_RO_ROLLUP],0),MATCH(F$9,MMWR_RATING_RO_ROLLUP[#Headers],0)),"ERROR"))</f>
        <v>19098</v>
      </c>
      <c r="G15" s="155">
        <f>IF($B15=" ","",IFERROR(INDEX(MMWR_RATING_RO_ROLLUP[],MATCH($B15,MMWR_RATING_RO_ROLLUP[MMWR_RATING_RO_ROLLUP],0),MATCH(G$9,MMWR_RATING_RO_ROLLUP[#Headers],0)),"ERROR"))</f>
        <v>19098</v>
      </c>
      <c r="H15" s="156">
        <f>IF($B15=" ","",IFERROR(INDEX(MMWR_RATING_RO_ROLLUP[],MATCH($B15,MMWR_RATING_RO_ROLLUP[MMWR_RATING_RO_ROLLUP],0),MATCH(H$9,MMWR_RATING_RO_ROLLUP[#Headers],0)),"ERROR"))</f>
        <v>137.48382029530001</v>
      </c>
      <c r="I15" s="156">
        <f>IF($B15=" ","",IFERROR(INDEX(MMWR_RATING_RO_ROLLUP[],MATCH($B15,MMWR_RATING_RO_ROLLUP[MMWR_RATING_RO_ROLLUP],0),MATCH(I$9,MMWR_RATING_RO_ROLLUP[#Headers],0)),"ERROR"))</f>
        <v>137.48382029530001</v>
      </c>
      <c r="J15" s="42"/>
      <c r="K15" s="42"/>
      <c r="L15" s="42"/>
      <c r="M15" s="42"/>
      <c r="N15" s="28"/>
    </row>
    <row r="16" spans="1:16" x14ac:dyDescent="0.2">
      <c r="A16" s="25"/>
      <c r="B16" s="8" t="str">
        <f>VLOOKUP($B$15,DISTRICT_RO[],2,0)</f>
        <v>Baltimore VSC</v>
      </c>
      <c r="C16" s="155">
        <f>IF($B16=" ","",IFERROR(INDEX(MMWR_RATING_RO_ROLLUP[],MATCH($B16,MMWR_RATING_RO_ROLLUP[MMWR_RATING_RO_ROLLUP],0),MATCH(C$9,MMWR_RATING_RO_ROLLUP[#Headers],0)),"ERROR"))</f>
        <v>4818</v>
      </c>
      <c r="D16" s="156">
        <f>IF($B16=" ","",IFERROR(INDEX(MMWR_RATING_RO_ROLLUP[],MATCH($B16,MMWR_RATING_RO_ROLLUP[MMWR_RATING_RO_ROLLUP],0),MATCH(D$9,MMWR_RATING_RO_ROLLUP[#Headers],0)),"ERROR"))</f>
        <v>96.309672063099995</v>
      </c>
      <c r="E16" s="157">
        <f>IF($B16=" ","",IFERROR(INDEX(MMWR_RATING_RO_ROLLUP[],MATCH($B16,MMWR_RATING_RO_ROLLUP[MMWR_RATING_RO_ROLLUP],0),MATCH(E$9,MMWR_RATING_RO_ROLLUP[#Headers],0))/$C16,"ERROR"))</f>
        <v>0.21419676214196762</v>
      </c>
      <c r="F16" s="155">
        <f>IF($B16=" ","",IFERROR(INDEX(MMWR_RATING_RO_ROLLUP[],MATCH($B16,MMWR_RATING_RO_ROLLUP[MMWR_RATING_RO_ROLLUP],0),MATCH(F$9,MMWR_RATING_RO_ROLLUP[#Headers],0)),"ERROR"))</f>
        <v>1374</v>
      </c>
      <c r="G16" s="155">
        <f>IF($B16=" ","",IFERROR(INDEX(MMWR_RATING_RO_ROLLUP[],MATCH($B16,MMWR_RATING_RO_ROLLUP[MMWR_RATING_RO_ROLLUP],0),MATCH(G$9,MMWR_RATING_RO_ROLLUP[#Headers],0)),"ERROR"))</f>
        <v>1374</v>
      </c>
      <c r="H16" s="156">
        <f>IF($B16=" ","",IFERROR(INDEX(MMWR_RATING_RO_ROLLUP[],MATCH($B16,MMWR_RATING_RO_ROLLUP[MMWR_RATING_RO_ROLLUP],0),MATCH(H$9,MMWR_RATING_RO_ROLLUP[#Headers],0)),"ERROR"))</f>
        <v>144.30786026199999</v>
      </c>
      <c r="I16" s="156">
        <f>IF($B16=" ","",IFERROR(INDEX(MMWR_RATING_RO_ROLLUP[],MATCH($B16,MMWR_RATING_RO_ROLLUP[MMWR_RATING_RO_ROLLUP],0),MATCH(I$9,MMWR_RATING_RO_ROLLUP[#Headers],0)),"ERROR"))</f>
        <v>144.30786026199999</v>
      </c>
      <c r="J16" s="42"/>
      <c r="K16" s="42"/>
      <c r="L16" s="42"/>
      <c r="M16" s="42"/>
      <c r="N16" s="28"/>
    </row>
    <row r="17" spans="1:14" x14ac:dyDescent="0.2">
      <c r="A17" s="25"/>
      <c r="B17" s="8" t="str">
        <f>VLOOKUP($B$15,DISTRICT_RO[],3,0)</f>
        <v>Boston VSC</v>
      </c>
      <c r="C17" s="155">
        <f>IF($B17=" ","",IFERROR(INDEX(MMWR_RATING_RO_ROLLUP[],MATCH($B17,MMWR_RATING_RO_ROLLUP[MMWR_RATING_RO_ROLLUP],0),MATCH(C$9,MMWR_RATING_RO_ROLLUP[#Headers],0)),"ERROR"))</f>
        <v>3648</v>
      </c>
      <c r="D17" s="156">
        <f>IF($B17=" ","",IFERROR(INDEX(MMWR_RATING_RO_ROLLUP[],MATCH($B17,MMWR_RATING_RO_ROLLUP[MMWR_RATING_RO_ROLLUP],0),MATCH(D$9,MMWR_RATING_RO_ROLLUP[#Headers],0)),"ERROR"))</f>
        <v>96.444627193000002</v>
      </c>
      <c r="E17" s="157">
        <f>IF($B17=" ","",IFERROR(INDEX(MMWR_RATING_RO_ROLLUP[],MATCH($B17,MMWR_RATING_RO_ROLLUP[MMWR_RATING_RO_ROLLUP],0),MATCH(E$9,MMWR_RATING_RO_ROLLUP[#Headers],0))/$C17,"ERROR"))</f>
        <v>0.234375</v>
      </c>
      <c r="F17" s="155">
        <f>IF($B17=" ","",IFERROR(INDEX(MMWR_RATING_RO_ROLLUP[],MATCH($B17,MMWR_RATING_RO_ROLLUP[MMWR_RATING_RO_ROLLUP],0),MATCH(F$9,MMWR_RATING_RO_ROLLUP[#Headers],0)),"ERROR"))</f>
        <v>977</v>
      </c>
      <c r="G17" s="155">
        <f>IF($B17=" ","",IFERROR(INDEX(MMWR_RATING_RO_ROLLUP[],MATCH($B17,MMWR_RATING_RO_ROLLUP[MMWR_RATING_RO_ROLLUP],0),MATCH(G$9,MMWR_RATING_RO_ROLLUP[#Headers],0)),"ERROR"))</f>
        <v>977</v>
      </c>
      <c r="H17" s="156">
        <f>IF($B17=" ","",IFERROR(INDEX(MMWR_RATING_RO_ROLLUP[],MATCH($B17,MMWR_RATING_RO_ROLLUP[MMWR_RATING_RO_ROLLUP],0),MATCH(H$9,MMWR_RATING_RO_ROLLUP[#Headers],0)),"ERROR"))</f>
        <v>122.7062436029</v>
      </c>
      <c r="I17" s="156">
        <f>IF($B17=" ","",IFERROR(INDEX(MMWR_RATING_RO_ROLLUP[],MATCH($B17,MMWR_RATING_RO_ROLLUP[MMWR_RATING_RO_ROLLUP],0),MATCH(I$9,MMWR_RATING_RO_ROLLUP[#Headers],0)),"ERROR"))</f>
        <v>122.7062436029</v>
      </c>
      <c r="J17" s="42"/>
      <c r="K17" s="42"/>
      <c r="L17" s="42"/>
      <c r="M17" s="42"/>
      <c r="N17" s="28"/>
    </row>
    <row r="18" spans="1:14" x14ac:dyDescent="0.2">
      <c r="A18" s="25"/>
      <c r="B18" s="8" t="str">
        <f>VLOOKUP($B$15,DISTRICT_RO[],4,0)</f>
        <v>Buffalo VSC</v>
      </c>
      <c r="C18" s="155">
        <f>IF($B18=" ","",IFERROR(INDEX(MMWR_RATING_RO_ROLLUP[],MATCH($B18,MMWR_RATING_RO_ROLLUP[MMWR_RATING_RO_ROLLUP],0),MATCH(C$9,MMWR_RATING_RO_ROLLUP[#Headers],0)),"ERROR"))</f>
        <v>4030</v>
      </c>
      <c r="D18" s="156">
        <f>IF($B18=" ","",IFERROR(INDEX(MMWR_RATING_RO_ROLLUP[],MATCH($B18,MMWR_RATING_RO_ROLLUP[MMWR_RATING_RO_ROLLUP],0),MATCH(D$9,MMWR_RATING_RO_ROLLUP[#Headers],0)),"ERROR"))</f>
        <v>95.133995037199995</v>
      </c>
      <c r="E18" s="157">
        <f>IF($B18=" ","",IFERROR(INDEX(MMWR_RATING_RO_ROLLUP[],MATCH($B18,MMWR_RATING_RO_ROLLUP[MMWR_RATING_RO_ROLLUP],0),MATCH(E$9,MMWR_RATING_RO_ROLLUP[#Headers],0))/$C18,"ERROR"))</f>
        <v>0.22481389578163771</v>
      </c>
      <c r="F18" s="155">
        <f>IF($B18=" ","",IFERROR(INDEX(MMWR_RATING_RO_ROLLUP[],MATCH($B18,MMWR_RATING_RO_ROLLUP[MMWR_RATING_RO_ROLLUP],0),MATCH(F$9,MMWR_RATING_RO_ROLLUP[#Headers],0)),"ERROR"))</f>
        <v>1055</v>
      </c>
      <c r="G18" s="155">
        <f>IF($B18=" ","",IFERROR(INDEX(MMWR_RATING_RO_ROLLUP[],MATCH($B18,MMWR_RATING_RO_ROLLUP[MMWR_RATING_RO_ROLLUP],0),MATCH(G$9,MMWR_RATING_RO_ROLLUP[#Headers],0)),"ERROR"))</f>
        <v>1055</v>
      </c>
      <c r="H18" s="156">
        <f>IF($B18=" ","",IFERROR(INDEX(MMWR_RATING_RO_ROLLUP[],MATCH($B18,MMWR_RATING_RO_ROLLUP[MMWR_RATING_RO_ROLLUP],0),MATCH(H$9,MMWR_RATING_RO_ROLLUP[#Headers],0)),"ERROR"))</f>
        <v>161.1857819905</v>
      </c>
      <c r="I18" s="156">
        <f>IF($B18=" ","",IFERROR(INDEX(MMWR_RATING_RO_ROLLUP[],MATCH($B18,MMWR_RATING_RO_ROLLUP[MMWR_RATING_RO_ROLLUP],0),MATCH(I$9,MMWR_RATING_RO_ROLLUP[#Headers],0)),"ERROR"))</f>
        <v>161.1857819905</v>
      </c>
      <c r="J18" s="42"/>
      <c r="K18" s="42"/>
      <c r="L18" s="42"/>
      <c r="M18" s="42"/>
      <c r="N18" s="28"/>
    </row>
    <row r="19" spans="1:14" x14ac:dyDescent="0.2">
      <c r="A19" s="25"/>
      <c r="B19" s="8" t="str">
        <f>VLOOKUP($B$15,DISTRICT_RO[],5,0)</f>
        <v>Hartford VSC</v>
      </c>
      <c r="C19" s="155">
        <f>IF($B19=" ","",IFERROR(INDEX(MMWR_RATING_RO_ROLLUP[],MATCH($B19,MMWR_RATING_RO_ROLLUP[MMWR_RATING_RO_ROLLUP],0),MATCH(C$9,MMWR_RATING_RO_ROLLUP[#Headers],0)),"ERROR"))</f>
        <v>1774</v>
      </c>
      <c r="D19" s="156">
        <f>IF($B19=" ","",IFERROR(INDEX(MMWR_RATING_RO_ROLLUP[],MATCH($B19,MMWR_RATING_RO_ROLLUP[MMWR_RATING_RO_ROLLUP],0),MATCH(D$9,MMWR_RATING_RO_ROLLUP[#Headers],0)),"ERROR"))</f>
        <v>82.166290868100006</v>
      </c>
      <c r="E19" s="157">
        <f>IF($B19=" ","",IFERROR(INDEX(MMWR_RATING_RO_ROLLUP[],MATCH($B19,MMWR_RATING_RO_ROLLUP[MMWR_RATING_RO_ROLLUP],0),MATCH(E$9,MMWR_RATING_RO_ROLLUP[#Headers],0))/$C19,"ERROR"))</f>
        <v>0.16798196166854565</v>
      </c>
      <c r="F19" s="155">
        <f>IF($B19=" ","",IFERROR(INDEX(MMWR_RATING_RO_ROLLUP[],MATCH($B19,MMWR_RATING_RO_ROLLUP[MMWR_RATING_RO_ROLLUP],0),MATCH(F$9,MMWR_RATING_RO_ROLLUP[#Headers],0)),"ERROR"))</f>
        <v>600</v>
      </c>
      <c r="G19" s="155">
        <f>IF($B19=" ","",IFERROR(INDEX(MMWR_RATING_RO_ROLLUP[],MATCH($B19,MMWR_RATING_RO_ROLLUP[MMWR_RATING_RO_ROLLUP],0),MATCH(G$9,MMWR_RATING_RO_ROLLUP[#Headers],0)),"ERROR"))</f>
        <v>600</v>
      </c>
      <c r="H19" s="156">
        <f>IF($B19=" ","",IFERROR(INDEX(MMWR_RATING_RO_ROLLUP[],MATCH($B19,MMWR_RATING_RO_ROLLUP[MMWR_RATING_RO_ROLLUP],0),MATCH(H$9,MMWR_RATING_RO_ROLLUP[#Headers],0)),"ERROR"))</f>
        <v>110.82833333329999</v>
      </c>
      <c r="I19" s="156">
        <f>IF($B19=" ","",IFERROR(INDEX(MMWR_RATING_RO_ROLLUP[],MATCH($B19,MMWR_RATING_RO_ROLLUP[MMWR_RATING_RO_ROLLUP],0),MATCH(I$9,MMWR_RATING_RO_ROLLUP[#Headers],0)),"ERROR"))</f>
        <v>110.82833333329999</v>
      </c>
      <c r="J19" s="42"/>
      <c r="K19" s="42"/>
      <c r="L19" s="42"/>
      <c r="M19" s="42"/>
      <c r="N19" s="28"/>
    </row>
    <row r="20" spans="1:14" x14ac:dyDescent="0.2">
      <c r="A20" s="25"/>
      <c r="B20" s="8" t="str">
        <f>VLOOKUP($B$15,DISTRICT_RO[],6,0)</f>
        <v>Huntington VSC</v>
      </c>
      <c r="C20" s="155">
        <f>IF($B20=" ","",IFERROR(INDEX(MMWR_RATING_RO_ROLLUP[],MATCH($B20,MMWR_RATING_RO_ROLLUP[MMWR_RATING_RO_ROLLUP],0),MATCH(C$9,MMWR_RATING_RO_ROLLUP[#Headers],0)),"ERROR"))</f>
        <v>2290</v>
      </c>
      <c r="D20" s="156">
        <f>IF($B20=" ","",IFERROR(INDEX(MMWR_RATING_RO_ROLLUP[],MATCH($B20,MMWR_RATING_RO_ROLLUP[MMWR_RATING_RO_ROLLUP],0),MATCH(D$9,MMWR_RATING_RO_ROLLUP[#Headers],0)),"ERROR"))</f>
        <v>81.579912663800002</v>
      </c>
      <c r="E20" s="157">
        <f>IF($B20=" ","",IFERROR(INDEX(MMWR_RATING_RO_ROLLUP[],MATCH($B20,MMWR_RATING_RO_ROLLUP[MMWR_RATING_RO_ROLLUP],0),MATCH(E$9,MMWR_RATING_RO_ROLLUP[#Headers],0))/$C20,"ERROR"))</f>
        <v>0.13624454148471615</v>
      </c>
      <c r="F20" s="155">
        <f>IF($B20=" ","",IFERROR(INDEX(MMWR_RATING_RO_ROLLUP[],MATCH($B20,MMWR_RATING_RO_ROLLUP[MMWR_RATING_RO_ROLLUP],0),MATCH(F$9,MMWR_RATING_RO_ROLLUP[#Headers],0)),"ERROR"))</f>
        <v>744</v>
      </c>
      <c r="G20" s="155">
        <f>IF($B20=" ","",IFERROR(INDEX(MMWR_RATING_RO_ROLLUP[],MATCH($B20,MMWR_RATING_RO_ROLLUP[MMWR_RATING_RO_ROLLUP],0),MATCH(G$9,MMWR_RATING_RO_ROLLUP[#Headers],0)),"ERROR"))</f>
        <v>744</v>
      </c>
      <c r="H20" s="156">
        <f>IF($B20=" ","",IFERROR(INDEX(MMWR_RATING_RO_ROLLUP[],MATCH($B20,MMWR_RATING_RO_ROLLUP[MMWR_RATING_RO_ROLLUP],0),MATCH(H$9,MMWR_RATING_RO_ROLLUP[#Headers],0)),"ERROR"))</f>
        <v>116.6478494624</v>
      </c>
      <c r="I20" s="156">
        <f>IF($B20=" ","",IFERROR(INDEX(MMWR_RATING_RO_ROLLUP[],MATCH($B20,MMWR_RATING_RO_ROLLUP[MMWR_RATING_RO_ROLLUP],0),MATCH(I$9,MMWR_RATING_RO_ROLLUP[#Headers],0)),"ERROR"))</f>
        <v>116.6478494624</v>
      </c>
      <c r="J20" s="42"/>
      <c r="K20" s="42"/>
      <c r="L20" s="42"/>
      <c r="M20" s="42"/>
      <c r="N20" s="28"/>
    </row>
    <row r="21" spans="1:14" x14ac:dyDescent="0.2">
      <c r="A21" s="25"/>
      <c r="B21" s="8" t="str">
        <f>VLOOKUP($B$15,DISTRICT_RO[],7,0)</f>
        <v>Manchester VSC</v>
      </c>
      <c r="C21" s="155">
        <f>IF($B21=" ","",IFERROR(INDEX(MMWR_RATING_RO_ROLLUP[],MATCH($B21,MMWR_RATING_RO_ROLLUP[MMWR_RATING_RO_ROLLUP],0),MATCH(C$9,MMWR_RATING_RO_ROLLUP[#Headers],0)),"ERROR"))</f>
        <v>1330</v>
      </c>
      <c r="D21" s="156">
        <f>IF($B21=" ","",IFERROR(INDEX(MMWR_RATING_RO_ROLLUP[],MATCH($B21,MMWR_RATING_RO_ROLLUP[MMWR_RATING_RO_ROLLUP],0),MATCH(D$9,MMWR_RATING_RO_ROLLUP[#Headers],0)),"ERROR"))</f>
        <v>89.229323308299996</v>
      </c>
      <c r="E21" s="157">
        <f>IF($B21=" ","",IFERROR(INDEX(MMWR_RATING_RO_ROLLUP[],MATCH($B21,MMWR_RATING_RO_ROLLUP[MMWR_RATING_RO_ROLLUP],0),MATCH(E$9,MMWR_RATING_RO_ROLLUP[#Headers],0))/$C21,"ERROR"))</f>
        <v>0.20225563909774436</v>
      </c>
      <c r="F21" s="155">
        <f>IF($B21=" ","",IFERROR(INDEX(MMWR_RATING_RO_ROLLUP[],MATCH($B21,MMWR_RATING_RO_ROLLUP[MMWR_RATING_RO_ROLLUP],0),MATCH(F$9,MMWR_RATING_RO_ROLLUP[#Headers],0)),"ERROR"))</f>
        <v>302</v>
      </c>
      <c r="G21" s="155">
        <f>IF($B21=" ","",IFERROR(INDEX(MMWR_RATING_RO_ROLLUP[],MATCH($B21,MMWR_RATING_RO_ROLLUP[MMWR_RATING_RO_ROLLUP],0),MATCH(G$9,MMWR_RATING_RO_ROLLUP[#Headers],0)),"ERROR"))</f>
        <v>302</v>
      </c>
      <c r="H21" s="156">
        <f>IF($B21=" ","",IFERROR(INDEX(MMWR_RATING_RO_ROLLUP[],MATCH($B21,MMWR_RATING_RO_ROLLUP[MMWR_RATING_RO_ROLLUP],0),MATCH(H$9,MMWR_RATING_RO_ROLLUP[#Headers],0)),"ERROR"))</f>
        <v>131.178807947</v>
      </c>
      <c r="I21" s="156">
        <f>IF($B21=" ","",IFERROR(INDEX(MMWR_RATING_RO_ROLLUP[],MATCH($B21,MMWR_RATING_RO_ROLLUP[MMWR_RATING_RO_ROLLUP],0),MATCH(I$9,MMWR_RATING_RO_ROLLUP[#Headers],0)),"ERROR"))</f>
        <v>131.178807947</v>
      </c>
      <c r="J21" s="42"/>
      <c r="K21" s="42"/>
      <c r="L21" s="42"/>
      <c r="M21" s="42"/>
      <c r="N21" s="28"/>
    </row>
    <row r="22" spans="1:14" x14ac:dyDescent="0.2">
      <c r="A22" s="25"/>
      <c r="B22" s="8" t="str">
        <f>VLOOKUP($B$15,DISTRICT_RO[],8,0)</f>
        <v>New York VSC</v>
      </c>
      <c r="C22" s="155">
        <f>IF($B22=" ","",IFERROR(INDEX(MMWR_RATING_RO_ROLLUP[],MATCH($B22,MMWR_RATING_RO_ROLLUP[MMWR_RATING_RO_ROLLUP],0),MATCH(C$9,MMWR_RATING_RO_ROLLUP[#Headers],0)),"ERROR"))</f>
        <v>4953</v>
      </c>
      <c r="D22" s="156">
        <f>IF($B22=" ","",IFERROR(INDEX(MMWR_RATING_RO_ROLLUP[],MATCH($B22,MMWR_RATING_RO_ROLLUP[MMWR_RATING_RO_ROLLUP],0),MATCH(D$9,MMWR_RATING_RO_ROLLUP[#Headers],0)),"ERROR"))</f>
        <v>93.276196244700003</v>
      </c>
      <c r="E22" s="157">
        <f>IF($B22=" ","",IFERROR(INDEX(MMWR_RATING_RO_ROLLUP[],MATCH($B22,MMWR_RATING_RO_ROLLUP[MMWR_RATING_RO_ROLLUP],0),MATCH(E$9,MMWR_RATING_RO_ROLLUP[#Headers],0))/$C22,"ERROR"))</f>
        <v>0.20411871592973954</v>
      </c>
      <c r="F22" s="155">
        <f>IF($B22=" ","",IFERROR(INDEX(MMWR_RATING_RO_ROLLUP[],MATCH($B22,MMWR_RATING_RO_ROLLUP[MMWR_RATING_RO_ROLLUP],0),MATCH(F$9,MMWR_RATING_RO_ROLLUP[#Headers],0)),"ERROR"))</f>
        <v>1147</v>
      </c>
      <c r="G22" s="155">
        <f>IF($B22=" ","",IFERROR(INDEX(MMWR_RATING_RO_ROLLUP[],MATCH($B22,MMWR_RATING_RO_ROLLUP[MMWR_RATING_RO_ROLLUP],0),MATCH(G$9,MMWR_RATING_RO_ROLLUP[#Headers],0)),"ERROR"))</f>
        <v>1147</v>
      </c>
      <c r="H22" s="156">
        <f>IF($B22=" ","",IFERROR(INDEX(MMWR_RATING_RO_ROLLUP[],MATCH($B22,MMWR_RATING_RO_ROLLUP[MMWR_RATING_RO_ROLLUP],0),MATCH(H$9,MMWR_RATING_RO_ROLLUP[#Headers],0)),"ERROR"))</f>
        <v>138.385353095</v>
      </c>
      <c r="I22" s="156">
        <f>IF($B22=" ","",IFERROR(INDEX(MMWR_RATING_RO_ROLLUP[],MATCH($B22,MMWR_RATING_RO_ROLLUP[MMWR_RATING_RO_ROLLUP],0),MATCH(I$9,MMWR_RATING_RO_ROLLUP[#Headers],0)),"ERROR"))</f>
        <v>138.385353095</v>
      </c>
      <c r="J22" s="42"/>
      <c r="K22" s="42"/>
      <c r="L22" s="42"/>
      <c r="M22" s="42"/>
      <c r="N22" s="28"/>
    </row>
    <row r="23" spans="1:14" x14ac:dyDescent="0.2">
      <c r="A23" s="25"/>
      <c r="B23" s="8" t="str">
        <f>VLOOKUP($B$15,DISTRICT_RO[],9,0)</f>
        <v>Newark VSC</v>
      </c>
      <c r="C23" s="155">
        <f>IF($B23=" ","",IFERROR(INDEX(MMWR_RATING_RO_ROLLUP[],MATCH($B23,MMWR_RATING_RO_ROLLUP[MMWR_RATING_RO_ROLLUP],0),MATCH(C$9,MMWR_RATING_RO_ROLLUP[#Headers],0)),"ERROR"))</f>
        <v>2764</v>
      </c>
      <c r="D23" s="156">
        <f>IF($B23=" ","",IFERROR(INDEX(MMWR_RATING_RO_ROLLUP[],MATCH($B23,MMWR_RATING_RO_ROLLUP[MMWR_RATING_RO_ROLLUP],0),MATCH(D$9,MMWR_RATING_RO_ROLLUP[#Headers],0)),"ERROR"))</f>
        <v>87.317293777100005</v>
      </c>
      <c r="E23" s="157">
        <f>IF($B23=" ","",IFERROR(INDEX(MMWR_RATING_RO_ROLLUP[],MATCH($B23,MMWR_RATING_RO_ROLLUP[MMWR_RATING_RO_ROLLUP],0),MATCH(E$9,MMWR_RATING_RO_ROLLUP[#Headers],0))/$C23,"ERROR"))</f>
        <v>0.20477568740955138</v>
      </c>
      <c r="F23" s="155">
        <f>IF($B23=" ","",IFERROR(INDEX(MMWR_RATING_RO_ROLLUP[],MATCH($B23,MMWR_RATING_RO_ROLLUP[MMWR_RATING_RO_ROLLUP],0),MATCH(F$9,MMWR_RATING_RO_ROLLUP[#Headers],0)),"ERROR"))</f>
        <v>753</v>
      </c>
      <c r="G23" s="155">
        <f>IF($B23=" ","",IFERROR(INDEX(MMWR_RATING_RO_ROLLUP[],MATCH($B23,MMWR_RATING_RO_ROLLUP[MMWR_RATING_RO_ROLLUP],0),MATCH(G$9,MMWR_RATING_RO_ROLLUP[#Headers],0)),"ERROR"))</f>
        <v>753</v>
      </c>
      <c r="H23" s="156">
        <f>IF($B23=" ","",IFERROR(INDEX(MMWR_RATING_RO_ROLLUP[],MATCH($B23,MMWR_RATING_RO_ROLLUP[MMWR_RATING_RO_ROLLUP],0),MATCH(H$9,MMWR_RATING_RO_ROLLUP[#Headers],0)),"ERROR"))</f>
        <v>137.74103585660001</v>
      </c>
      <c r="I23" s="156">
        <f>IF($B23=" ","",IFERROR(INDEX(MMWR_RATING_RO_ROLLUP[],MATCH($B23,MMWR_RATING_RO_ROLLUP[MMWR_RATING_RO_ROLLUP],0),MATCH(I$9,MMWR_RATING_RO_ROLLUP[#Headers],0)),"ERROR"))</f>
        <v>137.74103585660001</v>
      </c>
      <c r="J23" s="42"/>
      <c r="K23" s="42"/>
      <c r="L23" s="42"/>
      <c r="M23" s="42"/>
      <c r="N23" s="28"/>
    </row>
    <row r="24" spans="1:14" x14ac:dyDescent="0.2">
      <c r="A24" s="25"/>
      <c r="B24" s="8" t="str">
        <f>VLOOKUP($B$15,DISTRICT_RO[],10,0)</f>
        <v>Philadelphia VSC</v>
      </c>
      <c r="C24" s="155">
        <f>IF($B24=" ","",IFERROR(INDEX(MMWR_RATING_RO_ROLLUP[],MATCH($B24,MMWR_RATING_RO_ROLLUP[MMWR_RATING_RO_ROLLUP],0),MATCH(C$9,MMWR_RATING_RO_ROLLUP[#Headers],0)),"ERROR"))</f>
        <v>7157</v>
      </c>
      <c r="D24" s="156">
        <f>IF($B24=" ","",IFERROR(INDEX(MMWR_RATING_RO_ROLLUP[],MATCH($B24,MMWR_RATING_RO_ROLLUP[MMWR_RATING_RO_ROLLUP],0),MATCH(D$9,MMWR_RATING_RO_ROLLUP[#Headers],0)),"ERROR"))</f>
        <v>123.5010479251</v>
      </c>
      <c r="E24" s="157">
        <f>IF($B24=" ","",IFERROR(INDEX(MMWR_RATING_RO_ROLLUP[],MATCH($B24,MMWR_RATING_RO_ROLLUP[MMWR_RATING_RO_ROLLUP],0),MATCH(E$9,MMWR_RATING_RO_ROLLUP[#Headers],0))/$C24,"ERROR"))</f>
        <v>0.32345955009082017</v>
      </c>
      <c r="F24" s="155">
        <f>IF($B24=" ","",IFERROR(INDEX(MMWR_RATING_RO_ROLLUP[],MATCH($B24,MMWR_RATING_RO_ROLLUP[MMWR_RATING_RO_ROLLUP],0),MATCH(F$9,MMWR_RATING_RO_ROLLUP[#Headers],0)),"ERROR"))</f>
        <v>2064</v>
      </c>
      <c r="G24" s="155">
        <f>IF($B24=" ","",IFERROR(INDEX(MMWR_RATING_RO_ROLLUP[],MATCH($B24,MMWR_RATING_RO_ROLLUP[MMWR_RATING_RO_ROLLUP],0),MATCH(G$9,MMWR_RATING_RO_ROLLUP[#Headers],0)),"ERROR"))</f>
        <v>2064</v>
      </c>
      <c r="H24" s="156">
        <f>IF($B24=" ","",IFERROR(INDEX(MMWR_RATING_RO_ROLLUP[],MATCH($B24,MMWR_RATING_RO_ROLLUP[MMWR_RATING_RO_ROLLUP],0),MATCH(H$9,MMWR_RATING_RO_ROLLUP[#Headers],0)),"ERROR"))</f>
        <v>163.93943798449999</v>
      </c>
      <c r="I24" s="156">
        <f>IF($B24=" ","",IFERROR(INDEX(MMWR_RATING_RO_ROLLUP[],MATCH($B24,MMWR_RATING_RO_ROLLUP[MMWR_RATING_RO_ROLLUP],0),MATCH(I$9,MMWR_RATING_RO_ROLLUP[#Headers],0)),"ERROR"))</f>
        <v>163.93943798449999</v>
      </c>
      <c r="J24" s="42"/>
      <c r="K24" s="42"/>
      <c r="L24" s="42"/>
      <c r="M24" s="42"/>
      <c r="N24" s="28"/>
    </row>
    <row r="25" spans="1:14" x14ac:dyDescent="0.2">
      <c r="A25" s="25"/>
      <c r="B25" s="8" t="str">
        <f>VLOOKUP($B$15,DISTRICT_RO[],11,0)</f>
        <v>Pittsburgh VSC</v>
      </c>
      <c r="C25" s="155">
        <f>IF($B25=" ","",IFERROR(INDEX(MMWR_RATING_RO_ROLLUP[],MATCH($B25,MMWR_RATING_RO_ROLLUP[MMWR_RATING_RO_ROLLUP],0),MATCH(C$9,MMWR_RATING_RO_ROLLUP[#Headers],0)),"ERROR"))</f>
        <v>5109</v>
      </c>
      <c r="D25" s="156">
        <f>IF($B25=" ","",IFERROR(INDEX(MMWR_RATING_RO_ROLLUP[],MATCH($B25,MMWR_RATING_RO_ROLLUP[MMWR_RATING_RO_ROLLUP],0),MATCH(D$9,MMWR_RATING_RO_ROLLUP[#Headers],0)),"ERROR"))</f>
        <v>113.17498532</v>
      </c>
      <c r="E25" s="157">
        <f>IF($B25=" ","",IFERROR(INDEX(MMWR_RATING_RO_ROLLUP[],MATCH($B25,MMWR_RATING_RO_ROLLUP[MMWR_RATING_RO_ROLLUP],0),MATCH(E$9,MMWR_RATING_RO_ROLLUP[#Headers],0))/$C25,"ERROR"))</f>
        <v>0.29633979252299864</v>
      </c>
      <c r="F25" s="155">
        <f>IF($B25=" ","",IFERROR(INDEX(MMWR_RATING_RO_ROLLUP[],MATCH($B25,MMWR_RATING_RO_ROLLUP[MMWR_RATING_RO_ROLLUP],0),MATCH(F$9,MMWR_RATING_RO_ROLLUP[#Headers],0)),"ERROR"))</f>
        <v>1021</v>
      </c>
      <c r="G25" s="155">
        <f>IF($B25=" ","",IFERROR(INDEX(MMWR_RATING_RO_ROLLUP[],MATCH($B25,MMWR_RATING_RO_ROLLUP[MMWR_RATING_RO_ROLLUP],0),MATCH(G$9,MMWR_RATING_RO_ROLLUP[#Headers],0)),"ERROR"))</f>
        <v>1021</v>
      </c>
      <c r="H25" s="156">
        <f>IF($B25=" ","",IFERROR(INDEX(MMWR_RATING_RO_ROLLUP[],MATCH($B25,MMWR_RATING_RO_ROLLUP[MMWR_RATING_RO_ROLLUP],0),MATCH(H$9,MMWR_RATING_RO_ROLLUP[#Headers],0)),"ERROR"))</f>
        <v>170.65328109699999</v>
      </c>
      <c r="I25" s="156">
        <f>IF($B25=" ","",IFERROR(INDEX(MMWR_RATING_RO_ROLLUP[],MATCH($B25,MMWR_RATING_RO_ROLLUP[MMWR_RATING_RO_ROLLUP],0),MATCH(I$9,MMWR_RATING_RO_ROLLUP[#Headers],0)),"ERROR"))</f>
        <v>170.65328109699999</v>
      </c>
      <c r="J25" s="42"/>
      <c r="K25" s="42"/>
      <c r="L25" s="42"/>
      <c r="M25" s="42"/>
      <c r="N25" s="28"/>
    </row>
    <row r="26" spans="1:14" x14ac:dyDescent="0.2">
      <c r="A26" s="25"/>
      <c r="B26" s="8" t="str">
        <f>VLOOKUP($B$15,DISTRICT_RO[],12,0)</f>
        <v>Providence VSC</v>
      </c>
      <c r="C26" s="155">
        <f>IF($B26=" ","",IFERROR(INDEX(MMWR_RATING_RO_ROLLUP[],MATCH($B26,MMWR_RATING_RO_ROLLUP[MMWR_RATING_RO_ROLLUP],0),MATCH(C$9,MMWR_RATING_RO_ROLLUP[#Headers],0)),"ERROR"))</f>
        <v>2208</v>
      </c>
      <c r="D26" s="156">
        <f>IF($B26=" ","",IFERROR(INDEX(MMWR_RATING_RO_ROLLUP[],MATCH($B26,MMWR_RATING_RO_ROLLUP[MMWR_RATING_RO_ROLLUP],0),MATCH(D$9,MMWR_RATING_RO_ROLLUP[#Headers],0)),"ERROR"))</f>
        <v>76.206068840599997</v>
      </c>
      <c r="E26" s="157">
        <f>IF($B26=" ","",IFERROR(INDEX(MMWR_RATING_RO_ROLLUP[],MATCH($B26,MMWR_RATING_RO_ROLLUP[MMWR_RATING_RO_ROLLUP],0),MATCH(E$9,MMWR_RATING_RO_ROLLUP[#Headers],0))/$C26,"ERROR"))</f>
        <v>0.15534420289855072</v>
      </c>
      <c r="F26" s="155">
        <f>IF($B26=" ","",IFERROR(INDEX(MMWR_RATING_RO_ROLLUP[],MATCH($B26,MMWR_RATING_RO_ROLLUP[MMWR_RATING_RO_ROLLUP],0),MATCH(F$9,MMWR_RATING_RO_ROLLUP[#Headers],0)),"ERROR"))</f>
        <v>1720</v>
      </c>
      <c r="G26" s="155">
        <f>IF($B26=" ","",IFERROR(INDEX(MMWR_RATING_RO_ROLLUP[],MATCH($B26,MMWR_RATING_RO_ROLLUP[MMWR_RATING_RO_ROLLUP],0),MATCH(G$9,MMWR_RATING_RO_ROLLUP[#Headers],0)),"ERROR"))</f>
        <v>1720</v>
      </c>
      <c r="H26" s="156">
        <f>IF($B26=" ","",IFERROR(INDEX(MMWR_RATING_RO_ROLLUP[],MATCH($B26,MMWR_RATING_RO_ROLLUP[MMWR_RATING_RO_ROLLUP],0),MATCH(H$9,MMWR_RATING_RO_ROLLUP[#Headers],0)),"ERROR"))</f>
        <v>48.479069767399999</v>
      </c>
      <c r="I26" s="156">
        <f>IF($B26=" ","",IFERROR(INDEX(MMWR_RATING_RO_ROLLUP[],MATCH($B26,MMWR_RATING_RO_ROLLUP[MMWR_RATING_RO_ROLLUP],0),MATCH(I$9,MMWR_RATING_RO_ROLLUP[#Headers],0)),"ERROR"))</f>
        <v>48.479069767399999</v>
      </c>
      <c r="J26" s="42"/>
      <c r="K26" s="42"/>
      <c r="L26" s="42"/>
      <c r="M26" s="42"/>
      <c r="N26" s="28"/>
    </row>
    <row r="27" spans="1:14" x14ac:dyDescent="0.2">
      <c r="A27" s="25"/>
      <c r="B27" s="8" t="str">
        <f>VLOOKUP($B$15,DISTRICT_RO[],13,0)</f>
        <v>Roanoke VSC</v>
      </c>
      <c r="C27" s="155">
        <f>IF($B27=" ","",IFERROR(INDEX(MMWR_RATING_RO_ROLLUP[],MATCH($B27,MMWR_RATING_RO_ROLLUP[MMWR_RATING_RO_ROLLUP],0),MATCH(C$9,MMWR_RATING_RO_ROLLUP[#Headers],0)),"ERROR"))</f>
        <v>11371</v>
      </c>
      <c r="D27" s="156">
        <f>IF($B27=" ","",IFERROR(INDEX(MMWR_RATING_RO_ROLLUP[],MATCH($B27,MMWR_RATING_RO_ROLLUP[MMWR_RATING_RO_ROLLUP],0),MATCH(D$9,MMWR_RATING_RO_ROLLUP[#Headers],0)),"ERROR"))</f>
        <v>86.362149327200001</v>
      </c>
      <c r="E27" s="157">
        <f>IF($B27=" ","",IFERROR(INDEX(MMWR_RATING_RO_ROLLUP[],MATCH($B27,MMWR_RATING_RO_ROLLUP[MMWR_RATING_RO_ROLLUP],0),MATCH(E$9,MMWR_RATING_RO_ROLLUP[#Headers],0))/$C27,"ERROR"))</f>
        <v>0.18054700554040981</v>
      </c>
      <c r="F27" s="155">
        <f>IF($B27=" ","",IFERROR(INDEX(MMWR_RATING_RO_ROLLUP[],MATCH($B27,MMWR_RATING_RO_ROLLUP[MMWR_RATING_RO_ROLLUP],0),MATCH(F$9,MMWR_RATING_RO_ROLLUP[#Headers],0)),"ERROR"))</f>
        <v>2548</v>
      </c>
      <c r="G27" s="155">
        <f>IF($B27=" ","",IFERROR(INDEX(MMWR_RATING_RO_ROLLUP[],MATCH($B27,MMWR_RATING_RO_ROLLUP[MMWR_RATING_RO_ROLLUP],0),MATCH(G$9,MMWR_RATING_RO_ROLLUP[#Headers],0)),"ERROR"))</f>
        <v>2548</v>
      </c>
      <c r="H27" s="156">
        <f>IF($B27=" ","",IFERROR(INDEX(MMWR_RATING_RO_ROLLUP[],MATCH($B27,MMWR_RATING_RO_ROLLUP[MMWR_RATING_RO_ROLLUP],0),MATCH(H$9,MMWR_RATING_RO_ROLLUP[#Headers],0)),"ERROR"))</f>
        <v>141.4866562009</v>
      </c>
      <c r="I27" s="156">
        <f>IF($B27=" ","",IFERROR(INDEX(MMWR_RATING_RO_ROLLUP[],MATCH($B27,MMWR_RATING_RO_ROLLUP[MMWR_RATING_RO_ROLLUP],0),MATCH(I$9,MMWR_RATING_RO_ROLLUP[#Headers],0)),"ERROR"))</f>
        <v>141.4866562009</v>
      </c>
      <c r="J27" s="42"/>
      <c r="K27" s="42"/>
      <c r="L27" s="42"/>
      <c r="M27" s="42"/>
      <c r="N27" s="28"/>
    </row>
    <row r="28" spans="1:14" x14ac:dyDescent="0.2">
      <c r="A28" s="25"/>
      <c r="B28" s="8" t="str">
        <f>VLOOKUP($B$15,DISTRICT_RO[],14,0)</f>
        <v>Togus VSC</v>
      </c>
      <c r="C28" s="155">
        <f>IF($B28=" ","",IFERROR(INDEX(MMWR_RATING_RO_ROLLUP[],MATCH($B28,MMWR_RATING_RO_ROLLUP[MMWR_RATING_RO_ROLLUP],0),MATCH(C$9,MMWR_RATING_RO_ROLLUP[#Headers],0)),"ERROR"))</f>
        <v>1178</v>
      </c>
      <c r="D28" s="156">
        <f>IF($B28=" ","",IFERROR(INDEX(MMWR_RATING_RO_ROLLUP[],MATCH($B28,MMWR_RATING_RO_ROLLUP[MMWR_RATING_RO_ROLLUP],0),MATCH(D$9,MMWR_RATING_RO_ROLLUP[#Headers],0)),"ERROR"))</f>
        <v>71.870967741900003</v>
      </c>
      <c r="E28" s="157">
        <f>IF($B28=" ","",IFERROR(INDEX(MMWR_RATING_RO_ROLLUP[],MATCH($B28,MMWR_RATING_RO_ROLLUP[MMWR_RATING_RO_ROLLUP],0),MATCH(E$9,MMWR_RATING_RO_ROLLUP[#Headers],0))/$C28,"ERROR"))</f>
        <v>0.13667232597623091</v>
      </c>
      <c r="F28" s="155">
        <f>IF($B28=" ","",IFERROR(INDEX(MMWR_RATING_RO_ROLLUP[],MATCH($B28,MMWR_RATING_RO_ROLLUP[MMWR_RATING_RO_ROLLUP],0),MATCH(F$9,MMWR_RATING_RO_ROLLUP[#Headers],0)),"ERROR"))</f>
        <v>506</v>
      </c>
      <c r="G28" s="155">
        <f>IF($B28=" ","",IFERROR(INDEX(MMWR_RATING_RO_ROLLUP[],MATCH($B28,MMWR_RATING_RO_ROLLUP[MMWR_RATING_RO_ROLLUP],0),MATCH(G$9,MMWR_RATING_RO_ROLLUP[#Headers],0)),"ERROR"))</f>
        <v>506</v>
      </c>
      <c r="H28" s="156">
        <f>IF($B28=" ","",IFERROR(INDEX(MMWR_RATING_RO_ROLLUP[],MATCH($B28,MMWR_RATING_RO_ROLLUP[MMWR_RATING_RO_ROLLUP],0),MATCH(H$9,MMWR_RATING_RO_ROLLUP[#Headers],0)),"ERROR"))</f>
        <v>108.3221343874</v>
      </c>
      <c r="I28" s="156">
        <f>IF($B28=" ","",IFERROR(INDEX(MMWR_RATING_RO_ROLLUP[],MATCH($B28,MMWR_RATING_RO_ROLLUP[MMWR_RATING_RO_ROLLUP],0),MATCH(I$9,MMWR_RATING_RO_ROLLUP[#Headers],0)),"ERROR"))</f>
        <v>108.3221343874</v>
      </c>
      <c r="J28" s="42"/>
      <c r="K28" s="42"/>
      <c r="L28" s="42"/>
      <c r="M28" s="42"/>
      <c r="N28" s="28"/>
    </row>
    <row r="29" spans="1:14" x14ac:dyDescent="0.2">
      <c r="A29" s="25"/>
      <c r="B29" s="8" t="str">
        <f>VLOOKUP($B$15,DISTRICT_RO[],15,0)</f>
        <v>White River Junction VSC</v>
      </c>
      <c r="C29" s="155">
        <f>IF($B29=" ","",IFERROR(INDEX(MMWR_RATING_RO_ROLLUP[],MATCH($B29,MMWR_RATING_RO_ROLLUP[MMWR_RATING_RO_ROLLUP],0),MATCH(C$9,MMWR_RATING_RO_ROLLUP[#Headers],0)),"ERROR"))</f>
        <v>413</v>
      </c>
      <c r="D29" s="156">
        <f>IF($B29=" ","",IFERROR(INDEX(MMWR_RATING_RO_ROLLUP[],MATCH($B29,MMWR_RATING_RO_ROLLUP[MMWR_RATING_RO_ROLLUP],0),MATCH(D$9,MMWR_RATING_RO_ROLLUP[#Headers],0)),"ERROR"))</f>
        <v>91.629539951599995</v>
      </c>
      <c r="E29" s="157">
        <f>IF($B29=" ","",IFERROR(INDEX(MMWR_RATING_RO_ROLLUP[],MATCH($B29,MMWR_RATING_RO_ROLLUP[MMWR_RATING_RO_ROLLUP],0),MATCH(E$9,MMWR_RATING_RO_ROLLUP[#Headers],0))/$C29,"ERROR"))</f>
        <v>0.20338983050847459</v>
      </c>
      <c r="F29" s="155">
        <f>IF($B29=" ","",IFERROR(INDEX(MMWR_RATING_RO_ROLLUP[],MATCH($B29,MMWR_RATING_RO_ROLLUP[MMWR_RATING_RO_ROLLUP],0),MATCH(F$9,MMWR_RATING_RO_ROLLUP[#Headers],0)),"ERROR"))</f>
        <v>57</v>
      </c>
      <c r="G29" s="155">
        <f>IF($B29=" ","",IFERROR(INDEX(MMWR_RATING_RO_ROLLUP[],MATCH($B29,MMWR_RATING_RO_ROLLUP[MMWR_RATING_RO_ROLLUP],0),MATCH(G$9,MMWR_RATING_RO_ROLLUP[#Headers],0)),"ERROR"))</f>
        <v>57</v>
      </c>
      <c r="H29" s="156">
        <f>IF($B29=" ","",IFERROR(INDEX(MMWR_RATING_RO_ROLLUP[],MATCH($B29,MMWR_RATING_RO_ROLLUP[MMWR_RATING_RO_ROLLUP],0),MATCH(H$9,MMWR_RATING_RO_ROLLUP[#Headers],0)),"ERROR"))</f>
        <v>114.6140350877</v>
      </c>
      <c r="I29" s="156">
        <f>IF($B29=" ","",IFERROR(INDEX(MMWR_RATING_RO_ROLLUP[],MATCH($B29,MMWR_RATING_RO_ROLLUP[MMWR_RATING_RO_ROLLUP],0),MATCH(I$9,MMWR_RATING_RO_ROLLUP[#Headers],0)),"ERROR"))</f>
        <v>114.6140350877</v>
      </c>
      <c r="J29" s="42"/>
      <c r="K29" s="42"/>
      <c r="L29" s="42"/>
      <c r="M29" s="42"/>
      <c r="N29" s="28"/>
    </row>
    <row r="30" spans="1:14" x14ac:dyDescent="0.2">
      <c r="A30" s="25"/>
      <c r="B30" s="8" t="str">
        <f>VLOOKUP($B$15,DISTRICT_RO[],16,0)</f>
        <v>Wilmington VSC</v>
      </c>
      <c r="C30" s="155">
        <f>IF($B30=" ","",IFERROR(INDEX(MMWR_RATING_RO_ROLLUP[],MATCH($B30,MMWR_RATING_RO_ROLLUP[MMWR_RATING_RO_ROLLUP],0),MATCH(C$9,MMWR_RATING_RO_ROLLUP[#Headers],0)),"ERROR"))</f>
        <v>802</v>
      </c>
      <c r="D30" s="156">
        <f>IF($B30=" ","",IFERROR(INDEX(MMWR_RATING_RO_ROLLUP[],MATCH($B30,MMWR_RATING_RO_ROLLUP[MMWR_RATING_RO_ROLLUP],0),MATCH(D$9,MMWR_RATING_RO_ROLLUP[#Headers],0)),"ERROR"))</f>
        <v>103.9289276808</v>
      </c>
      <c r="E30" s="157">
        <f>IF($B30=" ","",IFERROR(INDEX(MMWR_RATING_RO_ROLLUP[],MATCH($B30,MMWR_RATING_RO_ROLLUP[MMWR_RATING_RO_ROLLUP],0),MATCH(E$9,MMWR_RATING_RO_ROLLUP[#Headers],0))/$C30,"ERROR"))</f>
        <v>0.23316708229426433</v>
      </c>
      <c r="F30" s="155">
        <f>IF($B30=" ","",IFERROR(INDEX(MMWR_RATING_RO_ROLLUP[],MATCH($B30,MMWR_RATING_RO_ROLLUP[MMWR_RATING_RO_ROLLUP],0),MATCH(F$9,MMWR_RATING_RO_ROLLUP[#Headers],0)),"ERROR"))</f>
        <v>194</v>
      </c>
      <c r="G30" s="155">
        <f>IF($B30=" ","",IFERROR(INDEX(MMWR_RATING_RO_ROLLUP[],MATCH($B30,MMWR_RATING_RO_ROLLUP[MMWR_RATING_RO_ROLLUP],0),MATCH(G$9,MMWR_RATING_RO_ROLLUP[#Headers],0)),"ERROR"))</f>
        <v>194</v>
      </c>
      <c r="H30" s="156">
        <f>IF($B30=" ","",IFERROR(INDEX(MMWR_RATING_RO_ROLLUP[],MATCH($B30,MMWR_RATING_RO_ROLLUP[MMWR_RATING_RO_ROLLUP],0),MATCH(H$9,MMWR_RATING_RO_ROLLUP[#Headers],0)),"ERROR"))</f>
        <v>141.3917525773</v>
      </c>
      <c r="I30" s="156">
        <f>IF($B30=" ","",IFERROR(INDEX(MMWR_RATING_RO_ROLLUP[],MATCH($B30,MMWR_RATING_RO_ROLLUP[MMWR_RATING_RO_ROLLUP],0),MATCH(I$9,MMWR_RATING_RO_ROLLUP[#Headers],0)),"ERROR"))</f>
        <v>141.3917525773</v>
      </c>
      <c r="J30" s="42"/>
      <c r="K30" s="42"/>
      <c r="L30" s="42"/>
      <c r="M30" s="42"/>
      <c r="N30" s="28"/>
    </row>
    <row r="31" spans="1:14" x14ac:dyDescent="0.2">
      <c r="A31" s="25"/>
      <c r="B31" s="8" t="str">
        <f>VLOOKUP($B$15,DISTRICT_RO[],17,0)</f>
        <v>Winston-Salem VSC</v>
      </c>
      <c r="C31" s="155">
        <f>IF($B31=" ","",IFERROR(INDEX(MMWR_RATING_RO_ROLLUP[],MATCH($B31,MMWR_RATING_RO_ROLLUP[MMWR_RATING_RO_ROLLUP],0),MATCH(C$9,MMWR_RATING_RO_ROLLUP[#Headers],0)),"ERROR"))</f>
        <v>18662</v>
      </c>
      <c r="D31" s="156">
        <f>IF($B31=" ","",IFERROR(INDEX(MMWR_RATING_RO_ROLLUP[],MATCH($B31,MMWR_RATING_RO_ROLLUP[MMWR_RATING_RO_ROLLUP],0),MATCH(D$9,MMWR_RATING_RO_ROLLUP[#Headers],0)),"ERROR"))</f>
        <v>99.749544529000005</v>
      </c>
      <c r="E31" s="157">
        <f>IF($B31=" ","",IFERROR(INDEX(MMWR_RATING_RO_ROLLUP[],MATCH($B31,MMWR_RATING_RO_ROLLUP[MMWR_RATING_RO_ROLLUP],0),MATCH(E$9,MMWR_RATING_RO_ROLLUP[#Headers],0))/$C31,"ERROR"))</f>
        <v>0.2345943628764334</v>
      </c>
      <c r="F31" s="155">
        <f>IF($B31=" ","",IFERROR(INDEX(MMWR_RATING_RO_ROLLUP[],MATCH($B31,MMWR_RATING_RO_ROLLUP[MMWR_RATING_RO_ROLLUP],0),MATCH(F$9,MMWR_RATING_RO_ROLLUP[#Headers],0)),"ERROR"))</f>
        <v>4036</v>
      </c>
      <c r="G31" s="155">
        <f>IF($B31=" ","",IFERROR(INDEX(MMWR_RATING_RO_ROLLUP[],MATCH($B31,MMWR_RATING_RO_ROLLUP[MMWR_RATING_RO_ROLLUP],0),MATCH(G$9,MMWR_RATING_RO_ROLLUP[#Headers],0)),"ERROR"))</f>
        <v>4036</v>
      </c>
      <c r="H31" s="156">
        <f>IF($B31=" ","",IFERROR(INDEX(MMWR_RATING_RO_ROLLUP[],MATCH($B31,MMWR_RATING_RO_ROLLUP[MMWR_RATING_RO_ROLLUP],0),MATCH(H$9,MMWR_RATING_RO_ROLLUP[#Headers],0)),"ERROR"))</f>
        <v>157.78790882059999</v>
      </c>
      <c r="I31" s="156">
        <f>IF($B31=" ","",IFERROR(INDEX(MMWR_RATING_RO_ROLLUP[],MATCH($B31,MMWR_RATING_RO_ROLLUP[MMWR_RATING_RO_ROLLUP],0),MATCH(I$9,MMWR_RATING_RO_ROLLUP[#Headers],0)),"ERROR"))</f>
        <v>157.78790882059999</v>
      </c>
      <c r="J31" s="42"/>
      <c r="K31" s="42"/>
      <c r="L31" s="42"/>
      <c r="M31" s="42"/>
      <c r="N31" s="28"/>
    </row>
    <row r="32" spans="1:14" x14ac:dyDescent="0.2">
      <c r="A32" s="25"/>
      <c r="B32" s="377" t="s">
        <v>740</v>
      </c>
      <c r="C32" s="378"/>
      <c r="D32" s="378"/>
      <c r="E32" s="378"/>
      <c r="F32" s="378"/>
      <c r="G32" s="378"/>
      <c r="H32" s="378"/>
      <c r="I32" s="378"/>
      <c r="J32" s="378"/>
      <c r="K32" s="378"/>
      <c r="L32" s="378"/>
      <c r="M32" s="387"/>
      <c r="N32" s="28"/>
    </row>
    <row r="33" spans="1:14" x14ac:dyDescent="0.2">
      <c r="A33" s="25"/>
      <c r="B33" s="11" t="s">
        <v>703</v>
      </c>
      <c r="C33" s="155">
        <f>IF($B33=" ","",IFERROR(INDEX(MMWR_RATING_RO_ROLLUP[],MATCH($B33,MMWR_RATING_RO_ROLLUP[MMWR_RATING_RO_ROLLUP],0),MATCH(C$9,MMWR_RATING_RO_ROLLUP[#Headers],0)),"ERROR"))</f>
        <v>22626</v>
      </c>
      <c r="D33" s="156">
        <f>IF($B33=" ","",IFERROR(INDEX(MMWR_RATING_RO_ROLLUP[],MATCH($B33,MMWR_RATING_RO_ROLLUP[MMWR_RATING_RO_ROLLUP],0),MATCH(D$9,MMWR_RATING_RO_ROLLUP[#Headers],0)),"ERROR"))</f>
        <v>62.445239989400001</v>
      </c>
      <c r="E33" s="157">
        <f>IF($B33=" ","",IFERROR(INDEX(MMWR_RATING_RO_ROLLUP[],MATCH($B33,MMWR_RATING_RO_ROLLUP[MMWR_RATING_RO_ROLLUP],0),MATCH(E$9,MMWR_RATING_RO_ROLLUP[#Headers],0))/$C33,"ERROR"))</f>
        <v>8.021744895253248E-2</v>
      </c>
      <c r="F33" s="155">
        <f>IF($B33=" ","",IFERROR(INDEX(MMWR_RATING_RO_ROLLUP[],MATCH($B33,MMWR_RATING_RO_ROLLUP[MMWR_RATING_RO_ROLLUP],0),MATCH(F$9,MMWR_RATING_RO_ROLLUP[#Headers],0)),"ERROR"))</f>
        <v>11866</v>
      </c>
      <c r="G33" s="155">
        <f>IF($B33=" ","",IFERROR(INDEX(MMWR_RATING_RO_ROLLUP[],MATCH($B33,MMWR_RATING_RO_ROLLUP[MMWR_RATING_RO_ROLLUP],0),MATCH(G$9,MMWR_RATING_RO_ROLLUP[#Headers],0)),"ERROR"))</f>
        <v>11866</v>
      </c>
      <c r="H33" s="156">
        <f>IF($B33=" ","",IFERROR(INDEX(MMWR_RATING_RO_ROLLUP[],MATCH($B33,MMWR_RATING_RO_ROLLUP[MMWR_RATING_RO_ROLLUP],0),MATCH(H$9,MMWR_RATING_RO_ROLLUP[#Headers],0)),"ERROR"))</f>
        <v>68.022501264100001</v>
      </c>
      <c r="I33" s="156">
        <f>IF($B33=" ","",IFERROR(INDEX(MMWR_RATING_RO_ROLLUP[],MATCH($B33,MMWR_RATING_RO_ROLLUP[MMWR_RATING_RO_ROLLUP],0),MATCH(I$9,MMWR_RATING_RO_ROLLUP[#Headers],0)),"ERROR"))</f>
        <v>68.022501264100001</v>
      </c>
      <c r="J33" s="42"/>
      <c r="K33" s="42"/>
      <c r="L33" s="42"/>
      <c r="M33" s="42"/>
      <c r="N33" s="28"/>
    </row>
    <row r="34" spans="1:14" x14ac:dyDescent="0.2">
      <c r="A34" s="25"/>
      <c r="B34" s="12" t="s">
        <v>216</v>
      </c>
      <c r="C34" s="155">
        <f>IF($B34=" ","",IFERROR(INDEX(MMWR_RATING_RO_ROLLUP[],MATCH($B34,MMWR_RATING_RO_ROLLUP[MMWR_RATING_RO_ROLLUP],0),MATCH(C$9,MMWR_RATING_RO_ROLLUP[#Headers],0)),"ERROR"))</f>
        <v>7751</v>
      </c>
      <c r="D34" s="156">
        <f>IF($B34=" ","",IFERROR(INDEX(MMWR_RATING_RO_ROLLUP[],MATCH($B34,MMWR_RATING_RO_ROLLUP[MMWR_RATING_RO_ROLLUP],0),MATCH(D$9,MMWR_RATING_RO_ROLLUP[#Headers],0)),"ERROR"))</f>
        <v>66.311830731499995</v>
      </c>
      <c r="E34" s="157">
        <f>IF($B34=" ","",IFERROR(INDEX(MMWR_RATING_RO_ROLLUP[],MATCH($B34,MMWR_RATING_RO_ROLLUP[MMWR_RATING_RO_ROLLUP],0),MATCH(E$9,MMWR_RATING_RO_ROLLUP[#Headers],0))/$C34,"ERROR"))</f>
        <v>8.9794865178686623E-2</v>
      </c>
      <c r="F34" s="155">
        <f>IF($B34=" ","",IFERROR(INDEX(MMWR_RATING_RO_ROLLUP[],MATCH($B34,MMWR_RATING_RO_ROLLUP[MMWR_RATING_RO_ROLLUP],0),MATCH(F$9,MMWR_RATING_RO_ROLLUP[#Headers],0)),"ERROR"))</f>
        <v>3576</v>
      </c>
      <c r="G34" s="155">
        <f>IF($B34=" ","",IFERROR(INDEX(MMWR_RATING_RO_ROLLUP[],MATCH($B34,MMWR_RATING_RO_ROLLUP[MMWR_RATING_RO_ROLLUP],0),MATCH(G$9,MMWR_RATING_RO_ROLLUP[#Headers],0)),"ERROR"))</f>
        <v>3576</v>
      </c>
      <c r="H34" s="156">
        <f>IF($B34=" ","",IFERROR(INDEX(MMWR_RATING_RO_ROLLUP[],MATCH($B34,MMWR_RATING_RO_ROLLUP[MMWR_RATING_RO_ROLLUP],0),MATCH(H$9,MMWR_RATING_RO_ROLLUP[#Headers],0)),"ERROR"))</f>
        <v>81.274888143200002</v>
      </c>
      <c r="I34" s="156">
        <f>IF($B34=" ","",IFERROR(INDEX(MMWR_RATING_RO_ROLLUP[],MATCH($B34,MMWR_RATING_RO_ROLLUP[MMWR_RATING_RO_ROLLUP],0),MATCH(I$9,MMWR_RATING_RO_ROLLUP[#Headers],0)),"ERROR"))</f>
        <v>81.274888143200002</v>
      </c>
      <c r="J34" s="42"/>
      <c r="K34" s="42"/>
      <c r="L34" s="42"/>
      <c r="M34" s="42"/>
      <c r="N34" s="28"/>
    </row>
    <row r="35" spans="1:14" x14ac:dyDescent="0.2">
      <c r="A35" s="43"/>
      <c r="B35" s="12" t="s">
        <v>215</v>
      </c>
      <c r="C35" s="155">
        <f>IF($B35=" ","",IFERROR(INDEX(MMWR_RATING_RO_ROLLUP[],MATCH($B35,MMWR_RATING_RO_ROLLUP[MMWR_RATING_RO_ROLLUP],0),MATCH(C$9,MMWR_RATING_RO_ROLLUP[#Headers],0)),"ERROR"))</f>
        <v>6664</v>
      </c>
      <c r="D35" s="156">
        <f>IF($B35=" ","",IFERROR(INDEX(MMWR_RATING_RO_ROLLUP[],MATCH($B35,MMWR_RATING_RO_ROLLUP[MMWR_RATING_RO_ROLLUP],0),MATCH(D$9,MMWR_RATING_RO_ROLLUP[#Headers],0)),"ERROR"))</f>
        <v>57.474639855900001</v>
      </c>
      <c r="E35" s="157">
        <f>IF($B35=" ","",IFERROR(INDEX(MMWR_RATING_RO_ROLLUP[],MATCH($B35,MMWR_RATING_RO_ROLLUP[MMWR_RATING_RO_ROLLUP],0),MATCH(E$9,MMWR_RATING_RO_ROLLUP[#Headers],0))/$C35,"ERROR"))</f>
        <v>6.4825930372148857E-2</v>
      </c>
      <c r="F35" s="155">
        <f>IF($B35=" ","",IFERROR(INDEX(MMWR_RATING_RO_ROLLUP[],MATCH($B35,MMWR_RATING_RO_ROLLUP[MMWR_RATING_RO_ROLLUP],0),MATCH(F$9,MMWR_RATING_RO_ROLLUP[#Headers],0)),"ERROR"))</f>
        <v>3118</v>
      </c>
      <c r="G35" s="155">
        <f>IF($B35=" ","",IFERROR(INDEX(MMWR_RATING_RO_ROLLUP[],MATCH($B35,MMWR_RATING_RO_ROLLUP[MMWR_RATING_RO_ROLLUP],0),MATCH(G$9,MMWR_RATING_RO_ROLLUP[#Headers],0)),"ERROR"))</f>
        <v>3118</v>
      </c>
      <c r="H35" s="156">
        <f>IF($B35=" ","",IFERROR(INDEX(MMWR_RATING_RO_ROLLUP[],MATCH($B35,MMWR_RATING_RO_ROLLUP[MMWR_RATING_RO_ROLLUP],0),MATCH(H$9,MMWR_RATING_RO_ROLLUP[#Headers],0)),"ERROR"))</f>
        <v>62.7870429763</v>
      </c>
      <c r="I35" s="156">
        <f>IF($B35=" ","",IFERROR(INDEX(MMWR_RATING_RO_ROLLUP[],MATCH($B35,MMWR_RATING_RO_ROLLUP[MMWR_RATING_RO_ROLLUP],0),MATCH(I$9,MMWR_RATING_RO_ROLLUP[#Headers],0)),"ERROR"))</f>
        <v>62.7870429763</v>
      </c>
      <c r="J35" s="42"/>
      <c r="K35" s="42"/>
      <c r="L35" s="42"/>
      <c r="M35" s="42"/>
      <c r="N35" s="28"/>
    </row>
    <row r="36" spans="1:14" x14ac:dyDescent="0.2">
      <c r="A36" s="25"/>
      <c r="B36" s="12" t="s">
        <v>218</v>
      </c>
      <c r="C36" s="155">
        <f>IF($B36=" ","",IFERROR(INDEX(MMWR_RATING_RO_ROLLUP[],MATCH($B36,MMWR_RATING_RO_ROLLUP[MMWR_RATING_RO_ROLLUP],0),MATCH(C$9,MMWR_RATING_RO_ROLLUP[#Headers],0)),"ERROR"))</f>
        <v>7661</v>
      </c>
      <c r="D36" s="156">
        <f>IF($B36=" ","",IFERROR(INDEX(MMWR_RATING_RO_ROLLUP[],MATCH($B36,MMWR_RATING_RO_ROLLUP[MMWR_RATING_RO_ROLLUP],0),MATCH(D$9,MMWR_RATING_RO_ROLLUP[#Headers],0)),"ERROR"))</f>
        <v>55.248923117099999</v>
      </c>
      <c r="E36" s="157">
        <f>IF($B36=" ","",IFERROR(INDEX(MMWR_RATING_RO_ROLLUP[],MATCH($B36,MMWR_RATING_RO_ROLLUP[MMWR_RATING_RO_ROLLUP],0),MATCH(E$9,MMWR_RATING_RO_ROLLUP[#Headers],0))/$C36,"ERROR"))</f>
        <v>5.82169429578384E-2</v>
      </c>
      <c r="F36" s="155">
        <f>IF($B36=" ","",IFERROR(INDEX(MMWR_RATING_RO_ROLLUP[],MATCH($B36,MMWR_RATING_RO_ROLLUP[MMWR_RATING_RO_ROLLUP],0),MATCH(F$9,MMWR_RATING_RO_ROLLUP[#Headers],0)),"ERROR"))</f>
        <v>4744</v>
      </c>
      <c r="G36" s="155">
        <f>IF($B36=" ","",IFERROR(INDEX(MMWR_RATING_RO_ROLLUP[],MATCH($B36,MMWR_RATING_RO_ROLLUP[MMWR_RATING_RO_ROLLUP],0),MATCH(G$9,MMWR_RATING_RO_ROLLUP[#Headers],0)),"ERROR"))</f>
        <v>4744</v>
      </c>
      <c r="H36" s="156">
        <f>IF($B36=" ","",IFERROR(INDEX(MMWR_RATING_RO_ROLLUP[],MATCH($B36,MMWR_RATING_RO_ROLLUP[MMWR_RATING_RO_ROLLUP],0),MATCH(H$9,MMWR_RATING_RO_ROLLUP[#Headers],0)),"ERROR"))</f>
        <v>62.804173693099997</v>
      </c>
      <c r="I36" s="156">
        <f>IF($B36=" ","",IFERROR(INDEX(MMWR_RATING_RO_ROLLUP[],MATCH($B36,MMWR_RATING_RO_ROLLUP[MMWR_RATING_RO_ROLLUP],0),MATCH(I$9,MMWR_RATING_RO_ROLLUP[#Headers],0)),"ERROR"))</f>
        <v>62.804173693099997</v>
      </c>
      <c r="J36" s="42"/>
      <c r="K36" s="42"/>
      <c r="L36" s="42"/>
      <c r="M36" s="42"/>
      <c r="N36" s="28"/>
    </row>
    <row r="37" spans="1:14" x14ac:dyDescent="0.2">
      <c r="A37" s="25"/>
      <c r="B37" s="13" t="s">
        <v>230</v>
      </c>
      <c r="C37" s="155">
        <f>IF($B37=" ","",IFERROR(INDEX(MMWR_RATING_RO_ROLLUP[],MATCH($B37,MMWR_RATING_RO_ROLLUP[MMWR_RATING_RO_ROLLUP],0),MATCH(C$9,MMWR_RATING_RO_ROLLUP[#Headers],0)),"ERROR"))</f>
        <v>550</v>
      </c>
      <c r="D37" s="156">
        <f>IF($B37=" ","",IFERROR(INDEX(MMWR_RATING_RO_ROLLUP[],MATCH($B37,MMWR_RATING_RO_ROLLUP[MMWR_RATING_RO_ROLLUP],0),MATCH(D$9,MMWR_RATING_RO_ROLLUP[#Headers],0)),"ERROR"))</f>
        <v>168.4181818182</v>
      </c>
      <c r="E37" s="157">
        <f>IF($B37=" ","",IFERROR(INDEX(MMWR_RATING_RO_ROLLUP[],MATCH($B37,MMWR_RATING_RO_ROLLUP[MMWR_RATING_RO_ROLLUP],0),MATCH(E$9,MMWR_RATING_RO_ROLLUP[#Headers],0))/$C37,"ERROR"))</f>
        <v>0.43818181818181817</v>
      </c>
      <c r="F37" s="155">
        <f>IF($B37=" ","",IFERROR(INDEX(MMWR_RATING_RO_ROLLUP[],MATCH($B37,MMWR_RATING_RO_ROLLUP[MMWR_RATING_RO_ROLLUP],0),MATCH(F$9,MMWR_RATING_RO_ROLLUP[#Headers],0)),"ERROR"))</f>
        <v>428</v>
      </c>
      <c r="G37" s="155">
        <f>IF($B37=" ","",IFERROR(INDEX(MMWR_RATING_RO_ROLLUP[],MATCH($B37,MMWR_RATING_RO_ROLLUP[MMWR_RATING_RO_ROLLUP],0),MATCH(G$9,MMWR_RATING_RO_ROLLUP[#Headers],0)),"ERROR"))</f>
        <v>428</v>
      </c>
      <c r="H37" s="156">
        <f>IF($B37=" ","",IFERROR(INDEX(MMWR_RATING_RO_ROLLUP[],MATCH($B37,MMWR_RATING_RO_ROLLUP[MMWR_RATING_RO_ROLLUP],0),MATCH(H$9,MMWR_RATING_RO_ROLLUP[#Headers],0)),"ERROR"))</f>
        <v>53.278037383200001</v>
      </c>
      <c r="I37" s="156">
        <f>IF($B37=" ","",IFERROR(INDEX(MMWR_RATING_RO_ROLLUP[],MATCH($B37,MMWR_RATING_RO_ROLLUP[MMWR_RATING_RO_ROLLUP],0),MATCH(I$9,MMWR_RATING_RO_ROLLUP[#Headers],0)),"ERROR"))</f>
        <v>53.278037383200001</v>
      </c>
      <c r="J37" s="42"/>
      <c r="K37" s="42"/>
      <c r="L37" s="42"/>
      <c r="M37" s="42"/>
      <c r="N37" s="28"/>
    </row>
    <row r="38" spans="1:14" x14ac:dyDescent="0.2">
      <c r="A38" s="25"/>
      <c r="B38" s="377" t="s">
        <v>923</v>
      </c>
      <c r="C38" s="378"/>
      <c r="D38" s="378"/>
      <c r="E38" s="378"/>
      <c r="F38" s="378"/>
      <c r="G38" s="378"/>
      <c r="H38" s="378"/>
      <c r="I38" s="378"/>
      <c r="J38" s="378"/>
      <c r="K38" s="378"/>
      <c r="L38" s="378"/>
      <c r="M38" s="387"/>
      <c r="N38" s="28"/>
    </row>
    <row r="39" spans="1:14" x14ac:dyDescent="0.2">
      <c r="A39" s="25"/>
      <c r="B39" s="44" t="s">
        <v>704</v>
      </c>
      <c r="C39" s="155">
        <f>IF($B39=" ","",IFERROR(INDEX(MMWR_RATING_RO_ROLLUP[],MATCH($B39,MMWR_RATING_RO_ROLLUP[MMWR_RATING_RO_ROLLUP],0),MATCH(C$9,MMWR_RATING_RO_ROLLUP[#Headers],0)),"ERROR"))</f>
        <v>9976</v>
      </c>
      <c r="D39" s="156">
        <f>IF($B39=" ","",IFERROR(INDEX(MMWR_RATING_RO_ROLLUP[],MATCH($B39,MMWR_RATING_RO_ROLLUP[MMWR_RATING_RO_ROLLUP],0),MATCH(D$9,MMWR_RATING_RO_ROLLUP[#Headers],0)),"ERROR"))</f>
        <v>74.850541299100001</v>
      </c>
      <c r="E39" s="157">
        <f>IF($B39=" ","",IFERROR(INDEX(MMWR_RATING_RO_ROLLUP[],MATCH($B39,MMWR_RATING_RO_ROLLUP[MMWR_RATING_RO_ROLLUP],0),MATCH(E$9,MMWR_RATING_RO_ROLLUP[#Headers],0))/$C39,"ERROR"))</f>
        <v>0.12910986367281477</v>
      </c>
      <c r="F39" s="155">
        <f>IF($B39=" ","",IFERROR(INDEX(MMWR_RATING_RO_ROLLUP[],MATCH($B39,MMWR_RATING_RO_ROLLUP[MMWR_RATING_RO_ROLLUP],0),MATCH(F$9,MMWR_RATING_RO_ROLLUP[#Headers],0)),"ERROR"))</f>
        <v>1398</v>
      </c>
      <c r="G39" s="155">
        <f>IF($B39=" ","",IFERROR(INDEX(MMWR_RATING_RO_ROLLUP[],MATCH($B39,MMWR_RATING_RO_ROLLUP[MMWR_RATING_RO_ROLLUP],0),MATCH(G$9,MMWR_RATING_RO_ROLLUP[#Headers],0)),"ERROR"))</f>
        <v>1398</v>
      </c>
      <c r="H39" s="156">
        <f>IF($B39=" ","",IFERROR(INDEX(MMWR_RATING_RO_ROLLUP[],MATCH($B39,MMWR_RATING_RO_ROLLUP[MMWR_RATING_RO_ROLLUP],0),MATCH(H$9,MMWR_RATING_RO_ROLLUP[#Headers],0)),"ERROR"))</f>
        <v>132.9949928469</v>
      </c>
      <c r="I39" s="156">
        <f>IF($B39=" ","",IFERROR(INDEX(MMWR_RATING_RO_ROLLUP[],MATCH($B39,MMWR_RATING_RO_ROLLUP[MMWR_RATING_RO_ROLLUP],0),MATCH(I$9,MMWR_RATING_RO_ROLLUP[#Headers],0)),"ERROR"))</f>
        <v>132.9949928469</v>
      </c>
      <c r="J39" s="42"/>
      <c r="K39" s="42"/>
      <c r="L39" s="42"/>
      <c r="M39" s="42"/>
      <c r="N39" s="28"/>
    </row>
    <row r="40" spans="1:14" x14ac:dyDescent="0.2">
      <c r="A40" s="25"/>
      <c r="B40" s="53" t="s">
        <v>963</v>
      </c>
      <c r="C40" s="155">
        <f>IF($B40=" ","",IFERROR(INDEX(MMWR_RATING_RO_ROLLUP[],MATCH($B40,MMWR_RATING_RO_ROLLUP[MMWR_RATING_RO_ROLLUP],0),MATCH(C$9,MMWR_RATING_RO_ROLLUP[#Headers],0)),"ERROR"))</f>
        <v>1836</v>
      </c>
      <c r="D40" s="156">
        <f>IF($B40=" ","",IFERROR(INDEX(MMWR_RATING_RO_ROLLUP[],MATCH($B40,MMWR_RATING_RO_ROLLUP[MMWR_RATING_RO_ROLLUP],0),MATCH(D$9,MMWR_RATING_RO_ROLLUP[#Headers],0)),"ERROR"))</f>
        <v>69.381263616599995</v>
      </c>
      <c r="E40" s="157">
        <f>IF($B40=" ","",IFERROR(INDEX(MMWR_RATING_RO_ROLLUP[],MATCH($B40,MMWR_RATING_RO_ROLLUP[MMWR_RATING_RO_ROLLUP],0),MATCH(E$9,MMWR_RATING_RO_ROLLUP[#Headers],0))/$C40,"ERROR"))</f>
        <v>9.4771241830065356E-2</v>
      </c>
      <c r="F40" s="155">
        <f>IF($B40=" ","",IFERROR(INDEX(MMWR_RATING_RO_ROLLUP[],MATCH($B40,MMWR_RATING_RO_ROLLUP[MMWR_RATING_RO_ROLLUP],0),MATCH(F$9,MMWR_RATING_RO_ROLLUP[#Headers],0)),"ERROR"))</f>
        <v>370</v>
      </c>
      <c r="G40" s="155">
        <f>IF($B40=" ","",IFERROR(INDEX(MMWR_RATING_RO_ROLLUP[],MATCH($B40,MMWR_RATING_RO_ROLLUP[MMWR_RATING_RO_ROLLUP],0),MATCH(G$9,MMWR_RATING_RO_ROLLUP[#Headers],0)),"ERROR"))</f>
        <v>370</v>
      </c>
      <c r="H40" s="156">
        <f>IF($B40=" ","",IFERROR(INDEX(MMWR_RATING_RO_ROLLUP[],MATCH($B40,MMWR_RATING_RO_ROLLUP[MMWR_RATING_RO_ROLLUP],0),MATCH(H$9,MMWR_RATING_RO_ROLLUP[#Headers],0)),"ERROR"))</f>
        <v>112.4378378378</v>
      </c>
      <c r="I40" s="156">
        <f>IF($B40=" ","",IFERROR(INDEX(MMWR_RATING_RO_ROLLUP[],MATCH($B40,MMWR_RATING_RO_ROLLUP[MMWR_RATING_RO_ROLLUP],0),MATCH(I$9,MMWR_RATING_RO_ROLLUP[#Headers],0)),"ERROR"))</f>
        <v>112.4378378378</v>
      </c>
      <c r="J40" s="42"/>
      <c r="K40" s="42"/>
      <c r="L40" s="42"/>
      <c r="M40" s="42"/>
      <c r="N40" s="28"/>
    </row>
    <row r="41" spans="1:14" x14ac:dyDescent="0.2">
      <c r="A41" s="25"/>
      <c r="B41" s="53" t="s">
        <v>964</v>
      </c>
      <c r="C41" s="155">
        <f>IF($B41=" ","",IFERROR(INDEX(MMWR_RATING_RO_ROLLUP[],MATCH($B41,MMWR_RATING_RO_ROLLUP[MMWR_RATING_RO_ROLLUP],0),MATCH(C$9,MMWR_RATING_RO_ROLLUP[#Headers],0)),"ERROR"))</f>
        <v>1798</v>
      </c>
      <c r="D41" s="156">
        <f>IF($B41=" ","",IFERROR(INDEX(MMWR_RATING_RO_ROLLUP[],MATCH($B41,MMWR_RATING_RO_ROLLUP[MMWR_RATING_RO_ROLLUP],0),MATCH(D$9,MMWR_RATING_RO_ROLLUP[#Headers],0)),"ERROR"))</f>
        <v>80.615127919900004</v>
      </c>
      <c r="E41" s="157">
        <f>IF($B41=" ","",IFERROR(INDEX(MMWR_RATING_RO_ROLLUP[],MATCH($B41,MMWR_RATING_RO_ROLLUP[MMWR_RATING_RO_ROLLUP],0),MATCH(E$9,MMWR_RATING_RO_ROLLUP[#Headers],0))/$C41,"ERROR"))</f>
        <v>0.18464961067853169</v>
      </c>
      <c r="F41" s="155">
        <f>IF($B41=" ","",IFERROR(INDEX(MMWR_RATING_RO_ROLLUP[],MATCH($B41,MMWR_RATING_RO_ROLLUP[MMWR_RATING_RO_ROLLUP],0),MATCH(F$9,MMWR_RATING_RO_ROLLUP[#Headers],0)),"ERROR"))</f>
        <v>211</v>
      </c>
      <c r="G41" s="155">
        <f>IF($B41=" ","",IFERROR(INDEX(MMWR_RATING_RO_ROLLUP[],MATCH($B41,MMWR_RATING_RO_ROLLUP[MMWR_RATING_RO_ROLLUP],0),MATCH(G$9,MMWR_RATING_RO_ROLLUP[#Headers],0)),"ERROR"))</f>
        <v>211</v>
      </c>
      <c r="H41" s="156">
        <f>IF($B41=" ","",IFERROR(INDEX(MMWR_RATING_RO_ROLLUP[],MATCH($B41,MMWR_RATING_RO_ROLLUP[MMWR_RATING_RO_ROLLUP],0),MATCH(H$9,MMWR_RATING_RO_ROLLUP[#Headers],0)),"ERROR"))</f>
        <v>152.4644549763</v>
      </c>
      <c r="I41" s="156">
        <f>IF($B41=" ","",IFERROR(INDEX(MMWR_RATING_RO_ROLLUP[],MATCH($B41,MMWR_RATING_RO_ROLLUP[MMWR_RATING_RO_ROLLUP],0),MATCH(I$9,MMWR_RATING_RO_ROLLUP[#Headers],0)),"ERROR"))</f>
        <v>152.4644549763</v>
      </c>
      <c r="J41" s="42"/>
      <c r="K41" s="42"/>
      <c r="L41" s="42"/>
      <c r="M41" s="42"/>
      <c r="N41" s="28"/>
    </row>
    <row r="42" spans="1:14" x14ac:dyDescent="0.2">
      <c r="A42" s="25"/>
      <c r="B42" s="46" t="s">
        <v>313</v>
      </c>
      <c r="C42" s="155">
        <f>IF($B42=" ","",IFERROR(INDEX(MMWR_RATING_RO_ROLLUP[],MATCH($B42,MMWR_RATING_RO_ROLLUP[MMWR_RATING_RO_ROLLUP],0),MATCH(C$9,MMWR_RATING_RO_ROLLUP[#Headers],0)),"ERROR"))</f>
        <v>6342</v>
      </c>
      <c r="D42" s="156">
        <f>IF($B42=" ","",IFERROR(INDEX(MMWR_RATING_RO_ROLLUP[],MATCH($B42,MMWR_RATING_RO_ROLLUP[MMWR_RATING_RO_ROLLUP],0),MATCH(D$9,MMWR_RATING_RO_ROLLUP[#Headers],0)),"ERROR"))</f>
        <v>74.799590034700003</v>
      </c>
      <c r="E42" s="157">
        <f>IF($B42=" ","",IFERROR(INDEX(MMWR_RATING_RO_ROLLUP[],MATCH($B42,MMWR_RATING_RO_ROLLUP[MMWR_RATING_RO_ROLLUP],0),MATCH(E$9,MMWR_RATING_RO_ROLLUP[#Headers],0))/$C42,"ERROR"))</f>
        <v>0.12330495111952065</v>
      </c>
      <c r="F42" s="155">
        <f>IF($B42=" ","",IFERROR(INDEX(MMWR_RATING_RO_ROLLUP[],MATCH($B42,MMWR_RATING_RO_ROLLUP[MMWR_RATING_RO_ROLLUP],0),MATCH(F$9,MMWR_RATING_RO_ROLLUP[#Headers],0)),"ERROR"))</f>
        <v>817</v>
      </c>
      <c r="G42" s="155">
        <f>IF($B42=" ","",IFERROR(INDEX(MMWR_RATING_RO_ROLLUP[],MATCH($B42,MMWR_RATING_RO_ROLLUP[MMWR_RATING_RO_ROLLUP],0),MATCH(G$9,MMWR_RATING_RO_ROLLUP[#Headers],0)),"ERROR"))</f>
        <v>817</v>
      </c>
      <c r="H42" s="156">
        <f>IF($B42=" ","",IFERROR(INDEX(MMWR_RATING_RO_ROLLUP[],MATCH($B42,MMWR_RATING_RO_ROLLUP[MMWR_RATING_RO_ROLLUP],0),MATCH(H$9,MMWR_RATING_RO_ROLLUP[#Headers],0)),"ERROR"))</f>
        <v>137.27662178700001</v>
      </c>
      <c r="I42" s="156">
        <f>IF($B42=" ","",IFERROR(INDEX(MMWR_RATING_RO_ROLLUP[],MATCH($B42,MMWR_RATING_RO_ROLLUP[MMWR_RATING_RO_ROLLUP],0),MATCH(I$9,MMWR_RATING_RO_ROLLUP[#Headers],0)),"ERROR"))</f>
        <v>137.27662178700001</v>
      </c>
      <c r="J42" s="42"/>
      <c r="K42" s="42"/>
      <c r="L42" s="42"/>
      <c r="M42" s="42"/>
      <c r="N42" s="28"/>
    </row>
    <row r="43" spans="1:14" x14ac:dyDescent="0.2">
      <c r="A43" s="25"/>
      <c r="B43" s="377" t="s">
        <v>741</v>
      </c>
      <c r="C43" s="378"/>
      <c r="D43" s="378"/>
      <c r="E43" s="378"/>
      <c r="F43" s="378"/>
      <c r="G43" s="378"/>
      <c r="H43" s="378"/>
      <c r="I43" s="378"/>
      <c r="J43" s="378"/>
      <c r="K43" s="378"/>
      <c r="L43" s="378"/>
      <c r="M43" s="387"/>
      <c r="N43" s="28"/>
    </row>
    <row r="44" spans="1:14" x14ac:dyDescent="0.2">
      <c r="A44" s="25"/>
      <c r="B44" s="44" t="s">
        <v>702</v>
      </c>
      <c r="C44" s="155">
        <f>IF($B44=" ","",IFERROR(INDEX(MMWR_RATING_RO_ROLLUP[],MATCH($B44,MMWR_RATING_RO_ROLLUP[MMWR_RATING_RO_ROLLUP],0),MATCH(C$9,MMWR_RATING_RO_ROLLUP[#Headers],0)),"ERROR"))</f>
        <v>11053</v>
      </c>
      <c r="D44" s="156">
        <f>IF($B44=" ","",IFERROR(INDEX(MMWR_RATING_RO_ROLLUP[],MATCH($B44,MMWR_RATING_RO_ROLLUP[MMWR_RATING_RO_ROLLUP],0),MATCH(D$9,MMWR_RATING_RO_ROLLUP[#Headers],0)),"ERROR"))</f>
        <v>76.560481317300003</v>
      </c>
      <c r="E44" s="157">
        <f>IF($B44=" ","",IFERROR(INDEX(MMWR_RATING_RO_ROLLUP[],MATCH($B44,MMWR_RATING_RO_ROLLUP[MMWR_RATING_RO_ROLLUP],0),MATCH(E$9,MMWR_RATING_RO_ROLLUP[#Headers],0))/$C44,"ERROR"))</f>
        <v>0.1024156337645888</v>
      </c>
      <c r="F44" s="155">
        <f>IF($B44=" ","",IFERROR(INDEX(MMWR_RATING_RO_ROLLUP[],MATCH($B44,MMWR_RATING_RO_ROLLUP[MMWR_RATING_RO_ROLLUP],0),MATCH(F$9,MMWR_RATING_RO_ROLLUP[#Headers],0)),"ERROR"))</f>
        <v>1576</v>
      </c>
      <c r="G44" s="155">
        <f>IF($B44=" ","",IFERROR(INDEX(MMWR_RATING_RO_ROLLUP[],MATCH($B44,MMWR_RATING_RO_ROLLUP[MMWR_RATING_RO_ROLLUP],0),MATCH(G$9,MMWR_RATING_RO_ROLLUP[#Headers],0)),"ERROR"))</f>
        <v>1576</v>
      </c>
      <c r="H44" s="156">
        <f>IF($B44=" ","",IFERROR(INDEX(MMWR_RATING_RO_ROLLUP[],MATCH($B44,MMWR_RATING_RO_ROLLUP[MMWR_RATING_RO_ROLLUP],0),MATCH(H$9,MMWR_RATING_RO_ROLLUP[#Headers],0)),"ERROR"))</f>
        <v>129.00761421319999</v>
      </c>
      <c r="I44" s="156">
        <f>IF($B44=" ","",IFERROR(INDEX(MMWR_RATING_RO_ROLLUP[],MATCH($B44,MMWR_RATING_RO_ROLLUP[MMWR_RATING_RO_ROLLUP],0),MATCH(I$9,MMWR_RATING_RO_ROLLUP[#Headers],0)),"ERROR"))</f>
        <v>129.00761421319999</v>
      </c>
      <c r="J44" s="42"/>
      <c r="K44" s="42"/>
      <c r="L44" s="42"/>
      <c r="M44" s="42"/>
      <c r="N44" s="28"/>
    </row>
    <row r="45" spans="1:14" x14ac:dyDescent="0.2">
      <c r="A45" s="25"/>
      <c r="B45" s="45" t="s">
        <v>217</v>
      </c>
      <c r="C45" s="155">
        <f>IF($B45=" ","",IFERROR(INDEX(MMWR_RATING_RO_ROLLUP[],MATCH($B45,MMWR_RATING_RO_ROLLUP[MMWR_RATING_RO_ROLLUP],0),MATCH(C$9,MMWR_RATING_RO_ROLLUP[#Headers],0)),"ERROR"))</f>
        <v>57</v>
      </c>
      <c r="D45" s="156">
        <f>IF($B45=" ","",IFERROR(INDEX(MMWR_RATING_RO_ROLLUP[],MATCH($B45,MMWR_RATING_RO_ROLLUP[MMWR_RATING_RO_ROLLUP],0),MATCH(D$9,MMWR_RATING_RO_ROLLUP[#Headers],0)),"ERROR"))</f>
        <v>82.298245613999995</v>
      </c>
      <c r="E45" s="157">
        <f>IF($B45=" ","",IFERROR(INDEX(MMWR_RATING_RO_ROLLUP[],MATCH($B45,MMWR_RATING_RO_ROLLUP[MMWR_RATING_RO_ROLLUP],0),MATCH(E$9,MMWR_RATING_RO_ROLLUP[#Headers],0))/$C45,"ERROR"))</f>
        <v>8.771929824561403E-2</v>
      </c>
      <c r="F45" s="155">
        <f>IF($B45=" ","",IFERROR(INDEX(MMWR_RATING_RO_ROLLUP[],MATCH($B45,MMWR_RATING_RO_ROLLUP[MMWR_RATING_RO_ROLLUP],0),MATCH(F$9,MMWR_RATING_RO_ROLLUP[#Headers],0)),"ERROR"))</f>
        <v>12</v>
      </c>
      <c r="G45" s="155">
        <f>IF($B45=" ","",IFERROR(INDEX(MMWR_RATING_RO_ROLLUP[],MATCH($B45,MMWR_RATING_RO_ROLLUP[MMWR_RATING_RO_ROLLUP],0),MATCH(G$9,MMWR_RATING_RO_ROLLUP[#Headers],0)),"ERROR"))</f>
        <v>12</v>
      </c>
      <c r="H45" s="156">
        <f>IF($B45=" ","",IFERROR(INDEX(MMWR_RATING_RO_ROLLUP[],MATCH($B45,MMWR_RATING_RO_ROLLUP[MMWR_RATING_RO_ROLLUP],0),MATCH(H$9,MMWR_RATING_RO_ROLLUP[#Headers],0)),"ERROR"))</f>
        <v>205.1666666667</v>
      </c>
      <c r="I45" s="156">
        <f>IF($B45=" ","",IFERROR(INDEX(MMWR_RATING_RO_ROLLUP[],MATCH($B45,MMWR_RATING_RO_ROLLUP[MMWR_RATING_RO_ROLLUP],0),MATCH(I$9,MMWR_RATING_RO_ROLLUP[#Headers],0)),"ERROR"))</f>
        <v>205.1666666667</v>
      </c>
      <c r="J45" s="42"/>
      <c r="K45" s="42"/>
      <c r="L45" s="42"/>
      <c r="M45" s="42"/>
      <c r="N45" s="28"/>
    </row>
    <row r="46" spans="1:14" x14ac:dyDescent="0.2">
      <c r="A46" s="25"/>
      <c r="B46" s="45" t="s">
        <v>219</v>
      </c>
      <c r="C46" s="155">
        <f>IF($B46=" ","",IFERROR(INDEX(MMWR_RATING_RO_ROLLUP[],MATCH($B46,MMWR_RATING_RO_ROLLUP[MMWR_RATING_RO_ROLLUP],0),MATCH(C$9,MMWR_RATING_RO_ROLLUP[#Headers],0)),"ERROR"))</f>
        <v>2021</v>
      </c>
      <c r="D46" s="156">
        <f>IF($B46=" ","",IFERROR(INDEX(MMWR_RATING_RO_ROLLUP[],MATCH($B46,MMWR_RATING_RO_ROLLUP[MMWR_RATING_RO_ROLLUP],0),MATCH(D$9,MMWR_RATING_RO_ROLLUP[#Headers],0)),"ERROR"))</f>
        <v>83.601187530900006</v>
      </c>
      <c r="E46" s="157">
        <f>IF($B46=" ","",IFERROR(INDEX(MMWR_RATING_RO_ROLLUP[],MATCH($B46,MMWR_RATING_RO_ROLLUP[MMWR_RATING_RO_ROLLUP],0),MATCH(E$9,MMWR_RATING_RO_ROLLUP[#Headers],0))/$C46,"ERROR"))</f>
        <v>0.15685304304799605</v>
      </c>
      <c r="F46" s="155">
        <f>IF($B46=" ","",IFERROR(INDEX(MMWR_RATING_RO_ROLLUP[],MATCH($B46,MMWR_RATING_RO_ROLLUP[MMWR_RATING_RO_ROLLUP],0),MATCH(F$9,MMWR_RATING_RO_ROLLUP[#Headers],0)),"ERROR"))</f>
        <v>252</v>
      </c>
      <c r="G46" s="155">
        <f>IF($B46=" ","",IFERROR(INDEX(MMWR_RATING_RO_ROLLUP[],MATCH($B46,MMWR_RATING_RO_ROLLUP[MMWR_RATING_RO_ROLLUP],0),MATCH(G$9,MMWR_RATING_RO_ROLLUP[#Headers],0)),"ERROR"))</f>
        <v>252</v>
      </c>
      <c r="H46" s="156">
        <f>IF($B46=" ","",IFERROR(INDEX(MMWR_RATING_RO_ROLLUP[],MATCH($B46,MMWR_RATING_RO_ROLLUP[MMWR_RATING_RO_ROLLUP],0),MATCH(H$9,MMWR_RATING_RO_ROLLUP[#Headers],0)),"ERROR"))</f>
        <v>146.28174603170001</v>
      </c>
      <c r="I46" s="156">
        <f>IF($B46=" ","",IFERROR(INDEX(MMWR_RATING_RO_ROLLUP[],MATCH($B46,MMWR_RATING_RO_ROLLUP[MMWR_RATING_RO_ROLLUP],0),MATCH(I$9,MMWR_RATING_RO_ROLLUP[#Headers],0)),"ERROR"))</f>
        <v>146.28174603170001</v>
      </c>
      <c r="J46" s="42"/>
      <c r="K46" s="42"/>
      <c r="L46" s="42"/>
      <c r="M46" s="42"/>
      <c r="N46" s="28"/>
    </row>
    <row r="47" spans="1:14" x14ac:dyDescent="0.2">
      <c r="A47" s="25"/>
      <c r="B47" s="47" t="s">
        <v>314</v>
      </c>
      <c r="C47" s="155">
        <f>IF($B47=" ","",IFERROR(INDEX(MMWR_RATING_RO_ROLLUP[],MATCH($B47,MMWR_RATING_RO_ROLLUP[MMWR_RATING_RO_ROLLUP],0),MATCH(C$9,MMWR_RATING_RO_ROLLUP[#Headers],0)),"ERROR"))</f>
        <v>8975</v>
      </c>
      <c r="D47" s="156">
        <f>IF($B47=" ","",IFERROR(INDEX(MMWR_RATING_RO_ROLLUP[],MATCH($B47,MMWR_RATING_RO_ROLLUP[MMWR_RATING_RO_ROLLUP],0),MATCH(D$9,MMWR_RATING_RO_ROLLUP[#Headers],0)),"ERROR"))</f>
        <v>74.938607242299994</v>
      </c>
      <c r="E47" s="157">
        <f>IF($B47=" ","",IFERROR(INDEX(MMWR_RATING_RO_ROLLUP[],MATCH($B47,MMWR_RATING_RO_ROLLUP[MMWR_RATING_RO_ROLLUP],0),MATCH(E$9,MMWR_RATING_RO_ROLLUP[#Headers],0))/$C47,"ERROR"))</f>
        <v>9.0250696378830084E-2</v>
      </c>
      <c r="F47" s="155">
        <f>IF($B47=" ","",IFERROR(INDEX(MMWR_RATING_RO_ROLLUP[],MATCH($B47,MMWR_RATING_RO_ROLLUP[MMWR_RATING_RO_ROLLUP],0),MATCH(F$9,MMWR_RATING_RO_ROLLUP[#Headers],0)),"ERROR"))</f>
        <v>1312</v>
      </c>
      <c r="G47" s="155">
        <f>IF($B47=" ","",IFERROR(INDEX(MMWR_RATING_RO_ROLLUP[],MATCH($B47,MMWR_RATING_RO_ROLLUP[MMWR_RATING_RO_ROLLUP],0),MATCH(G$9,MMWR_RATING_RO_ROLLUP[#Headers],0)),"ERROR"))</f>
        <v>1312</v>
      </c>
      <c r="H47" s="156">
        <f>IF($B47=" ","",IFERROR(INDEX(MMWR_RATING_RO_ROLLUP[],MATCH($B47,MMWR_RATING_RO_ROLLUP[MMWR_RATING_RO_ROLLUP],0),MATCH(H$9,MMWR_RATING_RO_ROLLUP[#Headers],0)),"ERROR"))</f>
        <v>124.9931402439</v>
      </c>
      <c r="I47" s="156">
        <f>IF($B47=" ","",IFERROR(INDEX(MMWR_RATING_RO_ROLLUP[],MATCH($B47,MMWR_RATING_RO_ROLLUP[MMWR_RATING_RO_ROLLUP],0),MATCH(I$9,MMWR_RATING_RO_ROLLUP[#Headers],0)),"ERROR"))</f>
        <v>124.9931402439</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2:I3"/>
    <mergeCell ref="J2:M2"/>
    <mergeCell ref="J3:M3"/>
    <mergeCell ref="D6:E6"/>
    <mergeCell ref="G6:H6"/>
    <mergeCell ref="L6:M6"/>
    <mergeCell ref="C4:M4"/>
    <mergeCell ref="C5:O5"/>
    <mergeCell ref="D7:E7"/>
    <mergeCell ref="G7:H7"/>
    <mergeCell ref="L7:M7"/>
    <mergeCell ref="D8:E8"/>
    <mergeCell ref="G8:H8"/>
    <mergeCell ref="L8:M8"/>
    <mergeCell ref="C10:M10"/>
    <mergeCell ref="B13:M13"/>
    <mergeCell ref="B32:M32"/>
    <mergeCell ref="B38:M38"/>
    <mergeCell ref="B43:M43"/>
    <mergeCell ref="J11:M11"/>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80" zoomScaleNormal="8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49" t="s">
        <v>985</v>
      </c>
      <c r="D2" s="350"/>
      <c r="E2" s="350"/>
      <c r="F2" s="350"/>
      <c r="G2" s="350"/>
      <c r="H2" s="350"/>
      <c r="I2" s="350"/>
      <c r="J2" s="349" t="s">
        <v>306</v>
      </c>
      <c r="K2" s="350"/>
      <c r="L2" s="350"/>
      <c r="M2" s="351"/>
      <c r="N2" s="28"/>
    </row>
    <row r="3" spans="1:15" ht="24" customHeight="1" thickBot="1" x14ac:dyDescent="0.4">
      <c r="A3" s="25"/>
      <c r="B3" s="29"/>
      <c r="C3" s="352"/>
      <c r="D3" s="353"/>
      <c r="E3" s="353"/>
      <c r="F3" s="353"/>
      <c r="G3" s="353"/>
      <c r="H3" s="353"/>
      <c r="I3" s="353"/>
      <c r="J3" s="352" t="str">
        <f>Transformation!B4</f>
        <v>As of: October 31, 2015</v>
      </c>
      <c r="K3" s="353"/>
      <c r="L3" s="353"/>
      <c r="M3" s="354"/>
      <c r="N3" s="28"/>
    </row>
    <row r="4" spans="1:15" ht="51.75" customHeight="1" thickBot="1" x14ac:dyDescent="0.35">
      <c r="A4" s="30"/>
      <c r="B4" s="248" t="s">
        <v>462</v>
      </c>
      <c r="C4" s="355" t="s">
        <v>438</v>
      </c>
      <c r="D4" s="356"/>
      <c r="E4" s="356"/>
      <c r="F4" s="356"/>
      <c r="G4" s="356"/>
      <c r="H4" s="356"/>
      <c r="I4" s="356"/>
      <c r="J4" s="356"/>
      <c r="K4" s="356"/>
      <c r="L4" s="356"/>
      <c r="M4" s="357"/>
      <c r="N4" s="28"/>
    </row>
    <row r="5" spans="1:15" ht="27" customHeight="1" thickBot="1" x14ac:dyDescent="0.25">
      <c r="A5" s="30"/>
      <c r="B5" s="247" t="s">
        <v>376</v>
      </c>
      <c r="C5" s="358" t="s">
        <v>1049</v>
      </c>
      <c r="D5" s="359"/>
      <c r="E5" s="359"/>
      <c r="F5" s="359"/>
      <c r="G5" s="359"/>
      <c r="H5" s="359"/>
      <c r="I5" s="359"/>
      <c r="J5" s="359"/>
      <c r="K5" s="359"/>
      <c r="L5" s="359"/>
      <c r="M5" s="359"/>
      <c r="N5" s="359"/>
      <c r="O5" s="360"/>
    </row>
    <row r="6" spans="1:15" ht="55.5" customHeight="1" x14ac:dyDescent="0.2">
      <c r="A6" s="30"/>
      <c r="B6" s="31"/>
      <c r="C6" s="32" t="s">
        <v>196</v>
      </c>
      <c r="D6" s="361" t="s">
        <v>16</v>
      </c>
      <c r="E6" s="362"/>
      <c r="F6" s="33" t="s">
        <v>199</v>
      </c>
      <c r="G6" s="361" t="s">
        <v>204</v>
      </c>
      <c r="H6" s="363"/>
      <c r="I6" s="33" t="s">
        <v>202</v>
      </c>
      <c r="J6" s="49" t="s">
        <v>14</v>
      </c>
      <c r="K6" s="33" t="s">
        <v>207</v>
      </c>
      <c r="L6" s="367" t="s">
        <v>88</v>
      </c>
      <c r="M6" s="395"/>
      <c r="N6" s="28"/>
    </row>
    <row r="7" spans="1:15" ht="51.75" customHeight="1" x14ac:dyDescent="0.2">
      <c r="A7" s="30"/>
      <c r="B7" s="34"/>
      <c r="C7" s="35" t="s">
        <v>197</v>
      </c>
      <c r="D7" s="379" t="s">
        <v>0</v>
      </c>
      <c r="E7" s="380"/>
      <c r="F7" s="36" t="s">
        <v>200</v>
      </c>
      <c r="G7" s="381" t="s">
        <v>205</v>
      </c>
      <c r="H7" s="381"/>
      <c r="I7" s="36" t="s">
        <v>203</v>
      </c>
      <c r="J7" s="50" t="s">
        <v>19</v>
      </c>
      <c r="K7" s="36" t="s">
        <v>208</v>
      </c>
      <c r="L7" s="391" t="s">
        <v>90</v>
      </c>
      <c r="M7" s="392"/>
      <c r="N7" s="28"/>
    </row>
    <row r="8" spans="1:15" ht="51.75" customHeight="1" thickBot="1" x14ac:dyDescent="0.25">
      <c r="A8" s="25"/>
      <c r="B8" s="28"/>
      <c r="C8" s="37" t="s">
        <v>198</v>
      </c>
      <c r="D8" s="382" t="s">
        <v>18</v>
      </c>
      <c r="E8" s="383"/>
      <c r="F8" s="38" t="s">
        <v>201</v>
      </c>
      <c r="G8" s="384" t="s">
        <v>17</v>
      </c>
      <c r="H8" s="384"/>
      <c r="I8" s="38" t="s">
        <v>206</v>
      </c>
      <c r="J8" s="51" t="s">
        <v>87</v>
      </c>
      <c r="K8" s="38" t="s">
        <v>209</v>
      </c>
      <c r="L8" s="393" t="s">
        <v>89</v>
      </c>
      <c r="M8" s="394"/>
      <c r="N8" s="28"/>
    </row>
    <row r="9" spans="1:15" x14ac:dyDescent="0.2">
      <c r="A9" s="28"/>
      <c r="B9" s="39"/>
      <c r="C9" s="39" t="s">
        <v>721</v>
      </c>
      <c r="D9" s="39" t="s">
        <v>723</v>
      </c>
      <c r="E9" s="39" t="s">
        <v>722</v>
      </c>
      <c r="F9" s="39" t="s">
        <v>725</v>
      </c>
      <c r="G9" s="39" t="s">
        <v>724</v>
      </c>
      <c r="H9" s="39" t="s">
        <v>727</v>
      </c>
      <c r="I9" s="39" t="s">
        <v>726</v>
      </c>
      <c r="J9" s="39"/>
      <c r="K9" s="39"/>
      <c r="L9" s="39"/>
      <c r="M9" s="39"/>
      <c r="N9" s="39"/>
    </row>
    <row r="10" spans="1:15" ht="15.75" customHeight="1" x14ac:dyDescent="0.2">
      <c r="A10" s="25"/>
      <c r="B10" s="26"/>
      <c r="C10" s="385" t="s">
        <v>299</v>
      </c>
      <c r="D10" s="385"/>
      <c r="E10" s="385"/>
      <c r="F10" s="385"/>
      <c r="G10" s="385"/>
      <c r="H10" s="385"/>
      <c r="I10" s="385"/>
      <c r="J10" s="385"/>
      <c r="K10" s="385"/>
      <c r="L10" s="385"/>
      <c r="M10" s="386"/>
      <c r="N10" s="28"/>
    </row>
    <row r="11" spans="1:15" ht="63.75" customHeight="1" x14ac:dyDescent="0.2">
      <c r="A11" s="25"/>
      <c r="B11" s="26"/>
      <c r="C11" s="52" t="s">
        <v>232</v>
      </c>
      <c r="D11" s="52" t="s">
        <v>140</v>
      </c>
      <c r="E11" s="52" t="s">
        <v>233</v>
      </c>
      <c r="F11" s="52" t="s">
        <v>195</v>
      </c>
      <c r="G11" s="52" t="s">
        <v>210</v>
      </c>
      <c r="H11" s="52" t="s">
        <v>212</v>
      </c>
      <c r="I11" s="52" t="s">
        <v>213</v>
      </c>
      <c r="J11" s="388" t="s">
        <v>979</v>
      </c>
      <c r="K11" s="389"/>
      <c r="L11" s="389"/>
      <c r="M11" s="390"/>
      <c r="N11" s="28"/>
    </row>
    <row r="12" spans="1:15" x14ac:dyDescent="0.2">
      <c r="A12" s="25"/>
      <c r="B12" s="41" t="s">
        <v>736</v>
      </c>
      <c r="C12" s="155">
        <f>IF($B12=" ","",IFERROR(INDEX(MMWR_RATING_STATE_ROLLUP_VSC[],MATCH($B12,MMWR_RATING_STATE_ROLLUP_VSC[MMWR_RATING_STATE_ROLLUP_VSC],0),MATCH(C$9,MMWR_RATING_STATE_ROLLUP_VSC[#Headers],0)),"ERROR"))</f>
        <v>368140</v>
      </c>
      <c r="D12" s="156">
        <f>IF($B12=" ","",IFERROR(INDEX(MMWR_RATING_STATE_ROLLUP_VSC[],MATCH($B12,MMWR_RATING_STATE_ROLLUP_VSC[MMWR_RATING_STATE_ROLLUP_VSC],0),MATCH(D$9,MMWR_RATING_STATE_ROLLUP_VSC[#Headers],0)),"ERROR"))</f>
        <v>92.059776172100001</v>
      </c>
      <c r="E12" s="159">
        <f>IF($B12=" ","",IFERROR(INDEX(MMWR_RATING_STATE_ROLLUP_VSC[],MATCH($B12,MMWR_RATING_STATE_ROLLUP_VSC[MMWR_RATING_STATE_ROLLUP_VSC],0),MATCH(E$9,MMWR_RATING_STATE_ROLLUP_VSC[#Headers],0))/$C12,"ERROR"))</f>
        <v>0.20115988482642472</v>
      </c>
      <c r="F12" s="155">
        <f>IF($B12=" ","",IFERROR(INDEX(MMWR_RATING_STATE_ROLLUP_VSC[],MATCH($B12,MMWR_RATING_STATE_ROLLUP_VSC[MMWR_RATING_STATE_ROLLUP_VSC],0),MATCH(F$9,MMWR_RATING_STATE_ROLLUP_VSC[#Headers],0)),"ERROR"))</f>
        <v>100865</v>
      </c>
      <c r="G12" s="155">
        <f>IF($B12=" ","",IFERROR(INDEX(MMWR_RATING_STATE_ROLLUP_VSC[],MATCH($B12,MMWR_RATING_STATE_ROLLUP_VSC[MMWR_RATING_STATE_ROLLUP_VSC],0),MATCH(G$9,MMWR_RATING_STATE_ROLLUP_VSC[#Headers],0)),"ERROR"))</f>
        <v>100865</v>
      </c>
      <c r="H12" s="156">
        <f>IF($B12=" ","",IFERROR(INDEX(MMWR_RATING_STATE_ROLLUP_VSC[],MATCH($B12,MMWR_RATING_STATE_ROLLUP_VSC[MMWR_RATING_STATE_ROLLUP_VSC],0),MATCH(H$9,MMWR_RATING_STATE_ROLLUP_VSC[#Headers],0)),"ERROR"))</f>
        <v>129.38029048729999</v>
      </c>
      <c r="I12" s="156">
        <f>IF($B12=" ","",IFERROR(INDEX(MMWR_RATING_STATE_ROLLUP_VSC[],MATCH($B12,MMWR_RATING_STATE_ROLLUP_VSC[MMWR_RATING_STATE_ROLLUP_VSC],0),MATCH(I$9,MMWR_RATING_STATE_ROLLUP_VSC[#Headers],0)),"ERROR"))</f>
        <v>129.38029048729999</v>
      </c>
      <c r="J12" s="42"/>
      <c r="K12" s="42"/>
      <c r="L12" s="42"/>
      <c r="M12" s="42"/>
      <c r="N12" s="28"/>
    </row>
    <row r="13" spans="1:15" x14ac:dyDescent="0.2">
      <c r="A13" s="25"/>
      <c r="B13" s="377" t="s">
        <v>965</v>
      </c>
      <c r="C13" s="378"/>
      <c r="D13" s="378"/>
      <c r="E13" s="378"/>
      <c r="F13" s="378"/>
      <c r="G13" s="378"/>
      <c r="H13" s="378"/>
      <c r="I13" s="378"/>
      <c r="J13" s="378"/>
      <c r="K13" s="378"/>
      <c r="L13" s="378"/>
      <c r="M13" s="387"/>
      <c r="N13" s="28"/>
    </row>
    <row r="14" spans="1:15" x14ac:dyDescent="0.2">
      <c r="A14" s="25"/>
      <c r="B14" s="41" t="s">
        <v>1043</v>
      </c>
      <c r="C14" s="155">
        <f>IF($B14=" ","",IFERROR(INDEX(MMWR_RATING_STATE_ROLLUP_VSC[],MATCH($B14,MMWR_RATING_STATE_ROLLUP_VSC[MMWR_RATING_STATE_ROLLUP_VSC],0),MATCH(C$9,MMWR_RATING_STATE_ROLLUP_VSC[#Headers],0)),"ERROR"))</f>
        <v>324485</v>
      </c>
      <c r="D14" s="156">
        <f>IF($B14=" ","",IFERROR(INDEX(MMWR_RATING_STATE_ROLLUP_VSC[],MATCH($B14,MMWR_RATING_STATE_ROLLUP_VSC[MMWR_RATING_STATE_ROLLUP_VSC],0),MATCH(D$9,MMWR_RATING_STATE_ROLLUP_VSC[#Headers],0)),"ERROR"))</f>
        <v>95.181805014099993</v>
      </c>
      <c r="E14" s="157">
        <f>IF($B14=" ","",IFERROR(INDEX(MMWR_RATING_STATE_ROLLUP_VSC[],MATCH($B14,MMWR_RATING_STATE_ROLLUP_VSC[MMWR_RATING_STATE_ROLLUP_VSC],0),MATCH(E$9,MMWR_RATING_STATE_ROLLUP_VSC[#Headers],0))/$C14,"ERROR"))</f>
        <v>0.2151717336702775</v>
      </c>
      <c r="F14" s="155">
        <f>IF($B14=" ","",IFERROR(INDEX(MMWR_RATING_STATE_ROLLUP_VSC[],MATCH($B14,MMWR_RATING_STATE_ROLLUP_VSC[MMWR_RATING_STATE_ROLLUP_VSC],0),MATCH(F$9,MMWR_RATING_STATE_ROLLUP_VSC[#Headers],0)),"ERROR"))</f>
        <v>86025</v>
      </c>
      <c r="G14" s="155">
        <f>IF($B14=" ","",IFERROR(INDEX(MMWR_RATING_STATE_ROLLUP_VSC[],MATCH($B14,MMWR_RATING_STATE_ROLLUP_VSC[MMWR_RATING_STATE_ROLLUP_VSC],0),MATCH(G$9,MMWR_RATING_STATE_ROLLUP_VSC[#Headers],0)),"ERROR"))</f>
        <v>86025</v>
      </c>
      <c r="H14" s="156">
        <f>IF($B14=" ","",IFERROR(INDEX(MMWR_RATING_STATE_ROLLUP_VSC[],MATCH($B14,MMWR_RATING_STATE_ROLLUP_VSC[MMWR_RATING_STATE_ROLLUP_VSC],0),MATCH(H$9,MMWR_RATING_STATE_ROLLUP_VSC[#Headers],0)),"ERROR"))</f>
        <v>137.7918628306</v>
      </c>
      <c r="I14" s="156">
        <f>IF($B14=" ","",IFERROR(INDEX(MMWR_RATING_STATE_ROLLUP_VSC[],MATCH($B14,MMWR_RATING_STATE_ROLLUP_VSC[MMWR_RATING_STATE_ROLLUP_VSC],0),MATCH(I$9,MMWR_RATING_STATE_ROLLUP_VSC[#Headers],0)),"ERROR"))</f>
        <v>137.7918628306</v>
      </c>
      <c r="J14" s="42"/>
      <c r="K14" s="42"/>
      <c r="L14" s="42"/>
      <c r="M14" s="42"/>
      <c r="N14" s="28"/>
    </row>
    <row r="15" spans="1:15" x14ac:dyDescent="0.2">
      <c r="A15" s="25"/>
      <c r="B15" s="250" t="str">
        <f>INDEX(DISTRICT_STATES[],MATCH($B$5,DISTRICT_RO[District],0),1)</f>
        <v>North Atlantic</v>
      </c>
      <c r="C15" s="155">
        <f>IF($B15=" ","",IFERROR(INDEX(MMWR_RATING_STATE_ROLLUP_VSC[],MATCH($B15,MMWR_RATING_STATE_ROLLUP_VSC[MMWR_RATING_STATE_ROLLUP_VSC],0),MATCH(C$9,MMWR_RATING_STATE_ROLLUP_VSC[#Headers],0)),"ERROR"))</f>
        <v>69812</v>
      </c>
      <c r="D15" s="156">
        <f>IF($B15=" ","",IFERROR(INDEX(MMWR_RATING_STATE_ROLLUP_VSC[],MATCH($B15,MMWR_RATING_STATE_ROLLUP_VSC[MMWR_RATING_STATE_ROLLUP_VSC],0),MATCH(D$9,MMWR_RATING_STATE_ROLLUP_VSC[#Headers],0)),"ERROR"))</f>
        <v>96.717971122400002</v>
      </c>
      <c r="E15" s="157">
        <f>IF($B15=" ","",IFERROR(INDEX(MMWR_RATING_STATE_ROLLUP_VSC[],MATCH($B15,MMWR_RATING_STATE_ROLLUP_VSC[MMWR_RATING_STATE_ROLLUP_VSC],0),MATCH(E$9,MMWR_RATING_STATE_ROLLUP_VSC[#Headers],0))/$C15,"ERROR"))</f>
        <v>0.22497564888557842</v>
      </c>
      <c r="F15" s="155">
        <f>IF($B15=" ","",IFERROR(INDEX(MMWR_RATING_STATE_ROLLUP_VSC[],MATCH($B15,MMWR_RATING_STATE_ROLLUP_VSC[MMWR_RATING_STATE_ROLLUP_VSC],0),MATCH(F$9,MMWR_RATING_STATE_ROLLUP_VSC[#Headers],0)),"ERROR"))</f>
        <v>18347</v>
      </c>
      <c r="G15" s="155">
        <f>IF($B15=" ","",IFERROR(INDEX(MMWR_RATING_STATE_ROLLUP_VSC[],MATCH($B15,MMWR_RATING_STATE_ROLLUP_VSC[MMWR_RATING_STATE_ROLLUP_VSC],0),MATCH(G$9,MMWR_RATING_STATE_ROLLUP_VSC[#Headers],0)),"ERROR"))</f>
        <v>18347</v>
      </c>
      <c r="H15" s="156">
        <f>IF($B15=" ","",IFERROR(INDEX(MMWR_RATING_STATE_ROLLUP_VSC[],MATCH($B15,MMWR_RATING_STATE_ROLLUP_VSC[MMWR_RATING_STATE_ROLLUP_VSC],0),MATCH(H$9,MMWR_RATING_STATE_ROLLUP_VSC[#Headers],0)),"ERROR"))</f>
        <v>139.7578350684</v>
      </c>
      <c r="I15" s="156">
        <f>IF($B15=" ","",IFERROR(INDEX(MMWR_RATING_STATE_ROLLUP_VSC[],MATCH($B15,MMWR_RATING_STATE_ROLLUP_VSC[MMWR_RATING_STATE_ROLLUP_VSC],0),MATCH(I$9,MMWR_RATING_STATE_ROLLUP_VSC[#Headers],0)),"ERROR"))</f>
        <v>139.7578350684</v>
      </c>
      <c r="J15" s="42"/>
      <c r="K15" s="42"/>
      <c r="L15" s="42"/>
      <c r="M15" s="42"/>
      <c r="N15" s="28"/>
    </row>
    <row r="16" spans="1:15" x14ac:dyDescent="0.2">
      <c r="A16" s="25"/>
      <c r="B16" s="8" t="str">
        <f>VLOOKUP($B$15,DISTRICT_STATES[],2,0)</f>
        <v>Connecticut</v>
      </c>
      <c r="C16" s="155">
        <f>IF($B16=" ","",IFERROR(INDEX(MMWR_RATING_STATE_ROLLUP_VSC[],MATCH($B16,MMWR_RATING_STATE_ROLLUP_VSC[MMWR_RATING_STATE_ROLLUP_VSC],0),MATCH(C$9,MMWR_RATING_STATE_ROLLUP_VSC[#Headers],0)),"ERROR"))</f>
        <v>1797</v>
      </c>
      <c r="D16" s="156">
        <f>IF($B16=" ","",IFERROR(INDEX(MMWR_RATING_STATE_ROLLUP_VSC[],MATCH($B16,MMWR_RATING_STATE_ROLLUP_VSC[MMWR_RATING_STATE_ROLLUP_VSC],0),MATCH(D$9,MMWR_RATING_STATE_ROLLUP_VSC[#Headers],0)),"ERROR"))</f>
        <v>82.410684474099995</v>
      </c>
      <c r="E16" s="157">
        <f>IF($B16=" ","",IFERROR(INDEX(MMWR_RATING_STATE_ROLLUP_VSC[],MATCH($B16,MMWR_RATING_STATE_ROLLUP_VSC[MMWR_RATING_STATE_ROLLUP_VSC],0),MATCH(E$9,MMWR_RATING_STATE_ROLLUP_VSC[#Headers],0))/$C16,"ERROR"))</f>
        <v>0.1686143572621035</v>
      </c>
      <c r="F16" s="155">
        <f>IF($B16=" ","",IFERROR(INDEX(MMWR_RATING_STATE_ROLLUP_VSC[],MATCH($B16,MMWR_RATING_STATE_ROLLUP_VSC[MMWR_RATING_STATE_ROLLUP_VSC],0),MATCH(F$9,MMWR_RATING_STATE_ROLLUP_VSC[#Headers],0)),"ERROR"))</f>
        <v>618</v>
      </c>
      <c r="G16" s="155">
        <f>IF($B16=" ","",IFERROR(INDEX(MMWR_RATING_STATE_ROLLUP_VSC[],MATCH($B16,MMWR_RATING_STATE_ROLLUP_VSC[MMWR_RATING_STATE_ROLLUP_VSC],0),MATCH(G$9,MMWR_RATING_STATE_ROLLUP_VSC[#Headers],0)),"ERROR"))</f>
        <v>618</v>
      </c>
      <c r="H16" s="156">
        <f>IF($B16=" ","",IFERROR(INDEX(MMWR_RATING_STATE_ROLLUP_VSC[],MATCH($B16,MMWR_RATING_STATE_ROLLUP_VSC[MMWR_RATING_STATE_ROLLUP_VSC],0),MATCH(H$9,MMWR_RATING_STATE_ROLLUP_VSC[#Headers],0)),"ERROR"))</f>
        <v>106.3462783172</v>
      </c>
      <c r="I16" s="156">
        <f>IF($B16=" ","",IFERROR(INDEX(MMWR_RATING_STATE_ROLLUP_VSC[],MATCH($B16,MMWR_RATING_STATE_ROLLUP_VSC[MMWR_RATING_STATE_ROLLUP_VSC],0),MATCH(I$9,MMWR_RATING_STATE_ROLLUP_VSC[#Headers],0)),"ERROR"))</f>
        <v>106.3462783172</v>
      </c>
      <c r="J16" s="42"/>
      <c r="K16" s="42"/>
      <c r="L16" s="42"/>
      <c r="M16" s="42"/>
      <c r="N16" s="28"/>
    </row>
    <row r="17" spans="1:14" x14ac:dyDescent="0.2">
      <c r="A17" s="25"/>
      <c r="B17" s="8" t="str">
        <f>VLOOKUP($B$15,DISTRICT_STATES[],3,0)</f>
        <v>Delaware</v>
      </c>
      <c r="C17" s="155">
        <f>IF($B17=" ","",IFERROR(INDEX(MMWR_RATING_STATE_ROLLUP_VSC[],MATCH($B17,MMWR_RATING_STATE_ROLLUP_VSC[MMWR_RATING_STATE_ROLLUP_VSC],0),MATCH(C$9,MMWR_RATING_STATE_ROLLUP_VSC[#Headers],0)),"ERROR"))</f>
        <v>901</v>
      </c>
      <c r="D17" s="156">
        <f>IF($B17=" ","",IFERROR(INDEX(MMWR_RATING_STATE_ROLLUP_VSC[],MATCH($B17,MMWR_RATING_STATE_ROLLUP_VSC[MMWR_RATING_STATE_ROLLUP_VSC],0),MATCH(D$9,MMWR_RATING_STATE_ROLLUP_VSC[#Headers],0)),"ERROR"))</f>
        <v>110.4217536071</v>
      </c>
      <c r="E17" s="157">
        <f>IF($B17=" ","",IFERROR(INDEX(MMWR_RATING_STATE_ROLLUP_VSC[],MATCH($B17,MMWR_RATING_STATE_ROLLUP_VSC[MMWR_RATING_STATE_ROLLUP_VSC],0),MATCH(E$9,MMWR_RATING_STATE_ROLLUP_VSC[#Headers],0))/$C17,"ERROR"))</f>
        <v>0.25527192008879024</v>
      </c>
      <c r="F17" s="155">
        <f>IF($B17=" ","",IFERROR(INDEX(MMWR_RATING_STATE_ROLLUP_VSC[],MATCH($B17,MMWR_RATING_STATE_ROLLUP_VSC[MMWR_RATING_STATE_ROLLUP_VSC],0),MATCH(F$9,MMWR_RATING_STATE_ROLLUP_VSC[#Headers],0)),"ERROR"))</f>
        <v>230</v>
      </c>
      <c r="G17" s="155">
        <f>IF($B17=" ","",IFERROR(INDEX(MMWR_RATING_STATE_ROLLUP_VSC[],MATCH($B17,MMWR_RATING_STATE_ROLLUP_VSC[MMWR_RATING_STATE_ROLLUP_VSC],0),MATCH(G$9,MMWR_RATING_STATE_ROLLUP_VSC[#Headers],0)),"ERROR"))</f>
        <v>230</v>
      </c>
      <c r="H17" s="156">
        <f>IF($B17=" ","",IFERROR(INDEX(MMWR_RATING_STATE_ROLLUP_VSC[],MATCH($B17,MMWR_RATING_STATE_ROLLUP_VSC[MMWR_RATING_STATE_ROLLUP_VSC],0),MATCH(H$9,MMWR_RATING_STATE_ROLLUP_VSC[#Headers],0)),"ERROR"))</f>
        <v>141.84347826090001</v>
      </c>
      <c r="I17" s="156">
        <f>IF($B17=" ","",IFERROR(INDEX(MMWR_RATING_STATE_ROLLUP_VSC[],MATCH($B17,MMWR_RATING_STATE_ROLLUP_VSC[MMWR_RATING_STATE_ROLLUP_VSC],0),MATCH(I$9,MMWR_RATING_STATE_ROLLUP_VSC[#Headers],0)),"ERROR"))</f>
        <v>141.84347826090001</v>
      </c>
      <c r="J17" s="42"/>
      <c r="K17" s="42"/>
      <c r="L17" s="42"/>
      <c r="M17" s="42"/>
      <c r="N17" s="28"/>
    </row>
    <row r="18" spans="1:14" x14ac:dyDescent="0.2">
      <c r="A18" s="25"/>
      <c r="B18" s="8" t="str">
        <f>VLOOKUP($B$15,DISTRICT_STATES[],4,0)</f>
        <v>District of Columbia</v>
      </c>
      <c r="C18" s="155">
        <f>IF($B18=" ","",IFERROR(INDEX(MMWR_RATING_STATE_ROLLUP_VSC[],MATCH($B18,MMWR_RATING_STATE_ROLLUP_VSC[MMWR_RATING_STATE_ROLLUP_VSC],0),MATCH(C$9,MMWR_RATING_STATE_ROLLUP_VSC[#Headers],0)),"ERROR"))</f>
        <v>412</v>
      </c>
      <c r="D18" s="156">
        <f>IF($B18=" ","",IFERROR(INDEX(MMWR_RATING_STATE_ROLLUP_VSC[],MATCH($B18,MMWR_RATING_STATE_ROLLUP_VSC[MMWR_RATING_STATE_ROLLUP_VSC],0),MATCH(D$9,MMWR_RATING_STATE_ROLLUP_VSC[#Headers],0)),"ERROR"))</f>
        <v>96.504854368899998</v>
      </c>
      <c r="E18" s="157">
        <f>IF($B18=" ","",IFERROR(INDEX(MMWR_RATING_STATE_ROLLUP_VSC[],MATCH($B18,MMWR_RATING_STATE_ROLLUP_VSC[MMWR_RATING_STATE_ROLLUP_VSC],0),MATCH(E$9,MMWR_RATING_STATE_ROLLUP_VSC[#Headers],0))/$C18,"ERROR"))</f>
        <v>0.220873786407767</v>
      </c>
      <c r="F18" s="155">
        <f>IF($B18=" ","",IFERROR(INDEX(MMWR_RATING_STATE_ROLLUP_VSC[],MATCH($B18,MMWR_RATING_STATE_ROLLUP_VSC[MMWR_RATING_STATE_ROLLUP_VSC],0),MATCH(F$9,MMWR_RATING_STATE_ROLLUP_VSC[#Headers],0)),"ERROR"))</f>
        <v>130</v>
      </c>
      <c r="G18" s="155">
        <f>IF($B18=" ","",IFERROR(INDEX(MMWR_RATING_STATE_ROLLUP_VSC[],MATCH($B18,MMWR_RATING_STATE_ROLLUP_VSC[MMWR_RATING_STATE_ROLLUP_VSC],0),MATCH(G$9,MMWR_RATING_STATE_ROLLUP_VSC[#Headers],0)),"ERROR"))</f>
        <v>130</v>
      </c>
      <c r="H18" s="156">
        <f>IF($B18=" ","",IFERROR(INDEX(MMWR_RATING_STATE_ROLLUP_VSC[],MATCH($B18,MMWR_RATING_STATE_ROLLUP_VSC[MMWR_RATING_STATE_ROLLUP_VSC],0),MATCH(H$9,MMWR_RATING_STATE_ROLLUP_VSC[#Headers],0)),"ERROR"))</f>
        <v>161.57692307689999</v>
      </c>
      <c r="I18" s="156">
        <f>IF($B18=" ","",IFERROR(INDEX(MMWR_RATING_STATE_ROLLUP_VSC[],MATCH($B18,MMWR_RATING_STATE_ROLLUP_VSC[MMWR_RATING_STATE_ROLLUP_VSC],0),MATCH(I$9,MMWR_RATING_STATE_ROLLUP_VSC[#Headers],0)),"ERROR"))</f>
        <v>161.57692307689999</v>
      </c>
      <c r="J18" s="42"/>
      <c r="K18" s="42"/>
      <c r="L18" s="42"/>
      <c r="M18" s="42"/>
      <c r="N18" s="28"/>
    </row>
    <row r="19" spans="1:14" x14ac:dyDescent="0.2">
      <c r="A19" s="25"/>
      <c r="B19" s="8" t="str">
        <f>VLOOKUP($B$15,DISTRICT_STATES[],5,0)</f>
        <v>Maine</v>
      </c>
      <c r="C19" s="155">
        <f>IF($B19=" ","",IFERROR(INDEX(MMWR_RATING_STATE_ROLLUP_VSC[],MATCH($B19,MMWR_RATING_STATE_ROLLUP_VSC[MMWR_RATING_STATE_ROLLUP_VSC],0),MATCH(C$9,MMWR_RATING_STATE_ROLLUP_VSC[#Headers],0)),"ERROR"))</f>
        <v>1217</v>
      </c>
      <c r="D19" s="156">
        <f>IF($B19=" ","",IFERROR(INDEX(MMWR_RATING_STATE_ROLLUP_VSC[],MATCH($B19,MMWR_RATING_STATE_ROLLUP_VSC[MMWR_RATING_STATE_ROLLUP_VSC],0),MATCH(D$9,MMWR_RATING_STATE_ROLLUP_VSC[#Headers],0)),"ERROR"))</f>
        <v>73.935907970399995</v>
      </c>
      <c r="E19" s="157">
        <f>IF($B19=" ","",IFERROR(INDEX(MMWR_RATING_STATE_ROLLUP_VSC[],MATCH($B19,MMWR_RATING_STATE_ROLLUP_VSC[MMWR_RATING_STATE_ROLLUP_VSC],0),MATCH(E$9,MMWR_RATING_STATE_ROLLUP_VSC[#Headers],0))/$C19,"ERROR"))</f>
        <v>0.14708299096138044</v>
      </c>
      <c r="F19" s="155">
        <f>IF($B19=" ","",IFERROR(INDEX(MMWR_RATING_STATE_ROLLUP_VSC[],MATCH($B19,MMWR_RATING_STATE_ROLLUP_VSC[MMWR_RATING_STATE_ROLLUP_VSC],0),MATCH(F$9,MMWR_RATING_STATE_ROLLUP_VSC[#Headers],0)),"ERROR"))</f>
        <v>520</v>
      </c>
      <c r="G19" s="155">
        <f>IF($B19=" ","",IFERROR(INDEX(MMWR_RATING_STATE_ROLLUP_VSC[],MATCH($B19,MMWR_RATING_STATE_ROLLUP_VSC[MMWR_RATING_STATE_ROLLUP_VSC],0),MATCH(G$9,MMWR_RATING_STATE_ROLLUP_VSC[#Headers],0)),"ERROR"))</f>
        <v>520</v>
      </c>
      <c r="H19" s="156">
        <f>IF($B19=" ","",IFERROR(INDEX(MMWR_RATING_STATE_ROLLUP_VSC[],MATCH($B19,MMWR_RATING_STATE_ROLLUP_VSC[MMWR_RATING_STATE_ROLLUP_VSC],0),MATCH(H$9,MMWR_RATING_STATE_ROLLUP_VSC[#Headers],0)),"ERROR"))</f>
        <v>104.3634615385</v>
      </c>
      <c r="I19" s="156">
        <f>IF($B19=" ","",IFERROR(INDEX(MMWR_RATING_STATE_ROLLUP_VSC[],MATCH($B19,MMWR_RATING_STATE_ROLLUP_VSC[MMWR_RATING_STATE_ROLLUP_VSC],0),MATCH(I$9,MMWR_RATING_STATE_ROLLUP_VSC[#Headers],0)),"ERROR"))</f>
        <v>104.3634615385</v>
      </c>
      <c r="J19" s="42"/>
      <c r="K19" s="42"/>
      <c r="L19" s="42"/>
      <c r="M19" s="42"/>
      <c r="N19" s="28"/>
    </row>
    <row r="20" spans="1:14" x14ac:dyDescent="0.2">
      <c r="A20" s="25"/>
      <c r="B20" s="8" t="str">
        <f>VLOOKUP($B$15,DISTRICT_STATES[],6,0)</f>
        <v>Maryland</v>
      </c>
      <c r="C20" s="155">
        <f>IF($B20=" ","",IFERROR(INDEX(MMWR_RATING_STATE_ROLLUP_VSC[],MATCH($B20,MMWR_RATING_STATE_ROLLUP_VSC[MMWR_RATING_STATE_ROLLUP_VSC],0),MATCH(C$9,MMWR_RATING_STATE_ROLLUP_VSC[#Headers],0)),"ERROR"))</f>
        <v>5372</v>
      </c>
      <c r="D20" s="156">
        <f>IF($B20=" ","",IFERROR(INDEX(MMWR_RATING_STATE_ROLLUP_VSC[],MATCH($B20,MMWR_RATING_STATE_ROLLUP_VSC[MMWR_RATING_STATE_ROLLUP_VSC],0),MATCH(D$9,MMWR_RATING_STATE_ROLLUP_VSC[#Headers],0)),"ERROR"))</f>
        <v>95.001116902500002</v>
      </c>
      <c r="E20" s="157">
        <f>IF($B20=" ","",IFERROR(INDEX(MMWR_RATING_STATE_ROLLUP_VSC[],MATCH($B20,MMWR_RATING_STATE_ROLLUP_VSC[MMWR_RATING_STATE_ROLLUP_VSC],0),MATCH(E$9,MMWR_RATING_STATE_ROLLUP_VSC[#Headers],0))/$C20,"ERROR"))</f>
        <v>0.20737155621742367</v>
      </c>
      <c r="F20" s="155">
        <f>IF($B20=" ","",IFERROR(INDEX(MMWR_RATING_STATE_ROLLUP_VSC[],MATCH($B20,MMWR_RATING_STATE_ROLLUP_VSC[MMWR_RATING_STATE_ROLLUP_VSC],0),MATCH(F$9,MMWR_RATING_STATE_ROLLUP_VSC[#Headers],0)),"ERROR"))</f>
        <v>1595</v>
      </c>
      <c r="G20" s="155">
        <f>IF($B20=" ","",IFERROR(INDEX(MMWR_RATING_STATE_ROLLUP_VSC[],MATCH($B20,MMWR_RATING_STATE_ROLLUP_VSC[MMWR_RATING_STATE_ROLLUP_VSC],0),MATCH(G$9,MMWR_RATING_STATE_ROLLUP_VSC[#Headers],0)),"ERROR"))</f>
        <v>1595</v>
      </c>
      <c r="H20" s="156">
        <f>IF($B20=" ","",IFERROR(INDEX(MMWR_RATING_STATE_ROLLUP_VSC[],MATCH($B20,MMWR_RATING_STATE_ROLLUP_VSC[MMWR_RATING_STATE_ROLLUP_VSC],0),MATCH(H$9,MMWR_RATING_STATE_ROLLUP_VSC[#Headers],0)),"ERROR"))</f>
        <v>137.86457680250001</v>
      </c>
      <c r="I20" s="156">
        <f>IF($B20=" ","",IFERROR(INDEX(MMWR_RATING_STATE_ROLLUP_VSC[],MATCH($B20,MMWR_RATING_STATE_ROLLUP_VSC[MMWR_RATING_STATE_ROLLUP_VSC],0),MATCH(I$9,MMWR_RATING_STATE_ROLLUP_VSC[#Headers],0)),"ERROR"))</f>
        <v>137.86457680250001</v>
      </c>
      <c r="J20" s="42"/>
      <c r="K20" s="42"/>
      <c r="L20" s="42"/>
      <c r="M20" s="42"/>
      <c r="N20" s="28"/>
    </row>
    <row r="21" spans="1:14" x14ac:dyDescent="0.2">
      <c r="A21" s="25"/>
      <c r="B21" s="8" t="str">
        <f>VLOOKUP($B$15,DISTRICT_STATES[],7,0)</f>
        <v>Massachusetts</v>
      </c>
      <c r="C21" s="155">
        <f>IF($B21=" ","",IFERROR(INDEX(MMWR_RATING_STATE_ROLLUP_VSC[],MATCH($B21,MMWR_RATING_STATE_ROLLUP_VSC[MMWR_RATING_STATE_ROLLUP_VSC],0),MATCH(C$9,MMWR_RATING_STATE_ROLLUP_VSC[#Headers],0)),"ERROR"))</f>
        <v>4373</v>
      </c>
      <c r="D21" s="156">
        <f>IF($B21=" ","",IFERROR(INDEX(MMWR_RATING_STATE_ROLLUP_VSC[],MATCH($B21,MMWR_RATING_STATE_ROLLUP_VSC[MMWR_RATING_STATE_ROLLUP_VSC],0),MATCH(D$9,MMWR_RATING_STATE_ROLLUP_VSC[#Headers],0)),"ERROR"))</f>
        <v>96.276469243099996</v>
      </c>
      <c r="E21" s="157">
        <f>IF($B21=" ","",IFERROR(INDEX(MMWR_RATING_STATE_ROLLUP_VSC[],MATCH($B21,MMWR_RATING_STATE_ROLLUP_VSC[MMWR_RATING_STATE_ROLLUP_VSC],0),MATCH(E$9,MMWR_RATING_STATE_ROLLUP_VSC[#Headers],0))/$C21,"ERROR"))</f>
        <v>0.23530756917447976</v>
      </c>
      <c r="F21" s="155">
        <f>IF($B21=" ","",IFERROR(INDEX(MMWR_RATING_STATE_ROLLUP_VSC[],MATCH($B21,MMWR_RATING_STATE_ROLLUP_VSC[MMWR_RATING_STATE_ROLLUP_VSC],0),MATCH(F$9,MMWR_RATING_STATE_ROLLUP_VSC[#Headers],0)),"ERROR"))</f>
        <v>1187</v>
      </c>
      <c r="G21" s="155">
        <f>IF($B21=" ","",IFERROR(INDEX(MMWR_RATING_STATE_ROLLUP_VSC[],MATCH($B21,MMWR_RATING_STATE_ROLLUP_VSC[MMWR_RATING_STATE_ROLLUP_VSC],0),MATCH(G$9,MMWR_RATING_STATE_ROLLUP_VSC[#Headers],0)),"ERROR"))</f>
        <v>1187</v>
      </c>
      <c r="H21" s="156">
        <f>IF($B21=" ","",IFERROR(INDEX(MMWR_RATING_STATE_ROLLUP_VSC[],MATCH($B21,MMWR_RATING_STATE_ROLLUP_VSC[MMWR_RATING_STATE_ROLLUP_VSC],0),MATCH(H$9,MMWR_RATING_STATE_ROLLUP_VSC[#Headers],0)),"ERROR"))</f>
        <v>120.5442291491</v>
      </c>
      <c r="I21" s="156">
        <f>IF($B21=" ","",IFERROR(INDEX(MMWR_RATING_STATE_ROLLUP_VSC[],MATCH($B21,MMWR_RATING_STATE_ROLLUP_VSC[MMWR_RATING_STATE_ROLLUP_VSC],0),MATCH(I$9,MMWR_RATING_STATE_ROLLUP_VSC[#Headers],0)),"ERROR"))</f>
        <v>120.5442291491</v>
      </c>
      <c r="J21" s="42"/>
      <c r="K21" s="42"/>
      <c r="L21" s="42"/>
      <c r="M21" s="42"/>
      <c r="N21" s="28"/>
    </row>
    <row r="22" spans="1:14" x14ac:dyDescent="0.2">
      <c r="A22" s="25"/>
      <c r="B22" s="8" t="str">
        <f>VLOOKUP($B$15,DISTRICT_STATES[],8,0)</f>
        <v>New Hampshire</v>
      </c>
      <c r="C22" s="155">
        <f>IF($B22=" ","",IFERROR(INDEX(MMWR_RATING_STATE_ROLLUP_VSC[],MATCH($B22,MMWR_RATING_STATE_ROLLUP_VSC[MMWR_RATING_STATE_ROLLUP_VSC],0),MATCH(C$9,MMWR_RATING_STATE_ROLLUP_VSC[#Headers],0)),"ERROR"))</f>
        <v>1392</v>
      </c>
      <c r="D22" s="156">
        <f>IF($B22=" ","",IFERROR(INDEX(MMWR_RATING_STATE_ROLLUP_VSC[],MATCH($B22,MMWR_RATING_STATE_ROLLUP_VSC[MMWR_RATING_STATE_ROLLUP_VSC],0),MATCH(D$9,MMWR_RATING_STATE_ROLLUP_VSC[#Headers],0)),"ERROR"))</f>
        <v>90.501436781600006</v>
      </c>
      <c r="E22" s="157">
        <f>IF($B22=" ","",IFERROR(INDEX(MMWR_RATING_STATE_ROLLUP_VSC[],MATCH($B22,MMWR_RATING_STATE_ROLLUP_VSC[MMWR_RATING_STATE_ROLLUP_VSC],0),MATCH(E$9,MMWR_RATING_STATE_ROLLUP_VSC[#Headers],0))/$C22,"ERROR"))</f>
        <v>0.20402298850574713</v>
      </c>
      <c r="F22" s="155">
        <f>IF($B22=" ","",IFERROR(INDEX(MMWR_RATING_STATE_ROLLUP_VSC[],MATCH($B22,MMWR_RATING_STATE_ROLLUP_VSC[MMWR_RATING_STATE_ROLLUP_VSC],0),MATCH(F$9,MMWR_RATING_STATE_ROLLUP_VSC[#Headers],0)),"ERROR"))</f>
        <v>311</v>
      </c>
      <c r="G22" s="155">
        <f>IF($B22=" ","",IFERROR(INDEX(MMWR_RATING_STATE_ROLLUP_VSC[],MATCH($B22,MMWR_RATING_STATE_ROLLUP_VSC[MMWR_RATING_STATE_ROLLUP_VSC],0),MATCH(G$9,MMWR_RATING_STATE_ROLLUP_VSC[#Headers],0)),"ERROR"))</f>
        <v>311</v>
      </c>
      <c r="H22" s="156">
        <f>IF($B22=" ","",IFERROR(INDEX(MMWR_RATING_STATE_ROLLUP_VSC[],MATCH($B22,MMWR_RATING_STATE_ROLLUP_VSC[MMWR_RATING_STATE_ROLLUP_VSC],0),MATCH(H$9,MMWR_RATING_STATE_ROLLUP_VSC[#Headers],0)),"ERROR"))</f>
        <v>132.8424437299</v>
      </c>
      <c r="I22" s="156">
        <f>IF($B22=" ","",IFERROR(INDEX(MMWR_RATING_STATE_ROLLUP_VSC[],MATCH($B22,MMWR_RATING_STATE_ROLLUP_VSC[MMWR_RATING_STATE_ROLLUP_VSC],0),MATCH(I$9,MMWR_RATING_STATE_ROLLUP_VSC[#Headers],0)),"ERROR"))</f>
        <v>132.8424437299</v>
      </c>
      <c r="J22" s="42"/>
      <c r="K22" s="42"/>
      <c r="L22" s="42"/>
      <c r="M22" s="42"/>
      <c r="N22" s="28"/>
    </row>
    <row r="23" spans="1:14" x14ac:dyDescent="0.2">
      <c r="A23" s="25"/>
      <c r="B23" s="8" t="str">
        <f>VLOOKUP($B$15,DISTRICT_STATES[],9,0)</f>
        <v>New Jersey</v>
      </c>
      <c r="C23" s="155">
        <f>IF($B23=" ","",IFERROR(INDEX(MMWR_RATING_STATE_ROLLUP_VSC[],MATCH($B23,MMWR_RATING_STATE_ROLLUP_VSC[MMWR_RATING_STATE_ROLLUP_VSC],0),MATCH(C$9,MMWR_RATING_STATE_ROLLUP_VSC[#Headers],0)),"ERROR"))</f>
        <v>4033</v>
      </c>
      <c r="D23" s="156">
        <f>IF($B23=" ","",IFERROR(INDEX(MMWR_RATING_STATE_ROLLUP_VSC[],MATCH($B23,MMWR_RATING_STATE_ROLLUP_VSC[MMWR_RATING_STATE_ROLLUP_VSC],0),MATCH(D$9,MMWR_RATING_STATE_ROLLUP_VSC[#Headers],0)),"ERROR"))</f>
        <v>97.918423010200001</v>
      </c>
      <c r="E23" s="157">
        <f>IF($B23=" ","",IFERROR(INDEX(MMWR_RATING_STATE_ROLLUP_VSC[],MATCH($B23,MMWR_RATING_STATE_ROLLUP_VSC[MMWR_RATING_STATE_ROLLUP_VSC],0),MATCH(E$9,MMWR_RATING_STATE_ROLLUP_VSC[#Headers],0))/$C23,"ERROR"))</f>
        <v>0.24051574510290108</v>
      </c>
      <c r="F23" s="155">
        <f>IF($B23=" ","",IFERROR(INDEX(MMWR_RATING_STATE_ROLLUP_VSC[],MATCH($B23,MMWR_RATING_STATE_ROLLUP_VSC[MMWR_RATING_STATE_ROLLUP_VSC],0),MATCH(F$9,MMWR_RATING_STATE_ROLLUP_VSC[#Headers],0)),"ERROR"))</f>
        <v>1121</v>
      </c>
      <c r="G23" s="155">
        <f>IF($B23=" ","",IFERROR(INDEX(MMWR_RATING_STATE_ROLLUP_VSC[],MATCH($B23,MMWR_RATING_STATE_ROLLUP_VSC[MMWR_RATING_STATE_ROLLUP_VSC],0),MATCH(G$9,MMWR_RATING_STATE_ROLLUP_VSC[#Headers],0)),"ERROR"))</f>
        <v>1121</v>
      </c>
      <c r="H23" s="156">
        <f>IF($B23=" ","",IFERROR(INDEX(MMWR_RATING_STATE_ROLLUP_VSC[],MATCH($B23,MMWR_RATING_STATE_ROLLUP_VSC[MMWR_RATING_STATE_ROLLUP_VSC],0),MATCH(H$9,MMWR_RATING_STATE_ROLLUP_VSC[#Headers],0)),"ERROR"))</f>
        <v>140.71364852810001</v>
      </c>
      <c r="I23" s="156">
        <f>IF($B23=" ","",IFERROR(INDEX(MMWR_RATING_STATE_ROLLUP_VSC[],MATCH($B23,MMWR_RATING_STATE_ROLLUP_VSC[MMWR_RATING_STATE_ROLLUP_VSC],0),MATCH(I$9,MMWR_RATING_STATE_ROLLUP_VSC[#Headers],0)),"ERROR"))</f>
        <v>140.71364852810001</v>
      </c>
      <c r="J23" s="42"/>
      <c r="K23" s="42"/>
      <c r="L23" s="42"/>
      <c r="M23" s="42"/>
      <c r="N23" s="28"/>
    </row>
    <row r="24" spans="1:14" x14ac:dyDescent="0.2">
      <c r="A24" s="25"/>
      <c r="B24" s="8" t="str">
        <f>VLOOKUP($B$15,DISTRICT_STATES[],10,0)</f>
        <v>New York</v>
      </c>
      <c r="C24" s="155">
        <f>IF($B24=" ","",IFERROR(INDEX(MMWR_RATING_STATE_ROLLUP_VSC[],MATCH($B24,MMWR_RATING_STATE_ROLLUP_VSC[MMWR_RATING_STATE_ROLLUP_VSC],0),MATCH(C$9,MMWR_RATING_STATE_ROLLUP_VSC[#Headers],0)),"ERROR"))</f>
        <v>8938</v>
      </c>
      <c r="D24" s="156">
        <f>IF($B24=" ","",IFERROR(INDEX(MMWR_RATING_STATE_ROLLUP_VSC[],MATCH($B24,MMWR_RATING_STATE_ROLLUP_VSC[MMWR_RATING_STATE_ROLLUP_VSC],0),MATCH(D$9,MMWR_RATING_STATE_ROLLUP_VSC[#Headers],0)),"ERROR"))</f>
        <v>93.554374580399994</v>
      </c>
      <c r="E24" s="157">
        <f>IF($B24=" ","",IFERROR(INDEX(MMWR_RATING_STATE_ROLLUP_VSC[],MATCH($B24,MMWR_RATING_STATE_ROLLUP_VSC[MMWR_RATING_STATE_ROLLUP_VSC],0),MATCH(E$9,MMWR_RATING_STATE_ROLLUP_VSC[#Headers],0))/$C24,"ERROR"))</f>
        <v>0.21156858357574401</v>
      </c>
      <c r="F24" s="155">
        <f>IF($B24=" ","",IFERROR(INDEX(MMWR_RATING_STATE_ROLLUP_VSC[],MATCH($B24,MMWR_RATING_STATE_ROLLUP_VSC[MMWR_RATING_STATE_ROLLUP_VSC],0),MATCH(F$9,MMWR_RATING_STATE_ROLLUP_VSC[#Headers],0)),"ERROR"))</f>
        <v>2301</v>
      </c>
      <c r="G24" s="155">
        <f>IF($B24=" ","",IFERROR(INDEX(MMWR_RATING_STATE_ROLLUP_VSC[],MATCH($B24,MMWR_RATING_STATE_ROLLUP_VSC[MMWR_RATING_STATE_ROLLUP_VSC],0),MATCH(G$9,MMWR_RATING_STATE_ROLLUP_VSC[#Headers],0)),"ERROR"))</f>
        <v>2301</v>
      </c>
      <c r="H24" s="156">
        <f>IF($B24=" ","",IFERROR(INDEX(MMWR_RATING_STATE_ROLLUP_VSC[],MATCH($B24,MMWR_RATING_STATE_ROLLUP_VSC[MMWR_RATING_STATE_ROLLUP_VSC],0),MATCH(H$9,MMWR_RATING_STATE_ROLLUP_VSC[#Headers],0)),"ERROR"))</f>
        <v>143.5880052151</v>
      </c>
      <c r="I24" s="156">
        <f>IF($B24=" ","",IFERROR(INDEX(MMWR_RATING_STATE_ROLLUP_VSC[],MATCH($B24,MMWR_RATING_STATE_ROLLUP_VSC[MMWR_RATING_STATE_ROLLUP_VSC],0),MATCH(I$9,MMWR_RATING_STATE_ROLLUP_VSC[#Headers],0)),"ERROR"))</f>
        <v>143.5880052151</v>
      </c>
      <c r="J24" s="42"/>
      <c r="K24" s="42"/>
      <c r="L24" s="42"/>
      <c r="M24" s="42"/>
      <c r="N24" s="28"/>
    </row>
    <row r="25" spans="1:14" x14ac:dyDescent="0.2">
      <c r="A25" s="25"/>
      <c r="B25" s="8" t="str">
        <f>VLOOKUP($B$15,DISTRICT_STATES[],11,0)</f>
        <v>North Carolina</v>
      </c>
      <c r="C25" s="155">
        <f>IF($B25=" ","",IFERROR(INDEX(MMWR_RATING_STATE_ROLLUP_VSC[],MATCH($B25,MMWR_RATING_STATE_ROLLUP_VSC[MMWR_RATING_STATE_ROLLUP_VSC],0),MATCH(C$9,MMWR_RATING_STATE_ROLLUP_VSC[#Headers],0)),"ERROR"))</f>
        <v>17527</v>
      </c>
      <c r="D25" s="156">
        <f>IF($B25=" ","",IFERROR(INDEX(MMWR_RATING_STATE_ROLLUP_VSC[],MATCH($B25,MMWR_RATING_STATE_ROLLUP_VSC[MMWR_RATING_STATE_ROLLUP_VSC],0),MATCH(D$9,MMWR_RATING_STATE_ROLLUP_VSC[#Headers],0)),"ERROR"))</f>
        <v>100.39453414730001</v>
      </c>
      <c r="E25" s="157">
        <f>IF($B25=" ","",IFERROR(INDEX(MMWR_RATING_STATE_ROLLUP_VSC[],MATCH($B25,MMWR_RATING_STATE_ROLLUP_VSC[MMWR_RATING_STATE_ROLLUP_VSC],0),MATCH(E$9,MMWR_RATING_STATE_ROLLUP_VSC[#Headers],0))/$C25,"ERROR"))</f>
        <v>0.24048610714897017</v>
      </c>
      <c r="F25" s="155">
        <f>IF($B25=" ","",IFERROR(INDEX(MMWR_RATING_STATE_ROLLUP_VSC[],MATCH($B25,MMWR_RATING_STATE_ROLLUP_VSC[MMWR_RATING_STATE_ROLLUP_VSC],0),MATCH(F$9,MMWR_RATING_STATE_ROLLUP_VSC[#Headers],0)),"ERROR"))</f>
        <v>4014</v>
      </c>
      <c r="G25" s="155">
        <f>IF($B25=" ","",IFERROR(INDEX(MMWR_RATING_STATE_ROLLUP_VSC[],MATCH($B25,MMWR_RATING_STATE_ROLLUP_VSC[MMWR_RATING_STATE_ROLLUP_VSC],0),MATCH(G$9,MMWR_RATING_STATE_ROLLUP_VSC[#Headers],0)),"ERROR"))</f>
        <v>4014</v>
      </c>
      <c r="H25" s="156">
        <f>IF($B25=" ","",IFERROR(INDEX(MMWR_RATING_STATE_ROLLUP_VSC[],MATCH($B25,MMWR_RATING_STATE_ROLLUP_VSC[MMWR_RATING_STATE_ROLLUP_VSC],0),MATCH(H$9,MMWR_RATING_STATE_ROLLUP_VSC[#Headers],0)),"ERROR"))</f>
        <v>150.66292974589999</v>
      </c>
      <c r="I25" s="156">
        <f>IF($B25=" ","",IFERROR(INDEX(MMWR_RATING_STATE_ROLLUP_VSC[],MATCH($B25,MMWR_RATING_STATE_ROLLUP_VSC[MMWR_RATING_STATE_ROLLUP_VSC],0),MATCH(I$9,MMWR_RATING_STATE_ROLLUP_VSC[#Headers],0)),"ERROR"))</f>
        <v>150.66292974589999</v>
      </c>
      <c r="J25" s="42"/>
      <c r="K25" s="42"/>
      <c r="L25" s="42"/>
      <c r="M25" s="42"/>
      <c r="N25" s="28"/>
    </row>
    <row r="26" spans="1:14" x14ac:dyDescent="0.2">
      <c r="A26" s="25"/>
      <c r="B26" s="8" t="str">
        <f>VLOOKUP($B$15,DISTRICT_STATES[],12,0)</f>
        <v>Pennsylvania</v>
      </c>
      <c r="C26" s="155">
        <f>IF($B26=" ","",IFERROR(INDEX(MMWR_RATING_STATE_ROLLUP_VSC[],MATCH($B26,MMWR_RATING_STATE_ROLLUP_VSC[MMWR_RATING_STATE_ROLLUP_VSC],0),MATCH(C$9,MMWR_RATING_STATE_ROLLUP_VSC[#Headers],0)),"ERROR"))</f>
        <v>9032</v>
      </c>
      <c r="D26" s="156">
        <f>IF($B26=" ","",IFERROR(INDEX(MMWR_RATING_STATE_ROLLUP_VSC[],MATCH($B26,MMWR_RATING_STATE_ROLLUP_VSC[MMWR_RATING_STATE_ROLLUP_VSC],0),MATCH(D$9,MMWR_RATING_STATE_ROLLUP_VSC[#Headers],0)),"ERROR"))</f>
        <v>112.7368246236</v>
      </c>
      <c r="E26" s="157">
        <f>IF($B26=" ","",IFERROR(INDEX(MMWR_RATING_STATE_ROLLUP_VSC[],MATCH($B26,MMWR_RATING_STATE_ROLLUP_VSC[MMWR_RATING_STATE_ROLLUP_VSC],0),MATCH(E$9,MMWR_RATING_STATE_ROLLUP_VSC[#Headers],0))/$C26,"ERROR"))</f>
        <v>0.29151904340124002</v>
      </c>
      <c r="F26" s="155">
        <f>IF($B26=" ","",IFERROR(INDEX(MMWR_RATING_STATE_ROLLUP_VSC[],MATCH($B26,MMWR_RATING_STATE_ROLLUP_VSC[MMWR_RATING_STATE_ROLLUP_VSC],0),MATCH(F$9,MMWR_RATING_STATE_ROLLUP_VSC[#Headers],0)),"ERROR"))</f>
        <v>2463</v>
      </c>
      <c r="G26" s="155">
        <f>IF($B26=" ","",IFERROR(INDEX(MMWR_RATING_STATE_ROLLUP_VSC[],MATCH($B26,MMWR_RATING_STATE_ROLLUP_VSC[MMWR_RATING_STATE_ROLLUP_VSC],0),MATCH(G$9,MMWR_RATING_STATE_ROLLUP_VSC[#Headers],0)),"ERROR"))</f>
        <v>2463</v>
      </c>
      <c r="H26" s="156">
        <f>IF($B26=" ","",IFERROR(INDEX(MMWR_RATING_STATE_ROLLUP_VSC[],MATCH($B26,MMWR_RATING_STATE_ROLLUP_VSC[MMWR_RATING_STATE_ROLLUP_VSC],0),MATCH(H$9,MMWR_RATING_STATE_ROLLUP_VSC[#Headers],0)),"ERROR"))</f>
        <v>156.233455136</v>
      </c>
      <c r="I26" s="156">
        <f>IF($B26=" ","",IFERROR(INDEX(MMWR_RATING_STATE_ROLLUP_VSC[],MATCH($B26,MMWR_RATING_STATE_ROLLUP_VSC[MMWR_RATING_STATE_ROLLUP_VSC],0),MATCH(I$9,MMWR_RATING_STATE_ROLLUP_VSC[#Headers],0)),"ERROR"))</f>
        <v>156.233455136</v>
      </c>
      <c r="J26" s="42"/>
      <c r="K26" s="42"/>
      <c r="L26" s="42"/>
      <c r="M26" s="42"/>
      <c r="N26" s="28"/>
    </row>
    <row r="27" spans="1:14" x14ac:dyDescent="0.2">
      <c r="A27" s="25"/>
      <c r="B27" s="8" t="str">
        <f>VLOOKUP($B$15,DISTRICT_STATES[],13,0)</f>
        <v>Rhode Island</v>
      </c>
      <c r="C27" s="155">
        <f>IF($B27=" ","",IFERROR(INDEX(MMWR_RATING_STATE_ROLLUP_VSC[],MATCH($B27,MMWR_RATING_STATE_ROLLUP_VSC[MMWR_RATING_STATE_ROLLUP_VSC],0),MATCH(C$9,MMWR_RATING_STATE_ROLLUP_VSC[#Headers],0)),"ERROR"))</f>
        <v>897</v>
      </c>
      <c r="D27" s="156">
        <f>IF($B27=" ","",IFERROR(INDEX(MMWR_RATING_STATE_ROLLUP_VSC[],MATCH($B27,MMWR_RATING_STATE_ROLLUP_VSC[MMWR_RATING_STATE_ROLLUP_VSC],0),MATCH(D$9,MMWR_RATING_STATE_ROLLUP_VSC[#Headers],0)),"ERROR"))</f>
        <v>84.742474916399999</v>
      </c>
      <c r="E27" s="157">
        <f>IF($B27=" ","",IFERROR(INDEX(MMWR_RATING_STATE_ROLLUP_VSC[],MATCH($B27,MMWR_RATING_STATE_ROLLUP_VSC[MMWR_RATING_STATE_ROLLUP_VSC],0),MATCH(E$9,MMWR_RATING_STATE_ROLLUP_VSC[#Headers],0))/$C27,"ERROR"))</f>
        <v>0.18283166109253066</v>
      </c>
      <c r="F27" s="155">
        <f>IF($B27=" ","",IFERROR(INDEX(MMWR_RATING_STATE_ROLLUP_VSC[],MATCH($B27,MMWR_RATING_STATE_ROLLUP_VSC[MMWR_RATING_STATE_ROLLUP_VSC],0),MATCH(F$9,MMWR_RATING_STATE_ROLLUP_VSC[#Headers],0)),"ERROR"))</f>
        <v>288</v>
      </c>
      <c r="G27" s="155">
        <f>IF($B27=" ","",IFERROR(INDEX(MMWR_RATING_STATE_ROLLUP_VSC[],MATCH($B27,MMWR_RATING_STATE_ROLLUP_VSC[MMWR_RATING_STATE_ROLLUP_VSC],0),MATCH(G$9,MMWR_RATING_STATE_ROLLUP_VSC[#Headers],0)),"ERROR"))</f>
        <v>288</v>
      </c>
      <c r="H27" s="156">
        <f>IF($B27=" ","",IFERROR(INDEX(MMWR_RATING_STATE_ROLLUP_VSC[],MATCH($B27,MMWR_RATING_STATE_ROLLUP_VSC[MMWR_RATING_STATE_ROLLUP_VSC],0),MATCH(H$9,MMWR_RATING_STATE_ROLLUP_VSC[#Headers],0)),"ERROR"))</f>
        <v>106.9409722222</v>
      </c>
      <c r="I27" s="156">
        <f>IF($B27=" ","",IFERROR(INDEX(MMWR_RATING_STATE_ROLLUP_VSC[],MATCH($B27,MMWR_RATING_STATE_ROLLUP_VSC[MMWR_RATING_STATE_ROLLUP_VSC],0),MATCH(I$9,MMWR_RATING_STATE_ROLLUP_VSC[#Headers],0)),"ERROR"))</f>
        <v>106.9409722222</v>
      </c>
      <c r="J27" s="42"/>
      <c r="K27" s="42"/>
      <c r="L27" s="42"/>
      <c r="M27" s="42"/>
      <c r="N27" s="28"/>
    </row>
    <row r="28" spans="1:14" x14ac:dyDescent="0.2">
      <c r="A28" s="25"/>
      <c r="B28" s="8" t="str">
        <f>VLOOKUP($B$15,DISTRICT_STATES[],14,0)</f>
        <v>Vermont</v>
      </c>
      <c r="C28" s="155">
        <f>IF($B28=" ","",IFERROR(INDEX(MMWR_RATING_STATE_ROLLUP_VSC[],MATCH($B28,MMWR_RATING_STATE_ROLLUP_VSC[MMWR_RATING_STATE_ROLLUP_VSC],0),MATCH(C$9,MMWR_RATING_STATE_ROLLUP_VSC[#Headers],0)),"ERROR"))</f>
        <v>401</v>
      </c>
      <c r="D28" s="156">
        <f>IF($B28=" ","",IFERROR(INDEX(MMWR_RATING_STATE_ROLLUP_VSC[],MATCH($B28,MMWR_RATING_STATE_ROLLUP_VSC[MMWR_RATING_STATE_ROLLUP_VSC],0),MATCH(D$9,MMWR_RATING_STATE_ROLLUP_VSC[#Headers],0)),"ERROR"))</f>
        <v>94.807980049899996</v>
      </c>
      <c r="E28" s="157">
        <f>IF($B28=" ","",IFERROR(INDEX(MMWR_RATING_STATE_ROLLUP_VSC[],MATCH($B28,MMWR_RATING_STATE_ROLLUP_VSC[MMWR_RATING_STATE_ROLLUP_VSC],0),MATCH(E$9,MMWR_RATING_STATE_ROLLUP_VSC[#Headers],0))/$C28,"ERROR"))</f>
        <v>0.22942643391521197</v>
      </c>
      <c r="F28" s="155">
        <f>IF($B28=" ","",IFERROR(INDEX(MMWR_RATING_STATE_ROLLUP_VSC[],MATCH($B28,MMWR_RATING_STATE_ROLLUP_VSC[MMWR_RATING_STATE_ROLLUP_VSC],0),MATCH(F$9,MMWR_RATING_STATE_ROLLUP_VSC[#Headers],0)),"ERROR"))</f>
        <v>79</v>
      </c>
      <c r="G28" s="155">
        <f>IF($B28=" ","",IFERROR(INDEX(MMWR_RATING_STATE_ROLLUP_VSC[],MATCH($B28,MMWR_RATING_STATE_ROLLUP_VSC[MMWR_RATING_STATE_ROLLUP_VSC],0),MATCH(G$9,MMWR_RATING_STATE_ROLLUP_VSC[#Headers],0)),"ERROR"))</f>
        <v>79</v>
      </c>
      <c r="H28" s="156">
        <f>IF($B28=" ","",IFERROR(INDEX(MMWR_RATING_STATE_ROLLUP_VSC[],MATCH($B28,MMWR_RATING_STATE_ROLLUP_VSC[MMWR_RATING_STATE_ROLLUP_VSC],0),MATCH(H$9,MMWR_RATING_STATE_ROLLUP_VSC[#Headers],0)),"ERROR"))</f>
        <v>121.1898734177</v>
      </c>
      <c r="I28" s="156">
        <f>IF($B28=" ","",IFERROR(INDEX(MMWR_RATING_STATE_ROLLUP_VSC[],MATCH($B28,MMWR_RATING_STATE_ROLLUP_VSC[MMWR_RATING_STATE_ROLLUP_VSC],0),MATCH(I$9,MMWR_RATING_STATE_ROLLUP_VSC[#Headers],0)),"ERROR"))</f>
        <v>121.1898734177</v>
      </c>
      <c r="J28" s="42"/>
      <c r="K28" s="42"/>
      <c r="L28" s="42"/>
      <c r="M28" s="42"/>
      <c r="N28" s="28"/>
    </row>
    <row r="29" spans="1:14" x14ac:dyDescent="0.2">
      <c r="A29" s="25"/>
      <c r="B29" s="8" t="str">
        <f>VLOOKUP($B$15,DISTRICT_STATES[],15,0)</f>
        <v>Virginia</v>
      </c>
      <c r="C29" s="155">
        <f>IF($B29=" ","",IFERROR(INDEX(MMWR_RATING_STATE_ROLLUP_VSC[],MATCH($B29,MMWR_RATING_STATE_ROLLUP_VSC[MMWR_RATING_STATE_ROLLUP_VSC],0),MATCH(C$9,MMWR_RATING_STATE_ROLLUP_VSC[#Headers],0)),"ERROR"))</f>
        <v>11154</v>
      </c>
      <c r="D29" s="156">
        <f>IF($B29=" ","",IFERROR(INDEX(MMWR_RATING_STATE_ROLLUP_VSC[],MATCH($B29,MMWR_RATING_STATE_ROLLUP_VSC[MMWR_RATING_STATE_ROLLUP_VSC],0),MATCH(D$9,MMWR_RATING_STATE_ROLLUP_VSC[#Headers],0)),"ERROR"))</f>
        <v>88.951945490400007</v>
      </c>
      <c r="E29" s="157">
        <f>IF($B29=" ","",IFERROR(INDEX(MMWR_RATING_STATE_ROLLUP_VSC[],MATCH($B29,MMWR_RATING_STATE_ROLLUP_VSC[MMWR_RATING_STATE_ROLLUP_VSC],0),MATCH(E$9,MMWR_RATING_STATE_ROLLUP_VSC[#Headers],0))/$C29,"ERROR"))</f>
        <v>0.19356284740900126</v>
      </c>
      <c r="F29" s="155">
        <f>IF($B29=" ","",IFERROR(INDEX(MMWR_RATING_STATE_ROLLUP_VSC[],MATCH($B29,MMWR_RATING_STATE_ROLLUP_VSC[MMWR_RATING_STATE_ROLLUP_VSC],0),MATCH(F$9,MMWR_RATING_STATE_ROLLUP_VSC[#Headers],0)),"ERROR"))</f>
        <v>2741</v>
      </c>
      <c r="G29" s="155">
        <f>IF($B29=" ","",IFERROR(INDEX(MMWR_RATING_STATE_ROLLUP_VSC[],MATCH($B29,MMWR_RATING_STATE_ROLLUP_VSC[MMWR_RATING_STATE_ROLLUP_VSC],0),MATCH(G$9,MMWR_RATING_STATE_ROLLUP_VSC[#Headers],0)),"ERROR"))</f>
        <v>2741</v>
      </c>
      <c r="H29" s="156">
        <f>IF($B29=" ","",IFERROR(INDEX(MMWR_RATING_STATE_ROLLUP_VSC[],MATCH($B29,MMWR_RATING_STATE_ROLLUP_VSC[MMWR_RATING_STATE_ROLLUP_VSC],0),MATCH(H$9,MMWR_RATING_STATE_ROLLUP_VSC[#Headers],0)),"ERROR"))</f>
        <v>138.46114556730001</v>
      </c>
      <c r="I29" s="156">
        <f>IF($B29=" ","",IFERROR(INDEX(MMWR_RATING_STATE_ROLLUP_VSC[],MATCH($B29,MMWR_RATING_STATE_ROLLUP_VSC[MMWR_RATING_STATE_ROLLUP_VSC],0),MATCH(I$9,MMWR_RATING_STATE_ROLLUP_VSC[#Headers],0)),"ERROR"))</f>
        <v>138.46114556730001</v>
      </c>
      <c r="J29" s="42"/>
      <c r="K29" s="42"/>
      <c r="L29" s="42"/>
      <c r="M29" s="42"/>
      <c r="N29" s="28"/>
    </row>
    <row r="30" spans="1:14" x14ac:dyDescent="0.2">
      <c r="A30" s="25"/>
      <c r="B30" s="8" t="str">
        <f>VLOOKUP($B$15,DISTRICT_STATES[],16,0)</f>
        <v>West Virginia</v>
      </c>
      <c r="C30" s="155">
        <f>IF($B30=" ","",IFERROR(INDEX(MMWR_RATING_STATE_ROLLUP_VSC[],MATCH($B30,MMWR_RATING_STATE_ROLLUP_VSC[MMWR_RATING_STATE_ROLLUP_VSC],0),MATCH(C$9,MMWR_RATING_STATE_ROLLUP_VSC[#Headers],0)),"ERROR"))</f>
        <v>2366</v>
      </c>
      <c r="D30" s="156">
        <f>IF($B30=" ","",IFERROR(INDEX(MMWR_RATING_STATE_ROLLUP_VSC[],MATCH($B30,MMWR_RATING_STATE_ROLLUP_VSC[MMWR_RATING_STATE_ROLLUP_VSC],0),MATCH(D$9,MMWR_RATING_STATE_ROLLUP_VSC[#Headers],0)),"ERROR"))</f>
        <v>85.486897717700003</v>
      </c>
      <c r="E30" s="157">
        <f>IF($B30=" ","",IFERROR(INDEX(MMWR_RATING_STATE_ROLLUP_VSC[],MATCH($B30,MMWR_RATING_STATE_ROLLUP_VSC[MMWR_RATING_STATE_ROLLUP_VSC],0),MATCH(E$9,MMWR_RATING_STATE_ROLLUP_VSC[#Headers],0))/$C30,"ERROR"))</f>
        <v>0.14877430262045646</v>
      </c>
      <c r="F30" s="155">
        <f>IF($B30=" ","",IFERROR(INDEX(MMWR_RATING_STATE_ROLLUP_VSC[],MATCH($B30,MMWR_RATING_STATE_ROLLUP_VSC[MMWR_RATING_STATE_ROLLUP_VSC],0),MATCH(F$9,MMWR_RATING_STATE_ROLLUP_VSC[#Headers],0)),"ERROR"))</f>
        <v>749</v>
      </c>
      <c r="G30" s="155">
        <f>IF($B30=" ","",IFERROR(INDEX(MMWR_RATING_STATE_ROLLUP_VSC[],MATCH($B30,MMWR_RATING_STATE_ROLLUP_VSC[MMWR_RATING_STATE_ROLLUP_VSC],0),MATCH(G$9,MMWR_RATING_STATE_ROLLUP_VSC[#Headers],0)),"ERROR"))</f>
        <v>749</v>
      </c>
      <c r="H30" s="156">
        <f>IF($B30=" ","",IFERROR(INDEX(MMWR_RATING_STATE_ROLLUP_VSC[],MATCH($B30,MMWR_RATING_STATE_ROLLUP_VSC[MMWR_RATING_STATE_ROLLUP_VSC],0),MATCH(H$9,MMWR_RATING_STATE_ROLLUP_VSC[#Headers],0)),"ERROR"))</f>
        <v>118.32843791720001</v>
      </c>
      <c r="I30" s="156">
        <f>IF($B30=" ","",IFERROR(INDEX(MMWR_RATING_STATE_ROLLUP_VSC[],MATCH($B30,MMWR_RATING_STATE_ROLLUP_VSC[MMWR_RATING_STATE_ROLLUP_VSC],0),MATCH(I$9,MMWR_RATING_STATE_ROLLUP_VSC[#Headers],0)),"ERROR"))</f>
        <v>118.32843791720001</v>
      </c>
      <c r="J30" s="42"/>
      <c r="K30" s="42"/>
      <c r="L30" s="42"/>
      <c r="M30" s="42"/>
      <c r="N30" s="28"/>
    </row>
    <row r="31" spans="1:14" x14ac:dyDescent="0.2">
      <c r="A31" s="25"/>
      <c r="B31" s="377" t="s">
        <v>966</v>
      </c>
      <c r="C31" s="378"/>
      <c r="D31" s="378"/>
      <c r="E31" s="378"/>
      <c r="F31" s="378"/>
      <c r="G31" s="378"/>
      <c r="H31" s="378"/>
      <c r="I31" s="378"/>
      <c r="J31" s="378"/>
      <c r="K31" s="378"/>
      <c r="L31" s="378"/>
      <c r="M31" s="387"/>
      <c r="N31" s="28"/>
    </row>
    <row r="32" spans="1:14" x14ac:dyDescent="0.2">
      <c r="A32" s="25"/>
      <c r="B32" s="41" t="s">
        <v>1045</v>
      </c>
      <c r="C32" s="155">
        <f>IF($B32=" ","",IFERROR(INDEX(MMWR_RATING_STATE_ROLLUP_PMC[],MATCH($B32,MMWR_RATING_STATE_ROLLUP_PMC[MMWR_RATING_STATE_ROLLUP_PMC],0),MATCH(C$9,MMWR_RATING_STATE_ROLLUP_PMC[#Headers],0)),"ERROR"))</f>
        <v>22626</v>
      </c>
      <c r="D32" s="156">
        <f>IF($B32=" ","",IFERROR(INDEX(MMWR_RATING_STATE_ROLLUP_PMC[],MATCH($B32,MMWR_RATING_STATE_ROLLUP_PMC[MMWR_RATING_STATE_ROLLUP_PMC],0),MATCH(D$9,MMWR_RATING_STATE_ROLLUP_PMC[#Headers],0)),"ERROR"))</f>
        <v>62.445239989400001</v>
      </c>
      <c r="E32" s="157">
        <f>IF($B32=" ","",IFERROR(INDEX(MMWR_RATING_STATE_ROLLUP_PMC[],MATCH($B32,MMWR_RATING_STATE_ROLLUP_PMC[MMWR_RATING_STATE_ROLLUP_PMC],0),MATCH(E$9,MMWR_RATING_STATE_ROLLUP_PMC[#Headers],0))/$C32,"ERROR"))</f>
        <v>8.021744895253248E-2</v>
      </c>
      <c r="F32" s="155">
        <f>IF($B32=" ","",IFERROR(INDEX(MMWR_RATING_STATE_ROLLUP_PMC[],MATCH($B32,MMWR_RATING_STATE_ROLLUP_PMC[MMWR_RATING_STATE_ROLLUP_PMC],0),MATCH(F$9,MMWR_RATING_STATE_ROLLUP_PMC[#Headers],0)),"ERROR"))</f>
        <v>11866</v>
      </c>
      <c r="G32" s="155">
        <f>IF($B32=" ","",IFERROR(INDEX(MMWR_RATING_STATE_ROLLUP_PMC[],MATCH($B32,MMWR_RATING_STATE_ROLLUP_PMC[MMWR_RATING_STATE_ROLLUP_PMC],0),MATCH(G$9,MMWR_RATING_STATE_ROLLUP_PMC[#Headers],0)),"ERROR"))</f>
        <v>11866</v>
      </c>
      <c r="H32" s="156">
        <f>IF($B32=" ","",IFERROR(INDEX(MMWR_RATING_STATE_ROLLUP_PMC[],MATCH($B32,MMWR_RATING_STATE_ROLLUP_PMC[MMWR_RATING_STATE_ROLLUP_PMC],0),MATCH(H$9,MMWR_RATING_STATE_ROLLUP_PMC[#Headers],0)),"ERROR"))</f>
        <v>68.022501264100001</v>
      </c>
      <c r="I32" s="156">
        <f>IF($B32=" ","",IFERROR(INDEX(MMWR_RATING_STATE_ROLLUP_PMC[],MATCH($B32,MMWR_RATING_STATE_ROLLUP_PMC[MMWR_RATING_STATE_ROLLUP_PMC],0),MATCH(I$9,MMWR_RATING_STATE_ROLLUP_PMC[#Headers],0)),"ERROR"))</f>
        <v>68.022501264100001</v>
      </c>
      <c r="J32" s="42"/>
      <c r="K32" s="42"/>
      <c r="L32" s="42"/>
      <c r="M32" s="42"/>
      <c r="N32" s="28"/>
    </row>
    <row r="33" spans="1:14" x14ac:dyDescent="0.2">
      <c r="A33" s="25"/>
      <c r="B33" s="250" t="str">
        <f>INDEX(DISTRICT_STATES[],MATCH($B$5,DISTRICT_RO[District],0),1)</f>
        <v>North Atlantic</v>
      </c>
      <c r="C33" s="155">
        <f>IF($B33=" ","",IFERROR(INDEX(MMWR_RATING_STATE_ROLLUP_PMC[],MATCH($B33,MMWR_RATING_STATE_ROLLUP_PMC[MMWR_RATING_STATE_ROLLUP_PMC],0),MATCH(C$9,MMWR_RATING_STATE_ROLLUP_PMC[#Headers],0)),"ERROR"))</f>
        <v>4921</v>
      </c>
      <c r="D33" s="156">
        <f>IF($B33=" ","",IFERROR(INDEX(MMWR_RATING_STATE_ROLLUP_PMC[],MATCH($B33,MMWR_RATING_STATE_ROLLUP_PMC[MMWR_RATING_STATE_ROLLUP_PMC],0),MATCH(D$9,MMWR_RATING_STATE_ROLLUP_PMC[#Headers],0)),"ERROR"))</f>
        <v>71.380004064199994</v>
      </c>
      <c r="E33" s="157">
        <f>IF($B33=" ","",IFERROR(INDEX(MMWR_RATING_STATE_ROLLUP_PMC[],MATCH($B33,MMWR_RATING_STATE_ROLLUP_PMC[MMWR_RATING_STATE_ROLLUP_PMC],0),MATCH(E$9,MMWR_RATING_STATE_ROLLUP_PMC[#Headers],0))/$C33,"ERROR"))</f>
        <v>0.10546636862426337</v>
      </c>
      <c r="F33" s="155">
        <f>IF($B33=" ","",IFERROR(INDEX(MMWR_RATING_STATE_ROLLUP_PMC[],MATCH($B33,MMWR_RATING_STATE_ROLLUP_PMC[MMWR_RATING_STATE_ROLLUP_PMC],0),MATCH(F$9,MMWR_RATING_STATE_ROLLUP_PMC[#Headers],0)),"ERROR"))</f>
        <v>2276</v>
      </c>
      <c r="G33" s="155">
        <f>IF($B33=" ","",IFERROR(INDEX(MMWR_RATING_STATE_ROLLUP_PMC[],MATCH($B33,MMWR_RATING_STATE_ROLLUP_PMC[MMWR_RATING_STATE_ROLLUP_PMC],0),MATCH(G$9,MMWR_RATING_STATE_ROLLUP_PMC[#Headers],0)),"ERROR"))</f>
        <v>2276</v>
      </c>
      <c r="H33" s="156">
        <f>IF($B33=" ","",IFERROR(INDEX(MMWR_RATING_STATE_ROLLUP_PMC[],MATCH($B33,MMWR_RATING_STATE_ROLLUP_PMC[MMWR_RATING_STATE_ROLLUP_PMC],0),MATCH(H$9,MMWR_RATING_STATE_ROLLUP_PMC[#Headers],0)),"ERROR"))</f>
        <v>80.782073813699995</v>
      </c>
      <c r="I33" s="156">
        <f>IF($B33=" ","",IFERROR(INDEX(MMWR_RATING_STATE_ROLLUP_PMC[],MATCH($B33,MMWR_RATING_STATE_ROLLUP_PMC[MMWR_RATING_STATE_ROLLUP_PMC],0),MATCH(I$9,MMWR_RATING_STATE_ROLLUP_PMC[#Headers],0)),"ERROR"))</f>
        <v>80.782073813699995</v>
      </c>
      <c r="J33" s="42"/>
      <c r="K33" s="42"/>
      <c r="L33" s="42"/>
      <c r="M33" s="42"/>
      <c r="N33" s="28"/>
    </row>
    <row r="34" spans="1:14" x14ac:dyDescent="0.2">
      <c r="A34" s="25"/>
      <c r="B34" s="8" t="str">
        <f>VLOOKUP($B$15,DISTRICT_STATES[],2,0)</f>
        <v>Connecticut</v>
      </c>
      <c r="C34" s="155">
        <f>IF($B34=" ","",IFERROR(INDEX(MMWR_RATING_STATE_ROLLUP_PMC[],MATCH($B34,MMWR_RATING_STATE_ROLLUP_PMC[MMWR_RATING_STATE_ROLLUP_PMC],0),MATCH(C$9,MMWR_RATING_STATE_ROLLUP_PMC[#Headers],0)),"ERROR"))</f>
        <v>144</v>
      </c>
      <c r="D34" s="156">
        <f>IF($B34=" ","",IFERROR(INDEX(MMWR_RATING_STATE_ROLLUP_PMC[],MATCH($B34,MMWR_RATING_STATE_ROLLUP_PMC[MMWR_RATING_STATE_ROLLUP_PMC],0),MATCH(D$9,MMWR_RATING_STATE_ROLLUP_PMC[#Headers],0)),"ERROR"))</f>
        <v>68.604166666699996</v>
      </c>
      <c r="E34" s="157">
        <f>IF($B34=" ","",IFERROR(INDEX(MMWR_RATING_STATE_ROLLUP_PMC[],MATCH($B34,MMWR_RATING_STATE_ROLLUP_PMC[MMWR_RATING_STATE_ROLLUP_PMC],0),MATCH(E$9,MMWR_RATING_STATE_ROLLUP_PMC[#Headers],0))/$C34,"ERROR"))</f>
        <v>9.0277777777777776E-2</v>
      </c>
      <c r="F34" s="155">
        <f>IF($B34=" ","",IFERROR(INDEX(MMWR_RATING_STATE_ROLLUP_PMC[],MATCH($B34,MMWR_RATING_STATE_ROLLUP_PMC[MMWR_RATING_STATE_ROLLUP_PMC],0),MATCH(F$9,MMWR_RATING_STATE_ROLLUP_PMC[#Headers],0)),"ERROR"))</f>
        <v>67</v>
      </c>
      <c r="G34" s="155">
        <f>IF($B34=" ","",IFERROR(INDEX(MMWR_RATING_STATE_ROLLUP_PMC[],MATCH($B34,MMWR_RATING_STATE_ROLLUP_PMC[MMWR_RATING_STATE_ROLLUP_PMC],0),MATCH(G$9,MMWR_RATING_STATE_ROLLUP_PMC[#Headers],0)),"ERROR"))</f>
        <v>67</v>
      </c>
      <c r="H34" s="156">
        <f>IF($B34=" ","",IFERROR(INDEX(MMWR_RATING_STATE_ROLLUP_PMC[],MATCH($B34,MMWR_RATING_STATE_ROLLUP_PMC[MMWR_RATING_STATE_ROLLUP_PMC],0),MATCH(H$9,MMWR_RATING_STATE_ROLLUP_PMC[#Headers],0)),"ERROR"))</f>
        <v>84.582089552200003</v>
      </c>
      <c r="I34" s="156">
        <f>IF($B34=" ","",IFERROR(INDEX(MMWR_RATING_STATE_ROLLUP_PMC[],MATCH($B34,MMWR_RATING_STATE_ROLLUP_PMC[MMWR_RATING_STATE_ROLLUP_PMC],0),MATCH(I$9,MMWR_RATING_STATE_ROLLUP_PMC[#Headers],0)),"ERROR"))</f>
        <v>84.582089552200003</v>
      </c>
      <c r="J34" s="42"/>
      <c r="K34" s="42"/>
      <c r="L34" s="42"/>
      <c r="M34" s="42"/>
      <c r="N34" s="28"/>
    </row>
    <row r="35" spans="1:14" x14ac:dyDescent="0.2">
      <c r="A35" s="25"/>
      <c r="B35" s="8" t="str">
        <f>VLOOKUP($B$15,DISTRICT_STATES[],3,0)</f>
        <v>Delaware</v>
      </c>
      <c r="C35" s="155">
        <f>IF($B35=" ","",IFERROR(INDEX(MMWR_RATING_STATE_ROLLUP_PMC[],MATCH($B35,MMWR_RATING_STATE_ROLLUP_PMC[MMWR_RATING_STATE_ROLLUP_PMC],0),MATCH(C$9,MMWR_RATING_STATE_ROLLUP_PMC[#Headers],0)),"ERROR"))</f>
        <v>51</v>
      </c>
      <c r="D35" s="156">
        <f>IF($B35=" ","",IFERROR(INDEX(MMWR_RATING_STATE_ROLLUP_PMC[],MATCH($B35,MMWR_RATING_STATE_ROLLUP_PMC[MMWR_RATING_STATE_ROLLUP_PMC],0),MATCH(D$9,MMWR_RATING_STATE_ROLLUP_PMC[#Headers],0)),"ERROR"))</f>
        <v>72.411764705899998</v>
      </c>
      <c r="E35" s="157">
        <f>IF($B35=" ","",IFERROR(INDEX(MMWR_RATING_STATE_ROLLUP_PMC[],MATCH($B35,MMWR_RATING_STATE_ROLLUP_PMC[MMWR_RATING_STATE_ROLLUP_PMC],0),MATCH(E$9,MMWR_RATING_STATE_ROLLUP_PMC[#Headers],0))/$C35,"ERROR"))</f>
        <v>5.8823529411764705E-2</v>
      </c>
      <c r="F35" s="155">
        <f>IF($B35=" ","",IFERROR(INDEX(MMWR_RATING_STATE_ROLLUP_PMC[],MATCH($B35,MMWR_RATING_STATE_ROLLUP_PMC[MMWR_RATING_STATE_ROLLUP_PMC],0),MATCH(F$9,MMWR_RATING_STATE_ROLLUP_PMC[#Headers],0)),"ERROR"))</f>
        <v>17</v>
      </c>
      <c r="G35" s="155">
        <f>IF($B35=" ","",IFERROR(INDEX(MMWR_RATING_STATE_ROLLUP_PMC[],MATCH($B35,MMWR_RATING_STATE_ROLLUP_PMC[MMWR_RATING_STATE_ROLLUP_PMC],0),MATCH(G$9,MMWR_RATING_STATE_ROLLUP_PMC[#Headers],0)),"ERROR"))</f>
        <v>17</v>
      </c>
      <c r="H35" s="156">
        <f>IF($B35=" ","",IFERROR(INDEX(MMWR_RATING_STATE_ROLLUP_PMC[],MATCH($B35,MMWR_RATING_STATE_ROLLUP_PMC[MMWR_RATING_STATE_ROLLUP_PMC],0),MATCH(H$9,MMWR_RATING_STATE_ROLLUP_PMC[#Headers],0)),"ERROR"))</f>
        <v>72.058823529400001</v>
      </c>
      <c r="I35" s="156">
        <f>IF($B35=" ","",IFERROR(INDEX(MMWR_RATING_STATE_ROLLUP_PMC[],MATCH($B35,MMWR_RATING_STATE_ROLLUP_PMC[MMWR_RATING_STATE_ROLLUP_PMC],0),MATCH(I$9,MMWR_RATING_STATE_ROLLUP_PMC[#Headers],0)),"ERROR"))</f>
        <v>72.058823529400001</v>
      </c>
      <c r="J35" s="42"/>
      <c r="K35" s="42"/>
      <c r="L35" s="42"/>
      <c r="M35" s="42"/>
      <c r="N35" s="28"/>
    </row>
    <row r="36" spans="1:14" x14ac:dyDescent="0.2">
      <c r="A36" s="25"/>
      <c r="B36" s="8" t="str">
        <f>VLOOKUP($B$15,DISTRICT_STATES[],4,0)</f>
        <v>District of Columbia</v>
      </c>
      <c r="C36" s="155">
        <f>IF($B36=" ","",IFERROR(INDEX(MMWR_RATING_STATE_ROLLUP_PMC[],MATCH($B36,MMWR_RATING_STATE_ROLLUP_PMC[MMWR_RATING_STATE_ROLLUP_PMC],0),MATCH(C$9,MMWR_RATING_STATE_ROLLUP_PMC[#Headers],0)),"ERROR"))</f>
        <v>44</v>
      </c>
      <c r="D36" s="156">
        <f>IF($B36=" ","",IFERROR(INDEX(MMWR_RATING_STATE_ROLLUP_PMC[],MATCH($B36,MMWR_RATING_STATE_ROLLUP_PMC[MMWR_RATING_STATE_ROLLUP_PMC],0),MATCH(D$9,MMWR_RATING_STATE_ROLLUP_PMC[#Headers],0)),"ERROR"))</f>
        <v>73.522727272699996</v>
      </c>
      <c r="E36" s="157">
        <f>IF($B36=" ","",IFERROR(INDEX(MMWR_RATING_STATE_ROLLUP_PMC[],MATCH($B36,MMWR_RATING_STATE_ROLLUP_PMC[MMWR_RATING_STATE_ROLLUP_PMC],0),MATCH(E$9,MMWR_RATING_STATE_ROLLUP_PMC[#Headers],0))/$C36,"ERROR"))</f>
        <v>9.0909090909090912E-2</v>
      </c>
      <c r="F36" s="155">
        <f>IF($B36=" ","",IFERROR(INDEX(MMWR_RATING_STATE_ROLLUP_PMC[],MATCH($B36,MMWR_RATING_STATE_ROLLUP_PMC[MMWR_RATING_STATE_ROLLUP_PMC],0),MATCH(F$9,MMWR_RATING_STATE_ROLLUP_PMC[#Headers],0)),"ERROR"))</f>
        <v>33</v>
      </c>
      <c r="G36" s="155">
        <f>IF($B36=" ","",IFERROR(INDEX(MMWR_RATING_STATE_ROLLUP_PMC[],MATCH($B36,MMWR_RATING_STATE_ROLLUP_PMC[MMWR_RATING_STATE_ROLLUP_PMC],0),MATCH(G$9,MMWR_RATING_STATE_ROLLUP_PMC[#Headers],0)),"ERROR"))</f>
        <v>33</v>
      </c>
      <c r="H36" s="156">
        <f>IF($B36=" ","",IFERROR(INDEX(MMWR_RATING_STATE_ROLLUP_PMC[],MATCH($B36,MMWR_RATING_STATE_ROLLUP_PMC[MMWR_RATING_STATE_ROLLUP_PMC],0),MATCH(H$9,MMWR_RATING_STATE_ROLLUP_PMC[#Headers],0)),"ERROR"))</f>
        <v>79.696969697</v>
      </c>
      <c r="I36" s="156">
        <f>IF($B36=" ","",IFERROR(INDEX(MMWR_RATING_STATE_ROLLUP_PMC[],MATCH($B36,MMWR_RATING_STATE_ROLLUP_PMC[MMWR_RATING_STATE_ROLLUP_PMC],0),MATCH(I$9,MMWR_RATING_STATE_ROLLUP_PMC[#Headers],0)),"ERROR"))</f>
        <v>79.696969697</v>
      </c>
      <c r="J36" s="42"/>
      <c r="K36" s="42"/>
      <c r="L36" s="42"/>
      <c r="M36" s="42"/>
      <c r="N36" s="28"/>
    </row>
    <row r="37" spans="1:14" x14ac:dyDescent="0.2">
      <c r="A37" s="25"/>
      <c r="B37" s="8" t="str">
        <f>VLOOKUP($B$15,DISTRICT_STATES[],5,0)</f>
        <v>Maine</v>
      </c>
      <c r="C37" s="155">
        <f>IF($B37=" ","",IFERROR(INDEX(MMWR_RATING_STATE_ROLLUP_PMC[],MATCH($B37,MMWR_RATING_STATE_ROLLUP_PMC[MMWR_RATING_STATE_ROLLUP_PMC],0),MATCH(C$9,MMWR_RATING_STATE_ROLLUP_PMC[#Headers],0)),"ERROR"))</f>
        <v>79</v>
      </c>
      <c r="D37" s="156">
        <f>IF($B37=" ","",IFERROR(INDEX(MMWR_RATING_STATE_ROLLUP_PMC[],MATCH($B37,MMWR_RATING_STATE_ROLLUP_PMC[MMWR_RATING_STATE_ROLLUP_PMC],0),MATCH(D$9,MMWR_RATING_STATE_ROLLUP_PMC[#Headers],0)),"ERROR"))</f>
        <v>63.7594936709</v>
      </c>
      <c r="E37" s="157">
        <f>IF($B37=" ","",IFERROR(INDEX(MMWR_RATING_STATE_ROLLUP_PMC[],MATCH($B37,MMWR_RATING_STATE_ROLLUP_PMC[MMWR_RATING_STATE_ROLLUP_PMC],0),MATCH(E$9,MMWR_RATING_STATE_ROLLUP_PMC[#Headers],0))/$C37,"ERROR"))</f>
        <v>8.8607594936708861E-2</v>
      </c>
      <c r="F37" s="155">
        <f>IF($B37=" ","",IFERROR(INDEX(MMWR_RATING_STATE_ROLLUP_PMC[],MATCH($B37,MMWR_RATING_STATE_ROLLUP_PMC[MMWR_RATING_STATE_ROLLUP_PMC],0),MATCH(F$9,MMWR_RATING_STATE_ROLLUP_PMC[#Headers],0)),"ERROR"))</f>
        <v>41</v>
      </c>
      <c r="G37" s="155">
        <f>IF($B37=" ","",IFERROR(INDEX(MMWR_RATING_STATE_ROLLUP_PMC[],MATCH($B37,MMWR_RATING_STATE_ROLLUP_PMC[MMWR_RATING_STATE_ROLLUP_PMC],0),MATCH(G$9,MMWR_RATING_STATE_ROLLUP_PMC[#Headers],0)),"ERROR"))</f>
        <v>41</v>
      </c>
      <c r="H37" s="156">
        <f>IF($B37=" ","",IFERROR(INDEX(MMWR_RATING_STATE_ROLLUP_PMC[],MATCH($B37,MMWR_RATING_STATE_ROLLUP_PMC[MMWR_RATING_STATE_ROLLUP_PMC],0),MATCH(H$9,MMWR_RATING_STATE_ROLLUP_PMC[#Headers],0)),"ERROR"))</f>
        <v>61.6585365854</v>
      </c>
      <c r="I37" s="156">
        <f>IF($B37=" ","",IFERROR(INDEX(MMWR_RATING_STATE_ROLLUP_PMC[],MATCH($B37,MMWR_RATING_STATE_ROLLUP_PMC[MMWR_RATING_STATE_ROLLUP_PMC],0),MATCH(I$9,MMWR_RATING_STATE_ROLLUP_PMC[#Headers],0)),"ERROR"))</f>
        <v>61.6585365854</v>
      </c>
      <c r="J37" s="42"/>
      <c r="K37" s="42"/>
      <c r="L37" s="42"/>
      <c r="M37" s="42"/>
      <c r="N37" s="28"/>
    </row>
    <row r="38" spans="1:14" x14ac:dyDescent="0.2">
      <c r="A38" s="25"/>
      <c r="B38" s="8" t="str">
        <f>VLOOKUP($B$15,DISTRICT_STATES[],6,0)</f>
        <v>Maryland</v>
      </c>
      <c r="C38" s="155">
        <f>IF($B38=" ","",IFERROR(INDEX(MMWR_RATING_STATE_ROLLUP_PMC[],MATCH($B38,MMWR_RATING_STATE_ROLLUP_PMC[MMWR_RATING_STATE_ROLLUP_PMC],0),MATCH(C$9,MMWR_RATING_STATE_ROLLUP_PMC[#Headers],0)),"ERROR"))</f>
        <v>343</v>
      </c>
      <c r="D38" s="156">
        <f>IF($B38=" ","",IFERROR(INDEX(MMWR_RATING_STATE_ROLLUP_PMC[],MATCH($B38,MMWR_RATING_STATE_ROLLUP_PMC[MMWR_RATING_STATE_ROLLUP_PMC],0),MATCH(D$9,MMWR_RATING_STATE_ROLLUP_PMC[#Headers],0)),"ERROR"))</f>
        <v>72.865889212799999</v>
      </c>
      <c r="E38" s="157">
        <f>IF($B38=" ","",IFERROR(INDEX(MMWR_RATING_STATE_ROLLUP_PMC[],MATCH($B38,MMWR_RATING_STATE_ROLLUP_PMC[MMWR_RATING_STATE_ROLLUP_PMC],0),MATCH(E$9,MMWR_RATING_STATE_ROLLUP_PMC[#Headers],0))/$C38,"ERROR"))</f>
        <v>9.6209912536443148E-2</v>
      </c>
      <c r="F38" s="155">
        <f>IF($B38=" ","",IFERROR(INDEX(MMWR_RATING_STATE_ROLLUP_PMC[],MATCH($B38,MMWR_RATING_STATE_ROLLUP_PMC[MMWR_RATING_STATE_ROLLUP_PMC],0),MATCH(F$9,MMWR_RATING_STATE_ROLLUP_PMC[#Headers],0)),"ERROR"))</f>
        <v>134</v>
      </c>
      <c r="G38" s="155">
        <f>IF($B38=" ","",IFERROR(INDEX(MMWR_RATING_STATE_ROLLUP_PMC[],MATCH($B38,MMWR_RATING_STATE_ROLLUP_PMC[MMWR_RATING_STATE_ROLLUP_PMC],0),MATCH(G$9,MMWR_RATING_STATE_ROLLUP_PMC[#Headers],0)),"ERROR"))</f>
        <v>134</v>
      </c>
      <c r="H38" s="156">
        <f>IF($B38=" ","",IFERROR(INDEX(MMWR_RATING_STATE_ROLLUP_PMC[],MATCH($B38,MMWR_RATING_STATE_ROLLUP_PMC[MMWR_RATING_STATE_ROLLUP_PMC],0),MATCH(H$9,MMWR_RATING_STATE_ROLLUP_PMC[#Headers],0)),"ERROR"))</f>
        <v>76.216417910399997</v>
      </c>
      <c r="I38" s="156">
        <f>IF($B38=" ","",IFERROR(INDEX(MMWR_RATING_STATE_ROLLUP_PMC[],MATCH($B38,MMWR_RATING_STATE_ROLLUP_PMC[MMWR_RATING_STATE_ROLLUP_PMC],0),MATCH(I$9,MMWR_RATING_STATE_ROLLUP_PMC[#Headers],0)),"ERROR"))</f>
        <v>76.216417910399997</v>
      </c>
      <c r="J38" s="42"/>
      <c r="K38" s="42"/>
      <c r="L38" s="42"/>
      <c r="M38" s="42"/>
      <c r="N38" s="28"/>
    </row>
    <row r="39" spans="1:14" x14ac:dyDescent="0.2">
      <c r="A39" s="25"/>
      <c r="B39" s="8" t="str">
        <f>VLOOKUP($B$15,DISTRICT_STATES[],7,0)</f>
        <v>Massachusetts</v>
      </c>
      <c r="C39" s="155">
        <f>IF($B39=" ","",IFERROR(INDEX(MMWR_RATING_STATE_ROLLUP_PMC[],MATCH($B39,MMWR_RATING_STATE_ROLLUP_PMC[MMWR_RATING_STATE_ROLLUP_PMC],0),MATCH(C$9,MMWR_RATING_STATE_ROLLUP_PMC[#Headers],0)),"ERROR"))</f>
        <v>314</v>
      </c>
      <c r="D39" s="156">
        <f>IF($B39=" ","",IFERROR(INDEX(MMWR_RATING_STATE_ROLLUP_PMC[],MATCH($B39,MMWR_RATING_STATE_ROLLUP_PMC[MMWR_RATING_STATE_ROLLUP_PMC],0),MATCH(D$9,MMWR_RATING_STATE_ROLLUP_PMC[#Headers],0)),"ERROR"))</f>
        <v>65.528662420399996</v>
      </c>
      <c r="E39" s="157">
        <f>IF($B39=" ","",IFERROR(INDEX(MMWR_RATING_STATE_ROLLUP_PMC[],MATCH($B39,MMWR_RATING_STATE_ROLLUP_PMC[MMWR_RATING_STATE_ROLLUP_PMC],0),MATCH(E$9,MMWR_RATING_STATE_ROLLUP_PMC[#Headers],0))/$C39,"ERROR"))</f>
        <v>7.0063694267515922E-2</v>
      </c>
      <c r="F39" s="155">
        <f>IF($B39=" ","",IFERROR(INDEX(MMWR_RATING_STATE_ROLLUP_PMC[],MATCH($B39,MMWR_RATING_STATE_ROLLUP_PMC[MMWR_RATING_STATE_ROLLUP_PMC],0),MATCH(F$9,MMWR_RATING_STATE_ROLLUP_PMC[#Headers],0)),"ERROR"))</f>
        <v>151</v>
      </c>
      <c r="G39" s="155">
        <f>IF($B39=" ","",IFERROR(INDEX(MMWR_RATING_STATE_ROLLUP_PMC[],MATCH($B39,MMWR_RATING_STATE_ROLLUP_PMC[MMWR_RATING_STATE_ROLLUP_PMC],0),MATCH(G$9,MMWR_RATING_STATE_ROLLUP_PMC[#Headers],0)),"ERROR"))</f>
        <v>151</v>
      </c>
      <c r="H39" s="156">
        <f>IF($B39=" ","",IFERROR(INDEX(MMWR_RATING_STATE_ROLLUP_PMC[],MATCH($B39,MMWR_RATING_STATE_ROLLUP_PMC[MMWR_RATING_STATE_ROLLUP_PMC],0),MATCH(H$9,MMWR_RATING_STATE_ROLLUP_PMC[#Headers],0)),"ERROR"))</f>
        <v>81.509933774800004</v>
      </c>
      <c r="I39" s="156">
        <f>IF($B39=" ","",IFERROR(INDEX(MMWR_RATING_STATE_ROLLUP_PMC[],MATCH($B39,MMWR_RATING_STATE_ROLLUP_PMC[MMWR_RATING_STATE_ROLLUP_PMC],0),MATCH(I$9,MMWR_RATING_STATE_ROLLUP_PMC[#Headers],0)),"ERROR"))</f>
        <v>81.509933774800004</v>
      </c>
      <c r="J39" s="42"/>
      <c r="K39" s="42"/>
      <c r="L39" s="42"/>
      <c r="M39" s="42"/>
      <c r="N39" s="28"/>
    </row>
    <row r="40" spans="1:14" x14ac:dyDescent="0.2">
      <c r="A40" s="25"/>
      <c r="B40" s="8" t="str">
        <f>VLOOKUP($B$15,DISTRICT_STATES[],8,0)</f>
        <v>New Hampshire</v>
      </c>
      <c r="C40" s="155">
        <f>IF($B40=" ","",IFERROR(INDEX(MMWR_RATING_STATE_ROLLUP_PMC[],MATCH($B40,MMWR_RATING_STATE_ROLLUP_PMC[MMWR_RATING_STATE_ROLLUP_PMC],0),MATCH(C$9,MMWR_RATING_STATE_ROLLUP_PMC[#Headers],0)),"ERROR"))</f>
        <v>69</v>
      </c>
      <c r="D40" s="156">
        <f>IF($B40=" ","",IFERROR(INDEX(MMWR_RATING_STATE_ROLLUP_PMC[],MATCH($B40,MMWR_RATING_STATE_ROLLUP_PMC[MMWR_RATING_STATE_ROLLUP_PMC],0),MATCH(D$9,MMWR_RATING_STATE_ROLLUP_PMC[#Headers],0)),"ERROR"))</f>
        <v>75.594202898600003</v>
      </c>
      <c r="E40" s="157">
        <f>IF($B40=" ","",IFERROR(INDEX(MMWR_RATING_STATE_ROLLUP_PMC[],MATCH($B40,MMWR_RATING_STATE_ROLLUP_PMC[MMWR_RATING_STATE_ROLLUP_PMC],0),MATCH(E$9,MMWR_RATING_STATE_ROLLUP_PMC[#Headers],0))/$C40,"ERROR"))</f>
        <v>0.15942028985507245</v>
      </c>
      <c r="F40" s="155">
        <f>IF($B40=" ","",IFERROR(INDEX(MMWR_RATING_STATE_ROLLUP_PMC[],MATCH($B40,MMWR_RATING_STATE_ROLLUP_PMC[MMWR_RATING_STATE_ROLLUP_PMC],0),MATCH(F$9,MMWR_RATING_STATE_ROLLUP_PMC[#Headers],0)),"ERROR"))</f>
        <v>39</v>
      </c>
      <c r="G40" s="155">
        <f>IF($B40=" ","",IFERROR(INDEX(MMWR_RATING_STATE_ROLLUP_PMC[],MATCH($B40,MMWR_RATING_STATE_ROLLUP_PMC[MMWR_RATING_STATE_ROLLUP_PMC],0),MATCH(G$9,MMWR_RATING_STATE_ROLLUP_PMC[#Headers],0)),"ERROR"))</f>
        <v>39</v>
      </c>
      <c r="H40" s="156">
        <f>IF($B40=" ","",IFERROR(INDEX(MMWR_RATING_STATE_ROLLUP_PMC[],MATCH($B40,MMWR_RATING_STATE_ROLLUP_PMC[MMWR_RATING_STATE_ROLLUP_PMC],0),MATCH(H$9,MMWR_RATING_STATE_ROLLUP_PMC[#Headers],0)),"ERROR"))</f>
        <v>77.512820512800005</v>
      </c>
      <c r="I40" s="156">
        <f>IF($B40=" ","",IFERROR(INDEX(MMWR_RATING_STATE_ROLLUP_PMC[],MATCH($B40,MMWR_RATING_STATE_ROLLUP_PMC[MMWR_RATING_STATE_ROLLUP_PMC],0),MATCH(I$9,MMWR_RATING_STATE_ROLLUP_PMC[#Headers],0)),"ERROR"))</f>
        <v>77.512820512800005</v>
      </c>
      <c r="J40" s="42"/>
      <c r="K40" s="42"/>
      <c r="L40" s="42"/>
      <c r="M40" s="42"/>
      <c r="N40" s="28"/>
    </row>
    <row r="41" spans="1:14" x14ac:dyDescent="0.2">
      <c r="A41" s="25"/>
      <c r="B41" s="8" t="str">
        <f>VLOOKUP($B$15,DISTRICT_STATES[],9,0)</f>
        <v>New Jersey</v>
      </c>
      <c r="C41" s="155">
        <f>IF($B41=" ","",IFERROR(INDEX(MMWR_RATING_STATE_ROLLUP_PMC[],MATCH($B41,MMWR_RATING_STATE_ROLLUP_PMC[MMWR_RATING_STATE_ROLLUP_PMC],0),MATCH(C$9,MMWR_RATING_STATE_ROLLUP_PMC[#Headers],0)),"ERROR"))</f>
        <v>342</v>
      </c>
      <c r="D41" s="156">
        <f>IF($B41=" ","",IFERROR(INDEX(MMWR_RATING_STATE_ROLLUP_PMC[],MATCH($B41,MMWR_RATING_STATE_ROLLUP_PMC[MMWR_RATING_STATE_ROLLUP_PMC],0),MATCH(D$9,MMWR_RATING_STATE_ROLLUP_PMC[#Headers],0)),"ERROR"))</f>
        <v>73.763157894700001</v>
      </c>
      <c r="E41" s="157">
        <f>IF($B41=" ","",IFERROR(INDEX(MMWR_RATING_STATE_ROLLUP_PMC[],MATCH($B41,MMWR_RATING_STATE_ROLLUP_PMC[MMWR_RATING_STATE_ROLLUP_PMC],0),MATCH(E$9,MMWR_RATING_STATE_ROLLUP_PMC[#Headers],0))/$C41,"ERROR"))</f>
        <v>9.9415204678362568E-2</v>
      </c>
      <c r="F41" s="155">
        <f>IF($B41=" ","",IFERROR(INDEX(MMWR_RATING_STATE_ROLLUP_PMC[],MATCH($B41,MMWR_RATING_STATE_ROLLUP_PMC[MMWR_RATING_STATE_ROLLUP_PMC],0),MATCH(F$9,MMWR_RATING_STATE_ROLLUP_PMC[#Headers],0)),"ERROR"))</f>
        <v>177</v>
      </c>
      <c r="G41" s="155">
        <f>IF($B41=" ","",IFERROR(INDEX(MMWR_RATING_STATE_ROLLUP_PMC[],MATCH($B41,MMWR_RATING_STATE_ROLLUP_PMC[MMWR_RATING_STATE_ROLLUP_PMC],0),MATCH(G$9,MMWR_RATING_STATE_ROLLUP_PMC[#Headers],0)),"ERROR"))</f>
        <v>177</v>
      </c>
      <c r="H41" s="156">
        <f>IF($B41=" ","",IFERROR(INDEX(MMWR_RATING_STATE_ROLLUP_PMC[],MATCH($B41,MMWR_RATING_STATE_ROLLUP_PMC[MMWR_RATING_STATE_ROLLUP_PMC],0),MATCH(H$9,MMWR_RATING_STATE_ROLLUP_PMC[#Headers],0)),"ERROR"))</f>
        <v>74.214689265499999</v>
      </c>
      <c r="I41" s="156">
        <f>IF($B41=" ","",IFERROR(INDEX(MMWR_RATING_STATE_ROLLUP_PMC[],MATCH($B41,MMWR_RATING_STATE_ROLLUP_PMC[MMWR_RATING_STATE_ROLLUP_PMC],0),MATCH(I$9,MMWR_RATING_STATE_ROLLUP_PMC[#Headers],0)),"ERROR"))</f>
        <v>74.214689265499999</v>
      </c>
      <c r="J41" s="42"/>
      <c r="K41" s="42"/>
      <c r="L41" s="42"/>
      <c r="M41" s="42"/>
      <c r="N41" s="28"/>
    </row>
    <row r="42" spans="1:14" x14ac:dyDescent="0.2">
      <c r="A42" s="25"/>
      <c r="B42" s="8" t="str">
        <f>VLOOKUP($B$15,DISTRICT_STATES[],10,0)</f>
        <v>New York</v>
      </c>
      <c r="C42" s="155">
        <f>IF($B42=" ","",IFERROR(INDEX(MMWR_RATING_STATE_ROLLUP_PMC[],MATCH($B42,MMWR_RATING_STATE_ROLLUP_PMC[MMWR_RATING_STATE_ROLLUP_PMC],0),MATCH(C$9,MMWR_RATING_STATE_ROLLUP_PMC[#Headers],0)),"ERROR"))</f>
        <v>887</v>
      </c>
      <c r="D42" s="156">
        <f>IF($B42=" ","",IFERROR(INDEX(MMWR_RATING_STATE_ROLLUP_PMC[],MATCH($B42,MMWR_RATING_STATE_ROLLUP_PMC[MMWR_RATING_STATE_ROLLUP_PMC],0),MATCH(D$9,MMWR_RATING_STATE_ROLLUP_PMC[#Headers],0)),"ERROR"))</f>
        <v>69.381059751999999</v>
      </c>
      <c r="E42" s="157">
        <f>IF($B42=" ","",IFERROR(INDEX(MMWR_RATING_STATE_ROLLUP_PMC[],MATCH($B42,MMWR_RATING_STATE_ROLLUP_PMC[MMWR_RATING_STATE_ROLLUP_PMC],0),MATCH(E$9,MMWR_RATING_STATE_ROLLUP_PMC[#Headers],0))/$C42,"ERROR"))</f>
        <v>9.3573844419391206E-2</v>
      </c>
      <c r="F42" s="155">
        <f>IF($B42=" ","",IFERROR(INDEX(MMWR_RATING_STATE_ROLLUP_PMC[],MATCH($B42,MMWR_RATING_STATE_ROLLUP_PMC[MMWR_RATING_STATE_ROLLUP_PMC],0),MATCH(F$9,MMWR_RATING_STATE_ROLLUP_PMC[#Headers],0)),"ERROR"))</f>
        <v>388</v>
      </c>
      <c r="G42" s="155">
        <f>IF($B42=" ","",IFERROR(INDEX(MMWR_RATING_STATE_ROLLUP_PMC[],MATCH($B42,MMWR_RATING_STATE_ROLLUP_PMC[MMWR_RATING_STATE_ROLLUP_PMC],0),MATCH(G$9,MMWR_RATING_STATE_ROLLUP_PMC[#Headers],0)),"ERROR"))</f>
        <v>388</v>
      </c>
      <c r="H42" s="156">
        <f>IF($B42=" ","",IFERROR(INDEX(MMWR_RATING_STATE_ROLLUP_PMC[],MATCH($B42,MMWR_RATING_STATE_ROLLUP_PMC[MMWR_RATING_STATE_ROLLUP_PMC],0),MATCH(H$9,MMWR_RATING_STATE_ROLLUP_PMC[#Headers],0)),"ERROR"))</f>
        <v>77.360824742299997</v>
      </c>
      <c r="I42" s="156">
        <f>IF($B42=" ","",IFERROR(INDEX(MMWR_RATING_STATE_ROLLUP_PMC[],MATCH($B42,MMWR_RATING_STATE_ROLLUP_PMC[MMWR_RATING_STATE_ROLLUP_PMC],0),MATCH(I$9,MMWR_RATING_STATE_ROLLUP_PMC[#Headers],0)),"ERROR"))</f>
        <v>77.360824742299997</v>
      </c>
      <c r="J42" s="42"/>
      <c r="K42" s="42"/>
      <c r="L42" s="42"/>
      <c r="M42" s="42"/>
      <c r="N42" s="28"/>
    </row>
    <row r="43" spans="1:14" x14ac:dyDescent="0.2">
      <c r="A43" s="25"/>
      <c r="B43" s="8" t="str">
        <f>VLOOKUP($B$15,DISTRICT_STATES[],11,0)</f>
        <v>North Carolina</v>
      </c>
      <c r="C43" s="155">
        <f>IF($B43=" ","",IFERROR(INDEX(MMWR_RATING_STATE_ROLLUP_PMC[],MATCH($B43,MMWR_RATING_STATE_ROLLUP_PMC[MMWR_RATING_STATE_ROLLUP_PMC],0),MATCH(C$9,MMWR_RATING_STATE_ROLLUP_PMC[#Headers],0)),"ERROR"))</f>
        <v>772</v>
      </c>
      <c r="D43" s="156">
        <f>IF($B43=" ","",IFERROR(INDEX(MMWR_RATING_STATE_ROLLUP_PMC[],MATCH($B43,MMWR_RATING_STATE_ROLLUP_PMC[MMWR_RATING_STATE_ROLLUP_PMC],0),MATCH(D$9,MMWR_RATING_STATE_ROLLUP_PMC[#Headers],0)),"ERROR"))</f>
        <v>72.721502590699998</v>
      </c>
      <c r="E43" s="157">
        <f>IF($B43=" ","",IFERROR(INDEX(MMWR_RATING_STATE_ROLLUP_PMC[],MATCH($B43,MMWR_RATING_STATE_ROLLUP_PMC[MMWR_RATING_STATE_ROLLUP_PMC],0),MATCH(E$9,MMWR_RATING_STATE_ROLLUP_PMC[#Headers],0))/$C43,"ERROR"))</f>
        <v>0.12953367875647667</v>
      </c>
      <c r="F43" s="155">
        <f>IF($B43=" ","",IFERROR(INDEX(MMWR_RATING_STATE_ROLLUP_PMC[],MATCH($B43,MMWR_RATING_STATE_ROLLUP_PMC[MMWR_RATING_STATE_ROLLUP_PMC],0),MATCH(F$9,MMWR_RATING_STATE_ROLLUP_PMC[#Headers],0)),"ERROR"))</f>
        <v>377</v>
      </c>
      <c r="G43" s="155">
        <f>IF($B43=" ","",IFERROR(INDEX(MMWR_RATING_STATE_ROLLUP_PMC[],MATCH($B43,MMWR_RATING_STATE_ROLLUP_PMC[MMWR_RATING_STATE_ROLLUP_PMC],0),MATCH(G$9,MMWR_RATING_STATE_ROLLUP_PMC[#Headers],0)),"ERROR"))</f>
        <v>377</v>
      </c>
      <c r="H43" s="156">
        <f>IF($B43=" ","",IFERROR(INDEX(MMWR_RATING_STATE_ROLLUP_PMC[],MATCH($B43,MMWR_RATING_STATE_ROLLUP_PMC[MMWR_RATING_STATE_ROLLUP_PMC],0),MATCH(H$9,MMWR_RATING_STATE_ROLLUP_PMC[#Headers],0)),"ERROR"))</f>
        <v>82.230769230799993</v>
      </c>
      <c r="I43" s="156">
        <f>IF($B43=" ","",IFERROR(INDEX(MMWR_RATING_STATE_ROLLUP_PMC[],MATCH($B43,MMWR_RATING_STATE_ROLLUP_PMC[MMWR_RATING_STATE_ROLLUP_PMC],0),MATCH(I$9,MMWR_RATING_STATE_ROLLUP_PMC[#Headers],0)),"ERROR"))</f>
        <v>82.230769230799993</v>
      </c>
      <c r="J43" s="42"/>
      <c r="K43" s="42"/>
      <c r="L43" s="42"/>
      <c r="M43" s="42"/>
      <c r="N43" s="28"/>
    </row>
    <row r="44" spans="1:14" x14ac:dyDescent="0.2">
      <c r="A44" s="25"/>
      <c r="B44" s="8" t="str">
        <f>VLOOKUP($B$15,DISTRICT_STATES[],12,0)</f>
        <v>Pennsylvania</v>
      </c>
      <c r="C44" s="155">
        <f>IF($B44=" ","",IFERROR(INDEX(MMWR_RATING_STATE_ROLLUP_PMC[],MATCH($B44,MMWR_RATING_STATE_ROLLUP_PMC[MMWR_RATING_STATE_ROLLUP_PMC],0),MATCH(C$9,MMWR_RATING_STATE_ROLLUP_PMC[#Headers],0)),"ERROR"))</f>
        <v>1026</v>
      </c>
      <c r="D44" s="156">
        <f>IF($B44=" ","",IFERROR(INDEX(MMWR_RATING_STATE_ROLLUP_PMC[],MATCH($B44,MMWR_RATING_STATE_ROLLUP_PMC[MMWR_RATING_STATE_ROLLUP_PMC],0),MATCH(D$9,MMWR_RATING_STATE_ROLLUP_PMC[#Headers],0)),"ERROR"))</f>
        <v>67.373294346999998</v>
      </c>
      <c r="E44" s="157">
        <f>IF($B44=" ","",IFERROR(INDEX(MMWR_RATING_STATE_ROLLUP_PMC[],MATCH($B44,MMWR_RATING_STATE_ROLLUP_PMC[MMWR_RATING_STATE_ROLLUP_PMC],0),MATCH(E$9,MMWR_RATING_STATE_ROLLUP_PMC[#Headers],0))/$C44,"ERROR"))</f>
        <v>9.9415204678362568E-2</v>
      </c>
      <c r="F44" s="155">
        <f>IF($B44=" ","",IFERROR(INDEX(MMWR_RATING_STATE_ROLLUP_PMC[],MATCH($B44,MMWR_RATING_STATE_ROLLUP_PMC[MMWR_RATING_STATE_ROLLUP_PMC],0),MATCH(F$9,MMWR_RATING_STATE_ROLLUP_PMC[#Headers],0)),"ERROR"))</f>
        <v>460</v>
      </c>
      <c r="G44" s="155">
        <f>IF($B44=" ","",IFERROR(INDEX(MMWR_RATING_STATE_ROLLUP_PMC[],MATCH($B44,MMWR_RATING_STATE_ROLLUP_PMC[MMWR_RATING_STATE_ROLLUP_PMC],0),MATCH(G$9,MMWR_RATING_STATE_ROLLUP_PMC[#Headers],0)),"ERROR"))</f>
        <v>460</v>
      </c>
      <c r="H44" s="156">
        <f>IF($B44=" ","",IFERROR(INDEX(MMWR_RATING_STATE_ROLLUP_PMC[],MATCH($B44,MMWR_RATING_STATE_ROLLUP_PMC[MMWR_RATING_STATE_ROLLUP_PMC],0),MATCH(H$9,MMWR_RATING_STATE_ROLLUP_PMC[#Headers],0)),"ERROR"))</f>
        <v>84.473913043500005</v>
      </c>
      <c r="I44" s="156">
        <f>IF($B44=" ","",IFERROR(INDEX(MMWR_RATING_STATE_ROLLUP_PMC[],MATCH($B44,MMWR_RATING_STATE_ROLLUP_PMC[MMWR_RATING_STATE_ROLLUP_PMC],0),MATCH(I$9,MMWR_RATING_STATE_ROLLUP_PMC[#Headers],0)),"ERROR"))</f>
        <v>84.473913043500005</v>
      </c>
      <c r="J44" s="42"/>
      <c r="K44" s="42"/>
      <c r="L44" s="42"/>
      <c r="M44" s="42"/>
      <c r="N44" s="28"/>
    </row>
    <row r="45" spans="1:14" x14ac:dyDescent="0.2">
      <c r="A45" s="25"/>
      <c r="B45" s="8" t="str">
        <f>VLOOKUP($B$15,DISTRICT_STATES[],13,0)</f>
        <v>Rhode Island</v>
      </c>
      <c r="C45" s="155">
        <f>IF($B45=" ","",IFERROR(INDEX(MMWR_RATING_STATE_ROLLUP_PMC[],MATCH($B45,MMWR_RATING_STATE_ROLLUP_PMC[MMWR_RATING_STATE_ROLLUP_PMC],0),MATCH(C$9,MMWR_RATING_STATE_ROLLUP_PMC[#Headers],0)),"ERROR"))</f>
        <v>91</v>
      </c>
      <c r="D45" s="156">
        <f>IF($B45=" ","",IFERROR(INDEX(MMWR_RATING_STATE_ROLLUP_PMC[],MATCH($B45,MMWR_RATING_STATE_ROLLUP_PMC[MMWR_RATING_STATE_ROLLUP_PMC],0),MATCH(D$9,MMWR_RATING_STATE_ROLLUP_PMC[#Headers],0)),"ERROR"))</f>
        <v>78.527472527499995</v>
      </c>
      <c r="E45" s="157">
        <f>IF($B45=" ","",IFERROR(INDEX(MMWR_RATING_STATE_ROLLUP_PMC[],MATCH($B45,MMWR_RATING_STATE_ROLLUP_PMC[MMWR_RATING_STATE_ROLLUP_PMC],0),MATCH(E$9,MMWR_RATING_STATE_ROLLUP_PMC[#Headers],0))/$C45,"ERROR"))</f>
        <v>9.8901098901098897E-2</v>
      </c>
      <c r="F45" s="155">
        <f>IF($B45=" ","",IFERROR(INDEX(MMWR_RATING_STATE_ROLLUP_PMC[],MATCH($B45,MMWR_RATING_STATE_ROLLUP_PMC[MMWR_RATING_STATE_ROLLUP_PMC],0),MATCH(F$9,MMWR_RATING_STATE_ROLLUP_PMC[#Headers],0)),"ERROR"))</f>
        <v>37</v>
      </c>
      <c r="G45" s="155">
        <f>IF($B45=" ","",IFERROR(INDEX(MMWR_RATING_STATE_ROLLUP_PMC[],MATCH($B45,MMWR_RATING_STATE_ROLLUP_PMC[MMWR_RATING_STATE_ROLLUP_PMC],0),MATCH(G$9,MMWR_RATING_STATE_ROLLUP_PMC[#Headers],0)),"ERROR"))</f>
        <v>37</v>
      </c>
      <c r="H45" s="156">
        <f>IF($B45=" ","",IFERROR(INDEX(MMWR_RATING_STATE_ROLLUP_PMC[],MATCH($B45,MMWR_RATING_STATE_ROLLUP_PMC[MMWR_RATING_STATE_ROLLUP_PMC],0),MATCH(H$9,MMWR_RATING_STATE_ROLLUP_PMC[#Headers],0)),"ERROR"))</f>
        <v>86.837837837799995</v>
      </c>
      <c r="I45" s="156">
        <f>IF($B45=" ","",IFERROR(INDEX(MMWR_RATING_STATE_ROLLUP_PMC[],MATCH($B45,MMWR_RATING_STATE_ROLLUP_PMC[MMWR_RATING_STATE_ROLLUP_PMC],0),MATCH(I$9,MMWR_RATING_STATE_ROLLUP_PMC[#Headers],0)),"ERROR"))</f>
        <v>86.837837837799995</v>
      </c>
      <c r="J45" s="42"/>
      <c r="K45" s="42"/>
      <c r="L45" s="42"/>
      <c r="M45" s="42"/>
      <c r="N45" s="28"/>
    </row>
    <row r="46" spans="1:14" x14ac:dyDescent="0.2">
      <c r="A46" s="25"/>
      <c r="B46" s="8" t="str">
        <f>VLOOKUP($B$15,DISTRICT_STATES[],14,0)</f>
        <v>Vermont</v>
      </c>
      <c r="C46" s="155">
        <f>IF($B46=" ","",IFERROR(INDEX(MMWR_RATING_STATE_ROLLUP_PMC[],MATCH($B46,MMWR_RATING_STATE_ROLLUP_PMC[MMWR_RATING_STATE_ROLLUP_PMC],0),MATCH(C$9,MMWR_RATING_STATE_ROLLUP_PMC[#Headers],0)),"ERROR"))</f>
        <v>21</v>
      </c>
      <c r="D46" s="156">
        <f>IF($B46=" ","",IFERROR(INDEX(MMWR_RATING_STATE_ROLLUP_PMC[],MATCH($B46,MMWR_RATING_STATE_ROLLUP_PMC[MMWR_RATING_STATE_ROLLUP_PMC],0),MATCH(D$9,MMWR_RATING_STATE_ROLLUP_PMC[#Headers],0)),"ERROR"))</f>
        <v>70.428571428599994</v>
      </c>
      <c r="E46" s="157">
        <f>IF($B46=" ","",IFERROR(INDEX(MMWR_RATING_STATE_ROLLUP_PMC[],MATCH($B46,MMWR_RATING_STATE_ROLLUP_PMC[MMWR_RATING_STATE_ROLLUP_PMC],0),MATCH(E$9,MMWR_RATING_STATE_ROLLUP_PMC[#Headers],0))/$C46,"ERROR"))</f>
        <v>9.5238095238095233E-2</v>
      </c>
      <c r="F46" s="155">
        <f>IF($B46=" ","",IFERROR(INDEX(MMWR_RATING_STATE_ROLLUP_PMC[],MATCH($B46,MMWR_RATING_STATE_ROLLUP_PMC[MMWR_RATING_STATE_ROLLUP_PMC],0),MATCH(F$9,MMWR_RATING_STATE_ROLLUP_PMC[#Headers],0)),"ERROR"))</f>
        <v>12</v>
      </c>
      <c r="G46" s="155">
        <f>IF($B46=" ","",IFERROR(INDEX(MMWR_RATING_STATE_ROLLUP_PMC[],MATCH($B46,MMWR_RATING_STATE_ROLLUP_PMC[MMWR_RATING_STATE_ROLLUP_PMC],0),MATCH(G$9,MMWR_RATING_STATE_ROLLUP_PMC[#Headers],0)),"ERROR"))</f>
        <v>12</v>
      </c>
      <c r="H46" s="156">
        <f>IF($B46=" ","",IFERROR(INDEX(MMWR_RATING_STATE_ROLLUP_PMC[],MATCH($B46,MMWR_RATING_STATE_ROLLUP_PMC[MMWR_RATING_STATE_ROLLUP_PMC],0),MATCH(H$9,MMWR_RATING_STATE_ROLLUP_PMC[#Headers],0)),"ERROR"))</f>
        <v>67.416666666699996</v>
      </c>
      <c r="I46" s="156">
        <f>IF($B46=" ","",IFERROR(INDEX(MMWR_RATING_STATE_ROLLUP_PMC[],MATCH($B46,MMWR_RATING_STATE_ROLLUP_PMC[MMWR_RATING_STATE_ROLLUP_PMC],0),MATCH(I$9,MMWR_RATING_STATE_ROLLUP_PMC[#Headers],0)),"ERROR"))</f>
        <v>67.416666666699996</v>
      </c>
      <c r="J46" s="42"/>
      <c r="K46" s="42"/>
      <c r="L46" s="42"/>
      <c r="M46" s="42"/>
      <c r="N46" s="28"/>
    </row>
    <row r="47" spans="1:14" x14ac:dyDescent="0.2">
      <c r="A47" s="25"/>
      <c r="B47" s="8" t="str">
        <f>VLOOKUP($B$15,DISTRICT_STATES[],15,0)</f>
        <v>Virginia</v>
      </c>
      <c r="C47" s="155">
        <f>IF($B47=" ","",IFERROR(INDEX(MMWR_RATING_STATE_ROLLUP_PMC[],MATCH($B47,MMWR_RATING_STATE_ROLLUP_PMC[MMWR_RATING_STATE_ROLLUP_PMC],0),MATCH(C$9,MMWR_RATING_STATE_ROLLUP_PMC[#Headers],0)),"ERROR"))</f>
        <v>563</v>
      </c>
      <c r="D47" s="156">
        <f>IF($B47=" ","",IFERROR(INDEX(MMWR_RATING_STATE_ROLLUP_PMC[],MATCH($B47,MMWR_RATING_STATE_ROLLUP_PMC[MMWR_RATING_STATE_ROLLUP_PMC],0),MATCH(D$9,MMWR_RATING_STATE_ROLLUP_PMC[#Headers],0)),"ERROR"))</f>
        <v>78.705150976900001</v>
      </c>
      <c r="E47" s="157">
        <f>IF($B47=" ","",IFERROR(INDEX(MMWR_RATING_STATE_ROLLUP_PMC[],MATCH($B47,MMWR_RATING_STATE_ROLLUP_PMC[MMWR_RATING_STATE_ROLLUP_PMC],0),MATCH(E$9,MMWR_RATING_STATE_ROLLUP_PMC[#Headers],0))/$C47,"ERROR"))</f>
        <v>0.13143872113676733</v>
      </c>
      <c r="F47" s="155">
        <f>IF($B47=" ","",IFERROR(INDEX(MMWR_RATING_STATE_ROLLUP_PMC[],MATCH($B47,MMWR_RATING_STATE_ROLLUP_PMC[MMWR_RATING_STATE_ROLLUP_PMC],0),MATCH(F$9,MMWR_RATING_STATE_ROLLUP_PMC[#Headers],0)),"ERROR"))</f>
        <v>251</v>
      </c>
      <c r="G47" s="155">
        <f>IF($B47=" ","",IFERROR(INDEX(MMWR_RATING_STATE_ROLLUP_PMC[],MATCH($B47,MMWR_RATING_STATE_ROLLUP_PMC[MMWR_RATING_STATE_ROLLUP_PMC],0),MATCH(G$9,MMWR_RATING_STATE_ROLLUP_PMC[#Headers],0)),"ERROR"))</f>
        <v>251</v>
      </c>
      <c r="H47" s="156">
        <f>IF($B47=" ","",IFERROR(INDEX(MMWR_RATING_STATE_ROLLUP_PMC[],MATCH($B47,MMWR_RATING_STATE_ROLLUP_PMC[MMWR_RATING_STATE_ROLLUP_PMC],0),MATCH(H$9,MMWR_RATING_STATE_ROLLUP_PMC[#Headers],0)),"ERROR"))</f>
        <v>86.701195219100001</v>
      </c>
      <c r="I47" s="156">
        <f>IF($B47=" ","",IFERROR(INDEX(MMWR_RATING_STATE_ROLLUP_PMC[],MATCH($B47,MMWR_RATING_STATE_ROLLUP_PMC[MMWR_RATING_STATE_ROLLUP_PMC],0),MATCH(I$9,MMWR_RATING_STATE_ROLLUP_PMC[#Headers],0)),"ERROR"))</f>
        <v>86.701195219100001</v>
      </c>
      <c r="J47" s="42"/>
      <c r="K47" s="42"/>
      <c r="L47" s="42"/>
      <c r="M47" s="42"/>
      <c r="N47" s="28"/>
    </row>
    <row r="48" spans="1:14" x14ac:dyDescent="0.2">
      <c r="A48" s="25"/>
      <c r="B48" s="8" t="str">
        <f>VLOOKUP($B$15,DISTRICT_STATES[],16,0)</f>
        <v>West Virginia</v>
      </c>
      <c r="C48" s="155">
        <f>IF($B48=" ","",IFERROR(INDEX(MMWR_RATING_STATE_ROLLUP_PMC[],MATCH($B48,MMWR_RATING_STATE_ROLLUP_PMC[MMWR_RATING_STATE_ROLLUP_PMC],0),MATCH(C$9,MMWR_RATING_STATE_ROLLUP_PMC[#Headers],0)),"ERROR"))</f>
        <v>175</v>
      </c>
      <c r="D48" s="156">
        <f>IF($B48=" ","",IFERROR(INDEX(MMWR_RATING_STATE_ROLLUP_PMC[],MATCH($B48,MMWR_RATING_STATE_ROLLUP_PMC[MMWR_RATING_STATE_ROLLUP_PMC],0),MATCH(D$9,MMWR_RATING_STATE_ROLLUP_PMC[#Headers],0)),"ERROR"))</f>
        <v>78.068571428599995</v>
      </c>
      <c r="E48" s="157">
        <f>IF($B48=" ","",IFERROR(INDEX(MMWR_RATING_STATE_ROLLUP_PMC[],MATCH($B48,MMWR_RATING_STATE_ROLLUP_PMC[MMWR_RATING_STATE_ROLLUP_PMC],0),MATCH(E$9,MMWR_RATING_STATE_ROLLUP_PMC[#Headers],0))/$C48,"ERROR"))</f>
        <v>0.12571428571428572</v>
      </c>
      <c r="F48" s="155">
        <f>IF($B48=" ","",IFERROR(INDEX(MMWR_RATING_STATE_ROLLUP_PMC[],MATCH($B48,MMWR_RATING_STATE_ROLLUP_PMC[MMWR_RATING_STATE_ROLLUP_PMC],0),MATCH(F$9,MMWR_RATING_STATE_ROLLUP_PMC[#Headers],0)),"ERROR"))</f>
        <v>92</v>
      </c>
      <c r="G48" s="155">
        <f>IF($B48=" ","",IFERROR(INDEX(MMWR_RATING_STATE_ROLLUP_PMC[],MATCH($B48,MMWR_RATING_STATE_ROLLUP_PMC[MMWR_RATING_STATE_ROLLUP_PMC],0),MATCH(G$9,MMWR_RATING_STATE_ROLLUP_PMC[#Headers],0)),"ERROR"))</f>
        <v>92</v>
      </c>
      <c r="H48" s="156">
        <f>IF($B48=" ","",IFERROR(INDEX(MMWR_RATING_STATE_ROLLUP_PMC[],MATCH($B48,MMWR_RATING_STATE_ROLLUP_PMC[MMWR_RATING_STATE_ROLLUP_PMC],0),MATCH(H$9,MMWR_RATING_STATE_ROLLUP_PMC[#Headers],0)),"ERROR"))</f>
        <v>81.206521739099998</v>
      </c>
      <c r="I48" s="156">
        <f>IF($B48=" ","",IFERROR(INDEX(MMWR_RATING_STATE_ROLLUP_PMC[],MATCH($B48,MMWR_RATING_STATE_ROLLUP_PMC[MMWR_RATING_STATE_ROLLUP_PMC],0),MATCH(I$9,MMWR_RATING_STATE_ROLLUP_PMC[#Headers],0)),"ERROR"))</f>
        <v>81.206521739099998</v>
      </c>
      <c r="J48" s="42"/>
      <c r="K48" s="42"/>
      <c r="L48" s="42"/>
      <c r="M48" s="42"/>
      <c r="N48" s="28"/>
    </row>
    <row r="49" spans="1:14" x14ac:dyDescent="0.2">
      <c r="A49" s="25"/>
      <c r="B49" s="377" t="s">
        <v>1047</v>
      </c>
      <c r="C49" s="378"/>
      <c r="D49" s="378"/>
      <c r="E49" s="378"/>
      <c r="F49" s="378"/>
      <c r="G49" s="378"/>
      <c r="H49" s="378"/>
      <c r="I49" s="378"/>
      <c r="J49" s="378"/>
      <c r="K49" s="378"/>
      <c r="L49" s="378"/>
      <c r="M49" s="387"/>
      <c r="N49" s="28"/>
    </row>
    <row r="50" spans="1:14" x14ac:dyDescent="0.2">
      <c r="A50" s="25"/>
      <c r="B50" s="41" t="s">
        <v>1046</v>
      </c>
      <c r="C50" s="155">
        <f>IF($B50=" ","",IFERROR(INDEX(MMWR_RATING_STATE_ROLLUP_QST[],MATCH($B50,MMWR_RATING_STATE_ROLLUP_QST[MMWR_RATING_STATE_ROLLUP_QST],0),MATCH(C$9,MMWR_RATING_STATE_ROLLUP_QST[#Headers],0)),"ERROR"))</f>
        <v>9976</v>
      </c>
      <c r="D50" s="156">
        <f>IF($B50=" ","",IFERROR(INDEX(MMWR_RATING_STATE_ROLLUP_QST[],MATCH($B50,MMWR_RATING_STATE_ROLLUP_QST[MMWR_RATING_STATE_ROLLUP_QST],0),MATCH(D$9,MMWR_RATING_STATE_ROLLUP_QST[#Headers],0)),"ERROR"))</f>
        <v>74.850541299100001</v>
      </c>
      <c r="E50" s="157">
        <f>IF($B50=" ","",IFERROR(INDEX(MMWR_RATING_STATE_ROLLUP_QST[],MATCH($B50,MMWR_RATING_STATE_ROLLUP_QST[MMWR_RATING_STATE_ROLLUP_QST],0),MATCH(E$9,MMWR_RATING_STATE_ROLLUP_QST[#Headers],0))/$C50,"ERROR"))</f>
        <v>0.12910986367281477</v>
      </c>
      <c r="F50" s="155">
        <f>IF($B50=" ","",IFERROR(INDEX(MMWR_RATING_STATE_ROLLUP_QST[],MATCH($B50,MMWR_RATING_STATE_ROLLUP_QST[MMWR_RATING_STATE_ROLLUP_QST],0),MATCH(F$9,MMWR_RATING_STATE_ROLLUP_QST[#Headers],0)),"ERROR"))</f>
        <v>1398</v>
      </c>
      <c r="G50" s="155">
        <f>IF($B50=" ","",IFERROR(INDEX(MMWR_RATING_STATE_ROLLUP_QST[],MATCH($B50,MMWR_RATING_STATE_ROLLUP_QST[MMWR_RATING_STATE_ROLLUP_QST],0),MATCH(G$9,MMWR_RATING_STATE_ROLLUP_QST[#Headers],0)),"ERROR"))</f>
        <v>1398</v>
      </c>
      <c r="H50" s="156">
        <f>IF($B50=" ","",IFERROR(INDEX(MMWR_RATING_STATE_ROLLUP_QST[],MATCH($B50,MMWR_RATING_STATE_ROLLUP_QST[MMWR_RATING_STATE_ROLLUP_QST],0),MATCH(H$9,MMWR_RATING_STATE_ROLLUP_QST[#Headers],0)),"ERROR"))</f>
        <v>132.9949928469</v>
      </c>
      <c r="I50" s="156">
        <f>IF($B50=" ","",IFERROR(INDEX(MMWR_RATING_STATE_ROLLUP_QST[],MATCH($B50,MMWR_RATING_STATE_ROLLUP_QST[MMWR_RATING_STATE_ROLLUP_QST],0),MATCH(I$9,MMWR_RATING_STATE_ROLLUP_QST[#Headers],0)),"ERROR"))</f>
        <v>132.9949928469</v>
      </c>
      <c r="J50" s="42"/>
      <c r="K50" s="42"/>
      <c r="L50" s="42"/>
      <c r="M50" s="42"/>
      <c r="N50" s="28"/>
    </row>
    <row r="51" spans="1:14" x14ac:dyDescent="0.2">
      <c r="A51" s="25"/>
      <c r="B51" s="250" t="str">
        <f>INDEX(DISTRICT_STATES[],MATCH($B$5,DISTRICT_RO[District],0),1)</f>
        <v>North Atlantic</v>
      </c>
      <c r="C51" s="155">
        <f>IF($B51=" ","",IFERROR(INDEX(MMWR_RATING_STATE_ROLLUP_QST[],MATCH($B51,MMWR_RATING_STATE_ROLLUP_QST[MMWR_RATING_STATE_ROLLUP_QST],0),MATCH(C$9,MMWR_RATING_STATE_ROLLUP_QST[#Headers],0)),"ERROR"))</f>
        <v>2400</v>
      </c>
      <c r="D51" s="156">
        <f>IF($B51=" ","",IFERROR(INDEX(MMWR_RATING_STATE_ROLLUP_QST[],MATCH($B51,MMWR_RATING_STATE_ROLLUP_QST[MMWR_RATING_STATE_ROLLUP_QST],0),MATCH(D$9,MMWR_RATING_STATE_ROLLUP_QST[#Headers],0)),"ERROR"))</f>
        <v>78.348333333300005</v>
      </c>
      <c r="E51" s="157">
        <f>IF($B51=" ","",IFERROR(INDEX(MMWR_RATING_STATE_ROLLUP_QST[],MATCH($B51,MMWR_RATING_STATE_ROLLUP_QST[MMWR_RATING_STATE_ROLLUP_QST],0),MATCH(E$9,MMWR_RATING_STATE_ROLLUP_QST[#Headers],0))/$C51,"ERROR"))</f>
        <v>0.14708333333333334</v>
      </c>
      <c r="F51" s="155">
        <f>IF($B51=" ","",IFERROR(INDEX(MMWR_RATING_STATE_ROLLUP_QST[],MATCH($B51,MMWR_RATING_STATE_ROLLUP_QST[MMWR_RATING_STATE_ROLLUP_QST],0),MATCH(F$9,MMWR_RATING_STATE_ROLLUP_QST[#Headers],0)),"ERROR"))</f>
        <v>292</v>
      </c>
      <c r="G51" s="155">
        <f>IF($B51=" ","",IFERROR(INDEX(MMWR_RATING_STATE_ROLLUP_QST[],MATCH($B51,MMWR_RATING_STATE_ROLLUP_QST[MMWR_RATING_STATE_ROLLUP_QST],0),MATCH(G$9,MMWR_RATING_STATE_ROLLUP_QST[#Headers],0)),"ERROR"))</f>
        <v>292</v>
      </c>
      <c r="H51" s="156">
        <f>IF($B51=" ","",IFERROR(INDEX(MMWR_RATING_STATE_ROLLUP_QST[],MATCH($B51,MMWR_RATING_STATE_ROLLUP_QST[MMWR_RATING_STATE_ROLLUP_QST],0),MATCH(H$9,MMWR_RATING_STATE_ROLLUP_QST[#Headers],0)),"ERROR"))</f>
        <v>143.9897260274</v>
      </c>
      <c r="I51" s="156">
        <f>IF($B51=" ","",IFERROR(INDEX(MMWR_RATING_STATE_ROLLUP_QST[],MATCH($B51,MMWR_RATING_STATE_ROLLUP_QST[MMWR_RATING_STATE_ROLLUP_QST],0),MATCH(I$9,MMWR_RATING_STATE_ROLLUP_QST[#Headers],0)),"ERROR"))</f>
        <v>143.9897260274</v>
      </c>
      <c r="J51" s="42"/>
      <c r="K51" s="42"/>
      <c r="L51" s="42"/>
      <c r="M51" s="42"/>
      <c r="N51" s="28"/>
    </row>
    <row r="52" spans="1:14" x14ac:dyDescent="0.2">
      <c r="A52" s="25"/>
      <c r="B52" s="8" t="str">
        <f>VLOOKUP($B$15,DISTRICT_STATES[],2,0)</f>
        <v>Connecticut</v>
      </c>
      <c r="C52" s="155">
        <f>IF($B52=" ","",IFERROR(INDEX(MMWR_RATING_STATE_ROLLUP_QST[],MATCH($B52,MMWR_RATING_STATE_ROLLUP_QST[MMWR_RATING_STATE_ROLLUP_QST],0),MATCH(C$9,MMWR_RATING_STATE_ROLLUP_QST[#Headers],0)),"ERROR"))</f>
        <v>61</v>
      </c>
      <c r="D52" s="156">
        <f>IF($B52=" ","",IFERROR(INDEX(MMWR_RATING_STATE_ROLLUP_QST[],MATCH($B52,MMWR_RATING_STATE_ROLLUP_QST[MMWR_RATING_STATE_ROLLUP_QST],0),MATCH(D$9,MMWR_RATING_STATE_ROLLUP_QST[#Headers],0)),"ERROR"))</f>
        <v>68.9180327869</v>
      </c>
      <c r="E52" s="157">
        <f>IF($B52=" ","",IFERROR(INDEX(MMWR_RATING_STATE_ROLLUP_QST[],MATCH($B52,MMWR_RATING_STATE_ROLLUP_QST[MMWR_RATING_STATE_ROLLUP_QST],0),MATCH(E$9,MMWR_RATING_STATE_ROLLUP_QST[#Headers],0))/$C52,"ERROR"))</f>
        <v>4.9180327868852458E-2</v>
      </c>
      <c r="F52" s="155">
        <f>IF($B52=" ","",IFERROR(INDEX(MMWR_RATING_STATE_ROLLUP_QST[],MATCH($B52,MMWR_RATING_STATE_ROLLUP_QST[MMWR_RATING_STATE_ROLLUP_QST],0),MATCH(F$9,MMWR_RATING_STATE_ROLLUP_QST[#Headers],0)),"ERROR"))</f>
        <v>8</v>
      </c>
      <c r="G52" s="155">
        <f>IF($B52=" ","",IFERROR(INDEX(MMWR_RATING_STATE_ROLLUP_QST[],MATCH($B52,MMWR_RATING_STATE_ROLLUP_QST[MMWR_RATING_STATE_ROLLUP_QST],0),MATCH(G$9,MMWR_RATING_STATE_ROLLUP_QST[#Headers],0)),"ERROR"))</f>
        <v>8</v>
      </c>
      <c r="H52" s="156">
        <f>IF($B52=" ","",IFERROR(INDEX(MMWR_RATING_STATE_ROLLUP_QST[],MATCH($B52,MMWR_RATING_STATE_ROLLUP_QST[MMWR_RATING_STATE_ROLLUP_QST],0),MATCH(H$9,MMWR_RATING_STATE_ROLLUP_QST[#Headers],0)),"ERROR"))</f>
        <v>110.5</v>
      </c>
      <c r="I52" s="156">
        <f>IF($B52=" ","",IFERROR(INDEX(MMWR_RATING_STATE_ROLLUP_QST[],MATCH($B52,MMWR_RATING_STATE_ROLLUP_QST[MMWR_RATING_STATE_ROLLUP_QST],0),MATCH(I$9,MMWR_RATING_STATE_ROLLUP_QST[#Headers],0)),"ERROR"))</f>
        <v>110.5</v>
      </c>
      <c r="J52" s="42"/>
      <c r="K52" s="42"/>
      <c r="L52" s="42"/>
      <c r="M52" s="42"/>
      <c r="N52" s="28"/>
    </row>
    <row r="53" spans="1:14" x14ac:dyDescent="0.2">
      <c r="A53" s="25"/>
      <c r="B53" s="8" t="str">
        <f>VLOOKUP($B$15,DISTRICT_STATES[],3,0)</f>
        <v>Delaware</v>
      </c>
      <c r="C53" s="155">
        <f>IF($B53=" ","",IFERROR(INDEX(MMWR_RATING_STATE_ROLLUP_QST[],MATCH($B53,MMWR_RATING_STATE_ROLLUP_QST[MMWR_RATING_STATE_ROLLUP_QST],0),MATCH(C$9,MMWR_RATING_STATE_ROLLUP_QST[#Headers],0)),"ERROR"))</f>
        <v>21</v>
      </c>
      <c r="D53" s="156">
        <f>IF($B53=" ","",IFERROR(INDEX(MMWR_RATING_STATE_ROLLUP_QST[],MATCH($B53,MMWR_RATING_STATE_ROLLUP_QST[MMWR_RATING_STATE_ROLLUP_QST],0),MATCH(D$9,MMWR_RATING_STATE_ROLLUP_QST[#Headers],0)),"ERROR"))</f>
        <v>73.428571428599994</v>
      </c>
      <c r="E53" s="157">
        <f>IF($B53=" ","",IFERROR(INDEX(MMWR_RATING_STATE_ROLLUP_QST[],MATCH($B53,MMWR_RATING_STATE_ROLLUP_QST[MMWR_RATING_STATE_ROLLUP_QST],0),MATCH(E$9,MMWR_RATING_STATE_ROLLUP_QST[#Headers],0))/$C53,"ERROR"))</f>
        <v>0.19047619047619047</v>
      </c>
      <c r="F53" s="155">
        <f>IF($B53=" ","",IFERROR(INDEX(MMWR_RATING_STATE_ROLLUP_QST[],MATCH($B53,MMWR_RATING_STATE_ROLLUP_QST[MMWR_RATING_STATE_ROLLUP_QST],0),MATCH(F$9,MMWR_RATING_STATE_ROLLUP_QST[#Headers],0)),"ERROR"))</f>
        <v>4</v>
      </c>
      <c r="G53" s="155">
        <f>IF($B53=" ","",IFERROR(INDEX(MMWR_RATING_STATE_ROLLUP_QST[],MATCH($B53,MMWR_RATING_STATE_ROLLUP_QST[MMWR_RATING_STATE_ROLLUP_QST],0),MATCH(G$9,MMWR_RATING_STATE_ROLLUP_QST[#Headers],0)),"ERROR"))</f>
        <v>4</v>
      </c>
      <c r="H53" s="156">
        <f>IF($B53=" ","",IFERROR(INDEX(MMWR_RATING_STATE_ROLLUP_QST[],MATCH($B53,MMWR_RATING_STATE_ROLLUP_QST[MMWR_RATING_STATE_ROLLUP_QST],0),MATCH(H$9,MMWR_RATING_STATE_ROLLUP_QST[#Headers],0)),"ERROR"))</f>
        <v>149.5</v>
      </c>
      <c r="I53" s="156">
        <f>IF($B53=" ","",IFERROR(INDEX(MMWR_RATING_STATE_ROLLUP_QST[],MATCH($B53,MMWR_RATING_STATE_ROLLUP_QST[MMWR_RATING_STATE_ROLLUP_QST],0),MATCH(I$9,MMWR_RATING_STATE_ROLLUP_QST[#Headers],0)),"ERROR"))</f>
        <v>149.5</v>
      </c>
      <c r="J53" s="42"/>
      <c r="K53" s="42"/>
      <c r="L53" s="42"/>
      <c r="M53" s="42"/>
      <c r="N53" s="28"/>
    </row>
    <row r="54" spans="1:14" x14ac:dyDescent="0.2">
      <c r="A54" s="25"/>
      <c r="B54" s="8" t="str">
        <f>VLOOKUP($B$15,DISTRICT_STATES[],4,0)</f>
        <v>District of Columbia</v>
      </c>
      <c r="C54" s="155">
        <f>IF($B54=" ","",IFERROR(INDEX(MMWR_RATING_STATE_ROLLUP_QST[],MATCH($B54,MMWR_RATING_STATE_ROLLUP_QST[MMWR_RATING_STATE_ROLLUP_QST],0),MATCH(C$9,MMWR_RATING_STATE_ROLLUP_QST[#Headers],0)),"ERROR"))</f>
        <v>20</v>
      </c>
      <c r="D54" s="156">
        <f>IF($B54=" ","",IFERROR(INDEX(MMWR_RATING_STATE_ROLLUP_QST[],MATCH($B54,MMWR_RATING_STATE_ROLLUP_QST[MMWR_RATING_STATE_ROLLUP_QST],0),MATCH(D$9,MMWR_RATING_STATE_ROLLUP_QST[#Headers],0)),"ERROR"))</f>
        <v>77.45</v>
      </c>
      <c r="E54" s="157">
        <f>IF($B54=" ","",IFERROR(INDEX(MMWR_RATING_STATE_ROLLUP_QST[],MATCH($B54,MMWR_RATING_STATE_ROLLUP_QST[MMWR_RATING_STATE_ROLLUP_QST],0),MATCH(E$9,MMWR_RATING_STATE_ROLLUP_QST[#Headers],0))/$C54,"ERROR"))</f>
        <v>0.05</v>
      </c>
      <c r="F54" s="155">
        <f>IF($B54=" ","",IFERROR(INDEX(MMWR_RATING_STATE_ROLLUP_QST[],MATCH($B54,MMWR_RATING_STATE_ROLLUP_QST[MMWR_RATING_STATE_ROLLUP_QST],0),MATCH(F$9,MMWR_RATING_STATE_ROLLUP_QST[#Headers],0)),"ERROR"))</f>
        <v>1</v>
      </c>
      <c r="G54" s="155">
        <f>IF($B54=" ","",IFERROR(INDEX(MMWR_RATING_STATE_ROLLUP_QST[],MATCH($B54,MMWR_RATING_STATE_ROLLUP_QST[MMWR_RATING_STATE_ROLLUP_QST],0),MATCH(G$9,MMWR_RATING_STATE_ROLLUP_QST[#Headers],0)),"ERROR"))</f>
        <v>1</v>
      </c>
      <c r="H54" s="156">
        <f>IF($B54=" ","",IFERROR(INDEX(MMWR_RATING_STATE_ROLLUP_QST[],MATCH($B54,MMWR_RATING_STATE_ROLLUP_QST[MMWR_RATING_STATE_ROLLUP_QST],0),MATCH(H$9,MMWR_RATING_STATE_ROLLUP_QST[#Headers],0)),"ERROR"))</f>
        <v>142</v>
      </c>
      <c r="I54" s="156">
        <f>IF($B54=" ","",IFERROR(INDEX(MMWR_RATING_STATE_ROLLUP_QST[],MATCH($B54,MMWR_RATING_STATE_ROLLUP_QST[MMWR_RATING_STATE_ROLLUP_QST],0),MATCH(I$9,MMWR_RATING_STATE_ROLLUP_QST[#Headers],0)),"ERROR"))</f>
        <v>142</v>
      </c>
      <c r="J54" s="42"/>
      <c r="K54" s="42"/>
      <c r="L54" s="42"/>
      <c r="M54" s="42"/>
      <c r="N54" s="28"/>
    </row>
    <row r="55" spans="1:14" x14ac:dyDescent="0.2">
      <c r="A55" s="25"/>
      <c r="B55" s="8" t="str">
        <f>VLOOKUP($B$15,DISTRICT_STATES[],5,0)</f>
        <v>Maine</v>
      </c>
      <c r="C55" s="155">
        <f>IF($B55=" ","",IFERROR(INDEX(MMWR_RATING_STATE_ROLLUP_QST[],MATCH($B55,MMWR_RATING_STATE_ROLLUP_QST[MMWR_RATING_STATE_ROLLUP_QST],0),MATCH(C$9,MMWR_RATING_STATE_ROLLUP_QST[#Headers],0)),"ERROR"))</f>
        <v>24</v>
      </c>
      <c r="D55" s="156">
        <f>IF($B55=" ","",IFERROR(INDEX(MMWR_RATING_STATE_ROLLUP_QST[],MATCH($B55,MMWR_RATING_STATE_ROLLUP_QST[MMWR_RATING_STATE_ROLLUP_QST],0),MATCH(D$9,MMWR_RATING_STATE_ROLLUP_QST[#Headers],0)),"ERROR"))</f>
        <v>62.583333333299997</v>
      </c>
      <c r="E55" s="157">
        <f>IF($B55=" ","",IFERROR(INDEX(MMWR_RATING_STATE_ROLLUP_QST[],MATCH($B55,MMWR_RATING_STATE_ROLLUP_QST[MMWR_RATING_STATE_ROLLUP_QST],0),MATCH(E$9,MMWR_RATING_STATE_ROLLUP_QST[#Headers],0))/$C55,"ERROR"))</f>
        <v>8.3333333333333329E-2</v>
      </c>
      <c r="F55" s="155">
        <f>IF($B55=" ","",IFERROR(INDEX(MMWR_RATING_STATE_ROLLUP_QST[],MATCH($B55,MMWR_RATING_STATE_ROLLUP_QST[MMWR_RATING_STATE_ROLLUP_QST],0),MATCH(F$9,MMWR_RATING_STATE_ROLLUP_QST[#Headers],0)),"ERROR"))</f>
        <v>4</v>
      </c>
      <c r="G55" s="155">
        <f>IF($B55=" ","",IFERROR(INDEX(MMWR_RATING_STATE_ROLLUP_QST[],MATCH($B55,MMWR_RATING_STATE_ROLLUP_QST[MMWR_RATING_STATE_ROLLUP_QST],0),MATCH(G$9,MMWR_RATING_STATE_ROLLUP_QST[#Headers],0)),"ERROR"))</f>
        <v>4</v>
      </c>
      <c r="H55" s="156">
        <f>IF($B55=" ","",IFERROR(INDEX(MMWR_RATING_STATE_ROLLUP_QST[],MATCH($B55,MMWR_RATING_STATE_ROLLUP_QST[MMWR_RATING_STATE_ROLLUP_QST],0),MATCH(H$9,MMWR_RATING_STATE_ROLLUP_QST[#Headers],0)),"ERROR"))</f>
        <v>147.5</v>
      </c>
      <c r="I55" s="156">
        <f>IF($B55=" ","",IFERROR(INDEX(MMWR_RATING_STATE_ROLLUP_QST[],MATCH($B55,MMWR_RATING_STATE_ROLLUP_QST[MMWR_RATING_STATE_ROLLUP_QST],0),MATCH(I$9,MMWR_RATING_STATE_ROLLUP_QST[#Headers],0)),"ERROR"))</f>
        <v>147.5</v>
      </c>
      <c r="J55" s="42"/>
      <c r="K55" s="42"/>
      <c r="L55" s="42"/>
      <c r="M55" s="42"/>
      <c r="N55" s="28"/>
    </row>
    <row r="56" spans="1:14" x14ac:dyDescent="0.2">
      <c r="A56" s="25"/>
      <c r="B56" s="8" t="str">
        <f>VLOOKUP($B$15,DISTRICT_STATES[],6,0)</f>
        <v>Maryland</v>
      </c>
      <c r="C56" s="155">
        <f>IF($B56=" ","",IFERROR(INDEX(MMWR_RATING_STATE_ROLLUP_QST[],MATCH($B56,MMWR_RATING_STATE_ROLLUP_QST[MMWR_RATING_STATE_ROLLUP_QST],0),MATCH(C$9,MMWR_RATING_STATE_ROLLUP_QST[#Headers],0)),"ERROR"))</f>
        <v>253</v>
      </c>
      <c r="D56" s="156">
        <f>IF($B56=" ","",IFERROR(INDEX(MMWR_RATING_STATE_ROLLUP_QST[],MATCH($B56,MMWR_RATING_STATE_ROLLUP_QST[MMWR_RATING_STATE_ROLLUP_QST],0),MATCH(D$9,MMWR_RATING_STATE_ROLLUP_QST[#Headers],0)),"ERROR"))</f>
        <v>78.861660079100005</v>
      </c>
      <c r="E56" s="157">
        <f>IF($B56=" ","",IFERROR(INDEX(MMWR_RATING_STATE_ROLLUP_QST[],MATCH($B56,MMWR_RATING_STATE_ROLLUP_QST[MMWR_RATING_STATE_ROLLUP_QST],0),MATCH(E$9,MMWR_RATING_STATE_ROLLUP_QST[#Headers],0))/$C56,"ERROR"))</f>
        <v>0.13833992094861661</v>
      </c>
      <c r="F56" s="155">
        <f>IF($B56=" ","",IFERROR(INDEX(MMWR_RATING_STATE_ROLLUP_QST[],MATCH($B56,MMWR_RATING_STATE_ROLLUP_QST[MMWR_RATING_STATE_ROLLUP_QST],0),MATCH(F$9,MMWR_RATING_STATE_ROLLUP_QST[#Headers],0)),"ERROR"))</f>
        <v>38</v>
      </c>
      <c r="G56" s="155">
        <f>IF($B56=" ","",IFERROR(INDEX(MMWR_RATING_STATE_ROLLUP_QST[],MATCH($B56,MMWR_RATING_STATE_ROLLUP_QST[MMWR_RATING_STATE_ROLLUP_QST],0),MATCH(G$9,MMWR_RATING_STATE_ROLLUP_QST[#Headers],0)),"ERROR"))</f>
        <v>38</v>
      </c>
      <c r="H56" s="156">
        <f>IF($B56=" ","",IFERROR(INDEX(MMWR_RATING_STATE_ROLLUP_QST[],MATCH($B56,MMWR_RATING_STATE_ROLLUP_QST[MMWR_RATING_STATE_ROLLUP_QST],0),MATCH(H$9,MMWR_RATING_STATE_ROLLUP_QST[#Headers],0)),"ERROR"))</f>
        <v>133.47368421050001</v>
      </c>
      <c r="I56" s="156">
        <f>IF($B56=" ","",IFERROR(INDEX(MMWR_RATING_STATE_ROLLUP_QST[],MATCH($B56,MMWR_RATING_STATE_ROLLUP_QST[MMWR_RATING_STATE_ROLLUP_QST],0),MATCH(I$9,MMWR_RATING_STATE_ROLLUP_QST[#Headers],0)),"ERROR"))</f>
        <v>133.47368421050001</v>
      </c>
      <c r="J56" s="42"/>
      <c r="K56" s="42"/>
      <c r="L56" s="42"/>
      <c r="M56" s="42"/>
      <c r="N56" s="28"/>
    </row>
    <row r="57" spans="1:14" x14ac:dyDescent="0.2">
      <c r="A57" s="25"/>
      <c r="B57" s="8" t="str">
        <f>VLOOKUP($B$15,DISTRICT_STATES[],7,0)</f>
        <v>Massachusetts</v>
      </c>
      <c r="C57" s="155">
        <f>IF($B57=" ","",IFERROR(INDEX(MMWR_RATING_STATE_ROLLUP_QST[],MATCH($B57,MMWR_RATING_STATE_ROLLUP_QST[MMWR_RATING_STATE_ROLLUP_QST],0),MATCH(C$9,MMWR_RATING_STATE_ROLLUP_QST[#Headers],0)),"ERROR"))</f>
        <v>105</v>
      </c>
      <c r="D57" s="156">
        <f>IF($B57=" ","",IFERROR(INDEX(MMWR_RATING_STATE_ROLLUP_QST[],MATCH($B57,MMWR_RATING_STATE_ROLLUP_QST[MMWR_RATING_STATE_ROLLUP_QST],0),MATCH(D$9,MMWR_RATING_STATE_ROLLUP_QST[#Headers],0)),"ERROR"))</f>
        <v>80.266666666700004</v>
      </c>
      <c r="E57" s="157">
        <f>IF($B57=" ","",IFERROR(INDEX(MMWR_RATING_STATE_ROLLUP_QST[],MATCH($B57,MMWR_RATING_STATE_ROLLUP_QST[MMWR_RATING_STATE_ROLLUP_QST],0),MATCH(E$9,MMWR_RATING_STATE_ROLLUP_QST[#Headers],0))/$C57,"ERROR"))</f>
        <v>0.16190476190476191</v>
      </c>
      <c r="F57" s="155">
        <f>IF($B57=" ","",IFERROR(INDEX(MMWR_RATING_STATE_ROLLUP_QST[],MATCH($B57,MMWR_RATING_STATE_ROLLUP_QST[MMWR_RATING_STATE_ROLLUP_QST],0),MATCH(F$9,MMWR_RATING_STATE_ROLLUP_QST[#Headers],0)),"ERROR"))</f>
        <v>10</v>
      </c>
      <c r="G57" s="155">
        <f>IF($B57=" ","",IFERROR(INDEX(MMWR_RATING_STATE_ROLLUP_QST[],MATCH($B57,MMWR_RATING_STATE_ROLLUP_QST[MMWR_RATING_STATE_ROLLUP_QST],0),MATCH(G$9,MMWR_RATING_STATE_ROLLUP_QST[#Headers],0)),"ERROR"))</f>
        <v>10</v>
      </c>
      <c r="H57" s="156">
        <f>IF($B57=" ","",IFERROR(INDEX(MMWR_RATING_STATE_ROLLUP_QST[],MATCH($B57,MMWR_RATING_STATE_ROLLUP_QST[MMWR_RATING_STATE_ROLLUP_QST],0),MATCH(H$9,MMWR_RATING_STATE_ROLLUP_QST[#Headers],0)),"ERROR"))</f>
        <v>124</v>
      </c>
      <c r="I57" s="156">
        <f>IF($B57=" ","",IFERROR(INDEX(MMWR_RATING_STATE_ROLLUP_QST[],MATCH($B57,MMWR_RATING_STATE_ROLLUP_QST[MMWR_RATING_STATE_ROLLUP_QST],0),MATCH(I$9,MMWR_RATING_STATE_ROLLUP_QST[#Headers],0)),"ERROR"))</f>
        <v>124</v>
      </c>
      <c r="J57" s="42"/>
      <c r="K57" s="42"/>
      <c r="L57" s="42"/>
      <c r="M57" s="42"/>
      <c r="N57" s="28"/>
    </row>
    <row r="58" spans="1:14" x14ac:dyDescent="0.2">
      <c r="A58" s="25"/>
      <c r="B58" s="8" t="str">
        <f>VLOOKUP($B$15,DISTRICT_STATES[],8,0)</f>
        <v>New Hampshire</v>
      </c>
      <c r="C58" s="155">
        <f>IF($B58=" ","",IFERROR(INDEX(MMWR_RATING_STATE_ROLLUP_QST[],MATCH($B58,MMWR_RATING_STATE_ROLLUP_QST[MMWR_RATING_STATE_ROLLUP_QST],0),MATCH(C$9,MMWR_RATING_STATE_ROLLUP_QST[#Headers],0)),"ERROR"))</f>
        <v>26</v>
      </c>
      <c r="D58" s="156">
        <f>IF($B58=" ","",IFERROR(INDEX(MMWR_RATING_STATE_ROLLUP_QST[],MATCH($B58,MMWR_RATING_STATE_ROLLUP_QST[MMWR_RATING_STATE_ROLLUP_QST],0),MATCH(D$9,MMWR_RATING_STATE_ROLLUP_QST[#Headers],0)),"ERROR"))</f>
        <v>66.576923076900002</v>
      </c>
      <c r="E58" s="157">
        <f>IF($B58=" ","",IFERROR(INDEX(MMWR_RATING_STATE_ROLLUP_QST[],MATCH($B58,MMWR_RATING_STATE_ROLLUP_QST[MMWR_RATING_STATE_ROLLUP_QST],0),MATCH(E$9,MMWR_RATING_STATE_ROLLUP_QST[#Headers],0))/$C58,"ERROR"))</f>
        <v>0.11538461538461539</v>
      </c>
      <c r="F58" s="155">
        <f>IF($B58=" ","",IFERROR(INDEX(MMWR_RATING_STATE_ROLLUP_QST[],MATCH($B58,MMWR_RATING_STATE_ROLLUP_QST[MMWR_RATING_STATE_ROLLUP_QST],0),MATCH(F$9,MMWR_RATING_STATE_ROLLUP_QST[#Headers],0)),"ERROR"))</f>
        <v>0</v>
      </c>
      <c r="G58" s="155">
        <f>IF($B58=" ","",IFERROR(INDEX(MMWR_RATING_STATE_ROLLUP_QST[],MATCH($B58,MMWR_RATING_STATE_ROLLUP_QST[MMWR_RATING_STATE_ROLLUP_QST],0),MATCH(G$9,MMWR_RATING_STATE_ROLLUP_QST[#Headers],0)),"ERROR"))</f>
        <v>0</v>
      </c>
      <c r="H58" s="156">
        <f>IF($B58=" ","",IFERROR(INDEX(MMWR_RATING_STATE_ROLLUP_QST[],MATCH($B58,MMWR_RATING_STATE_ROLLUP_QST[MMWR_RATING_STATE_ROLLUP_QST],0),MATCH(H$9,MMWR_RATING_STATE_ROLLUP_QST[#Headers],0)),"ERROR"))</f>
        <v>0</v>
      </c>
      <c r="I58" s="156">
        <f>IF($B58=" ","",IFERROR(INDEX(MMWR_RATING_STATE_ROLLUP_QST[],MATCH($B58,MMWR_RATING_STATE_ROLLUP_QST[MMWR_RATING_STATE_ROLLUP_QST],0),MATCH(I$9,MMWR_RATING_STATE_ROLLUP_QST[#Headers],0)),"ERROR"))</f>
        <v>0</v>
      </c>
      <c r="J58" s="42"/>
      <c r="K58" s="42"/>
      <c r="L58" s="42"/>
      <c r="M58" s="42"/>
      <c r="N58" s="28"/>
    </row>
    <row r="59" spans="1:14" x14ac:dyDescent="0.2">
      <c r="A59" s="25"/>
      <c r="B59" s="8" t="str">
        <f>VLOOKUP($B$15,DISTRICT_STATES[],9,0)</f>
        <v>New Jersey</v>
      </c>
      <c r="C59" s="155">
        <f>IF($B59=" ","",IFERROR(INDEX(MMWR_RATING_STATE_ROLLUP_QST[],MATCH($B59,MMWR_RATING_STATE_ROLLUP_QST[MMWR_RATING_STATE_ROLLUP_QST],0),MATCH(C$9,MMWR_RATING_STATE_ROLLUP_QST[#Headers],0)),"ERROR"))</f>
        <v>102</v>
      </c>
      <c r="D59" s="156">
        <f>IF($B59=" ","",IFERROR(INDEX(MMWR_RATING_STATE_ROLLUP_QST[],MATCH($B59,MMWR_RATING_STATE_ROLLUP_QST[MMWR_RATING_STATE_ROLLUP_QST],0),MATCH(D$9,MMWR_RATING_STATE_ROLLUP_QST[#Headers],0)),"ERROR"))</f>
        <v>73.735294117600006</v>
      </c>
      <c r="E59" s="157">
        <f>IF($B59=" ","",IFERROR(INDEX(MMWR_RATING_STATE_ROLLUP_QST[],MATCH($B59,MMWR_RATING_STATE_ROLLUP_QST[MMWR_RATING_STATE_ROLLUP_QST],0),MATCH(E$9,MMWR_RATING_STATE_ROLLUP_QST[#Headers],0))/$C59,"ERROR"))</f>
        <v>0.14705882352941177</v>
      </c>
      <c r="F59" s="155">
        <f>IF($B59=" ","",IFERROR(INDEX(MMWR_RATING_STATE_ROLLUP_QST[],MATCH($B59,MMWR_RATING_STATE_ROLLUP_QST[MMWR_RATING_STATE_ROLLUP_QST],0),MATCH(F$9,MMWR_RATING_STATE_ROLLUP_QST[#Headers],0)),"ERROR"))</f>
        <v>11</v>
      </c>
      <c r="G59" s="155">
        <f>IF($B59=" ","",IFERROR(INDEX(MMWR_RATING_STATE_ROLLUP_QST[],MATCH($B59,MMWR_RATING_STATE_ROLLUP_QST[MMWR_RATING_STATE_ROLLUP_QST],0),MATCH(G$9,MMWR_RATING_STATE_ROLLUP_QST[#Headers],0)),"ERROR"))</f>
        <v>11</v>
      </c>
      <c r="H59" s="156">
        <f>IF($B59=" ","",IFERROR(INDEX(MMWR_RATING_STATE_ROLLUP_QST[],MATCH($B59,MMWR_RATING_STATE_ROLLUP_QST[MMWR_RATING_STATE_ROLLUP_QST],0),MATCH(H$9,MMWR_RATING_STATE_ROLLUP_QST[#Headers],0)),"ERROR"))</f>
        <v>139.54545454550001</v>
      </c>
      <c r="I59" s="156">
        <f>IF($B59=" ","",IFERROR(INDEX(MMWR_RATING_STATE_ROLLUP_QST[],MATCH($B59,MMWR_RATING_STATE_ROLLUP_QST[MMWR_RATING_STATE_ROLLUP_QST],0),MATCH(I$9,MMWR_RATING_STATE_ROLLUP_QST[#Headers],0)),"ERROR"))</f>
        <v>139.54545454550001</v>
      </c>
      <c r="J59" s="42"/>
      <c r="K59" s="42"/>
      <c r="L59" s="42"/>
      <c r="M59" s="42"/>
      <c r="N59" s="28"/>
    </row>
    <row r="60" spans="1:14" x14ac:dyDescent="0.2">
      <c r="A60" s="25"/>
      <c r="B60" s="8" t="str">
        <f>VLOOKUP($B$15,DISTRICT_STATES[],10,0)</f>
        <v>New York</v>
      </c>
      <c r="C60" s="155">
        <f>IF($B60=" ","",IFERROR(INDEX(MMWR_RATING_STATE_ROLLUP_QST[],MATCH($B60,MMWR_RATING_STATE_ROLLUP_QST[MMWR_RATING_STATE_ROLLUP_QST],0),MATCH(C$9,MMWR_RATING_STATE_ROLLUP_QST[#Headers],0)),"ERROR"))</f>
        <v>270</v>
      </c>
      <c r="D60" s="156">
        <f>IF($B60=" ","",IFERROR(INDEX(MMWR_RATING_STATE_ROLLUP_QST[],MATCH($B60,MMWR_RATING_STATE_ROLLUP_QST[MMWR_RATING_STATE_ROLLUP_QST],0),MATCH(D$9,MMWR_RATING_STATE_ROLLUP_QST[#Headers],0)),"ERROR"))</f>
        <v>69.640740740699997</v>
      </c>
      <c r="E60" s="157">
        <f>IF($B60=" ","",IFERROR(INDEX(MMWR_RATING_STATE_ROLLUP_QST[],MATCH($B60,MMWR_RATING_STATE_ROLLUP_QST[MMWR_RATING_STATE_ROLLUP_QST],0),MATCH(E$9,MMWR_RATING_STATE_ROLLUP_QST[#Headers],0))/$C60,"ERROR"))</f>
        <v>0.12222222222222222</v>
      </c>
      <c r="F60" s="155">
        <f>IF($B60=" ","",IFERROR(INDEX(MMWR_RATING_STATE_ROLLUP_QST[],MATCH($B60,MMWR_RATING_STATE_ROLLUP_QST[MMWR_RATING_STATE_ROLLUP_QST],0),MATCH(F$9,MMWR_RATING_STATE_ROLLUP_QST[#Headers],0)),"ERROR"))</f>
        <v>31</v>
      </c>
      <c r="G60" s="155">
        <f>IF($B60=" ","",IFERROR(INDEX(MMWR_RATING_STATE_ROLLUP_QST[],MATCH($B60,MMWR_RATING_STATE_ROLLUP_QST[MMWR_RATING_STATE_ROLLUP_QST],0),MATCH(G$9,MMWR_RATING_STATE_ROLLUP_QST[#Headers],0)),"ERROR"))</f>
        <v>31</v>
      </c>
      <c r="H60" s="156">
        <f>IF($B60=" ","",IFERROR(INDEX(MMWR_RATING_STATE_ROLLUP_QST[],MATCH($B60,MMWR_RATING_STATE_ROLLUP_QST[MMWR_RATING_STATE_ROLLUP_QST],0),MATCH(H$9,MMWR_RATING_STATE_ROLLUP_QST[#Headers],0)),"ERROR"))</f>
        <v>118.1290322581</v>
      </c>
      <c r="I60" s="156">
        <f>IF($B60=" ","",IFERROR(INDEX(MMWR_RATING_STATE_ROLLUP_QST[],MATCH($B60,MMWR_RATING_STATE_ROLLUP_QST[MMWR_RATING_STATE_ROLLUP_QST],0),MATCH(I$9,MMWR_RATING_STATE_ROLLUP_QST[#Headers],0)),"ERROR"))</f>
        <v>118.1290322581</v>
      </c>
      <c r="J60" s="42"/>
      <c r="K60" s="42"/>
      <c r="L60" s="42"/>
      <c r="M60" s="42"/>
      <c r="N60" s="28"/>
    </row>
    <row r="61" spans="1:14" x14ac:dyDescent="0.2">
      <c r="A61" s="25"/>
      <c r="B61" s="8" t="str">
        <f>VLOOKUP($B$15,DISTRICT_STATES[],11,0)</f>
        <v>North Carolina</v>
      </c>
      <c r="C61" s="155">
        <f>IF($B61=" ","",IFERROR(INDEX(MMWR_RATING_STATE_ROLLUP_QST[],MATCH($B61,MMWR_RATING_STATE_ROLLUP_QST[MMWR_RATING_STATE_ROLLUP_QST],0),MATCH(C$9,MMWR_RATING_STATE_ROLLUP_QST[#Headers],0)),"ERROR"))</f>
        <v>620</v>
      </c>
      <c r="D61" s="156">
        <f>IF($B61=" ","",IFERROR(INDEX(MMWR_RATING_STATE_ROLLUP_QST[],MATCH($B61,MMWR_RATING_STATE_ROLLUP_QST[MMWR_RATING_STATE_ROLLUP_QST],0),MATCH(D$9,MMWR_RATING_STATE_ROLLUP_QST[#Headers],0)),"ERROR"))</f>
        <v>81.243548387100006</v>
      </c>
      <c r="E61" s="157">
        <f>IF($B61=" ","",IFERROR(INDEX(MMWR_RATING_STATE_ROLLUP_QST[],MATCH($B61,MMWR_RATING_STATE_ROLLUP_QST[MMWR_RATING_STATE_ROLLUP_QST],0),MATCH(E$9,MMWR_RATING_STATE_ROLLUP_QST[#Headers],0))/$C61,"ERROR"))</f>
        <v>0.16935483870967741</v>
      </c>
      <c r="F61" s="155">
        <f>IF($B61=" ","",IFERROR(INDEX(MMWR_RATING_STATE_ROLLUP_QST[],MATCH($B61,MMWR_RATING_STATE_ROLLUP_QST[MMWR_RATING_STATE_ROLLUP_QST],0),MATCH(F$9,MMWR_RATING_STATE_ROLLUP_QST[#Headers],0)),"ERROR"))</f>
        <v>67</v>
      </c>
      <c r="G61" s="155">
        <f>IF($B61=" ","",IFERROR(INDEX(MMWR_RATING_STATE_ROLLUP_QST[],MATCH($B61,MMWR_RATING_STATE_ROLLUP_QST[MMWR_RATING_STATE_ROLLUP_QST],0),MATCH(G$9,MMWR_RATING_STATE_ROLLUP_QST[#Headers],0)),"ERROR"))</f>
        <v>67</v>
      </c>
      <c r="H61" s="156">
        <f>IF($B61=" ","",IFERROR(INDEX(MMWR_RATING_STATE_ROLLUP_QST[],MATCH($B61,MMWR_RATING_STATE_ROLLUP_QST[MMWR_RATING_STATE_ROLLUP_QST],0),MATCH(H$9,MMWR_RATING_STATE_ROLLUP_QST[#Headers],0)),"ERROR"))</f>
        <v>143.43283582090001</v>
      </c>
      <c r="I61" s="156">
        <f>IF($B61=" ","",IFERROR(INDEX(MMWR_RATING_STATE_ROLLUP_QST[],MATCH($B61,MMWR_RATING_STATE_ROLLUP_QST[MMWR_RATING_STATE_ROLLUP_QST],0),MATCH(I$9,MMWR_RATING_STATE_ROLLUP_QST[#Headers],0)),"ERROR"))</f>
        <v>143.43283582090001</v>
      </c>
      <c r="J61" s="42"/>
      <c r="K61" s="42"/>
      <c r="L61" s="42"/>
      <c r="M61" s="42"/>
      <c r="N61" s="28"/>
    </row>
    <row r="62" spans="1:14" x14ac:dyDescent="0.2">
      <c r="A62" s="25"/>
      <c r="B62" s="8" t="str">
        <f>VLOOKUP($B$15,DISTRICT_STATES[],12,0)</f>
        <v>Pennsylvania</v>
      </c>
      <c r="C62" s="155">
        <f>IF($B62=" ","",IFERROR(INDEX(MMWR_RATING_STATE_ROLLUP_QST[],MATCH($B62,MMWR_RATING_STATE_ROLLUP_QST[MMWR_RATING_STATE_ROLLUP_QST],0),MATCH(C$9,MMWR_RATING_STATE_ROLLUP_QST[#Headers],0)),"ERROR"))</f>
        <v>203</v>
      </c>
      <c r="D62" s="156">
        <f>IF($B62=" ","",IFERROR(INDEX(MMWR_RATING_STATE_ROLLUP_QST[],MATCH($B62,MMWR_RATING_STATE_ROLLUP_QST[MMWR_RATING_STATE_ROLLUP_QST],0),MATCH(D$9,MMWR_RATING_STATE_ROLLUP_QST[#Headers],0)),"ERROR"))</f>
        <v>78.369458128100007</v>
      </c>
      <c r="E62" s="157">
        <f>IF($B62=" ","",IFERROR(INDEX(MMWR_RATING_STATE_ROLLUP_QST[],MATCH($B62,MMWR_RATING_STATE_ROLLUP_QST[MMWR_RATING_STATE_ROLLUP_QST],0),MATCH(E$9,MMWR_RATING_STATE_ROLLUP_QST[#Headers],0))/$C62,"ERROR"))</f>
        <v>0.15763546798029557</v>
      </c>
      <c r="F62" s="155">
        <f>IF($B62=" ","",IFERROR(INDEX(MMWR_RATING_STATE_ROLLUP_QST[],MATCH($B62,MMWR_RATING_STATE_ROLLUP_QST[MMWR_RATING_STATE_ROLLUP_QST],0),MATCH(F$9,MMWR_RATING_STATE_ROLLUP_QST[#Headers],0)),"ERROR"))</f>
        <v>29</v>
      </c>
      <c r="G62" s="155">
        <f>IF($B62=" ","",IFERROR(INDEX(MMWR_RATING_STATE_ROLLUP_QST[],MATCH($B62,MMWR_RATING_STATE_ROLLUP_QST[MMWR_RATING_STATE_ROLLUP_QST],0),MATCH(G$9,MMWR_RATING_STATE_ROLLUP_QST[#Headers],0)),"ERROR"))</f>
        <v>29</v>
      </c>
      <c r="H62" s="156">
        <f>IF($B62=" ","",IFERROR(INDEX(MMWR_RATING_STATE_ROLLUP_QST[],MATCH($B62,MMWR_RATING_STATE_ROLLUP_QST[MMWR_RATING_STATE_ROLLUP_QST],0),MATCH(H$9,MMWR_RATING_STATE_ROLLUP_QST[#Headers],0)),"ERROR"))</f>
        <v>132.7586206897</v>
      </c>
      <c r="I62" s="156">
        <f>IF($B62=" ","",IFERROR(INDEX(MMWR_RATING_STATE_ROLLUP_QST[],MATCH($B62,MMWR_RATING_STATE_ROLLUP_QST[MMWR_RATING_STATE_ROLLUP_QST],0),MATCH(I$9,MMWR_RATING_STATE_ROLLUP_QST[#Headers],0)),"ERROR"))</f>
        <v>132.7586206897</v>
      </c>
      <c r="J62" s="42"/>
      <c r="K62" s="42"/>
      <c r="L62" s="42"/>
      <c r="M62" s="42"/>
      <c r="N62" s="28"/>
    </row>
    <row r="63" spans="1:14" x14ac:dyDescent="0.2">
      <c r="A63" s="25"/>
      <c r="B63" s="8" t="str">
        <f>VLOOKUP($B$15,DISTRICT_STATES[],13,0)</f>
        <v>Rhode Island</v>
      </c>
      <c r="C63" s="155">
        <f>IF($B63=" ","",IFERROR(INDEX(MMWR_RATING_STATE_ROLLUP_QST[],MATCH($B63,MMWR_RATING_STATE_ROLLUP_QST[MMWR_RATING_STATE_ROLLUP_QST],0),MATCH(C$9,MMWR_RATING_STATE_ROLLUP_QST[#Headers],0)),"ERROR"))</f>
        <v>14</v>
      </c>
      <c r="D63" s="156">
        <f>IF($B63=" ","",IFERROR(INDEX(MMWR_RATING_STATE_ROLLUP_QST[],MATCH($B63,MMWR_RATING_STATE_ROLLUP_QST[MMWR_RATING_STATE_ROLLUP_QST],0),MATCH(D$9,MMWR_RATING_STATE_ROLLUP_QST[#Headers],0)),"ERROR"))</f>
        <v>97.214285714300004</v>
      </c>
      <c r="E63" s="157">
        <f>IF($B63=" ","",IFERROR(INDEX(MMWR_RATING_STATE_ROLLUP_QST[],MATCH($B63,MMWR_RATING_STATE_ROLLUP_QST[MMWR_RATING_STATE_ROLLUP_QST],0),MATCH(E$9,MMWR_RATING_STATE_ROLLUP_QST[#Headers],0))/$C63,"ERROR"))</f>
        <v>0.14285714285714285</v>
      </c>
      <c r="F63" s="155">
        <f>IF($B63=" ","",IFERROR(INDEX(MMWR_RATING_STATE_ROLLUP_QST[],MATCH($B63,MMWR_RATING_STATE_ROLLUP_QST[MMWR_RATING_STATE_ROLLUP_QST],0),MATCH(F$9,MMWR_RATING_STATE_ROLLUP_QST[#Headers],0)),"ERROR"))</f>
        <v>2</v>
      </c>
      <c r="G63" s="155">
        <f>IF($B63=" ","",IFERROR(INDEX(MMWR_RATING_STATE_ROLLUP_QST[],MATCH($B63,MMWR_RATING_STATE_ROLLUP_QST[MMWR_RATING_STATE_ROLLUP_QST],0),MATCH(G$9,MMWR_RATING_STATE_ROLLUP_QST[#Headers],0)),"ERROR"))</f>
        <v>2</v>
      </c>
      <c r="H63" s="156">
        <f>IF($B63=" ","",IFERROR(INDEX(MMWR_RATING_STATE_ROLLUP_QST[],MATCH($B63,MMWR_RATING_STATE_ROLLUP_QST[MMWR_RATING_STATE_ROLLUP_QST],0),MATCH(H$9,MMWR_RATING_STATE_ROLLUP_QST[#Headers],0)),"ERROR"))</f>
        <v>181.5</v>
      </c>
      <c r="I63" s="156">
        <f>IF($B63=" ","",IFERROR(INDEX(MMWR_RATING_STATE_ROLLUP_QST[],MATCH($B63,MMWR_RATING_STATE_ROLLUP_QST[MMWR_RATING_STATE_ROLLUP_QST],0),MATCH(I$9,MMWR_RATING_STATE_ROLLUP_QST[#Headers],0)),"ERROR"))</f>
        <v>181.5</v>
      </c>
      <c r="J63" s="42"/>
      <c r="K63" s="42"/>
      <c r="L63" s="42"/>
      <c r="M63" s="42"/>
      <c r="N63" s="28"/>
    </row>
    <row r="64" spans="1:14" x14ac:dyDescent="0.2">
      <c r="A64" s="25"/>
      <c r="B64" s="8" t="str">
        <f>VLOOKUP($B$15,DISTRICT_STATES[],14,0)</f>
        <v>Vermont</v>
      </c>
      <c r="C64" s="155">
        <f>IF($B64=" ","",IFERROR(INDEX(MMWR_RATING_STATE_ROLLUP_QST[],MATCH($B64,MMWR_RATING_STATE_ROLLUP_QST[MMWR_RATING_STATE_ROLLUP_QST],0),MATCH(C$9,MMWR_RATING_STATE_ROLLUP_QST[#Headers],0)),"ERROR"))</f>
        <v>7</v>
      </c>
      <c r="D64" s="156">
        <f>IF($B64=" ","",IFERROR(INDEX(MMWR_RATING_STATE_ROLLUP_QST[],MATCH($B64,MMWR_RATING_STATE_ROLLUP_QST[MMWR_RATING_STATE_ROLLUP_QST],0),MATCH(D$9,MMWR_RATING_STATE_ROLLUP_QST[#Headers],0)),"ERROR"))</f>
        <v>69.571428571400006</v>
      </c>
      <c r="E64" s="157">
        <f>IF($B64=" ","",IFERROR(INDEX(MMWR_RATING_STATE_ROLLUP_QST[],MATCH($B64,MMWR_RATING_STATE_ROLLUP_QST[MMWR_RATING_STATE_ROLLUP_QST],0),MATCH(E$9,MMWR_RATING_STATE_ROLLUP_QST[#Headers],0))/$C64,"ERROR"))</f>
        <v>0</v>
      </c>
      <c r="F64" s="155">
        <f>IF($B64=" ","",IFERROR(INDEX(MMWR_RATING_STATE_ROLLUP_QST[],MATCH($B64,MMWR_RATING_STATE_ROLLUP_QST[MMWR_RATING_STATE_ROLLUP_QST],0),MATCH(F$9,MMWR_RATING_STATE_ROLLUP_QST[#Headers],0)),"ERROR"))</f>
        <v>0</v>
      </c>
      <c r="G64" s="155">
        <f>IF($B64=" ","",IFERROR(INDEX(MMWR_RATING_STATE_ROLLUP_QST[],MATCH($B64,MMWR_RATING_STATE_ROLLUP_QST[MMWR_RATING_STATE_ROLLUP_QST],0),MATCH(G$9,MMWR_RATING_STATE_ROLLUP_QST[#Headers],0)),"ERROR"))</f>
        <v>0</v>
      </c>
      <c r="H64" s="156">
        <f>IF($B64=" ","",IFERROR(INDEX(MMWR_RATING_STATE_ROLLUP_QST[],MATCH($B64,MMWR_RATING_STATE_ROLLUP_QST[MMWR_RATING_STATE_ROLLUP_QST],0),MATCH(H$9,MMWR_RATING_STATE_ROLLUP_QST[#Headers],0)),"ERROR"))</f>
        <v>0</v>
      </c>
      <c r="I64" s="156">
        <f>IF($B64=" ","",IFERROR(INDEX(MMWR_RATING_STATE_ROLLUP_QST[],MATCH($B64,MMWR_RATING_STATE_ROLLUP_QST[MMWR_RATING_STATE_ROLLUP_QST],0),MATCH(I$9,MMWR_RATING_STATE_ROLLUP_QST[#Headers],0)),"ERROR"))</f>
        <v>0</v>
      </c>
      <c r="J64" s="42"/>
      <c r="K64" s="42"/>
      <c r="L64" s="42"/>
      <c r="M64" s="42"/>
      <c r="N64" s="28"/>
    </row>
    <row r="65" spans="1:14" x14ac:dyDescent="0.2">
      <c r="A65" s="25"/>
      <c r="B65" s="8" t="str">
        <f>VLOOKUP($B$15,DISTRICT_STATES[],15,0)</f>
        <v>Virginia</v>
      </c>
      <c r="C65" s="155">
        <f>IF($B65=" ","",IFERROR(INDEX(MMWR_RATING_STATE_ROLLUP_QST[],MATCH($B65,MMWR_RATING_STATE_ROLLUP_QST[MMWR_RATING_STATE_ROLLUP_QST],0),MATCH(C$9,MMWR_RATING_STATE_ROLLUP_QST[#Headers],0)),"ERROR"))</f>
        <v>651</v>
      </c>
      <c r="D65" s="156">
        <f>IF($B65=" ","",IFERROR(INDEX(MMWR_RATING_STATE_ROLLUP_QST[],MATCH($B65,MMWR_RATING_STATE_ROLLUP_QST[MMWR_RATING_STATE_ROLLUP_QST],0),MATCH(D$9,MMWR_RATING_STATE_ROLLUP_QST[#Headers],0)),"ERROR"))</f>
        <v>81.669738863299997</v>
      </c>
      <c r="E65" s="157">
        <f>IF($B65=" ","",IFERROR(INDEX(MMWR_RATING_STATE_ROLLUP_QST[],MATCH($B65,MMWR_RATING_STATE_ROLLUP_QST[MMWR_RATING_STATE_ROLLUP_QST],0),MATCH(E$9,MMWR_RATING_STATE_ROLLUP_QST[#Headers],0))/$C65,"ERROR"))</f>
        <v>0.15360983102918588</v>
      </c>
      <c r="F65" s="155">
        <f>IF($B65=" ","",IFERROR(INDEX(MMWR_RATING_STATE_ROLLUP_QST[],MATCH($B65,MMWR_RATING_STATE_ROLLUP_QST[MMWR_RATING_STATE_ROLLUP_QST],0),MATCH(F$9,MMWR_RATING_STATE_ROLLUP_QST[#Headers],0)),"ERROR"))</f>
        <v>83</v>
      </c>
      <c r="G65" s="155">
        <f>IF($B65=" ","",IFERROR(INDEX(MMWR_RATING_STATE_ROLLUP_QST[],MATCH($B65,MMWR_RATING_STATE_ROLLUP_QST[MMWR_RATING_STATE_ROLLUP_QST],0),MATCH(G$9,MMWR_RATING_STATE_ROLLUP_QST[#Headers],0)),"ERROR"))</f>
        <v>83</v>
      </c>
      <c r="H65" s="156">
        <f>IF($B65=" ","",IFERROR(INDEX(MMWR_RATING_STATE_ROLLUP_QST[],MATCH($B65,MMWR_RATING_STATE_ROLLUP_QST[MMWR_RATING_STATE_ROLLUP_QST],0),MATCH(H$9,MMWR_RATING_STATE_ROLLUP_QST[#Headers],0)),"ERROR"))</f>
        <v>167.32530120480001</v>
      </c>
      <c r="I65" s="156">
        <f>IF($B65=" ","",IFERROR(INDEX(MMWR_RATING_STATE_ROLLUP_QST[],MATCH($B65,MMWR_RATING_STATE_ROLLUP_QST[MMWR_RATING_STATE_ROLLUP_QST],0),MATCH(I$9,MMWR_RATING_STATE_ROLLUP_QST[#Headers],0)),"ERROR"))</f>
        <v>167.32530120480001</v>
      </c>
      <c r="J65" s="42"/>
      <c r="K65" s="42"/>
      <c r="L65" s="42"/>
      <c r="M65" s="42"/>
      <c r="N65" s="28"/>
    </row>
    <row r="66" spans="1:14" x14ac:dyDescent="0.2">
      <c r="A66" s="25"/>
      <c r="B66" s="8" t="str">
        <f>VLOOKUP($B$15,DISTRICT_STATES[],16,0)</f>
        <v>West Virginia</v>
      </c>
      <c r="C66" s="155">
        <f>IF($B66=" ","",IFERROR(INDEX(MMWR_RATING_STATE_ROLLUP_QST[],MATCH($B66,MMWR_RATING_STATE_ROLLUP_QST[MMWR_RATING_STATE_ROLLUP_QST],0),MATCH(C$9,MMWR_RATING_STATE_ROLLUP_QST[#Headers],0)),"ERROR"))</f>
        <v>23</v>
      </c>
      <c r="D66" s="156">
        <f>IF($B66=" ","",IFERROR(INDEX(MMWR_RATING_STATE_ROLLUP_QST[],MATCH($B66,MMWR_RATING_STATE_ROLLUP_QST[MMWR_RATING_STATE_ROLLUP_QST],0),MATCH(D$9,MMWR_RATING_STATE_ROLLUP_QST[#Headers],0)),"ERROR"))</f>
        <v>65.608695652199998</v>
      </c>
      <c r="E66" s="157">
        <f>IF($B66=" ","",IFERROR(INDEX(MMWR_RATING_STATE_ROLLUP_QST[],MATCH($B66,MMWR_RATING_STATE_ROLLUP_QST[MMWR_RATING_STATE_ROLLUP_QST],0),MATCH(E$9,MMWR_RATING_STATE_ROLLUP_QST[#Headers],0))/$C66,"ERROR"))</f>
        <v>4.3478260869565216E-2</v>
      </c>
      <c r="F66" s="155">
        <f>IF($B66=" ","",IFERROR(INDEX(MMWR_RATING_STATE_ROLLUP_QST[],MATCH($B66,MMWR_RATING_STATE_ROLLUP_QST[MMWR_RATING_STATE_ROLLUP_QST],0),MATCH(F$9,MMWR_RATING_STATE_ROLLUP_QST[#Headers],0)),"ERROR"))</f>
        <v>4</v>
      </c>
      <c r="G66" s="155">
        <f>IF($B66=" ","",IFERROR(INDEX(MMWR_RATING_STATE_ROLLUP_QST[],MATCH($B66,MMWR_RATING_STATE_ROLLUP_QST[MMWR_RATING_STATE_ROLLUP_QST],0),MATCH(G$9,MMWR_RATING_STATE_ROLLUP_QST[#Headers],0)),"ERROR"))</f>
        <v>4</v>
      </c>
      <c r="H66" s="156">
        <f>IF($B66=" ","",IFERROR(INDEX(MMWR_RATING_STATE_ROLLUP_QST[],MATCH($B66,MMWR_RATING_STATE_ROLLUP_QST[MMWR_RATING_STATE_ROLLUP_QST],0),MATCH(H$9,MMWR_RATING_STATE_ROLLUP_QST[#Headers],0)),"ERROR"))</f>
        <v>152.75</v>
      </c>
      <c r="I66" s="156">
        <f>IF($B66=" ","",IFERROR(INDEX(MMWR_RATING_STATE_ROLLUP_QST[],MATCH($B66,MMWR_RATING_STATE_ROLLUP_QST[MMWR_RATING_STATE_ROLLUP_QST],0),MATCH(I$9,MMWR_RATING_STATE_ROLLUP_QST[#Headers],0)),"ERROR"))</f>
        <v>152.75</v>
      </c>
      <c r="J66" s="42"/>
      <c r="K66" s="42"/>
      <c r="L66" s="42"/>
      <c r="M66" s="42"/>
      <c r="N66" s="28"/>
    </row>
    <row r="67" spans="1:14" x14ac:dyDescent="0.2">
      <c r="A67" s="25"/>
      <c r="B67" s="377" t="s">
        <v>1048</v>
      </c>
      <c r="C67" s="378"/>
      <c r="D67" s="378"/>
      <c r="E67" s="378"/>
      <c r="F67" s="378"/>
      <c r="G67" s="378"/>
      <c r="H67" s="378"/>
      <c r="I67" s="378"/>
      <c r="J67" s="378"/>
      <c r="K67" s="378"/>
      <c r="L67" s="378"/>
      <c r="M67" s="387"/>
      <c r="N67" s="28"/>
    </row>
    <row r="68" spans="1:14" ht="25.5" x14ac:dyDescent="0.2">
      <c r="A68" s="25"/>
      <c r="B68" s="252" t="s">
        <v>1044</v>
      </c>
      <c r="C68" s="155">
        <f>IF($B68=" ","",IFERROR(INDEX(MMWR_RATING_STATE_ROLLUP_BDD[],MATCH($B68,MMWR_RATING_STATE_ROLLUP_BDD[MMWR_RATING_STATE_ROLLUP_BDD],0),MATCH(C$9,MMWR_RATING_STATE_ROLLUP_BDD[#Headers],0)),"ERROR"))</f>
        <v>11053</v>
      </c>
      <c r="D68" s="156">
        <f>IF($B68=" ","",IFERROR(INDEX(MMWR_RATING_STATE_ROLLUP_BDD[],MATCH($B68,MMWR_RATING_STATE_ROLLUP_BDD[MMWR_RATING_STATE_ROLLUP_BDD],0),MATCH(D$9,MMWR_RATING_STATE_ROLLUP_BDD[#Headers],0)),"ERROR"))</f>
        <v>76.560481317300003</v>
      </c>
      <c r="E68" s="157">
        <f>IF($B68=" ","",IFERROR(INDEX(MMWR_RATING_STATE_ROLLUP_BDD[],MATCH($B68,MMWR_RATING_STATE_ROLLUP_BDD[MMWR_RATING_STATE_ROLLUP_BDD],0),MATCH(E$9,MMWR_RATING_STATE_ROLLUP_BDD[#Headers],0))/$C68,"ERROR"))</f>
        <v>0.1024156337645888</v>
      </c>
      <c r="F68" s="155">
        <f>IF($B68=" ","",IFERROR(INDEX(MMWR_RATING_STATE_ROLLUP_BDD[],MATCH($B68,MMWR_RATING_STATE_ROLLUP_BDD[MMWR_RATING_STATE_ROLLUP_BDD],0),MATCH(F$9,MMWR_RATING_STATE_ROLLUP_BDD[#Headers],0)),"ERROR"))</f>
        <v>1576</v>
      </c>
      <c r="G68" s="155">
        <f>IF($B68=" ","",IFERROR(INDEX(MMWR_RATING_STATE_ROLLUP_BDD[],MATCH($B68,MMWR_RATING_STATE_ROLLUP_BDD[MMWR_RATING_STATE_ROLLUP_BDD],0),MATCH(G$9,MMWR_RATING_STATE_ROLLUP_BDD[#Headers],0)),"ERROR"))</f>
        <v>1576</v>
      </c>
      <c r="H68" s="156">
        <f>IF($B68=" ","",IFERROR(INDEX(MMWR_RATING_STATE_ROLLUP_BDD[],MATCH($B68,MMWR_RATING_STATE_ROLLUP_BDD[MMWR_RATING_STATE_ROLLUP_BDD],0),MATCH(H$9,MMWR_RATING_STATE_ROLLUP_BDD[#Headers],0)),"ERROR"))</f>
        <v>129.00761421319999</v>
      </c>
      <c r="I68" s="156">
        <f>IF($B68=" ","",IFERROR(INDEX(MMWR_RATING_STATE_ROLLUP_BDD[],MATCH($B68,MMWR_RATING_STATE_ROLLUP_BDD[MMWR_RATING_STATE_ROLLUP_BDD],0),MATCH(I$9,MMWR_RATING_STATE_ROLLUP_BDD[#Headers],0)),"ERROR"))</f>
        <v>129.00761421319999</v>
      </c>
      <c r="J68" s="42"/>
      <c r="K68" s="42"/>
      <c r="L68" s="42"/>
      <c r="M68" s="42"/>
      <c r="N68" s="28"/>
    </row>
    <row r="69" spans="1:14" x14ac:dyDescent="0.2">
      <c r="A69" s="25"/>
      <c r="B69" s="250" t="str">
        <f>INDEX(DISTRICT_STATES[],MATCH($B$5,DISTRICT_RO[District],0),1)</f>
        <v>North Atlantic</v>
      </c>
      <c r="C69" s="155">
        <f>IF($B69=" ","",IFERROR(INDEX(MMWR_RATING_STATE_ROLLUP_BDD[],MATCH($B69,MMWR_RATING_STATE_ROLLUP_BDD[MMWR_RATING_STATE_ROLLUP_BDD],0),MATCH(C$9,MMWR_RATING_STATE_ROLLUP_BDD[#Headers],0)),"ERROR"))</f>
        <v>3441</v>
      </c>
      <c r="D69" s="156">
        <f>IF($B69=" ","",IFERROR(INDEX(MMWR_RATING_STATE_ROLLUP_BDD[],MATCH($B69,MMWR_RATING_STATE_ROLLUP_BDD[MMWR_RATING_STATE_ROLLUP_BDD],0),MATCH(D$9,MMWR_RATING_STATE_ROLLUP_BDD[#Headers],0)),"ERROR"))</f>
        <v>79.5129322871</v>
      </c>
      <c r="E69" s="157">
        <f>IF($B69=" ","",IFERROR(INDEX(MMWR_RATING_STATE_ROLLUP_BDD[],MATCH($B69,MMWR_RATING_STATE_ROLLUP_BDD[MMWR_RATING_STATE_ROLLUP_BDD],0),MATCH(E$9,MMWR_RATING_STATE_ROLLUP_BDD[#Headers],0))/$C69,"ERROR"))</f>
        <v>0.11769834350479512</v>
      </c>
      <c r="F69" s="155">
        <f>IF($B69=" ","",IFERROR(INDEX(MMWR_RATING_STATE_ROLLUP_BDD[],MATCH($B69,MMWR_RATING_STATE_ROLLUP_BDD[MMWR_RATING_STATE_ROLLUP_BDD],0),MATCH(F$9,MMWR_RATING_STATE_ROLLUP_BDD[#Headers],0)),"ERROR"))</f>
        <v>351</v>
      </c>
      <c r="G69" s="155">
        <f>IF($B69=" ","",IFERROR(INDEX(MMWR_RATING_STATE_ROLLUP_BDD[],MATCH($B69,MMWR_RATING_STATE_ROLLUP_BDD[MMWR_RATING_STATE_ROLLUP_BDD],0),MATCH(G$9,MMWR_RATING_STATE_ROLLUP_BDD[#Headers],0)),"ERROR"))</f>
        <v>351</v>
      </c>
      <c r="H69" s="156">
        <f>IF($B69=" ","",IFERROR(INDEX(MMWR_RATING_STATE_ROLLUP_BDD[],MATCH($B69,MMWR_RATING_STATE_ROLLUP_BDD[MMWR_RATING_STATE_ROLLUP_BDD],0),MATCH(H$9,MMWR_RATING_STATE_ROLLUP_BDD[#Headers],0)),"ERROR"))</f>
        <v>140.10256410260001</v>
      </c>
      <c r="I69" s="156">
        <f>IF($B69=" ","",IFERROR(INDEX(MMWR_RATING_STATE_ROLLUP_BDD[],MATCH($B69,MMWR_RATING_STATE_ROLLUP_BDD[MMWR_RATING_STATE_ROLLUP_BDD],0),MATCH(I$9,MMWR_RATING_STATE_ROLLUP_BDD[#Headers],0)),"ERROR"))</f>
        <v>140.10256410260001</v>
      </c>
      <c r="J69" s="42"/>
      <c r="K69" s="42"/>
      <c r="L69" s="42"/>
      <c r="M69" s="42"/>
      <c r="N69" s="28"/>
    </row>
    <row r="70" spans="1:14" x14ac:dyDescent="0.2">
      <c r="A70" s="25"/>
      <c r="B70" s="8" t="str">
        <f>VLOOKUP($B$15,DISTRICT_STATES[],2,0)</f>
        <v>Connecticut</v>
      </c>
      <c r="C70" s="155">
        <f>IF($B70=" ","",IFERROR(INDEX(MMWR_RATING_STATE_ROLLUP_BDD[],MATCH($B70,MMWR_RATING_STATE_ROLLUP_BDD[MMWR_RATING_STATE_ROLLUP_BDD],0),MATCH(C$9,MMWR_RATING_STATE_ROLLUP_BDD[#Headers],0)),"ERROR"))</f>
        <v>69</v>
      </c>
      <c r="D70" s="156">
        <f>IF($B70=" ","",IFERROR(INDEX(MMWR_RATING_STATE_ROLLUP_BDD[],MATCH($B70,MMWR_RATING_STATE_ROLLUP_BDD[MMWR_RATING_STATE_ROLLUP_BDD],0),MATCH(D$9,MMWR_RATING_STATE_ROLLUP_BDD[#Headers],0)),"ERROR"))</f>
        <v>78.4492753623</v>
      </c>
      <c r="E70" s="157">
        <f>IF($B70=" ","",IFERROR(INDEX(MMWR_RATING_STATE_ROLLUP_BDD[],MATCH($B70,MMWR_RATING_STATE_ROLLUP_BDD[MMWR_RATING_STATE_ROLLUP_BDD],0),MATCH(E$9,MMWR_RATING_STATE_ROLLUP_BDD[#Headers],0))/$C70,"ERROR"))</f>
        <v>0.10144927536231885</v>
      </c>
      <c r="F70" s="155">
        <f>IF($B70=" ","",IFERROR(INDEX(MMWR_RATING_STATE_ROLLUP_BDD[],MATCH($B70,MMWR_RATING_STATE_ROLLUP_BDD[MMWR_RATING_STATE_ROLLUP_BDD],0),MATCH(F$9,MMWR_RATING_STATE_ROLLUP_BDD[#Headers],0)),"ERROR"))</f>
        <v>6</v>
      </c>
      <c r="G70" s="155">
        <f>IF($B70=" ","",IFERROR(INDEX(MMWR_RATING_STATE_ROLLUP_BDD[],MATCH($B70,MMWR_RATING_STATE_ROLLUP_BDD[MMWR_RATING_STATE_ROLLUP_BDD],0),MATCH(G$9,MMWR_RATING_STATE_ROLLUP_BDD[#Headers],0)),"ERROR"))</f>
        <v>6</v>
      </c>
      <c r="H70" s="156">
        <f>IF($B70=" ","",IFERROR(INDEX(MMWR_RATING_STATE_ROLLUP_BDD[],MATCH($B70,MMWR_RATING_STATE_ROLLUP_BDD[MMWR_RATING_STATE_ROLLUP_BDD],0),MATCH(H$9,MMWR_RATING_STATE_ROLLUP_BDD[#Headers],0)),"ERROR"))</f>
        <v>122.8333333333</v>
      </c>
      <c r="I70" s="156">
        <f>IF($B70=" ","",IFERROR(INDEX(MMWR_RATING_STATE_ROLLUP_BDD[],MATCH($B70,MMWR_RATING_STATE_ROLLUP_BDD[MMWR_RATING_STATE_ROLLUP_BDD],0),MATCH(I$9,MMWR_RATING_STATE_ROLLUP_BDD[#Headers],0)),"ERROR"))</f>
        <v>122.8333333333</v>
      </c>
      <c r="J70" s="42"/>
      <c r="K70" s="42"/>
      <c r="L70" s="42"/>
      <c r="M70" s="42"/>
      <c r="N70" s="28"/>
    </row>
    <row r="71" spans="1:14" x14ac:dyDescent="0.2">
      <c r="A71" s="25"/>
      <c r="B71" s="8" t="str">
        <f>VLOOKUP($B$15,DISTRICT_STATES[],3,0)</f>
        <v>Delaware</v>
      </c>
      <c r="C71" s="155">
        <f>IF($B71=" ","",IFERROR(INDEX(MMWR_RATING_STATE_ROLLUP_BDD[],MATCH($B71,MMWR_RATING_STATE_ROLLUP_BDD[MMWR_RATING_STATE_ROLLUP_BDD],0),MATCH(C$9,MMWR_RATING_STATE_ROLLUP_BDD[#Headers],0)),"ERROR"))</f>
        <v>30</v>
      </c>
      <c r="D71" s="156">
        <f>IF($B71=" ","",IFERROR(INDEX(MMWR_RATING_STATE_ROLLUP_BDD[],MATCH($B71,MMWR_RATING_STATE_ROLLUP_BDD[MMWR_RATING_STATE_ROLLUP_BDD],0),MATCH(D$9,MMWR_RATING_STATE_ROLLUP_BDD[#Headers],0)),"ERROR"))</f>
        <v>79.400000000000006</v>
      </c>
      <c r="E71" s="157">
        <f>IF($B71=" ","",IFERROR(INDEX(MMWR_RATING_STATE_ROLLUP_BDD[],MATCH($B71,MMWR_RATING_STATE_ROLLUP_BDD[MMWR_RATING_STATE_ROLLUP_BDD],0),MATCH(E$9,MMWR_RATING_STATE_ROLLUP_BDD[#Headers],0))/$C71,"ERROR"))</f>
        <v>0.2</v>
      </c>
      <c r="F71" s="155">
        <f>IF($B71=" ","",IFERROR(INDEX(MMWR_RATING_STATE_ROLLUP_BDD[],MATCH($B71,MMWR_RATING_STATE_ROLLUP_BDD[MMWR_RATING_STATE_ROLLUP_BDD],0),MATCH(F$9,MMWR_RATING_STATE_ROLLUP_BDD[#Headers],0)),"ERROR"))</f>
        <v>0</v>
      </c>
      <c r="G71" s="155">
        <f>IF($B71=" ","",IFERROR(INDEX(MMWR_RATING_STATE_ROLLUP_BDD[],MATCH($B71,MMWR_RATING_STATE_ROLLUP_BDD[MMWR_RATING_STATE_ROLLUP_BDD],0),MATCH(G$9,MMWR_RATING_STATE_ROLLUP_BDD[#Headers],0)),"ERROR"))</f>
        <v>0</v>
      </c>
      <c r="H71" s="156">
        <f>IF($B71=" ","",IFERROR(INDEX(MMWR_RATING_STATE_ROLLUP_BDD[],MATCH($B71,MMWR_RATING_STATE_ROLLUP_BDD[MMWR_RATING_STATE_ROLLUP_BDD],0),MATCH(H$9,MMWR_RATING_STATE_ROLLUP_BDD[#Headers],0)),"ERROR"))</f>
        <v>0</v>
      </c>
      <c r="I71" s="156">
        <f>IF($B71=" ","",IFERROR(INDEX(MMWR_RATING_STATE_ROLLUP_BDD[],MATCH($B71,MMWR_RATING_STATE_ROLLUP_BDD[MMWR_RATING_STATE_ROLLUP_BDD],0),MATCH(I$9,MMWR_RATING_STATE_ROLLUP_BDD[#Headers],0)),"ERROR"))</f>
        <v>0</v>
      </c>
      <c r="J71" s="42"/>
      <c r="K71" s="42"/>
      <c r="L71" s="42"/>
      <c r="M71" s="42"/>
      <c r="N71" s="28"/>
    </row>
    <row r="72" spans="1:14" x14ac:dyDescent="0.2">
      <c r="A72" s="25"/>
      <c r="B72" s="8" t="str">
        <f>VLOOKUP($B$15,DISTRICT_STATES[],4,0)</f>
        <v>District of Columbia</v>
      </c>
      <c r="C72" s="155">
        <f>IF($B72=" ","",IFERROR(INDEX(MMWR_RATING_STATE_ROLLUP_BDD[],MATCH($B72,MMWR_RATING_STATE_ROLLUP_BDD[MMWR_RATING_STATE_ROLLUP_BDD],0),MATCH(C$9,MMWR_RATING_STATE_ROLLUP_BDD[#Headers],0)),"ERROR"))</f>
        <v>30</v>
      </c>
      <c r="D72" s="156">
        <f>IF($B72=" ","",IFERROR(INDEX(MMWR_RATING_STATE_ROLLUP_BDD[],MATCH($B72,MMWR_RATING_STATE_ROLLUP_BDD[MMWR_RATING_STATE_ROLLUP_BDD],0),MATCH(D$9,MMWR_RATING_STATE_ROLLUP_BDD[#Headers],0)),"ERROR"))</f>
        <v>76.666666666699996</v>
      </c>
      <c r="E72" s="157">
        <f>IF($B72=" ","",IFERROR(INDEX(MMWR_RATING_STATE_ROLLUP_BDD[],MATCH($B72,MMWR_RATING_STATE_ROLLUP_BDD[MMWR_RATING_STATE_ROLLUP_BDD],0),MATCH(E$9,MMWR_RATING_STATE_ROLLUP_BDD[#Headers],0))/$C72,"ERROR"))</f>
        <v>6.6666666666666666E-2</v>
      </c>
      <c r="F72" s="155">
        <f>IF($B72=" ","",IFERROR(INDEX(MMWR_RATING_STATE_ROLLUP_BDD[],MATCH($B72,MMWR_RATING_STATE_ROLLUP_BDD[MMWR_RATING_STATE_ROLLUP_BDD],0),MATCH(F$9,MMWR_RATING_STATE_ROLLUP_BDD[#Headers],0)),"ERROR"))</f>
        <v>2</v>
      </c>
      <c r="G72" s="155">
        <f>IF($B72=" ","",IFERROR(INDEX(MMWR_RATING_STATE_ROLLUP_BDD[],MATCH($B72,MMWR_RATING_STATE_ROLLUP_BDD[MMWR_RATING_STATE_ROLLUP_BDD],0),MATCH(G$9,MMWR_RATING_STATE_ROLLUP_BDD[#Headers],0)),"ERROR"))</f>
        <v>2</v>
      </c>
      <c r="H72" s="156">
        <f>IF($B72=" ","",IFERROR(INDEX(MMWR_RATING_STATE_ROLLUP_BDD[],MATCH($B72,MMWR_RATING_STATE_ROLLUP_BDD[MMWR_RATING_STATE_ROLLUP_BDD],0),MATCH(H$9,MMWR_RATING_STATE_ROLLUP_BDD[#Headers],0)),"ERROR"))</f>
        <v>156.5</v>
      </c>
      <c r="I72" s="156">
        <f>IF($B72=" ","",IFERROR(INDEX(MMWR_RATING_STATE_ROLLUP_BDD[],MATCH($B72,MMWR_RATING_STATE_ROLLUP_BDD[MMWR_RATING_STATE_ROLLUP_BDD],0),MATCH(I$9,MMWR_RATING_STATE_ROLLUP_BDD[#Headers],0)),"ERROR"))</f>
        <v>156.5</v>
      </c>
      <c r="J72" s="42"/>
      <c r="K72" s="42"/>
      <c r="L72" s="42"/>
      <c r="M72" s="42"/>
      <c r="N72" s="28"/>
    </row>
    <row r="73" spans="1:14" x14ac:dyDescent="0.2">
      <c r="A73" s="25"/>
      <c r="B73" s="8" t="str">
        <f>VLOOKUP($B$15,DISTRICT_STATES[],5,0)</f>
        <v>Maine</v>
      </c>
      <c r="C73" s="155">
        <f>IF($B73=" ","",IFERROR(INDEX(MMWR_RATING_STATE_ROLLUP_BDD[],MATCH($B73,MMWR_RATING_STATE_ROLLUP_BDD[MMWR_RATING_STATE_ROLLUP_BDD],0),MATCH(C$9,MMWR_RATING_STATE_ROLLUP_BDD[#Headers],0)),"ERROR"))</f>
        <v>20</v>
      </c>
      <c r="D73" s="156">
        <f>IF($B73=" ","",IFERROR(INDEX(MMWR_RATING_STATE_ROLLUP_BDD[],MATCH($B73,MMWR_RATING_STATE_ROLLUP_BDD[MMWR_RATING_STATE_ROLLUP_BDD],0),MATCH(D$9,MMWR_RATING_STATE_ROLLUP_BDD[#Headers],0)),"ERROR"))</f>
        <v>96.5</v>
      </c>
      <c r="E73" s="157">
        <f>IF($B73=" ","",IFERROR(INDEX(MMWR_RATING_STATE_ROLLUP_BDD[],MATCH($B73,MMWR_RATING_STATE_ROLLUP_BDD[MMWR_RATING_STATE_ROLLUP_BDD],0),MATCH(E$9,MMWR_RATING_STATE_ROLLUP_BDD[#Headers],0))/$C73,"ERROR"))</f>
        <v>0.25</v>
      </c>
      <c r="F73" s="155">
        <f>IF($B73=" ","",IFERROR(INDEX(MMWR_RATING_STATE_ROLLUP_BDD[],MATCH($B73,MMWR_RATING_STATE_ROLLUP_BDD[MMWR_RATING_STATE_ROLLUP_BDD],0),MATCH(F$9,MMWR_RATING_STATE_ROLLUP_BDD[#Headers],0)),"ERROR"))</f>
        <v>2</v>
      </c>
      <c r="G73" s="155">
        <f>IF($B73=" ","",IFERROR(INDEX(MMWR_RATING_STATE_ROLLUP_BDD[],MATCH($B73,MMWR_RATING_STATE_ROLLUP_BDD[MMWR_RATING_STATE_ROLLUP_BDD],0),MATCH(G$9,MMWR_RATING_STATE_ROLLUP_BDD[#Headers],0)),"ERROR"))</f>
        <v>2</v>
      </c>
      <c r="H73" s="156">
        <f>IF($B73=" ","",IFERROR(INDEX(MMWR_RATING_STATE_ROLLUP_BDD[],MATCH($B73,MMWR_RATING_STATE_ROLLUP_BDD[MMWR_RATING_STATE_ROLLUP_BDD],0),MATCH(H$9,MMWR_RATING_STATE_ROLLUP_BDD[#Headers],0)),"ERROR"))</f>
        <v>146</v>
      </c>
      <c r="I73" s="156">
        <f>IF($B73=" ","",IFERROR(INDEX(MMWR_RATING_STATE_ROLLUP_BDD[],MATCH($B73,MMWR_RATING_STATE_ROLLUP_BDD[MMWR_RATING_STATE_ROLLUP_BDD],0),MATCH(I$9,MMWR_RATING_STATE_ROLLUP_BDD[#Headers],0)),"ERROR"))</f>
        <v>146</v>
      </c>
      <c r="J73" s="42"/>
      <c r="K73" s="42"/>
      <c r="L73" s="42"/>
      <c r="M73" s="42"/>
      <c r="N73" s="28"/>
    </row>
    <row r="74" spans="1:14" x14ac:dyDescent="0.2">
      <c r="A74" s="25"/>
      <c r="B74" s="8" t="str">
        <f>VLOOKUP($B$15,DISTRICT_STATES[],6,0)</f>
        <v>Maryland</v>
      </c>
      <c r="C74" s="155">
        <f>IF($B74=" ","",IFERROR(INDEX(MMWR_RATING_STATE_ROLLUP_BDD[],MATCH($B74,MMWR_RATING_STATE_ROLLUP_BDD[MMWR_RATING_STATE_ROLLUP_BDD],0),MATCH(C$9,MMWR_RATING_STATE_ROLLUP_BDD[#Headers],0)),"ERROR"))</f>
        <v>344</v>
      </c>
      <c r="D74" s="156">
        <f>IF($B74=" ","",IFERROR(INDEX(MMWR_RATING_STATE_ROLLUP_BDD[],MATCH($B74,MMWR_RATING_STATE_ROLLUP_BDD[MMWR_RATING_STATE_ROLLUP_BDD],0),MATCH(D$9,MMWR_RATING_STATE_ROLLUP_BDD[#Headers],0)),"ERROR"))</f>
        <v>80.183139534899993</v>
      </c>
      <c r="E74" s="157">
        <f>IF($B74=" ","",IFERROR(INDEX(MMWR_RATING_STATE_ROLLUP_BDD[],MATCH($B74,MMWR_RATING_STATE_ROLLUP_BDD[MMWR_RATING_STATE_ROLLUP_BDD],0),MATCH(E$9,MMWR_RATING_STATE_ROLLUP_BDD[#Headers],0))/$C74,"ERROR"))</f>
        <v>0.11627906976744186</v>
      </c>
      <c r="F74" s="155">
        <f>IF($B74=" ","",IFERROR(INDEX(MMWR_RATING_STATE_ROLLUP_BDD[],MATCH($B74,MMWR_RATING_STATE_ROLLUP_BDD[MMWR_RATING_STATE_ROLLUP_BDD],0),MATCH(F$9,MMWR_RATING_STATE_ROLLUP_BDD[#Headers],0)),"ERROR"))</f>
        <v>32</v>
      </c>
      <c r="G74" s="155">
        <f>IF($B74=" ","",IFERROR(INDEX(MMWR_RATING_STATE_ROLLUP_BDD[],MATCH($B74,MMWR_RATING_STATE_ROLLUP_BDD[MMWR_RATING_STATE_ROLLUP_BDD],0),MATCH(G$9,MMWR_RATING_STATE_ROLLUP_BDD[#Headers],0)),"ERROR"))</f>
        <v>32</v>
      </c>
      <c r="H74" s="156">
        <f>IF($B74=" ","",IFERROR(INDEX(MMWR_RATING_STATE_ROLLUP_BDD[],MATCH($B74,MMWR_RATING_STATE_ROLLUP_BDD[MMWR_RATING_STATE_ROLLUP_BDD],0),MATCH(H$9,MMWR_RATING_STATE_ROLLUP_BDD[#Headers],0)),"ERROR"))</f>
        <v>139.40625</v>
      </c>
      <c r="I74" s="156">
        <f>IF($B74=" ","",IFERROR(INDEX(MMWR_RATING_STATE_ROLLUP_BDD[],MATCH($B74,MMWR_RATING_STATE_ROLLUP_BDD[MMWR_RATING_STATE_ROLLUP_BDD],0),MATCH(I$9,MMWR_RATING_STATE_ROLLUP_BDD[#Headers],0)),"ERROR"))</f>
        <v>139.40625</v>
      </c>
      <c r="J74" s="42"/>
      <c r="K74" s="42"/>
      <c r="L74" s="42"/>
      <c r="M74" s="42"/>
      <c r="N74" s="28"/>
    </row>
    <row r="75" spans="1:14" x14ac:dyDescent="0.2">
      <c r="A75" s="25"/>
      <c r="B75" s="8" t="str">
        <f>VLOOKUP($B$15,DISTRICT_STATES[],7,0)</f>
        <v>Massachusetts</v>
      </c>
      <c r="C75" s="155">
        <f>IF($B75=" ","",IFERROR(INDEX(MMWR_RATING_STATE_ROLLUP_BDD[],MATCH($B75,MMWR_RATING_STATE_ROLLUP_BDD[MMWR_RATING_STATE_ROLLUP_BDD],0),MATCH(C$9,MMWR_RATING_STATE_ROLLUP_BDD[#Headers],0)),"ERROR"))</f>
        <v>59</v>
      </c>
      <c r="D75" s="156">
        <f>IF($B75=" ","",IFERROR(INDEX(MMWR_RATING_STATE_ROLLUP_BDD[],MATCH($B75,MMWR_RATING_STATE_ROLLUP_BDD[MMWR_RATING_STATE_ROLLUP_BDD],0),MATCH(D$9,MMWR_RATING_STATE_ROLLUP_BDD[#Headers],0)),"ERROR"))</f>
        <v>87.271186440700006</v>
      </c>
      <c r="E75" s="157">
        <f>IF($B75=" ","",IFERROR(INDEX(MMWR_RATING_STATE_ROLLUP_BDD[],MATCH($B75,MMWR_RATING_STATE_ROLLUP_BDD[MMWR_RATING_STATE_ROLLUP_BDD],0),MATCH(E$9,MMWR_RATING_STATE_ROLLUP_BDD[#Headers],0))/$C75,"ERROR"))</f>
        <v>0.15254237288135594</v>
      </c>
      <c r="F75" s="155">
        <f>IF($B75=" ","",IFERROR(INDEX(MMWR_RATING_STATE_ROLLUP_BDD[],MATCH($B75,MMWR_RATING_STATE_ROLLUP_BDD[MMWR_RATING_STATE_ROLLUP_BDD],0),MATCH(F$9,MMWR_RATING_STATE_ROLLUP_BDD[#Headers],0)),"ERROR"))</f>
        <v>2</v>
      </c>
      <c r="G75" s="155">
        <f>IF($B75=" ","",IFERROR(INDEX(MMWR_RATING_STATE_ROLLUP_BDD[],MATCH($B75,MMWR_RATING_STATE_ROLLUP_BDD[MMWR_RATING_STATE_ROLLUP_BDD],0),MATCH(G$9,MMWR_RATING_STATE_ROLLUP_BDD[#Headers],0)),"ERROR"))</f>
        <v>2</v>
      </c>
      <c r="H75" s="156">
        <f>IF($B75=" ","",IFERROR(INDEX(MMWR_RATING_STATE_ROLLUP_BDD[],MATCH($B75,MMWR_RATING_STATE_ROLLUP_BDD[MMWR_RATING_STATE_ROLLUP_BDD],0),MATCH(H$9,MMWR_RATING_STATE_ROLLUP_BDD[#Headers],0)),"ERROR"))</f>
        <v>126.5</v>
      </c>
      <c r="I75" s="156">
        <f>IF($B75=" ","",IFERROR(INDEX(MMWR_RATING_STATE_ROLLUP_BDD[],MATCH($B75,MMWR_RATING_STATE_ROLLUP_BDD[MMWR_RATING_STATE_ROLLUP_BDD],0),MATCH(I$9,MMWR_RATING_STATE_ROLLUP_BDD[#Headers],0)),"ERROR"))</f>
        <v>126.5</v>
      </c>
      <c r="J75" s="42"/>
      <c r="K75" s="42"/>
      <c r="L75" s="42"/>
      <c r="M75" s="42"/>
      <c r="N75" s="28"/>
    </row>
    <row r="76" spans="1:14" x14ac:dyDescent="0.2">
      <c r="A76" s="25"/>
      <c r="B76" s="8" t="str">
        <f>VLOOKUP($B$15,DISTRICT_STATES[],8,0)</f>
        <v>New Hampshire</v>
      </c>
      <c r="C76" s="155">
        <f>IF($B76=" ","",IFERROR(INDEX(MMWR_RATING_STATE_ROLLUP_BDD[],MATCH($B76,MMWR_RATING_STATE_ROLLUP_BDD[MMWR_RATING_STATE_ROLLUP_BDD],0),MATCH(C$9,MMWR_RATING_STATE_ROLLUP_BDD[#Headers],0)),"ERROR"))</f>
        <v>17</v>
      </c>
      <c r="D76" s="156">
        <f>IF($B76=" ","",IFERROR(INDEX(MMWR_RATING_STATE_ROLLUP_BDD[],MATCH($B76,MMWR_RATING_STATE_ROLLUP_BDD[MMWR_RATING_STATE_ROLLUP_BDD],0),MATCH(D$9,MMWR_RATING_STATE_ROLLUP_BDD[#Headers],0)),"ERROR"))</f>
        <v>64.058823529400001</v>
      </c>
      <c r="E76" s="157">
        <f>IF($B76=" ","",IFERROR(INDEX(MMWR_RATING_STATE_ROLLUP_BDD[],MATCH($B76,MMWR_RATING_STATE_ROLLUP_BDD[MMWR_RATING_STATE_ROLLUP_BDD],0),MATCH(E$9,MMWR_RATING_STATE_ROLLUP_BDD[#Headers],0))/$C76,"ERROR"))</f>
        <v>5.8823529411764705E-2</v>
      </c>
      <c r="F76" s="155">
        <f>IF($B76=" ","",IFERROR(INDEX(MMWR_RATING_STATE_ROLLUP_BDD[],MATCH($B76,MMWR_RATING_STATE_ROLLUP_BDD[MMWR_RATING_STATE_ROLLUP_BDD],0),MATCH(F$9,MMWR_RATING_STATE_ROLLUP_BDD[#Headers],0)),"ERROR"))</f>
        <v>4</v>
      </c>
      <c r="G76" s="155">
        <f>IF($B76=" ","",IFERROR(INDEX(MMWR_RATING_STATE_ROLLUP_BDD[],MATCH($B76,MMWR_RATING_STATE_ROLLUP_BDD[MMWR_RATING_STATE_ROLLUP_BDD],0),MATCH(G$9,MMWR_RATING_STATE_ROLLUP_BDD[#Headers],0)),"ERROR"))</f>
        <v>4</v>
      </c>
      <c r="H76" s="156">
        <f>IF($B76=" ","",IFERROR(INDEX(MMWR_RATING_STATE_ROLLUP_BDD[],MATCH($B76,MMWR_RATING_STATE_ROLLUP_BDD[MMWR_RATING_STATE_ROLLUP_BDD],0),MATCH(H$9,MMWR_RATING_STATE_ROLLUP_BDD[#Headers],0)),"ERROR"))</f>
        <v>202</v>
      </c>
      <c r="I76" s="156">
        <f>IF($B76=" ","",IFERROR(INDEX(MMWR_RATING_STATE_ROLLUP_BDD[],MATCH($B76,MMWR_RATING_STATE_ROLLUP_BDD[MMWR_RATING_STATE_ROLLUP_BDD],0),MATCH(I$9,MMWR_RATING_STATE_ROLLUP_BDD[#Headers],0)),"ERROR"))</f>
        <v>202</v>
      </c>
      <c r="J76" s="42"/>
      <c r="K76" s="42"/>
      <c r="L76" s="42"/>
      <c r="M76" s="42"/>
      <c r="N76" s="28"/>
    </row>
    <row r="77" spans="1:14" x14ac:dyDescent="0.2">
      <c r="A77" s="25"/>
      <c r="B77" s="8" t="str">
        <f>VLOOKUP($B$15,DISTRICT_STATES[],9,0)</f>
        <v>New Jersey</v>
      </c>
      <c r="C77" s="155">
        <f>IF($B77=" ","",IFERROR(INDEX(MMWR_RATING_STATE_ROLLUP_BDD[],MATCH($B77,MMWR_RATING_STATE_ROLLUP_BDD[MMWR_RATING_STATE_ROLLUP_BDD],0),MATCH(C$9,MMWR_RATING_STATE_ROLLUP_BDD[#Headers],0)),"ERROR"))</f>
        <v>94</v>
      </c>
      <c r="D77" s="156">
        <f>IF($B77=" ","",IFERROR(INDEX(MMWR_RATING_STATE_ROLLUP_BDD[],MATCH($B77,MMWR_RATING_STATE_ROLLUP_BDD[MMWR_RATING_STATE_ROLLUP_BDD],0),MATCH(D$9,MMWR_RATING_STATE_ROLLUP_BDD[#Headers],0)),"ERROR"))</f>
        <v>73.074468085099994</v>
      </c>
      <c r="E77" s="157">
        <f>IF($B77=" ","",IFERROR(INDEX(MMWR_RATING_STATE_ROLLUP_BDD[],MATCH($B77,MMWR_RATING_STATE_ROLLUP_BDD[MMWR_RATING_STATE_ROLLUP_BDD],0),MATCH(E$9,MMWR_RATING_STATE_ROLLUP_BDD[#Headers],0))/$C77,"ERROR"))</f>
        <v>0.10638297872340426</v>
      </c>
      <c r="F77" s="155">
        <f>IF($B77=" ","",IFERROR(INDEX(MMWR_RATING_STATE_ROLLUP_BDD[],MATCH($B77,MMWR_RATING_STATE_ROLLUP_BDD[MMWR_RATING_STATE_ROLLUP_BDD],0),MATCH(F$9,MMWR_RATING_STATE_ROLLUP_BDD[#Headers],0)),"ERROR"))</f>
        <v>8</v>
      </c>
      <c r="G77" s="155">
        <f>IF($B77=" ","",IFERROR(INDEX(MMWR_RATING_STATE_ROLLUP_BDD[],MATCH($B77,MMWR_RATING_STATE_ROLLUP_BDD[MMWR_RATING_STATE_ROLLUP_BDD],0),MATCH(G$9,MMWR_RATING_STATE_ROLLUP_BDD[#Headers],0)),"ERROR"))</f>
        <v>8</v>
      </c>
      <c r="H77" s="156">
        <f>IF($B77=" ","",IFERROR(INDEX(MMWR_RATING_STATE_ROLLUP_BDD[],MATCH($B77,MMWR_RATING_STATE_ROLLUP_BDD[MMWR_RATING_STATE_ROLLUP_BDD],0),MATCH(H$9,MMWR_RATING_STATE_ROLLUP_BDD[#Headers],0)),"ERROR"))</f>
        <v>107</v>
      </c>
      <c r="I77" s="156">
        <f>IF($B77=" ","",IFERROR(INDEX(MMWR_RATING_STATE_ROLLUP_BDD[],MATCH($B77,MMWR_RATING_STATE_ROLLUP_BDD[MMWR_RATING_STATE_ROLLUP_BDD],0),MATCH(I$9,MMWR_RATING_STATE_ROLLUP_BDD[#Headers],0)),"ERROR"))</f>
        <v>107</v>
      </c>
      <c r="J77" s="42"/>
      <c r="K77" s="42"/>
      <c r="L77" s="42"/>
      <c r="M77" s="42"/>
      <c r="N77" s="28"/>
    </row>
    <row r="78" spans="1:14" x14ac:dyDescent="0.2">
      <c r="A78" s="25"/>
      <c r="B78" s="8" t="str">
        <f>VLOOKUP($B$15,DISTRICT_STATES[],10,0)</f>
        <v>New York</v>
      </c>
      <c r="C78" s="155">
        <f>IF($B78=" ","",IFERROR(INDEX(MMWR_RATING_STATE_ROLLUP_BDD[],MATCH($B78,MMWR_RATING_STATE_ROLLUP_BDD[MMWR_RATING_STATE_ROLLUP_BDD],0),MATCH(C$9,MMWR_RATING_STATE_ROLLUP_BDD[#Headers],0)),"ERROR"))</f>
        <v>168</v>
      </c>
      <c r="D78" s="156">
        <f>IF($B78=" ","",IFERROR(INDEX(MMWR_RATING_STATE_ROLLUP_BDD[],MATCH($B78,MMWR_RATING_STATE_ROLLUP_BDD[MMWR_RATING_STATE_ROLLUP_BDD],0),MATCH(D$9,MMWR_RATING_STATE_ROLLUP_BDD[#Headers],0)),"ERROR"))</f>
        <v>80.398809523799997</v>
      </c>
      <c r="E78" s="157">
        <f>IF($B78=" ","",IFERROR(INDEX(MMWR_RATING_STATE_ROLLUP_BDD[],MATCH($B78,MMWR_RATING_STATE_ROLLUP_BDD[MMWR_RATING_STATE_ROLLUP_BDD],0),MATCH(E$9,MMWR_RATING_STATE_ROLLUP_BDD[#Headers],0))/$C78,"ERROR"))</f>
        <v>0.11904761904761904</v>
      </c>
      <c r="F78" s="155">
        <f>IF($B78=" ","",IFERROR(INDEX(MMWR_RATING_STATE_ROLLUP_BDD[],MATCH($B78,MMWR_RATING_STATE_ROLLUP_BDD[MMWR_RATING_STATE_ROLLUP_BDD],0),MATCH(F$9,MMWR_RATING_STATE_ROLLUP_BDD[#Headers],0)),"ERROR"))</f>
        <v>22</v>
      </c>
      <c r="G78" s="155">
        <f>IF($B78=" ","",IFERROR(INDEX(MMWR_RATING_STATE_ROLLUP_BDD[],MATCH($B78,MMWR_RATING_STATE_ROLLUP_BDD[MMWR_RATING_STATE_ROLLUP_BDD],0),MATCH(G$9,MMWR_RATING_STATE_ROLLUP_BDD[#Headers],0)),"ERROR"))</f>
        <v>22</v>
      </c>
      <c r="H78" s="156">
        <f>IF($B78=" ","",IFERROR(INDEX(MMWR_RATING_STATE_ROLLUP_BDD[],MATCH($B78,MMWR_RATING_STATE_ROLLUP_BDD[MMWR_RATING_STATE_ROLLUP_BDD],0),MATCH(H$9,MMWR_RATING_STATE_ROLLUP_BDD[#Headers],0)),"ERROR"))</f>
        <v>156.1818181818</v>
      </c>
      <c r="I78" s="156">
        <f>IF($B78=" ","",IFERROR(INDEX(MMWR_RATING_STATE_ROLLUP_BDD[],MATCH($B78,MMWR_RATING_STATE_ROLLUP_BDD[MMWR_RATING_STATE_ROLLUP_BDD],0),MATCH(I$9,MMWR_RATING_STATE_ROLLUP_BDD[#Headers],0)),"ERROR"))</f>
        <v>156.1818181818</v>
      </c>
      <c r="J78" s="42"/>
      <c r="K78" s="42"/>
      <c r="L78" s="42"/>
      <c r="M78" s="42"/>
      <c r="N78" s="28"/>
    </row>
    <row r="79" spans="1:14" x14ac:dyDescent="0.2">
      <c r="A79" s="25"/>
      <c r="B79" s="8" t="str">
        <f>VLOOKUP($B$15,DISTRICT_STATES[],11,0)</f>
        <v>North Carolina</v>
      </c>
      <c r="C79" s="155">
        <f>IF($B79=" ","",IFERROR(INDEX(MMWR_RATING_STATE_ROLLUP_BDD[],MATCH($B79,MMWR_RATING_STATE_ROLLUP_BDD[MMWR_RATING_STATE_ROLLUP_BDD],0),MATCH(C$9,MMWR_RATING_STATE_ROLLUP_BDD[#Headers],0)),"ERROR"))</f>
        <v>1272</v>
      </c>
      <c r="D79" s="156">
        <f>IF($B79=" ","",IFERROR(INDEX(MMWR_RATING_STATE_ROLLUP_BDD[],MATCH($B79,MMWR_RATING_STATE_ROLLUP_BDD[MMWR_RATING_STATE_ROLLUP_BDD],0),MATCH(D$9,MMWR_RATING_STATE_ROLLUP_BDD[#Headers],0)),"ERROR"))</f>
        <v>77.292452830200006</v>
      </c>
      <c r="E79" s="157">
        <f>IF($B79=" ","",IFERROR(INDEX(MMWR_RATING_STATE_ROLLUP_BDD[],MATCH($B79,MMWR_RATING_STATE_ROLLUP_BDD[MMWR_RATING_STATE_ROLLUP_BDD],0),MATCH(E$9,MMWR_RATING_STATE_ROLLUP_BDD[#Headers],0))/$C79,"ERROR"))</f>
        <v>0.12028301886792453</v>
      </c>
      <c r="F79" s="155">
        <f>IF($B79=" ","",IFERROR(INDEX(MMWR_RATING_STATE_ROLLUP_BDD[],MATCH($B79,MMWR_RATING_STATE_ROLLUP_BDD[MMWR_RATING_STATE_ROLLUP_BDD],0),MATCH(F$9,MMWR_RATING_STATE_ROLLUP_BDD[#Headers],0)),"ERROR"))</f>
        <v>117</v>
      </c>
      <c r="G79" s="155">
        <f>IF($B79=" ","",IFERROR(INDEX(MMWR_RATING_STATE_ROLLUP_BDD[],MATCH($B79,MMWR_RATING_STATE_ROLLUP_BDD[MMWR_RATING_STATE_ROLLUP_BDD],0),MATCH(G$9,MMWR_RATING_STATE_ROLLUP_BDD[#Headers],0)),"ERROR"))</f>
        <v>117</v>
      </c>
      <c r="H79" s="156">
        <f>IF($B79=" ","",IFERROR(INDEX(MMWR_RATING_STATE_ROLLUP_BDD[],MATCH($B79,MMWR_RATING_STATE_ROLLUP_BDD[MMWR_RATING_STATE_ROLLUP_BDD],0),MATCH(H$9,MMWR_RATING_STATE_ROLLUP_BDD[#Headers],0)),"ERROR"))</f>
        <v>137.50427350429999</v>
      </c>
      <c r="I79" s="156">
        <f>IF($B79=" ","",IFERROR(INDEX(MMWR_RATING_STATE_ROLLUP_BDD[],MATCH($B79,MMWR_RATING_STATE_ROLLUP_BDD[MMWR_RATING_STATE_ROLLUP_BDD],0),MATCH(I$9,MMWR_RATING_STATE_ROLLUP_BDD[#Headers],0)),"ERROR"))</f>
        <v>137.50427350429999</v>
      </c>
      <c r="J79" s="42"/>
      <c r="K79" s="42"/>
      <c r="L79" s="42"/>
      <c r="M79" s="42"/>
      <c r="N79" s="28"/>
    </row>
    <row r="80" spans="1:14" x14ac:dyDescent="0.2">
      <c r="A80" s="25"/>
      <c r="B80" s="8" t="str">
        <f>VLOOKUP($B$15,DISTRICT_STATES[],12,0)</f>
        <v>Pennsylvania</v>
      </c>
      <c r="C80" s="155">
        <f>IF($B80=" ","",IFERROR(INDEX(MMWR_RATING_STATE_ROLLUP_BDD[],MATCH($B80,MMWR_RATING_STATE_ROLLUP_BDD[MMWR_RATING_STATE_ROLLUP_BDD],0),MATCH(C$9,MMWR_RATING_STATE_ROLLUP_BDD[#Headers],0)),"ERROR"))</f>
        <v>129</v>
      </c>
      <c r="D80" s="156">
        <f>IF($B80=" ","",IFERROR(INDEX(MMWR_RATING_STATE_ROLLUP_BDD[],MATCH($B80,MMWR_RATING_STATE_ROLLUP_BDD[MMWR_RATING_STATE_ROLLUP_BDD],0),MATCH(D$9,MMWR_RATING_STATE_ROLLUP_BDD[#Headers],0)),"ERROR"))</f>
        <v>82.720930232599997</v>
      </c>
      <c r="E80" s="157">
        <f>IF($B80=" ","",IFERROR(INDEX(MMWR_RATING_STATE_ROLLUP_BDD[],MATCH($B80,MMWR_RATING_STATE_ROLLUP_BDD[MMWR_RATING_STATE_ROLLUP_BDD],0),MATCH(E$9,MMWR_RATING_STATE_ROLLUP_BDD[#Headers],0))/$C80,"ERROR"))</f>
        <v>0.13178294573643412</v>
      </c>
      <c r="F80" s="155">
        <f>IF($B80=" ","",IFERROR(INDEX(MMWR_RATING_STATE_ROLLUP_BDD[],MATCH($B80,MMWR_RATING_STATE_ROLLUP_BDD[MMWR_RATING_STATE_ROLLUP_BDD],0),MATCH(F$9,MMWR_RATING_STATE_ROLLUP_BDD[#Headers],0)),"ERROR"))</f>
        <v>29</v>
      </c>
      <c r="G80" s="155">
        <f>IF($B80=" ","",IFERROR(INDEX(MMWR_RATING_STATE_ROLLUP_BDD[],MATCH($B80,MMWR_RATING_STATE_ROLLUP_BDD[MMWR_RATING_STATE_ROLLUP_BDD],0),MATCH(G$9,MMWR_RATING_STATE_ROLLUP_BDD[#Headers],0)),"ERROR"))</f>
        <v>29</v>
      </c>
      <c r="H80" s="156">
        <f>IF($B80=" ","",IFERROR(INDEX(MMWR_RATING_STATE_ROLLUP_BDD[],MATCH($B80,MMWR_RATING_STATE_ROLLUP_BDD[MMWR_RATING_STATE_ROLLUP_BDD],0),MATCH(H$9,MMWR_RATING_STATE_ROLLUP_BDD[#Headers],0)),"ERROR"))</f>
        <v>119.1379310345</v>
      </c>
      <c r="I80" s="156">
        <f>IF($B80=" ","",IFERROR(INDEX(MMWR_RATING_STATE_ROLLUP_BDD[],MATCH($B80,MMWR_RATING_STATE_ROLLUP_BDD[MMWR_RATING_STATE_ROLLUP_BDD],0),MATCH(I$9,MMWR_RATING_STATE_ROLLUP_BDD[#Headers],0)),"ERROR"))</f>
        <v>119.1379310345</v>
      </c>
      <c r="J80" s="42"/>
      <c r="K80" s="42"/>
      <c r="L80" s="42"/>
      <c r="M80" s="42"/>
      <c r="N80" s="28"/>
    </row>
    <row r="81" spans="1:14" x14ac:dyDescent="0.2">
      <c r="A81" s="25"/>
      <c r="B81" s="8" t="str">
        <f>VLOOKUP($B$15,DISTRICT_STATES[],13,0)</f>
        <v>Rhode Island</v>
      </c>
      <c r="C81" s="155">
        <f>IF($B81=" ","",IFERROR(INDEX(MMWR_RATING_STATE_ROLLUP_BDD[],MATCH($B81,MMWR_RATING_STATE_ROLLUP_BDD[MMWR_RATING_STATE_ROLLUP_BDD],0),MATCH(C$9,MMWR_RATING_STATE_ROLLUP_BDD[#Headers],0)),"ERROR"))</f>
        <v>11</v>
      </c>
      <c r="D81" s="156">
        <f>IF($B81=" ","",IFERROR(INDEX(MMWR_RATING_STATE_ROLLUP_BDD[],MATCH($B81,MMWR_RATING_STATE_ROLLUP_BDD[MMWR_RATING_STATE_ROLLUP_BDD],0),MATCH(D$9,MMWR_RATING_STATE_ROLLUP_BDD[#Headers],0)),"ERROR"))</f>
        <v>72.272727272699996</v>
      </c>
      <c r="E81" s="157">
        <f>IF($B81=" ","",IFERROR(INDEX(MMWR_RATING_STATE_ROLLUP_BDD[],MATCH($B81,MMWR_RATING_STATE_ROLLUP_BDD[MMWR_RATING_STATE_ROLLUP_BDD],0),MATCH(E$9,MMWR_RATING_STATE_ROLLUP_BDD[#Headers],0))/$C81,"ERROR"))</f>
        <v>9.0909090909090912E-2</v>
      </c>
      <c r="F81" s="155">
        <f>IF($B81=" ","",IFERROR(INDEX(MMWR_RATING_STATE_ROLLUP_BDD[],MATCH($B81,MMWR_RATING_STATE_ROLLUP_BDD[MMWR_RATING_STATE_ROLLUP_BDD],0),MATCH(F$9,MMWR_RATING_STATE_ROLLUP_BDD[#Headers],0)),"ERROR"))</f>
        <v>2</v>
      </c>
      <c r="G81" s="155">
        <f>IF($B81=" ","",IFERROR(INDEX(MMWR_RATING_STATE_ROLLUP_BDD[],MATCH($B81,MMWR_RATING_STATE_ROLLUP_BDD[MMWR_RATING_STATE_ROLLUP_BDD],0),MATCH(G$9,MMWR_RATING_STATE_ROLLUP_BDD[#Headers],0)),"ERROR"))</f>
        <v>2</v>
      </c>
      <c r="H81" s="156">
        <f>IF($B81=" ","",IFERROR(INDEX(MMWR_RATING_STATE_ROLLUP_BDD[],MATCH($B81,MMWR_RATING_STATE_ROLLUP_BDD[MMWR_RATING_STATE_ROLLUP_BDD],0),MATCH(H$9,MMWR_RATING_STATE_ROLLUP_BDD[#Headers],0)),"ERROR"))</f>
        <v>99.5</v>
      </c>
      <c r="I81" s="156">
        <f>IF($B81=" ","",IFERROR(INDEX(MMWR_RATING_STATE_ROLLUP_BDD[],MATCH($B81,MMWR_RATING_STATE_ROLLUP_BDD[MMWR_RATING_STATE_ROLLUP_BDD],0),MATCH(I$9,MMWR_RATING_STATE_ROLLUP_BDD[#Headers],0)),"ERROR"))</f>
        <v>99.5</v>
      </c>
      <c r="J81" s="42"/>
      <c r="K81" s="42"/>
      <c r="L81" s="42"/>
      <c r="M81" s="42"/>
      <c r="N81" s="28"/>
    </row>
    <row r="82" spans="1:14" x14ac:dyDescent="0.2">
      <c r="A82" s="25"/>
      <c r="B82" s="8" t="str">
        <f>VLOOKUP($B$15,DISTRICT_STATES[],14,0)</f>
        <v>Vermont</v>
      </c>
      <c r="C82" s="155">
        <f>IF($B82=" ","",IFERROR(INDEX(MMWR_RATING_STATE_ROLLUP_BDD[],MATCH($B82,MMWR_RATING_STATE_ROLLUP_BDD[MMWR_RATING_STATE_ROLLUP_BDD],0),MATCH(C$9,MMWR_RATING_STATE_ROLLUP_BDD[#Headers],0)),"ERROR"))</f>
        <v>5</v>
      </c>
      <c r="D82" s="156">
        <f>IF($B82=" ","",IFERROR(INDEX(MMWR_RATING_STATE_ROLLUP_BDD[],MATCH($B82,MMWR_RATING_STATE_ROLLUP_BDD[MMWR_RATING_STATE_ROLLUP_BDD],0),MATCH(D$9,MMWR_RATING_STATE_ROLLUP_BDD[#Headers],0)),"ERROR"))</f>
        <v>92.4</v>
      </c>
      <c r="E82" s="157">
        <f>IF($B82=" ","",IFERROR(INDEX(MMWR_RATING_STATE_ROLLUP_BDD[],MATCH($B82,MMWR_RATING_STATE_ROLLUP_BDD[MMWR_RATING_STATE_ROLLUP_BDD],0),MATCH(E$9,MMWR_RATING_STATE_ROLLUP_BDD[#Headers],0))/$C82,"ERROR"))</f>
        <v>0.2</v>
      </c>
      <c r="F82" s="155">
        <f>IF($B82=" ","",IFERROR(INDEX(MMWR_RATING_STATE_ROLLUP_BDD[],MATCH($B82,MMWR_RATING_STATE_ROLLUP_BDD[MMWR_RATING_STATE_ROLLUP_BDD],0),MATCH(F$9,MMWR_RATING_STATE_ROLLUP_BDD[#Headers],0)),"ERROR"))</f>
        <v>2</v>
      </c>
      <c r="G82" s="155">
        <f>IF($B82=" ","",IFERROR(INDEX(MMWR_RATING_STATE_ROLLUP_BDD[],MATCH($B82,MMWR_RATING_STATE_ROLLUP_BDD[MMWR_RATING_STATE_ROLLUP_BDD],0),MATCH(G$9,MMWR_RATING_STATE_ROLLUP_BDD[#Headers],0)),"ERROR"))</f>
        <v>2</v>
      </c>
      <c r="H82" s="156">
        <f>IF($B82=" ","",IFERROR(INDEX(MMWR_RATING_STATE_ROLLUP_BDD[],MATCH($B82,MMWR_RATING_STATE_ROLLUP_BDD[MMWR_RATING_STATE_ROLLUP_BDD],0),MATCH(H$9,MMWR_RATING_STATE_ROLLUP_BDD[#Headers],0)),"ERROR"))</f>
        <v>49.5</v>
      </c>
      <c r="I82" s="156">
        <f>IF($B82=" ","",IFERROR(INDEX(MMWR_RATING_STATE_ROLLUP_BDD[],MATCH($B82,MMWR_RATING_STATE_ROLLUP_BDD[MMWR_RATING_STATE_ROLLUP_BDD],0),MATCH(I$9,MMWR_RATING_STATE_ROLLUP_BDD[#Headers],0)),"ERROR"))</f>
        <v>49.5</v>
      </c>
      <c r="J82" s="42"/>
      <c r="K82" s="42"/>
      <c r="L82" s="42"/>
      <c r="M82" s="42"/>
      <c r="N82" s="28"/>
    </row>
    <row r="83" spans="1:14" x14ac:dyDescent="0.2">
      <c r="A83" s="25"/>
      <c r="B83" s="8" t="str">
        <f>VLOOKUP($B$15,DISTRICT_STATES[],15,0)</f>
        <v>Virginia</v>
      </c>
      <c r="C83" s="155">
        <f>IF($B83=" ","",IFERROR(INDEX(MMWR_RATING_STATE_ROLLUP_BDD[],MATCH($B83,MMWR_RATING_STATE_ROLLUP_BDD[MMWR_RATING_STATE_ROLLUP_BDD],0),MATCH(C$9,MMWR_RATING_STATE_ROLLUP_BDD[#Headers],0)),"ERROR"))</f>
        <v>1167</v>
      </c>
      <c r="D83" s="156">
        <f>IF($B83=" ","",IFERROR(INDEX(MMWR_RATING_STATE_ROLLUP_BDD[],MATCH($B83,MMWR_RATING_STATE_ROLLUP_BDD[MMWR_RATING_STATE_ROLLUP_BDD],0),MATCH(D$9,MMWR_RATING_STATE_ROLLUP_BDD[#Headers],0)),"ERROR"))</f>
        <v>81.143101970900005</v>
      </c>
      <c r="E83" s="157">
        <f>IF($B83=" ","",IFERROR(INDEX(MMWR_RATING_STATE_ROLLUP_BDD[],MATCH($B83,MMWR_RATING_STATE_ROLLUP_BDD[MMWR_RATING_STATE_ROLLUP_BDD],0),MATCH(E$9,MMWR_RATING_STATE_ROLLUP_BDD[#Headers],0))/$C83,"ERROR"))</f>
        <v>0.10968294772922023</v>
      </c>
      <c r="F83" s="155">
        <f>IF($B83=" ","",IFERROR(INDEX(MMWR_RATING_STATE_ROLLUP_BDD[],MATCH($B83,MMWR_RATING_STATE_ROLLUP_BDD[MMWR_RATING_STATE_ROLLUP_BDD],0),MATCH(F$9,MMWR_RATING_STATE_ROLLUP_BDD[#Headers],0)),"ERROR"))</f>
        <v>122</v>
      </c>
      <c r="G83" s="155">
        <f>IF($B83=" ","",IFERROR(INDEX(MMWR_RATING_STATE_ROLLUP_BDD[],MATCH($B83,MMWR_RATING_STATE_ROLLUP_BDD[MMWR_RATING_STATE_ROLLUP_BDD],0),MATCH(G$9,MMWR_RATING_STATE_ROLLUP_BDD[#Headers],0)),"ERROR"))</f>
        <v>122</v>
      </c>
      <c r="H83" s="156">
        <f>IF($B83=" ","",IFERROR(INDEX(MMWR_RATING_STATE_ROLLUP_BDD[],MATCH($B83,MMWR_RATING_STATE_ROLLUP_BDD[MMWR_RATING_STATE_ROLLUP_BDD],0),MATCH(H$9,MMWR_RATING_STATE_ROLLUP_BDD[#Headers],0)),"ERROR"))</f>
        <v>147.79508196719999</v>
      </c>
      <c r="I83" s="156">
        <f>IF($B83=" ","",IFERROR(INDEX(MMWR_RATING_STATE_ROLLUP_BDD[],MATCH($B83,MMWR_RATING_STATE_ROLLUP_BDD[MMWR_RATING_STATE_ROLLUP_BDD],0),MATCH(I$9,MMWR_RATING_STATE_ROLLUP_BDD[#Headers],0)),"ERROR"))</f>
        <v>147.79508196719999</v>
      </c>
      <c r="J83" s="42"/>
      <c r="K83" s="42"/>
      <c r="L83" s="42"/>
      <c r="M83" s="42"/>
      <c r="N83" s="28"/>
    </row>
    <row r="84" spans="1:14" x14ac:dyDescent="0.2">
      <c r="A84" s="25"/>
      <c r="B84" s="251" t="str">
        <f>VLOOKUP($B$15,DISTRICT_STATES[],16,0)</f>
        <v>West Virginia</v>
      </c>
      <c r="C84" s="155">
        <f>IF($B84=" ","",IFERROR(INDEX(MMWR_RATING_STATE_ROLLUP_BDD[],MATCH($B84,MMWR_RATING_STATE_ROLLUP_BDD[MMWR_RATING_STATE_ROLLUP_BDD],0),MATCH(C$9,MMWR_RATING_STATE_ROLLUP_BDD[#Headers],0)),"ERROR"))</f>
        <v>26</v>
      </c>
      <c r="D84" s="156">
        <f>IF($B84=" ","",IFERROR(INDEX(MMWR_RATING_STATE_ROLLUP_BDD[],MATCH($B84,MMWR_RATING_STATE_ROLLUP_BDD[MMWR_RATING_STATE_ROLLUP_BDD],0),MATCH(D$9,MMWR_RATING_STATE_ROLLUP_BDD[#Headers],0)),"ERROR"))</f>
        <v>94</v>
      </c>
      <c r="E84" s="157">
        <f>IF($B84=" ","",IFERROR(INDEX(MMWR_RATING_STATE_ROLLUP_BDD[],MATCH($B84,MMWR_RATING_STATE_ROLLUP_BDD[MMWR_RATING_STATE_ROLLUP_BDD],0),MATCH(E$9,MMWR_RATING_STATE_ROLLUP_BDD[#Headers],0))/$C84,"ERROR"))</f>
        <v>0.19230769230769232</v>
      </c>
      <c r="F84" s="155">
        <f>IF($B84=" ","",IFERROR(INDEX(MMWR_RATING_STATE_ROLLUP_BDD[],MATCH($B84,MMWR_RATING_STATE_ROLLUP_BDD[MMWR_RATING_STATE_ROLLUP_BDD],0),MATCH(F$9,MMWR_RATING_STATE_ROLLUP_BDD[#Headers],0)),"ERROR"))</f>
        <v>1</v>
      </c>
      <c r="G84" s="155">
        <f>IF($B84=" ","",IFERROR(INDEX(MMWR_RATING_STATE_ROLLUP_BDD[],MATCH($B84,MMWR_RATING_STATE_ROLLUP_BDD[MMWR_RATING_STATE_ROLLUP_BDD],0),MATCH(G$9,MMWR_RATING_STATE_ROLLUP_BDD[#Headers],0)),"ERROR"))</f>
        <v>1</v>
      </c>
      <c r="H84" s="156">
        <f>IF($B84=" ","",IFERROR(INDEX(MMWR_RATING_STATE_ROLLUP_BDD[],MATCH($B84,MMWR_RATING_STATE_ROLLUP_BDD[MMWR_RATING_STATE_ROLLUP_BDD],0),MATCH(H$9,MMWR_RATING_STATE_ROLLUP_BDD[#Headers],0)),"ERROR"))</f>
        <v>148</v>
      </c>
      <c r="I84" s="156">
        <f>IF($B84=" ","",IFERROR(INDEX(MMWR_RATING_STATE_ROLLUP_BDD[],MATCH($B84,MMWR_RATING_STATE_ROLLUP_BDD[MMWR_RATING_STATE_ROLLUP_BDD],0),MATCH(I$9,MMWR_RATING_STATE_ROLLUP_BDD[#Headers],0)),"ERROR"))</f>
        <v>148</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C2:I3"/>
    <mergeCell ref="J2:M2"/>
    <mergeCell ref="J3:M3"/>
    <mergeCell ref="C4:M4"/>
    <mergeCell ref="C5:O5"/>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50" zoomScaleNormal="5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15" t="s">
        <v>302</v>
      </c>
      <c r="C2" s="416"/>
      <c r="D2" s="416"/>
      <c r="E2" s="416"/>
      <c r="F2" s="416"/>
      <c r="G2" s="416"/>
      <c r="H2" s="416"/>
      <c r="I2" s="416"/>
      <c r="J2" s="416"/>
      <c r="K2" s="416"/>
      <c r="L2" s="416"/>
      <c r="M2" s="416"/>
      <c r="N2" s="416"/>
      <c r="O2" s="416"/>
      <c r="P2" s="416"/>
      <c r="Q2" s="416"/>
      <c r="R2" s="416"/>
      <c r="S2" s="416"/>
      <c r="T2" s="416"/>
      <c r="U2" s="417"/>
      <c r="V2" s="25"/>
    </row>
    <row r="3" spans="1:22" s="1" customFormat="1" ht="63" customHeight="1" thickBot="1" x14ac:dyDescent="0.25">
      <c r="A3" s="25"/>
      <c r="B3" s="424" t="s">
        <v>317</v>
      </c>
      <c r="C3" s="425"/>
      <c r="D3" s="425"/>
      <c r="E3" s="425"/>
      <c r="F3" s="425"/>
      <c r="G3" s="425"/>
      <c r="H3" s="425"/>
      <c r="I3" s="425"/>
      <c r="J3" s="425"/>
      <c r="K3" s="425"/>
      <c r="L3" s="425"/>
      <c r="M3" s="425"/>
      <c r="N3" s="425"/>
      <c r="O3" s="425"/>
      <c r="P3" s="425"/>
      <c r="Q3" s="425"/>
      <c r="R3" s="425"/>
      <c r="S3" s="425"/>
      <c r="T3" s="425"/>
      <c r="U3" s="426"/>
      <c r="V3" s="25"/>
    </row>
    <row r="4" spans="1:22" s="1" customFormat="1" ht="32.25" customHeight="1" thickBot="1" x14ac:dyDescent="0.25">
      <c r="A4" s="25"/>
      <c r="B4" s="421" t="str">
        <f>Transformation!B4</f>
        <v>As of: October 31, 2015</v>
      </c>
      <c r="C4" s="422"/>
      <c r="D4" s="422"/>
      <c r="E4" s="422"/>
      <c r="F4" s="422"/>
      <c r="G4" s="422"/>
      <c r="H4" s="422"/>
      <c r="I4" s="422"/>
      <c r="J4" s="422"/>
      <c r="K4" s="422"/>
      <c r="L4" s="422"/>
      <c r="M4" s="422"/>
      <c r="N4" s="422"/>
      <c r="O4" s="422"/>
      <c r="P4" s="422"/>
      <c r="Q4" s="422"/>
      <c r="R4" s="422"/>
      <c r="S4" s="422"/>
      <c r="T4" s="422"/>
      <c r="U4" s="423"/>
      <c r="V4" s="25"/>
    </row>
    <row r="5" spans="1:22" s="1" customFormat="1" ht="27" customHeight="1" thickBot="1" x14ac:dyDescent="0.45">
      <c r="A5" s="25"/>
      <c r="B5" s="428" t="s">
        <v>245</v>
      </c>
      <c r="C5" s="429"/>
      <c r="D5" s="429"/>
      <c r="E5" s="429"/>
      <c r="F5" s="429"/>
      <c r="G5" s="429"/>
      <c r="H5" s="430"/>
      <c r="I5" s="55"/>
      <c r="J5" s="428" t="s">
        <v>242</v>
      </c>
      <c r="K5" s="429"/>
      <c r="L5" s="429"/>
      <c r="M5" s="429"/>
      <c r="N5" s="430"/>
      <c r="O5" s="56"/>
      <c r="P5" s="431" t="s">
        <v>11</v>
      </c>
      <c r="Q5" s="432"/>
      <c r="R5" s="432"/>
      <c r="S5" s="432"/>
      <c r="T5" s="432"/>
      <c r="U5" s="433"/>
      <c r="V5" s="25"/>
    </row>
    <row r="6" spans="1:22" s="1" customFormat="1" ht="65.25" customHeight="1" thickBot="1" x14ac:dyDescent="0.25">
      <c r="A6" s="25"/>
      <c r="B6" s="418" t="s">
        <v>285</v>
      </c>
      <c r="C6" s="419"/>
      <c r="D6" s="419"/>
      <c r="E6" s="420"/>
      <c r="F6" s="57" t="s">
        <v>12</v>
      </c>
      <c r="G6" s="58" t="s">
        <v>3</v>
      </c>
      <c r="H6" s="59" t="s">
        <v>4</v>
      </c>
      <c r="I6" s="25"/>
      <c r="J6" s="407" t="s">
        <v>285</v>
      </c>
      <c r="K6" s="408"/>
      <c r="L6" s="60" t="s">
        <v>12</v>
      </c>
      <c r="M6" s="61" t="s">
        <v>3</v>
      </c>
      <c r="N6" s="62" t="s">
        <v>4</v>
      </c>
      <c r="O6" s="63"/>
      <c r="P6" s="434" t="s">
        <v>285</v>
      </c>
      <c r="Q6" s="435"/>
      <c r="R6" s="64" t="s">
        <v>495</v>
      </c>
      <c r="S6" s="436" t="s">
        <v>285</v>
      </c>
      <c r="T6" s="437"/>
      <c r="U6" s="65" t="s">
        <v>140</v>
      </c>
      <c r="V6" s="25"/>
    </row>
    <row r="7" spans="1:22" s="1" customFormat="1" ht="32.25" customHeight="1" thickBot="1" x14ac:dyDescent="0.25">
      <c r="A7" s="25"/>
      <c r="B7" s="401" t="s">
        <v>304</v>
      </c>
      <c r="C7" s="402"/>
      <c r="D7" s="402"/>
      <c r="E7" s="402"/>
      <c r="F7" s="168">
        <f>SUM(F8:F10)</f>
        <v>124172</v>
      </c>
      <c r="G7" s="169">
        <f>SUM(G8:G10)</f>
        <v>32280</v>
      </c>
      <c r="H7" s="170">
        <f t="shared" ref="H7:H44" si="0">IF(G7="--", 0, G7/F7)</f>
        <v>0.25996198820990241</v>
      </c>
      <c r="I7" s="25"/>
      <c r="J7" s="401" t="s">
        <v>270</v>
      </c>
      <c r="K7" s="402"/>
      <c r="L7" s="169">
        <f>SUM(L8:L10)</f>
        <v>29122</v>
      </c>
      <c r="M7" s="169">
        <f>SUM(M8:M10)</f>
        <v>4281</v>
      </c>
      <c r="N7" s="180">
        <f>IF(M7="--", 0, M7/L7)</f>
        <v>0.14700226632786209</v>
      </c>
      <c r="O7" s="66"/>
      <c r="P7" s="401" t="s">
        <v>973</v>
      </c>
      <c r="Q7" s="402"/>
      <c r="R7" s="181">
        <f>R8+R9+R10+R11+R12</f>
        <v>321498</v>
      </c>
      <c r="S7" s="401"/>
      <c r="T7" s="402"/>
      <c r="U7" s="67"/>
      <c r="V7" s="25"/>
    </row>
    <row r="8" spans="1:22" s="1" customFormat="1" ht="51" customHeight="1" x14ac:dyDescent="0.2">
      <c r="A8" s="25"/>
      <c r="B8" s="285" t="s">
        <v>255</v>
      </c>
      <c r="C8" s="286"/>
      <c r="D8" s="286"/>
      <c r="E8" s="427"/>
      <c r="F8" s="171">
        <f>IFERROR(VLOOKUP(MID(B8,4,3),MMWR_TRAD_AGG_NATIONAL[],2,0),"--")</f>
        <v>296</v>
      </c>
      <c r="G8" s="172">
        <f>IFERROR(VLOOKUP(MID(B8,4,3),MMWR_TRAD_AGG_NATIONAL[],3,0),"--")</f>
        <v>176</v>
      </c>
      <c r="H8" s="173">
        <f t="shared" si="0"/>
        <v>0.59459459459459463</v>
      </c>
      <c r="I8" s="25"/>
      <c r="J8" s="403" t="s">
        <v>272</v>
      </c>
      <c r="K8" s="404"/>
      <c r="L8" s="171">
        <f>IFERROR(VLOOKUP(MID(J8,4,3),MMWR_TRAD_AGG_NATIONAL[],2,0),"--")</f>
        <v>7211</v>
      </c>
      <c r="M8" s="172">
        <f>IFERROR(VLOOKUP(MID(J8,4,3),MMWR_TRAD_AGG_NATIONAL[],3,0),"--")</f>
        <v>248</v>
      </c>
      <c r="N8" s="173">
        <f>IF(M8="--", 0, M8/L8)</f>
        <v>3.4391901261960893E-2</v>
      </c>
      <c r="O8" s="68" t="s">
        <v>316</v>
      </c>
      <c r="P8" s="438" t="s">
        <v>246</v>
      </c>
      <c r="Q8" s="439"/>
      <c r="R8" s="182">
        <f>VLOOKUP(P8,MMWR_APP_NATIONAL[],2,0)</f>
        <v>230069</v>
      </c>
      <c r="S8" s="406" t="s">
        <v>235</v>
      </c>
      <c r="T8" s="405"/>
      <c r="U8" s="183">
        <f>VLOOKUP(P8,MMWR_APP_NATIONAL[],3,0)</f>
        <v>395.53872099239999</v>
      </c>
      <c r="V8" s="25"/>
    </row>
    <row r="9" spans="1:22" s="1" customFormat="1" ht="45" customHeight="1" x14ac:dyDescent="0.2">
      <c r="A9" s="25"/>
      <c r="B9" s="285" t="s">
        <v>253</v>
      </c>
      <c r="C9" s="286"/>
      <c r="D9" s="286"/>
      <c r="E9" s="427"/>
      <c r="F9" s="171">
        <f>IFERROR(VLOOKUP(MID(B9,4,3),MMWR_TRAD_AGG_NATIONAL[],2,0),"--")</f>
        <v>40605</v>
      </c>
      <c r="G9" s="172">
        <f>IFERROR(VLOOKUP(MID(B9,4,3),MMWR_TRAD_AGG_NATIONAL[],3,0),"--")</f>
        <v>11240</v>
      </c>
      <c r="H9" s="173">
        <f t="shared" si="0"/>
        <v>0.27681320034478513</v>
      </c>
      <c r="I9" s="68" t="s">
        <v>316</v>
      </c>
      <c r="J9" s="285" t="s">
        <v>271</v>
      </c>
      <c r="K9" s="286"/>
      <c r="L9" s="171">
        <f>IFERROR(VLOOKUP(MID(J9,4,3),MMWR_TRAD_AGG_NATIONAL[],2,0),"--")</f>
        <v>6781</v>
      </c>
      <c r="M9" s="172">
        <f>IFERROR(VLOOKUP(MID(J9,4,3),MMWR_TRAD_AGG_NATIONAL[],3,0),"--")</f>
        <v>217</v>
      </c>
      <c r="N9" s="173">
        <f>IF(M9="--", 0, M9/L9)</f>
        <v>3.200117976699602E-2</v>
      </c>
      <c r="O9" s="68" t="s">
        <v>316</v>
      </c>
      <c r="P9" s="449" t="s">
        <v>247</v>
      </c>
      <c r="Q9" s="450"/>
      <c r="R9" s="184">
        <f>VLOOKUP(P9,MMWR_APP_NATIONAL[],2,0)</f>
        <v>55087</v>
      </c>
      <c r="S9" s="451" t="s">
        <v>236</v>
      </c>
      <c r="T9" s="396"/>
      <c r="U9" s="185">
        <f>VLOOKUP(P9,MMWR_APP_NATIONAL[],3,0)</f>
        <v>619.16597382320003</v>
      </c>
      <c r="V9" s="25"/>
    </row>
    <row r="10" spans="1:22" s="1" customFormat="1" ht="63" customHeight="1" thickBot="1" x14ac:dyDescent="0.25">
      <c r="A10" s="25"/>
      <c r="B10" s="285" t="s">
        <v>254</v>
      </c>
      <c r="C10" s="286"/>
      <c r="D10" s="286"/>
      <c r="E10" s="427"/>
      <c r="F10" s="171">
        <f>IFERROR(VLOOKUP(MID(B10,4,3),MMWR_TRAD_AGG_NATIONAL[],2,0),"--")</f>
        <v>83271</v>
      </c>
      <c r="G10" s="172">
        <f>IFERROR(VLOOKUP(MID(B10,4,3),MMWR_TRAD_AGG_NATIONAL[],3,0),"--")</f>
        <v>20864</v>
      </c>
      <c r="H10" s="173">
        <f t="shared" si="0"/>
        <v>0.25055541545075716</v>
      </c>
      <c r="I10" s="68" t="s">
        <v>316</v>
      </c>
      <c r="J10" s="287" t="s">
        <v>273</v>
      </c>
      <c r="K10" s="288"/>
      <c r="L10" s="171">
        <f>IFERROR(VLOOKUP(MID(J10,4,3),MMWR_TRAD_AGG_NATIONAL[],2,0),"--")</f>
        <v>15130</v>
      </c>
      <c r="M10" s="172">
        <f>IFERROR(VLOOKUP(MID(J10,4,3),MMWR_TRAD_AGG_NATIONAL[],3,0),"--")</f>
        <v>3816</v>
      </c>
      <c r="N10" s="173">
        <f>IF(M10="--", 0, M10/L10)</f>
        <v>0.25221414408460013</v>
      </c>
      <c r="O10" s="69"/>
      <c r="P10" s="449" t="s">
        <v>248</v>
      </c>
      <c r="Q10" s="450"/>
      <c r="R10" s="184">
        <f>VLOOKUP(P10,MMWR_APP_NATIONAL[],2,0)</f>
        <v>24627</v>
      </c>
      <c r="S10" s="451" t="s">
        <v>237</v>
      </c>
      <c r="T10" s="396"/>
      <c r="U10" s="185">
        <f>VLOOKUP(P10,MMWR_APP_NATIONAL[],3,0)</f>
        <v>517.25638526820001</v>
      </c>
      <c r="V10" s="25"/>
    </row>
    <row r="11" spans="1:22" s="1" customFormat="1" ht="45" customHeight="1" thickBot="1" x14ac:dyDescent="0.25">
      <c r="A11" s="25"/>
      <c r="B11" s="401" t="s">
        <v>305</v>
      </c>
      <c r="C11" s="402"/>
      <c r="D11" s="402"/>
      <c r="E11" s="402"/>
      <c r="F11" s="168">
        <f>SUM(F12:F13)</f>
        <v>7421</v>
      </c>
      <c r="G11" s="169">
        <f>SUM(G12:G13)</f>
        <v>1415</v>
      </c>
      <c r="H11" s="170">
        <f t="shared" si="0"/>
        <v>0.19067511117100122</v>
      </c>
      <c r="I11" s="25"/>
      <c r="J11" s="401" t="s">
        <v>243</v>
      </c>
      <c r="K11" s="402"/>
      <c r="L11" s="168">
        <f>SUM(L12:L17)</f>
        <v>26222</v>
      </c>
      <c r="M11" s="168">
        <f>SUM(M12:M17)</f>
        <v>6694</v>
      </c>
      <c r="N11" s="161">
        <f>IF(M11="--", 0, M11/L11)</f>
        <v>0.25528182442224084</v>
      </c>
      <c r="O11" s="69"/>
      <c r="P11" s="449" t="s">
        <v>974</v>
      </c>
      <c r="Q11" s="450"/>
      <c r="R11" s="184">
        <f>VLOOKUP(P11,MMWR_APP_NATIONAL[],2,0)</f>
        <v>11286</v>
      </c>
      <c r="S11" s="451" t="s">
        <v>238</v>
      </c>
      <c r="T11" s="396"/>
      <c r="U11" s="185">
        <f>VLOOKUP(P11,MMWR_APP_NATIONAL[],3,0)</f>
        <v>172.23117136280001</v>
      </c>
      <c r="V11" s="25"/>
    </row>
    <row r="12" spans="1:22" s="1" customFormat="1" ht="46.5" customHeight="1" thickBot="1" x14ac:dyDescent="0.25">
      <c r="A12" s="25"/>
      <c r="B12" s="397" t="s">
        <v>275</v>
      </c>
      <c r="C12" s="398"/>
      <c r="D12" s="398"/>
      <c r="E12" s="399"/>
      <c r="F12" s="171">
        <f>IFERROR(VLOOKUP(MID(B12,4,3),MMWR_TRAD_AGG_NATIONAL[],2,0),"--")</f>
        <v>6992</v>
      </c>
      <c r="G12" s="172">
        <f>IFERROR(VLOOKUP(MID(B12,4,3),MMWR_TRAD_AGG_NATIONAL[],3,0),"--")</f>
        <v>1118</v>
      </c>
      <c r="H12" s="173">
        <f t="shared" si="0"/>
        <v>0.15989702517162471</v>
      </c>
      <c r="I12" s="68" t="s">
        <v>316</v>
      </c>
      <c r="J12" s="287" t="s">
        <v>265</v>
      </c>
      <c r="K12" s="396"/>
      <c r="L12" s="171">
        <f>IFERROR(VLOOKUP(MID(J12,4,3)&amp;"p",MMWR_TRAD_AGG_NATIONAL[],2,0),"--")</f>
        <v>1062</v>
      </c>
      <c r="M12" s="172">
        <f>IFERROR(VLOOKUP(MID(J12,4,3)&amp;"p",MMWR_TRAD_AGG_NATIONAL[],3,0),"--")</f>
        <v>231</v>
      </c>
      <c r="N12" s="173">
        <f t="shared" ref="N12:N17" si="1">IF(L12="--", 0,M12/L12)</f>
        <v>0.2175141242937853</v>
      </c>
      <c r="O12" s="69"/>
      <c r="P12" s="449" t="s">
        <v>955</v>
      </c>
      <c r="Q12" s="450"/>
      <c r="R12" s="184">
        <f>VLOOKUP(P12,MMWR_APP_NATIONAL[],2,0)</f>
        <v>429</v>
      </c>
      <c r="S12" s="452" t="s">
        <v>972</v>
      </c>
      <c r="T12" s="400"/>
      <c r="U12" s="185">
        <f>VLOOKUP(P12,MMWR_APP_NATIONAL[],3,0)</f>
        <v>435.5967365967</v>
      </c>
      <c r="V12" s="25"/>
    </row>
    <row r="13" spans="1:22" s="1" customFormat="1" ht="49.5" customHeight="1" thickBot="1" x14ac:dyDescent="0.25">
      <c r="A13" s="25"/>
      <c r="B13" s="397" t="s">
        <v>1065</v>
      </c>
      <c r="C13" s="398"/>
      <c r="D13" s="398"/>
      <c r="E13" s="399"/>
      <c r="F13" s="171">
        <f>IFERROR(VLOOKUP(MID(B13,4,3),MMWR_TRAD_AGG_NATIONAL[],2,0),"--")</f>
        <v>429</v>
      </c>
      <c r="G13" s="172">
        <f>IFERROR(VLOOKUP(MID(B13,4,3),MMWR_TRAD_AGG_NATIONAL[],3,0),"--")</f>
        <v>297</v>
      </c>
      <c r="H13" s="173">
        <f t="shared" si="0"/>
        <v>0.69230769230769229</v>
      </c>
      <c r="I13" s="25"/>
      <c r="J13" s="287" t="s">
        <v>274</v>
      </c>
      <c r="K13" s="396"/>
      <c r="L13" s="171">
        <f>IFERROR(VLOOKUP(MID(J13,4,3),MMWR_TRAD_AGG_NATIONAL[],2,0),"--")</f>
        <v>3748</v>
      </c>
      <c r="M13" s="172">
        <f>IFERROR(VLOOKUP(MID(J13,4,3),MMWR_TRAD_AGG_NATIONAL[],3,0),"--")</f>
        <v>1028</v>
      </c>
      <c r="N13" s="173">
        <f t="shared" si="1"/>
        <v>0.27427961579509069</v>
      </c>
      <c r="O13" s="69"/>
      <c r="P13" s="401" t="s">
        <v>984</v>
      </c>
      <c r="Q13" s="402"/>
      <c r="R13" s="445"/>
      <c r="S13" s="446">
        <f>VLOOKUP(P13,MMWR_APP_NATIONAL[],2,0)</f>
        <v>23045</v>
      </c>
      <c r="T13" s="447"/>
      <c r="U13" s="448"/>
      <c r="V13" s="25"/>
    </row>
    <row r="14" spans="1:22" s="1" customFormat="1" ht="45" customHeight="1" thickBot="1" x14ac:dyDescent="0.25">
      <c r="A14" s="25"/>
      <c r="B14" s="401" t="s">
        <v>1</v>
      </c>
      <c r="C14" s="402"/>
      <c r="D14" s="402"/>
      <c r="E14" s="402"/>
      <c r="F14" s="168">
        <f>SUM(F15:F21)</f>
        <v>208243</v>
      </c>
      <c r="G14" s="169">
        <f>SUM(G15:G21)</f>
        <v>39211</v>
      </c>
      <c r="H14" s="170">
        <f t="shared" si="0"/>
        <v>0.18829444447112267</v>
      </c>
      <c r="I14" s="25"/>
      <c r="J14" s="287" t="s">
        <v>276</v>
      </c>
      <c r="K14" s="396"/>
      <c r="L14" s="171">
        <f>IFERROR(VLOOKUP(MID(J14,4,3),MMWR_TRAD_AGG_NATIONAL[],2,0),"--")</f>
        <v>10170</v>
      </c>
      <c r="M14" s="172">
        <f>IFERROR(VLOOKUP(MID(J14,4,3),MMWR_TRAD_AGG_NATIONAL[],3,0),"--")</f>
        <v>2905</v>
      </c>
      <c r="N14" s="173">
        <f t="shared" si="1"/>
        <v>0.28564405113077679</v>
      </c>
      <c r="O14" s="69"/>
      <c r="P14" s="21"/>
      <c r="Q14" s="21"/>
      <c r="R14" s="21"/>
      <c r="S14" s="28"/>
      <c r="T14" s="28"/>
      <c r="U14" s="70"/>
      <c r="V14" s="25"/>
    </row>
    <row r="15" spans="1:22" s="1" customFormat="1" ht="44.25" customHeight="1" thickBot="1" x14ac:dyDescent="0.25">
      <c r="A15" s="25"/>
      <c r="B15" s="285" t="s">
        <v>256</v>
      </c>
      <c r="C15" s="286"/>
      <c r="D15" s="286"/>
      <c r="E15" s="427"/>
      <c r="F15" s="171">
        <f>IFERROR(VLOOKUP(MID(B15,4,3),MMWR_TRAD_AGG_NATIONAL[],2,0),"--")</f>
        <v>207784</v>
      </c>
      <c r="G15" s="172">
        <f>IFERROR(VLOOKUP(MID(B15,4,3),MMWR_TRAD_AGG_NATIONAL[],3,0),"--")</f>
        <v>39011</v>
      </c>
      <c r="H15" s="173">
        <f t="shared" si="0"/>
        <v>0.18774785354021484</v>
      </c>
      <c r="I15" s="68" t="s">
        <v>316</v>
      </c>
      <c r="J15" s="287" t="s">
        <v>277</v>
      </c>
      <c r="K15" s="396"/>
      <c r="L15" s="171">
        <f>IFERROR(VLOOKUP(MID(J15,4,3),MMWR_TRAD_AGG_NATIONAL[],2,0),"--")</f>
        <v>5</v>
      </c>
      <c r="M15" s="172">
        <f>IFERROR(VLOOKUP(MID(J15,4,3),MMWR_TRAD_AGG_NATIONAL[],3,0),"--")</f>
        <v>4</v>
      </c>
      <c r="N15" s="173">
        <f t="shared" si="1"/>
        <v>0.8</v>
      </c>
      <c r="O15" s="69"/>
      <c r="P15" s="25"/>
      <c r="Q15" s="25"/>
      <c r="R15" s="25"/>
      <c r="S15" s="25"/>
      <c r="T15" s="28"/>
      <c r="U15" s="71"/>
      <c r="V15" s="25"/>
    </row>
    <row r="16" spans="1:22" s="1" customFormat="1" ht="57.75" customHeight="1" thickBot="1" x14ac:dyDescent="0.25">
      <c r="A16" s="25"/>
      <c r="B16" s="287" t="s">
        <v>257</v>
      </c>
      <c r="C16" s="288"/>
      <c r="D16" s="288"/>
      <c r="E16" s="396"/>
      <c r="F16" s="171">
        <f>IFERROR(VLOOKUP(MID(B16,4,3),MMWR_TRAD_AGG_NATIONAL[],2,0),"--")</f>
        <v>280</v>
      </c>
      <c r="G16" s="172">
        <f>IFERROR(VLOOKUP(MID(B16,4,3),MMWR_TRAD_AGG_NATIONAL[],3,0),"--")</f>
        <v>59</v>
      </c>
      <c r="H16" s="173">
        <f t="shared" si="0"/>
        <v>0.21071428571428572</v>
      </c>
      <c r="I16" s="68" t="s">
        <v>316</v>
      </c>
      <c r="J16" s="287" t="s">
        <v>278</v>
      </c>
      <c r="K16" s="396"/>
      <c r="L16" s="171">
        <f>IFERROR(VLOOKUP(MID(J16,4,3),MMWR_TRAD_AGG_NATIONAL[],2,0),"--")</f>
        <v>3494</v>
      </c>
      <c r="M16" s="172">
        <f>IFERROR(VLOOKUP(MID(J16,4,3),MMWR_TRAD_AGG_NATIONAL[],3,0),"--")</f>
        <v>1344</v>
      </c>
      <c r="N16" s="173">
        <f t="shared" si="1"/>
        <v>0.38465941614195764</v>
      </c>
      <c r="O16" s="69"/>
      <c r="P16" s="431" t="s">
        <v>956</v>
      </c>
      <c r="Q16" s="432"/>
      <c r="R16" s="432"/>
      <c r="S16" s="433"/>
      <c r="T16" s="28"/>
      <c r="U16" s="71"/>
      <c r="V16" s="25"/>
    </row>
    <row r="17" spans="1:22" s="1" customFormat="1" ht="31.5" customHeight="1" thickBot="1" x14ac:dyDescent="0.25">
      <c r="A17" s="25"/>
      <c r="B17" s="287" t="s">
        <v>258</v>
      </c>
      <c r="C17" s="288"/>
      <c r="D17" s="288"/>
      <c r="E17" s="396"/>
      <c r="F17" s="171">
        <f>IFERROR(VLOOKUP(MID(B17,4,3),MMWR_TRAD_AGG_NATIONAL[],2,0),"--")</f>
        <v>157</v>
      </c>
      <c r="G17" s="172">
        <f>IFERROR(VLOOKUP(MID(B17,4,3),MMWR_TRAD_AGG_NATIONAL[],3,0),"--")</f>
        <v>129</v>
      </c>
      <c r="H17" s="173">
        <f t="shared" si="0"/>
        <v>0.82165605095541405</v>
      </c>
      <c r="I17" s="25"/>
      <c r="J17" s="287" t="s">
        <v>279</v>
      </c>
      <c r="K17" s="396"/>
      <c r="L17" s="171">
        <f>IFERROR(VLOOKUP(MID(J17,4,3),MMWR_TRAD_AGG_NATIONAL[],2,0),"--")</f>
        <v>7743</v>
      </c>
      <c r="M17" s="172">
        <f>IFERROR(VLOOKUP(MID(J17,4,3),MMWR_TRAD_AGG_NATIONAL[],3,0),"--")</f>
        <v>1182</v>
      </c>
      <c r="N17" s="173">
        <f t="shared" si="1"/>
        <v>0.15265401007361487</v>
      </c>
      <c r="O17" s="72"/>
      <c r="P17" s="440" t="s">
        <v>251</v>
      </c>
      <c r="Q17" s="441"/>
      <c r="R17" s="441"/>
      <c r="S17" s="186">
        <f>IFERROR(VLOOKUP("160",MMWR_TRAD_AGG_NATIONAL[],2,0),"--")</f>
        <v>22935</v>
      </c>
      <c r="T17" s="28"/>
      <c r="U17" s="71"/>
      <c r="V17" s="25"/>
    </row>
    <row r="18" spans="1:22" s="1" customFormat="1" ht="32.25" customHeight="1" thickBot="1" x14ac:dyDescent="0.25">
      <c r="A18" s="25"/>
      <c r="B18" s="287" t="s">
        <v>259</v>
      </c>
      <c r="C18" s="288"/>
      <c r="D18" s="288"/>
      <c r="E18" s="396"/>
      <c r="F18" s="171">
        <f>IFERROR(VLOOKUP(MID(B18,4,3),MMWR_TRAD_AGG_NATIONAL[],2,0),"--")</f>
        <v>9</v>
      </c>
      <c r="G18" s="172">
        <f>IFERROR(VLOOKUP(MID(B18,4,3),MMWR_TRAD_AGG_NATIONAL[],3,0),"--")</f>
        <v>6</v>
      </c>
      <c r="H18" s="173">
        <f t="shared" si="0"/>
        <v>0.66666666666666663</v>
      </c>
      <c r="I18" s="68" t="s">
        <v>316</v>
      </c>
      <c r="J18" s="401" t="s">
        <v>15</v>
      </c>
      <c r="K18" s="402"/>
      <c r="L18" s="168">
        <f>SUM(L19:L21)</f>
        <v>658</v>
      </c>
      <c r="M18" s="168">
        <f>SUM(M19:M21)</f>
        <v>611</v>
      </c>
      <c r="N18" s="161">
        <f t="shared" ref="N18:N26" si="2">IF(M18="--", 0, M18/L18)</f>
        <v>0.9285714285714286</v>
      </c>
      <c r="O18" s="73"/>
      <c r="P18" s="442" t="s">
        <v>252</v>
      </c>
      <c r="Q18" s="443"/>
      <c r="R18" s="443"/>
      <c r="S18" s="187">
        <f>IFERROR(VLOOKUP("165",MMWR_TRAD_AGG_NATIONAL[],2,0),"--")</f>
        <v>9535</v>
      </c>
      <c r="T18" s="28"/>
      <c r="U18" s="71"/>
      <c r="V18" s="25"/>
    </row>
    <row r="19" spans="1:22" s="1" customFormat="1" ht="41.25" customHeight="1" x14ac:dyDescent="0.4">
      <c r="A19" s="25"/>
      <c r="B19" s="287" t="s">
        <v>260</v>
      </c>
      <c r="C19" s="288"/>
      <c r="D19" s="288"/>
      <c r="E19" s="396"/>
      <c r="F19" s="171">
        <f>IFERROR(VLOOKUP(MID(B19,4,3),MMWR_TRAD_AGG_NATIONAL[],2,0),"--")</f>
        <v>2</v>
      </c>
      <c r="G19" s="172">
        <f>IFERROR(VLOOKUP(MID(B19,4,3),MMWR_TRAD_AGG_NATIONAL[],3,0),"--")</f>
        <v>0</v>
      </c>
      <c r="H19" s="173">
        <f t="shared" si="0"/>
        <v>0</v>
      </c>
      <c r="I19" s="68" t="s">
        <v>316</v>
      </c>
      <c r="J19" s="287" t="s">
        <v>280</v>
      </c>
      <c r="K19" s="396"/>
      <c r="L19" s="171">
        <f>IFERROR(VLOOKUP(MID(J19,4,3),MMWR_TRAD_AGG_NATIONAL[],2,0),"--")</f>
        <v>529</v>
      </c>
      <c r="M19" s="172">
        <f>IFERROR(VLOOKUP(MID(J19,4,3),MMWR_TRAD_AGG_NATIONAL[],3,0),"--")</f>
        <v>526</v>
      </c>
      <c r="N19" s="173">
        <f t="shared" si="2"/>
        <v>0.99432892249527405</v>
      </c>
      <c r="O19" s="56"/>
      <c r="P19" s="25"/>
      <c r="Q19" s="25"/>
      <c r="R19" s="25"/>
      <c r="S19" s="25"/>
      <c r="T19" s="28"/>
      <c r="U19" s="71"/>
      <c r="V19" s="25"/>
    </row>
    <row r="20" spans="1:22" s="1" customFormat="1" ht="40.5" customHeight="1" x14ac:dyDescent="0.4">
      <c r="A20" s="25"/>
      <c r="B20" s="287" t="s">
        <v>261</v>
      </c>
      <c r="C20" s="288"/>
      <c r="D20" s="288"/>
      <c r="E20" s="396"/>
      <c r="F20" s="171">
        <f>IFERROR(VLOOKUP(MID(B20,4,3),MMWR_TRAD_AGG_NATIONAL[],2,0),"--")</f>
        <v>7</v>
      </c>
      <c r="G20" s="172">
        <f>IFERROR(VLOOKUP(MID(B20,4,3),MMWR_TRAD_AGG_NATIONAL[],3,0),"--")</f>
        <v>3</v>
      </c>
      <c r="H20" s="173">
        <f t="shared" si="0"/>
        <v>0.42857142857142855</v>
      </c>
      <c r="I20" s="68" t="s">
        <v>316</v>
      </c>
      <c r="J20" s="287" t="s">
        <v>303</v>
      </c>
      <c r="K20" s="396"/>
      <c r="L20" s="171">
        <f>IFERROR(VLOOKUP(MID(J20,4,3),MMWR_TRAD_AGG_NATIONAL[],2,0),"--")</f>
        <v>104</v>
      </c>
      <c r="M20" s="172">
        <f>IFERROR(VLOOKUP(MID(J20,4,3),MMWR_TRAD_AGG_NATIONAL[],3,0),"--")</f>
        <v>76</v>
      </c>
      <c r="N20" s="173">
        <f t="shared" si="2"/>
        <v>0.73076923076923073</v>
      </c>
      <c r="O20" s="56"/>
      <c r="P20" s="56"/>
      <c r="Q20" s="56"/>
      <c r="R20" s="56"/>
      <c r="S20" s="56"/>
      <c r="T20" s="56"/>
      <c r="U20" s="74"/>
      <c r="V20" s="25"/>
    </row>
    <row r="21" spans="1:22" s="1" customFormat="1" ht="39" customHeight="1" thickBot="1" x14ac:dyDescent="0.45">
      <c r="A21" s="25"/>
      <c r="B21" s="287" t="s">
        <v>262</v>
      </c>
      <c r="C21" s="288"/>
      <c r="D21" s="288"/>
      <c r="E21" s="396"/>
      <c r="F21" s="171">
        <f>IFERROR(VLOOKUP(MID(B21,4,3),MMWR_TRAD_AGG_NATIONAL[],2,0),"--")</f>
        <v>4</v>
      </c>
      <c r="G21" s="172">
        <f>IFERROR(VLOOKUP(MID(B21,4,3),MMWR_TRAD_AGG_NATIONAL[],3,0),"--")</f>
        <v>3</v>
      </c>
      <c r="H21" s="173">
        <f t="shared" si="0"/>
        <v>0.75</v>
      </c>
      <c r="I21" s="68" t="s">
        <v>316</v>
      </c>
      <c r="J21" s="287" t="s">
        <v>281</v>
      </c>
      <c r="K21" s="396"/>
      <c r="L21" s="171">
        <f>IFERROR(VLOOKUP(MID(J21,4,3),MMWR_TRAD_AGG_NATIONAL[],2,0),"--")</f>
        <v>25</v>
      </c>
      <c r="M21" s="172">
        <f>IFERROR(VLOOKUP(MID(J21,4,3),MMWR_TRAD_AGG_NATIONAL[],3,0),"--")</f>
        <v>9</v>
      </c>
      <c r="N21" s="173">
        <f t="shared" si="2"/>
        <v>0.36</v>
      </c>
      <c r="O21" s="56"/>
      <c r="P21" s="56"/>
      <c r="Q21" s="56"/>
      <c r="R21" s="56"/>
      <c r="S21" s="56"/>
      <c r="T21" s="56"/>
      <c r="U21" s="74"/>
      <c r="V21" s="25"/>
    </row>
    <row r="22" spans="1:22" s="1" customFormat="1" ht="32.25" customHeight="1" thickBot="1" x14ac:dyDescent="0.45">
      <c r="A22" s="25"/>
      <c r="B22" s="401" t="s">
        <v>13</v>
      </c>
      <c r="C22" s="402"/>
      <c r="D22" s="402"/>
      <c r="E22" s="402"/>
      <c r="F22" s="168">
        <f>SUM(F23:F29)</f>
        <v>490877</v>
      </c>
      <c r="G22" s="169">
        <f>SUM(G23:G29)</f>
        <v>309926</v>
      </c>
      <c r="H22" s="170">
        <f t="shared" si="0"/>
        <v>0.63137201376312191</v>
      </c>
      <c r="I22" s="25"/>
      <c r="J22" s="401" t="s">
        <v>230</v>
      </c>
      <c r="K22" s="402"/>
      <c r="L22" s="168">
        <f>SUM(L23:L26)</f>
        <v>1512</v>
      </c>
      <c r="M22" s="168">
        <f>SUM(M23:M26)</f>
        <v>527</v>
      </c>
      <c r="N22" s="161">
        <f t="shared" si="2"/>
        <v>0.34854497354497355</v>
      </c>
      <c r="O22" s="56"/>
      <c r="P22" s="25"/>
      <c r="Q22" s="25"/>
      <c r="R22" s="25"/>
      <c r="S22" s="25"/>
      <c r="T22" s="56"/>
      <c r="U22" s="74"/>
      <c r="V22" s="25"/>
    </row>
    <row r="23" spans="1:22" s="1" customFormat="1" ht="26.25" customHeight="1" x14ac:dyDescent="0.4">
      <c r="A23" s="25"/>
      <c r="B23" s="397" t="s">
        <v>263</v>
      </c>
      <c r="C23" s="398"/>
      <c r="D23" s="398"/>
      <c r="E23" s="399"/>
      <c r="F23" s="171">
        <f>IFERROR(VLOOKUP(MID(B23,4,3),MMWR_TRAD_AGG_NATIONAL[],2,0),"--")</f>
        <v>218335</v>
      </c>
      <c r="G23" s="172">
        <f>IFERROR(VLOOKUP(MID(B23,4,3),MMWR_TRAD_AGG_NATIONAL[],3,0),"--")</f>
        <v>151868</v>
      </c>
      <c r="H23" s="173">
        <f t="shared" si="0"/>
        <v>0.69557331623422725</v>
      </c>
      <c r="I23" s="25"/>
      <c r="J23" s="403" t="s">
        <v>284</v>
      </c>
      <c r="K23" s="405"/>
      <c r="L23" s="174">
        <f>IFERROR(VLOOKUP(MID(J23,4,3),MMWR_TRAD_AGG_NATIONAL[],2,0),"--")</f>
        <v>270</v>
      </c>
      <c r="M23" s="175">
        <f>IFERROR(VLOOKUP(MID(J23,4,3),MMWR_TRAD_AGG_NATIONAL[],3,0),"--")</f>
        <v>151</v>
      </c>
      <c r="N23" s="176">
        <f t="shared" si="2"/>
        <v>0.55925925925925923</v>
      </c>
      <c r="O23" s="56"/>
      <c r="P23" s="25"/>
      <c r="Q23" s="25"/>
      <c r="R23" s="25"/>
      <c r="S23" s="25"/>
      <c r="T23" s="56"/>
      <c r="U23" s="74"/>
      <c r="V23" s="25"/>
    </row>
    <row r="24" spans="1:22" s="1" customFormat="1" ht="39.75" customHeight="1" x14ac:dyDescent="0.4">
      <c r="A24" s="25"/>
      <c r="B24" s="397" t="s">
        <v>264</v>
      </c>
      <c r="C24" s="398"/>
      <c r="D24" s="398"/>
      <c r="E24" s="399"/>
      <c r="F24" s="171">
        <f>IFERROR(VLOOKUP(MID(B24,4,3),MMWR_TRAD_AGG_NATIONAL[],2,0),"--")</f>
        <v>225</v>
      </c>
      <c r="G24" s="172">
        <f>IFERROR(VLOOKUP(MID(B24,4,3),MMWR_TRAD_AGG_NATIONAL[],3,0),"--")</f>
        <v>112</v>
      </c>
      <c r="H24" s="173">
        <f t="shared" si="0"/>
        <v>0.49777777777777776</v>
      </c>
      <c r="I24" s="25"/>
      <c r="J24" s="287" t="s">
        <v>283</v>
      </c>
      <c r="K24" s="396"/>
      <c r="L24" s="171">
        <f>IFERROR(VLOOKUP(MID(J24,4,3),MMWR_TRAD_AGG_NATIONAL[],2,0),"--")</f>
        <v>568</v>
      </c>
      <c r="M24" s="172">
        <f>IFERROR(VLOOKUP(MID(J24,4,3),MMWR_TRAD_AGG_NATIONAL[],3,0),"--")</f>
        <v>17</v>
      </c>
      <c r="N24" s="173">
        <f t="shared" si="2"/>
        <v>2.9929577464788731E-2</v>
      </c>
      <c r="O24" s="56"/>
      <c r="P24" s="25"/>
      <c r="Q24" s="25"/>
      <c r="R24" s="25"/>
      <c r="S24" s="25"/>
      <c r="T24" s="56"/>
      <c r="U24" s="74"/>
      <c r="V24" s="25"/>
    </row>
    <row r="25" spans="1:22" s="1" customFormat="1" ht="37.5" customHeight="1" x14ac:dyDescent="0.4">
      <c r="A25" s="25"/>
      <c r="B25" s="397" t="s">
        <v>265</v>
      </c>
      <c r="C25" s="398"/>
      <c r="D25" s="398"/>
      <c r="E25" s="399"/>
      <c r="F25" s="171">
        <f>IFERROR(VLOOKUP(MID(B25,4,3),MMWR_TRAD_AGG_NATIONAL[],2,0),"--")</f>
        <v>263</v>
      </c>
      <c r="G25" s="172">
        <f>IFERROR(VLOOKUP(MID(B25,4,3),MMWR_TRAD_AGG_NATIONAL[],3,0),"--")</f>
        <v>164</v>
      </c>
      <c r="H25" s="173">
        <f t="shared" si="0"/>
        <v>0.62357414448669202</v>
      </c>
      <c r="I25" s="25"/>
      <c r="J25" s="287" t="s">
        <v>282</v>
      </c>
      <c r="K25" s="396"/>
      <c r="L25" s="171">
        <f>IFERROR(VLOOKUP(MID(J25,4,3),MMWR_TRAD_AGG_NATIONAL[],2,0),"--")</f>
        <v>632</v>
      </c>
      <c r="M25" s="172">
        <f>IFERROR(VLOOKUP(MID(J25,4,3),MMWR_TRAD_AGG_NATIONAL[],3,0),"--")</f>
        <v>327</v>
      </c>
      <c r="N25" s="173">
        <f t="shared" si="2"/>
        <v>0.51740506329113922</v>
      </c>
      <c r="O25" s="56"/>
      <c r="P25" s="56"/>
      <c r="Q25" s="56"/>
      <c r="R25" s="56"/>
      <c r="S25" s="56"/>
      <c r="T25" s="56"/>
      <c r="U25" s="74"/>
      <c r="V25" s="25"/>
    </row>
    <row r="26" spans="1:22" s="1" customFormat="1" ht="37.5" customHeight="1" thickBot="1" x14ac:dyDescent="0.45">
      <c r="A26" s="25"/>
      <c r="B26" s="397" t="s">
        <v>266</v>
      </c>
      <c r="C26" s="398"/>
      <c r="D26" s="398"/>
      <c r="E26" s="399"/>
      <c r="F26" s="171">
        <f>IFERROR(VLOOKUP(MID(B26,4,3),MMWR_TRAD_AGG_NATIONAL[],2,0),"--")</f>
        <v>122704</v>
      </c>
      <c r="G26" s="172">
        <f>IFERROR(VLOOKUP(MID(B26,4,3),MMWR_TRAD_AGG_NATIONAL[],3,0),"--")</f>
        <v>97232</v>
      </c>
      <c r="H26" s="173">
        <f t="shared" si="0"/>
        <v>0.79241100534619902</v>
      </c>
      <c r="I26" s="56"/>
      <c r="J26" s="292" t="s">
        <v>319</v>
      </c>
      <c r="K26" s="400"/>
      <c r="L26" s="177">
        <f>IFERROR(VLOOKUP(MID(J26,4,3),MMWR_TRAD_AGG_NATIONAL[],2,0),"--")</f>
        <v>42</v>
      </c>
      <c r="M26" s="178">
        <f>IFERROR(VLOOKUP(MID(J26,4,3),MMWR_TRAD_AGG_NATIONAL[],3,0),"--")</f>
        <v>32</v>
      </c>
      <c r="N26" s="179">
        <f t="shared" si="2"/>
        <v>0.76190476190476186</v>
      </c>
      <c r="O26" s="56"/>
      <c r="P26" s="56"/>
      <c r="Q26" s="56"/>
      <c r="R26" s="56"/>
      <c r="S26" s="56"/>
      <c r="T26" s="56"/>
      <c r="U26" s="74"/>
      <c r="V26" s="25"/>
    </row>
    <row r="27" spans="1:22" s="1" customFormat="1" ht="26.25" customHeight="1" thickBot="1" x14ac:dyDescent="0.45">
      <c r="A27" s="25"/>
      <c r="B27" s="397" t="s">
        <v>267</v>
      </c>
      <c r="C27" s="398"/>
      <c r="D27" s="398"/>
      <c r="E27" s="399"/>
      <c r="F27" s="171">
        <f>IFERROR(VLOOKUP(MID(B27,4,3),MMWR_TRAD_AGG_NATIONAL[],2,0),"--")</f>
        <v>30</v>
      </c>
      <c r="G27" s="172">
        <f>IFERROR(VLOOKUP(MID(B27,4,3),MMWR_TRAD_AGG_NATIONAL[],3,0),"--")</f>
        <v>6</v>
      </c>
      <c r="H27" s="173">
        <f t="shared" si="0"/>
        <v>0.2</v>
      </c>
      <c r="I27" s="56"/>
      <c r="J27" s="56"/>
      <c r="K27" s="56"/>
      <c r="L27" s="56"/>
      <c r="M27" s="56"/>
      <c r="N27" s="56"/>
      <c r="O27" s="56"/>
      <c r="P27" s="56"/>
      <c r="Q27" s="56"/>
      <c r="R27" s="56"/>
      <c r="S27" s="56"/>
      <c r="T27" s="56"/>
      <c r="U27" s="74"/>
      <c r="V27" s="25"/>
    </row>
    <row r="28" spans="1:22" s="1" customFormat="1" ht="32.25" customHeight="1" x14ac:dyDescent="0.4">
      <c r="A28" s="25"/>
      <c r="B28" s="397" t="s">
        <v>268</v>
      </c>
      <c r="C28" s="398"/>
      <c r="D28" s="398"/>
      <c r="E28" s="399"/>
      <c r="F28" s="171">
        <f>IFERROR(VLOOKUP(MID(B28,4,3),MMWR_TRAD_AGG_NATIONAL[],2,0),"--")</f>
        <v>15194</v>
      </c>
      <c r="G28" s="172">
        <f>IFERROR(VLOOKUP(MID(B28,4,3),MMWR_TRAD_AGG_NATIONAL[],3,0),"--")</f>
        <v>1286</v>
      </c>
      <c r="H28" s="173">
        <f t="shared" si="0"/>
        <v>8.4638673160458075E-2</v>
      </c>
      <c r="I28" s="68" t="s">
        <v>316</v>
      </c>
      <c r="J28" s="409" t="s">
        <v>318</v>
      </c>
      <c r="K28" s="410"/>
      <c r="L28" s="410"/>
      <c r="M28" s="410"/>
      <c r="N28" s="411"/>
      <c r="O28" s="444" t="s">
        <v>316</v>
      </c>
      <c r="P28" s="75"/>
      <c r="Q28" s="56"/>
      <c r="R28" s="56"/>
      <c r="S28" s="56"/>
      <c r="T28" s="56"/>
      <c r="U28" s="74"/>
      <c r="V28" s="25"/>
    </row>
    <row r="29" spans="1:22" s="1" customFormat="1" ht="27" customHeight="1" thickBot="1" x14ac:dyDescent="0.45">
      <c r="A29" s="25"/>
      <c r="B29" s="397" t="s">
        <v>269</v>
      </c>
      <c r="C29" s="398"/>
      <c r="D29" s="398"/>
      <c r="E29" s="399"/>
      <c r="F29" s="171">
        <f>IFERROR(VLOOKUP(MID(B29,4,3),MMWR_TRAD_AGG_NATIONAL[],2,0),"--")</f>
        <v>134126</v>
      </c>
      <c r="G29" s="172">
        <f>IFERROR(VLOOKUP(MID(B29,4,3),MMWR_TRAD_AGG_NATIONAL[],3,0),"--")</f>
        <v>59258</v>
      </c>
      <c r="H29" s="173">
        <f t="shared" si="0"/>
        <v>0.44180844877205017</v>
      </c>
      <c r="I29" s="56"/>
      <c r="J29" s="412"/>
      <c r="K29" s="413"/>
      <c r="L29" s="413"/>
      <c r="M29" s="413"/>
      <c r="N29" s="414"/>
      <c r="O29" s="444"/>
      <c r="P29" s="76"/>
      <c r="Q29" s="56"/>
      <c r="R29" s="56"/>
      <c r="S29" s="56"/>
      <c r="T29" s="56"/>
      <c r="U29" s="74"/>
      <c r="V29" s="25"/>
    </row>
    <row r="30" spans="1:22" s="1" customFormat="1" ht="32.25" customHeight="1" thickBot="1" x14ac:dyDescent="0.45">
      <c r="A30" s="25"/>
      <c r="B30" s="401" t="s">
        <v>32</v>
      </c>
      <c r="C30" s="402"/>
      <c r="D30" s="402"/>
      <c r="E30" s="402"/>
      <c r="F30" s="169">
        <f>SUM(F31:F37)</f>
        <v>84416</v>
      </c>
      <c r="G30" s="169">
        <f>SUM(G31:G37)</f>
        <v>72553</v>
      </c>
      <c r="H30" s="161">
        <f t="shared" si="0"/>
        <v>0.85946976876421532</v>
      </c>
      <c r="I30" s="56"/>
      <c r="J30" s="28"/>
      <c r="K30" s="28"/>
      <c r="L30" s="28"/>
      <c r="M30" s="28"/>
      <c r="N30" s="28"/>
      <c r="O30" s="28"/>
      <c r="P30" s="56"/>
      <c r="Q30" s="56"/>
      <c r="R30" s="56"/>
      <c r="S30" s="56"/>
      <c r="T30" s="56"/>
      <c r="U30" s="74"/>
      <c r="V30" s="25"/>
    </row>
    <row r="31" spans="1:22" s="1" customFormat="1" ht="33.75" customHeight="1" x14ac:dyDescent="0.4">
      <c r="A31" s="25"/>
      <c r="B31" s="287" t="s">
        <v>286</v>
      </c>
      <c r="C31" s="288"/>
      <c r="D31" s="288"/>
      <c r="E31" s="396"/>
      <c r="F31" s="171">
        <f>IFERROR(VLOOKUP(MID(B31,4,3),MMWR_TRAD_AGG_NATIONAL[],2,0),"--")</f>
        <v>57</v>
      </c>
      <c r="G31" s="172">
        <f>IFERROR(VLOOKUP(MID(B31,4,3),MMWR_TRAD_AGG_NATIONAL[],3,0),"--")</f>
        <v>43</v>
      </c>
      <c r="H31" s="173">
        <f t="shared" si="0"/>
        <v>0.75438596491228072</v>
      </c>
      <c r="I31" s="56"/>
      <c r="J31" s="56"/>
      <c r="K31" s="56"/>
      <c r="L31" s="56"/>
      <c r="M31" s="56"/>
      <c r="N31" s="56"/>
      <c r="O31" s="56"/>
      <c r="P31" s="56"/>
      <c r="Q31" s="56"/>
      <c r="R31" s="56"/>
      <c r="S31" s="56"/>
      <c r="T31" s="56"/>
      <c r="U31" s="74"/>
      <c r="V31" s="25"/>
    </row>
    <row r="32" spans="1:22" s="1" customFormat="1" ht="32.25" customHeight="1" x14ac:dyDescent="0.4">
      <c r="A32" s="25"/>
      <c r="B32" s="287" t="s">
        <v>287</v>
      </c>
      <c r="C32" s="288"/>
      <c r="D32" s="288"/>
      <c r="E32" s="396"/>
      <c r="F32" s="171">
        <f>IFERROR(VLOOKUP(MID(B32,4,3),MMWR_TRAD_AGG_NATIONAL[],2,0),"--")</f>
        <v>45</v>
      </c>
      <c r="G32" s="172">
        <f>IFERROR(VLOOKUP(MID(B32,4,3),MMWR_TRAD_AGG_NATIONAL[],3,0),"--")</f>
        <v>44</v>
      </c>
      <c r="H32" s="173">
        <f t="shared" si="0"/>
        <v>0.97777777777777775</v>
      </c>
      <c r="I32" s="56"/>
      <c r="J32" s="56"/>
      <c r="K32" s="56"/>
      <c r="L32" s="56"/>
      <c r="M32" s="56"/>
      <c r="N32" s="56"/>
      <c r="O32" s="56"/>
      <c r="P32" s="56"/>
      <c r="Q32" s="56"/>
      <c r="R32" s="56"/>
      <c r="S32" s="56"/>
      <c r="T32" s="56"/>
      <c r="U32" s="74"/>
      <c r="V32" s="25"/>
    </row>
    <row r="33" spans="1:22" s="1" customFormat="1" ht="32.25" customHeight="1" x14ac:dyDescent="0.4">
      <c r="A33" s="25"/>
      <c r="B33" s="287" t="s">
        <v>288</v>
      </c>
      <c r="C33" s="288"/>
      <c r="D33" s="288"/>
      <c r="E33" s="396"/>
      <c r="F33" s="171">
        <f>IFERROR(VLOOKUP(MID(B33,4,3),MMWR_TRAD_AGG_NATIONAL[],2,0),"--")</f>
        <v>674</v>
      </c>
      <c r="G33" s="172">
        <f>IFERROR(VLOOKUP(MID(B33,4,3),MMWR_TRAD_AGG_NATIONAL[],3,0),"--")</f>
        <v>605</v>
      </c>
      <c r="H33" s="173">
        <f t="shared" si="0"/>
        <v>0.89762611275964388</v>
      </c>
      <c r="I33" s="56"/>
      <c r="J33" s="56"/>
      <c r="K33" s="56"/>
      <c r="L33" s="28"/>
      <c r="M33" s="28"/>
      <c r="N33" s="28"/>
      <c r="O33" s="28"/>
      <c r="P33" s="28"/>
      <c r="Q33" s="28"/>
      <c r="R33" s="56"/>
      <c r="S33" s="56"/>
      <c r="T33" s="56"/>
      <c r="U33" s="74"/>
      <c r="V33" s="25"/>
    </row>
    <row r="34" spans="1:22" s="1" customFormat="1" ht="32.25" customHeight="1" x14ac:dyDescent="0.4">
      <c r="A34" s="25"/>
      <c r="B34" s="287" t="s">
        <v>289</v>
      </c>
      <c r="C34" s="288"/>
      <c r="D34" s="288"/>
      <c r="E34" s="396"/>
      <c r="F34" s="171">
        <f>IFERROR(VLOOKUP(MID(B34,4,3),MMWR_TRAD_AGG_NATIONAL[],2,0),"--")</f>
        <v>1017</v>
      </c>
      <c r="G34" s="172">
        <f>IFERROR(VLOOKUP(MID(B34,4,3),MMWR_TRAD_AGG_NATIONAL[],3,0),"--")</f>
        <v>175</v>
      </c>
      <c r="H34" s="173">
        <f t="shared" si="0"/>
        <v>0.17207472959685349</v>
      </c>
      <c r="I34" s="56"/>
      <c r="J34" s="56"/>
      <c r="K34" s="56"/>
      <c r="L34" s="28"/>
      <c r="M34" s="28"/>
      <c r="N34" s="28"/>
      <c r="O34" s="28"/>
      <c r="P34" s="28"/>
      <c r="Q34" s="28"/>
      <c r="R34" s="56"/>
      <c r="S34" s="56"/>
      <c r="T34" s="56"/>
      <c r="U34" s="74"/>
      <c r="V34" s="25"/>
    </row>
    <row r="35" spans="1:22" s="1" customFormat="1" ht="32.25" customHeight="1" x14ac:dyDescent="0.4">
      <c r="A35" s="25"/>
      <c r="B35" s="287" t="s">
        <v>290</v>
      </c>
      <c r="C35" s="288"/>
      <c r="D35" s="288"/>
      <c r="E35" s="396"/>
      <c r="F35" s="171">
        <f>IFERROR(VLOOKUP(MID(B35,4,3),MMWR_TRAD_AGG_NATIONAL[],2,0),"--")</f>
        <v>190</v>
      </c>
      <c r="G35" s="172">
        <f>IFERROR(VLOOKUP(MID(B35,4,3),MMWR_TRAD_AGG_NATIONAL[],3,0),"--")</f>
        <v>188</v>
      </c>
      <c r="H35" s="173">
        <f t="shared" si="0"/>
        <v>0.98947368421052628</v>
      </c>
      <c r="I35" s="56"/>
      <c r="J35" s="56"/>
      <c r="K35" s="56"/>
      <c r="L35" s="56"/>
      <c r="M35" s="56"/>
      <c r="N35" s="56"/>
      <c r="O35" s="56"/>
      <c r="P35" s="56"/>
      <c r="Q35" s="56"/>
      <c r="R35" s="56"/>
      <c r="S35" s="56"/>
      <c r="T35" s="56"/>
      <c r="U35" s="74"/>
      <c r="V35" s="25"/>
    </row>
    <row r="36" spans="1:22" s="1" customFormat="1" ht="32.25" customHeight="1" x14ac:dyDescent="0.4">
      <c r="A36" s="25"/>
      <c r="B36" s="287" t="s">
        <v>291</v>
      </c>
      <c r="C36" s="288"/>
      <c r="D36" s="288"/>
      <c r="E36" s="396"/>
      <c r="F36" s="171">
        <f>IFERROR(VLOOKUP(MID(B36,4,3),MMWR_TRAD_AGG_NATIONAL[],2,0),"--")</f>
        <v>18779</v>
      </c>
      <c r="G36" s="172">
        <f>IFERROR(VLOOKUP(MID(B36,4,3),MMWR_TRAD_AGG_NATIONAL[],3,0),"--")</f>
        <v>13908</v>
      </c>
      <c r="H36" s="173">
        <f t="shared" si="0"/>
        <v>0.74061451621492091</v>
      </c>
      <c r="I36" s="56"/>
      <c r="J36" s="56"/>
      <c r="K36" s="56"/>
      <c r="L36" s="56"/>
      <c r="M36" s="56"/>
      <c r="N36" s="56"/>
      <c r="O36" s="56"/>
      <c r="P36" s="56"/>
      <c r="Q36" s="56"/>
      <c r="R36" s="56"/>
      <c r="S36" s="56"/>
      <c r="T36" s="56"/>
      <c r="U36" s="74"/>
      <c r="V36" s="25"/>
    </row>
    <row r="37" spans="1:22" s="1" customFormat="1" ht="27" customHeight="1" thickBot="1" x14ac:dyDescent="0.45">
      <c r="A37" s="25"/>
      <c r="B37" s="287" t="s">
        <v>292</v>
      </c>
      <c r="C37" s="288"/>
      <c r="D37" s="288"/>
      <c r="E37" s="396"/>
      <c r="F37" s="171">
        <f>IFERROR(VLOOKUP(MID(B37,4,3)&amp;"G",MMWR_TRAD_AGG_NATIONAL[],2,0),"--")</f>
        <v>63654</v>
      </c>
      <c r="G37" s="172">
        <f>IFERROR(VLOOKUP(MID(B37,4,3)&amp;"G",MMWR_TRAD_AGG_NATIONAL[],3,0),"--")</f>
        <v>57590</v>
      </c>
      <c r="H37" s="173">
        <f t="shared" si="0"/>
        <v>0.90473497345021525</v>
      </c>
      <c r="I37" s="56"/>
      <c r="J37" s="56"/>
      <c r="K37" s="56"/>
      <c r="L37" s="56"/>
      <c r="M37" s="56"/>
      <c r="N37" s="56"/>
      <c r="O37" s="56"/>
      <c r="P37" s="56"/>
      <c r="Q37" s="56"/>
      <c r="R37" s="56"/>
      <c r="S37" s="56"/>
      <c r="T37" s="56"/>
      <c r="U37" s="74"/>
      <c r="V37" s="25"/>
    </row>
    <row r="38" spans="1:22" s="1" customFormat="1" ht="32.25" customHeight="1" thickBot="1" x14ac:dyDescent="0.45">
      <c r="A38" s="25"/>
      <c r="B38" s="401" t="s">
        <v>244</v>
      </c>
      <c r="C38" s="402"/>
      <c r="D38" s="402"/>
      <c r="E38" s="402"/>
      <c r="F38" s="168">
        <f>SUM(F39:F44)</f>
        <v>136757</v>
      </c>
      <c r="G38" s="169">
        <f>SUM(G39:G44)</f>
        <v>85929</v>
      </c>
      <c r="H38" s="170">
        <f t="shared" si="0"/>
        <v>0.62833346739106588</v>
      </c>
      <c r="I38" s="56"/>
      <c r="J38" s="56"/>
      <c r="K38" s="75"/>
      <c r="L38" s="75"/>
      <c r="M38" s="75"/>
      <c r="N38" s="75"/>
      <c r="O38" s="75"/>
      <c r="P38" s="56"/>
      <c r="Q38" s="56"/>
      <c r="R38" s="56"/>
      <c r="S38" s="56"/>
      <c r="T38" s="56"/>
      <c r="U38" s="74"/>
      <c r="V38" s="25"/>
    </row>
    <row r="39" spans="1:22" s="1" customFormat="1" ht="26.25" customHeight="1" x14ac:dyDescent="0.4">
      <c r="A39" s="25"/>
      <c r="B39" s="403" t="s">
        <v>293</v>
      </c>
      <c r="C39" s="404"/>
      <c r="D39" s="404"/>
      <c r="E39" s="405"/>
      <c r="F39" s="174">
        <f>IFERROR(VLOOKUP(MID(B39,4,3),MMWR_TRAD_AGG_NATIONAL[],2,0),"--")</f>
        <v>6969</v>
      </c>
      <c r="G39" s="175">
        <f>IFERROR(VLOOKUP(MID(B39,4,3),MMWR_TRAD_AGG_NATIONAL[],3,0),"--")</f>
        <v>5419</v>
      </c>
      <c r="H39" s="176">
        <f t="shared" si="0"/>
        <v>0.77758645429760365</v>
      </c>
      <c r="I39" s="56"/>
      <c r="J39" s="56"/>
      <c r="K39" s="75"/>
      <c r="L39" s="75"/>
      <c r="M39" s="75"/>
      <c r="N39" s="75"/>
      <c r="O39" s="75"/>
      <c r="P39" s="56"/>
      <c r="Q39" s="56"/>
      <c r="R39" s="56"/>
      <c r="S39" s="56"/>
      <c r="T39" s="56"/>
      <c r="U39" s="74"/>
      <c r="V39" s="25"/>
    </row>
    <row r="40" spans="1:22" s="1" customFormat="1" ht="26.25" customHeight="1" x14ac:dyDescent="0.4">
      <c r="A40" s="25"/>
      <c r="B40" s="287" t="s">
        <v>294</v>
      </c>
      <c r="C40" s="288"/>
      <c r="D40" s="288"/>
      <c r="E40" s="396"/>
      <c r="F40" s="171">
        <f>IFERROR(VLOOKUP(MID(B40,4,3),MMWR_TRAD_AGG_NATIONAL[],2,0),"--")</f>
        <v>80540</v>
      </c>
      <c r="G40" s="172">
        <f>IFERROR(VLOOKUP(MID(B40,4,3),MMWR_TRAD_AGG_NATIONAL[],3,0),"--")</f>
        <v>56119</v>
      </c>
      <c r="H40" s="173">
        <f t="shared" si="0"/>
        <v>0.69678420660541351</v>
      </c>
      <c r="I40" s="56"/>
      <c r="J40" s="56"/>
      <c r="K40" s="56"/>
      <c r="L40" s="56"/>
      <c r="M40" s="56"/>
      <c r="N40" s="56"/>
      <c r="O40" s="56"/>
      <c r="P40" s="56"/>
      <c r="Q40" s="56"/>
      <c r="R40" s="56"/>
      <c r="S40" s="56"/>
      <c r="T40" s="56"/>
      <c r="U40" s="74"/>
      <c r="V40" s="25"/>
    </row>
    <row r="41" spans="1:22" s="1" customFormat="1" ht="26.25" customHeight="1" x14ac:dyDescent="0.4">
      <c r="A41" s="25"/>
      <c r="B41" s="287" t="s">
        <v>295</v>
      </c>
      <c r="C41" s="288"/>
      <c r="D41" s="288"/>
      <c r="E41" s="396"/>
      <c r="F41" s="171">
        <f>IFERROR(VLOOKUP(MID(B41,4,3),MMWR_TRAD_AGG_NATIONAL[],2,0),"--")</f>
        <v>1558</v>
      </c>
      <c r="G41" s="172">
        <f>IFERROR(VLOOKUP(MID(B41,4,3),MMWR_TRAD_AGG_NATIONAL[],3,0),"--")</f>
        <v>534</v>
      </c>
      <c r="H41" s="173">
        <f t="shared" si="0"/>
        <v>0.34274711168164312</v>
      </c>
      <c r="I41" s="56"/>
      <c r="J41" s="56"/>
      <c r="K41" s="56"/>
      <c r="L41" s="56"/>
      <c r="M41" s="56"/>
      <c r="N41" s="56"/>
      <c r="O41" s="56"/>
      <c r="P41" s="56"/>
      <c r="Q41" s="56"/>
      <c r="R41" s="56"/>
      <c r="S41" s="56"/>
      <c r="T41" s="56"/>
      <c r="U41" s="74"/>
      <c r="V41" s="25"/>
    </row>
    <row r="42" spans="1:22" s="1" customFormat="1" ht="36" customHeight="1" x14ac:dyDescent="0.4">
      <c r="A42" s="25"/>
      <c r="B42" s="287" t="s">
        <v>296</v>
      </c>
      <c r="C42" s="288"/>
      <c r="D42" s="288"/>
      <c r="E42" s="396"/>
      <c r="F42" s="171">
        <f>IFERROR(VLOOKUP(MID(B42,4,3),MMWR_TRAD_AGG_NATIONAL[],2,0),"--")</f>
        <v>32123</v>
      </c>
      <c r="G42" s="172">
        <f>IFERROR(VLOOKUP(MID(B42,4,3),MMWR_TRAD_AGG_NATIONAL[],3,0),"--")</f>
        <v>10508</v>
      </c>
      <c r="H42" s="173">
        <f t="shared" si="0"/>
        <v>0.32711764156523365</v>
      </c>
      <c r="I42" s="56"/>
      <c r="J42" s="56"/>
      <c r="K42" s="56"/>
      <c r="L42" s="56"/>
      <c r="M42" s="56"/>
      <c r="N42" s="56"/>
      <c r="O42" s="56"/>
      <c r="P42" s="56"/>
      <c r="Q42" s="56"/>
      <c r="R42" s="56"/>
      <c r="S42" s="56"/>
      <c r="T42" s="56"/>
      <c r="U42" s="74"/>
      <c r="V42" s="25"/>
    </row>
    <row r="43" spans="1:22" s="1" customFormat="1" ht="33" customHeight="1" x14ac:dyDescent="0.4">
      <c r="A43" s="25"/>
      <c r="B43" s="287" t="s">
        <v>297</v>
      </c>
      <c r="C43" s="288"/>
      <c r="D43" s="288"/>
      <c r="E43" s="396"/>
      <c r="F43" s="171">
        <f>IFERROR(VLOOKUP(MID(B43,4,3),MMWR_TRAD_AGG_NATIONAL[],2,0),"--")</f>
        <v>15031</v>
      </c>
      <c r="G43" s="172">
        <f>IFERROR(VLOOKUP(MID(B43,4,3),MMWR_TRAD_AGG_NATIONAL[],3,0),"--")</f>
        <v>12876</v>
      </c>
      <c r="H43" s="173">
        <f t="shared" si="0"/>
        <v>0.85662963209367304</v>
      </c>
      <c r="I43" s="56"/>
      <c r="J43" s="56"/>
      <c r="K43" s="56"/>
      <c r="L43" s="56"/>
      <c r="M43" s="56"/>
      <c r="N43" s="56"/>
      <c r="O43" s="56"/>
      <c r="P43" s="56"/>
      <c r="Q43" s="56"/>
      <c r="R43" s="56"/>
      <c r="S43" s="56"/>
      <c r="T43" s="56"/>
      <c r="U43" s="74"/>
      <c r="V43" s="25"/>
    </row>
    <row r="44" spans="1:22" s="1" customFormat="1" ht="27" customHeight="1" thickBot="1" x14ac:dyDescent="0.45">
      <c r="A44" s="25"/>
      <c r="B44" s="292" t="s">
        <v>298</v>
      </c>
      <c r="C44" s="293"/>
      <c r="D44" s="293"/>
      <c r="E44" s="400"/>
      <c r="F44" s="177">
        <f>IFERROR(VLOOKUP(MID(B44,4,3),MMWR_TRAD_AGG_NATIONAL[],2,0),"--")</f>
        <v>536</v>
      </c>
      <c r="G44" s="178">
        <f>IFERROR(VLOOKUP(MID(B44,4,3),MMWR_TRAD_AGG_NATIONAL[],3,0),"--")</f>
        <v>473</v>
      </c>
      <c r="H44" s="179">
        <f t="shared" si="0"/>
        <v>0.8824626865671642</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S9:T9"/>
    <mergeCell ref="S10:T10"/>
    <mergeCell ref="S11:T11"/>
    <mergeCell ref="S12:T12"/>
    <mergeCell ref="P12:Q12"/>
    <mergeCell ref="P10:Q10"/>
    <mergeCell ref="P9:Q9"/>
    <mergeCell ref="J9:K9"/>
    <mergeCell ref="J13:K13"/>
    <mergeCell ref="B9:E9"/>
    <mergeCell ref="J14:K14"/>
    <mergeCell ref="J15:K15"/>
    <mergeCell ref="B10:E10"/>
    <mergeCell ref="B12:E12"/>
    <mergeCell ref="B13:E13"/>
    <mergeCell ref="B18:E18"/>
    <mergeCell ref="B19:E19"/>
    <mergeCell ref="P16:S16"/>
    <mergeCell ref="J10:K10"/>
    <mergeCell ref="J11:K11"/>
    <mergeCell ref="J16:K16"/>
    <mergeCell ref="P13:R13"/>
    <mergeCell ref="S13:U13"/>
    <mergeCell ref="P11:Q11"/>
    <mergeCell ref="B14:E14"/>
    <mergeCell ref="B15:E15"/>
    <mergeCell ref="J12:K12"/>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J21:K21"/>
    <mergeCell ref="B24:E24"/>
    <mergeCell ref="B25:E25"/>
    <mergeCell ref="B44:E44"/>
    <mergeCell ref="B42:E42"/>
    <mergeCell ref="B43:E43"/>
    <mergeCell ref="B36:E36"/>
    <mergeCell ref="B41:E41"/>
    <mergeCell ref="B38:E38"/>
    <mergeCell ref="B39:E39"/>
    <mergeCell ref="B37:E37"/>
    <mergeCell ref="B40:E40"/>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70" zoomScaleNormal="70"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3" t="str">
        <f>UPPER("INVENTORY BY REGIONAL OFFICE "&amp;Transformation!B4)</f>
        <v>INVENTORY BY REGIONAL OFFICE AS OF: OCTOBER 31, 2015</v>
      </c>
      <c r="D2" s="454"/>
      <c r="E2" s="454"/>
      <c r="F2" s="454"/>
      <c r="G2" s="454"/>
      <c r="H2" s="454"/>
      <c r="I2" s="454"/>
      <c r="J2" s="454"/>
      <c r="K2" s="454"/>
      <c r="L2" s="454"/>
      <c r="M2" s="454"/>
      <c r="N2" s="454"/>
      <c r="O2" s="454"/>
      <c r="P2" s="454"/>
      <c r="Q2" s="454"/>
      <c r="R2" s="454"/>
      <c r="S2" s="455"/>
      <c r="T2" s="25"/>
    </row>
    <row r="3" spans="1:20" x14ac:dyDescent="0.2">
      <c r="A3" s="25"/>
      <c r="B3" s="26"/>
      <c r="C3" s="456" t="s">
        <v>231</v>
      </c>
      <c r="D3" s="457"/>
      <c r="E3" s="458" t="s">
        <v>211</v>
      </c>
      <c r="F3" s="459"/>
      <c r="G3" s="460"/>
      <c r="H3" s="458" t="s">
        <v>7</v>
      </c>
      <c r="I3" s="459"/>
      <c r="J3" s="460"/>
      <c r="K3" s="458" t="s">
        <v>33</v>
      </c>
      <c r="L3" s="459"/>
      <c r="M3" s="460"/>
      <c r="N3" s="458" t="s">
        <v>8</v>
      </c>
      <c r="O3" s="459"/>
      <c r="P3" s="460"/>
      <c r="Q3" s="81" t="s">
        <v>9</v>
      </c>
      <c r="R3" s="82" t="s">
        <v>10</v>
      </c>
      <c r="S3" s="82" t="s">
        <v>11</v>
      </c>
      <c r="T3" s="25"/>
    </row>
    <row r="4" spans="1:20" ht="38.25" x14ac:dyDescent="0.2">
      <c r="A4" s="83"/>
      <c r="B4" s="54"/>
      <c r="C4" s="84" t="s">
        <v>12</v>
      </c>
      <c r="D4" s="85" t="s">
        <v>140</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495</v>
      </c>
      <c r="T4" s="91"/>
    </row>
    <row r="5" spans="1:20" ht="26.25" x14ac:dyDescent="0.4">
      <c r="A5" s="25"/>
      <c r="B5" s="26"/>
      <c r="C5" s="453" t="s">
        <v>493</v>
      </c>
      <c r="D5" s="454"/>
      <c r="E5" s="454"/>
      <c r="F5" s="454"/>
      <c r="G5" s="454"/>
      <c r="H5" s="454"/>
      <c r="I5" s="454"/>
      <c r="J5" s="454"/>
      <c r="K5" s="454"/>
      <c r="L5" s="454"/>
      <c r="M5" s="454"/>
      <c r="N5" s="454"/>
      <c r="O5" s="454"/>
      <c r="P5" s="454"/>
      <c r="Q5" s="454"/>
      <c r="R5" s="454"/>
      <c r="S5" s="455"/>
      <c r="T5" s="25"/>
    </row>
    <row r="6" spans="1:20" x14ac:dyDescent="0.2">
      <c r="A6" s="92"/>
      <c r="B6" s="93" t="s">
        <v>468</v>
      </c>
      <c r="C6" s="210">
        <f>IFERROR(VLOOKUP($B6,MMWR_TRAD_AGG_DISTRICT_COMP[],C$1,0),"ERROR")</f>
        <v>341272</v>
      </c>
      <c r="D6" s="188">
        <f>IFERROR(VLOOKUP($B6,MMWR_TRAD_AGG_DISTRICT_COMP[],D$1,0),"ERROR")</f>
        <v>378.12547176449999</v>
      </c>
      <c r="E6" s="196">
        <f>IFERROR(VLOOKUP($B6,MMWR_TRAD_AGG_DISTRICT_COMP[],E$1,0),"ERROR")</f>
        <v>339836</v>
      </c>
      <c r="F6" s="190">
        <f>IFERROR(VLOOKUP($B6,MMWR_TRAD_AGG_DISTRICT_COMP[],F$1,0),"ERROR")</f>
        <v>72906</v>
      </c>
      <c r="G6" s="213">
        <f t="shared" ref="G6:G69" si="0">IFERROR(F6/E6,"0%")</f>
        <v>0.2145328923363034</v>
      </c>
      <c r="H6" s="189">
        <f>IFERROR(VLOOKUP($B6,MMWR_TRAD_AGG_DISTRICT_COMP[],H$1,0),"ERROR")</f>
        <v>490877</v>
      </c>
      <c r="I6" s="190">
        <f>IFERROR(VLOOKUP($B6,MMWR_TRAD_AGG_DISTRICT_COMP[],I$1,0),"ERROR")</f>
        <v>309926</v>
      </c>
      <c r="J6" s="213">
        <f t="shared" ref="J6:J69" si="1">IFERROR(I6/H6,"0%")</f>
        <v>0.63137201376312191</v>
      </c>
      <c r="K6" s="189">
        <f>IFERROR(VLOOKUP($B6,MMWR_TRAD_AGG_DISTRICT_COMP[],K$1,0),"ERROR")</f>
        <v>84416</v>
      </c>
      <c r="L6" s="190">
        <f>IFERROR(VLOOKUP($B6,MMWR_TRAD_AGG_DISTRICT_COMP[],L$1,0),"ERROR")</f>
        <v>72553</v>
      </c>
      <c r="M6" s="213">
        <f t="shared" ref="M6:M69" si="2">IFERROR(L6/K6,"0%")</f>
        <v>0.85946976876421532</v>
      </c>
      <c r="N6" s="189">
        <f>IFERROR(VLOOKUP($B6,MMWR_TRAD_AGG_DISTRICT_COMP[],N$1,0),"ERROR")</f>
        <v>136757</v>
      </c>
      <c r="O6" s="190">
        <f>IFERROR(VLOOKUP($B6,MMWR_TRAD_AGG_DISTRICT_COMP[],O$1,0),"ERROR")</f>
        <v>85929</v>
      </c>
      <c r="P6" s="213">
        <f t="shared" ref="P6:P69" si="3">IFERROR(O6/N6,"0%")</f>
        <v>0.62833346739106588</v>
      </c>
      <c r="Q6" s="202">
        <f>IFERROR(VLOOKUP($B6,MMWR_TRAD_AGG_DISTRICT_COMP[],Q$1,0),"ERROR")</f>
        <v>15985</v>
      </c>
      <c r="R6" s="202">
        <f>IFERROR(VLOOKUP($B6,MMWR_TRAD_AGG_DISTRICT_COMP[],R$1,0),"ERROR")</f>
        <v>3973</v>
      </c>
      <c r="S6" s="205">
        <f>S7+S25+S38+S49+S62+S70</f>
        <v>315118</v>
      </c>
      <c r="T6" s="25"/>
    </row>
    <row r="7" spans="1:20" x14ac:dyDescent="0.2">
      <c r="A7" s="92"/>
      <c r="B7" s="101" t="s">
        <v>376</v>
      </c>
      <c r="C7" s="214">
        <f>IFERROR(VLOOKUP($B7,MMWR_TRAD_AGG_DISTRICT_COMP[],C$1,0),"ERROR")</f>
        <v>108651</v>
      </c>
      <c r="D7" s="199">
        <f>IFERROR(VLOOKUP($B7,MMWR_TRAD_AGG_DISTRICT_COMP[],D$1,0),"ERROR")</f>
        <v>442.5160559958</v>
      </c>
      <c r="E7" s="215">
        <f>IFERROR(VLOOKUP($B7,MMWR_TRAD_AGG_DISTRICT_COMP[],E$1,0),"ERROR")</f>
        <v>79590</v>
      </c>
      <c r="F7" s="214">
        <f>IFERROR(VLOOKUP($B7,MMWR_TRAD_AGG_DISTRICT_COMP[],F$1,0),"ERROR")</f>
        <v>17965</v>
      </c>
      <c r="G7" s="216">
        <f t="shared" si="0"/>
        <v>0.22571931147129037</v>
      </c>
      <c r="H7" s="214">
        <f>IFERROR(VLOOKUP($B7,MMWR_TRAD_AGG_DISTRICT_COMP[],H$1,0),"ERROR")</f>
        <v>140203</v>
      </c>
      <c r="I7" s="214">
        <f>IFERROR(VLOOKUP($B7,MMWR_TRAD_AGG_DISTRICT_COMP[],I$1,0),"ERROR")</f>
        <v>101336</v>
      </c>
      <c r="J7" s="216">
        <f t="shared" si="1"/>
        <v>0.72278053964608457</v>
      </c>
      <c r="K7" s="214">
        <f>IFERROR(VLOOKUP($B7,MMWR_TRAD_AGG_DISTRICT_COMP[],K$1,0),"ERROR")</f>
        <v>23613</v>
      </c>
      <c r="L7" s="214">
        <f>IFERROR(VLOOKUP($B7,MMWR_TRAD_AGG_DISTRICT_COMP[],L$1,0),"ERROR")</f>
        <v>19985</v>
      </c>
      <c r="M7" s="216">
        <f t="shared" si="2"/>
        <v>0.84635582094608897</v>
      </c>
      <c r="N7" s="214">
        <f>IFERROR(VLOOKUP($B7,MMWR_TRAD_AGG_DISTRICT_COMP[],N$1,0),"ERROR")</f>
        <v>30184</v>
      </c>
      <c r="O7" s="214">
        <f>IFERROR(VLOOKUP($B7,MMWR_TRAD_AGG_DISTRICT_COMP[],O$1,0),"ERROR")</f>
        <v>24350</v>
      </c>
      <c r="P7" s="216">
        <f t="shared" si="3"/>
        <v>0.806718791412669</v>
      </c>
      <c r="Q7" s="214">
        <f>IFERROR(VLOOKUP($B7,MMWR_TRAD_AGG_DISTRICT_COMP[],Q$1,0),"ERROR")</f>
        <v>10940</v>
      </c>
      <c r="R7" s="217">
        <f>IFERROR(VLOOKUP($B7,MMWR_TRAD_AGG_DISTRICT_COMP[],R$1,0),"ERROR")</f>
        <v>50</v>
      </c>
      <c r="S7" s="217">
        <f>IFERROR(VLOOKUP($B7,MMWR_APP_RO[],S$1,0),"ERROR")</f>
        <v>55436</v>
      </c>
      <c r="T7" s="25"/>
    </row>
    <row r="8" spans="1:20" x14ac:dyDescent="0.2">
      <c r="A8" s="107"/>
      <c r="B8" s="108" t="s">
        <v>36</v>
      </c>
      <c r="C8" s="211">
        <f>IFERROR(VLOOKUP($B8,MMWR_TRAD_AGG_RO_COMP[],C$1,0),"ERROR")</f>
        <v>8026</v>
      </c>
      <c r="D8" s="200">
        <f>IFERROR(VLOOKUP($B8,MMWR_TRAD_AGG_RO_COMP[],D$1,0),"ERROR")</f>
        <v>650.02915524549996</v>
      </c>
      <c r="E8" s="197">
        <f>IFERROR(VLOOKUP($B8,MMWR_TRAD_AGG_RO_COMP[],E$1,0),"ERROR")</f>
        <v>4974</v>
      </c>
      <c r="F8" s="193">
        <f>IFERROR(VLOOKUP($B8,MMWR_TRAD_AGG_RO_COMP[],F$1,0),"ERROR")</f>
        <v>1039</v>
      </c>
      <c r="G8" s="218">
        <f t="shared" si="0"/>
        <v>0.20888620828307197</v>
      </c>
      <c r="H8" s="192">
        <f>IFERROR(VLOOKUP($B8,MMWR_TRAD_AGG_RO_COMP[],H$1,0),"ERROR")</f>
        <v>9383</v>
      </c>
      <c r="I8" s="193">
        <f>IFERROR(VLOOKUP($B8,MMWR_TRAD_AGG_RO_COMP[],I$1,0),"ERROR")</f>
        <v>7489</v>
      </c>
      <c r="J8" s="218">
        <f t="shared" si="1"/>
        <v>0.79814558243632105</v>
      </c>
      <c r="K8" s="206">
        <f>IFERROR(VLOOKUP($B8,MMWR_TRAD_AGG_RO_COMP[],K$1,0),"ERROR")</f>
        <v>940</v>
      </c>
      <c r="L8" s="207">
        <f>IFERROR(VLOOKUP($B8,MMWR_TRAD_AGG_RO_COMP[],L$1,0),"ERROR")</f>
        <v>801</v>
      </c>
      <c r="M8" s="218">
        <f t="shared" si="2"/>
        <v>0.85212765957446812</v>
      </c>
      <c r="N8" s="206">
        <f>IFERROR(VLOOKUP($B8,MMWR_TRAD_AGG_RO_COMP[],N$1,0),"ERROR")</f>
        <v>5903</v>
      </c>
      <c r="O8" s="207">
        <f>IFERROR(VLOOKUP($B8,MMWR_TRAD_AGG_RO_COMP[],O$1,0),"ERROR")</f>
        <v>4953</v>
      </c>
      <c r="P8" s="218">
        <f t="shared" si="3"/>
        <v>0.83906488226325593</v>
      </c>
      <c r="Q8" s="203">
        <f>IFERROR(VLOOKUP($B8,MMWR_TRAD_AGG_RO_COMP[],Q$1,0),"ERROR")</f>
        <v>22</v>
      </c>
      <c r="R8" s="203">
        <f>IFERROR(VLOOKUP($B8,MMWR_TRAD_AGG_RO_COMP[],R$1,0),"ERROR")</f>
        <v>3</v>
      </c>
      <c r="S8" s="203">
        <f>IFERROR(VLOOKUP($B8,MMWR_APP_RO[],S$1,0),"ERROR")</f>
        <v>5535</v>
      </c>
      <c r="T8" s="25"/>
    </row>
    <row r="9" spans="1:20" x14ac:dyDescent="0.2">
      <c r="A9" s="107"/>
      <c r="B9" s="108" t="s">
        <v>38</v>
      </c>
      <c r="C9" s="211">
        <f>IFERROR(VLOOKUP($B9,MMWR_TRAD_AGG_RO_COMP[],C$1,0),"ERROR")</f>
        <v>4198</v>
      </c>
      <c r="D9" s="200">
        <f>IFERROR(VLOOKUP($B9,MMWR_TRAD_AGG_RO_COMP[],D$1,0),"ERROR")</f>
        <v>576.24988089570002</v>
      </c>
      <c r="E9" s="197">
        <f>IFERROR(VLOOKUP($B9,MMWR_TRAD_AGG_RO_COMP[],E$1,0),"ERROR")</f>
        <v>3482</v>
      </c>
      <c r="F9" s="193">
        <f>IFERROR(VLOOKUP($B9,MMWR_TRAD_AGG_RO_COMP[],F$1,0),"ERROR")</f>
        <v>856</v>
      </c>
      <c r="G9" s="218">
        <f t="shared" si="0"/>
        <v>0.24583572659391154</v>
      </c>
      <c r="H9" s="192">
        <f>IFERROR(VLOOKUP($B9,MMWR_TRAD_AGG_RO_COMP[],H$1,0),"ERROR")</f>
        <v>5558</v>
      </c>
      <c r="I9" s="193">
        <f>IFERROR(VLOOKUP($B9,MMWR_TRAD_AGG_RO_COMP[],I$1,0),"ERROR")</f>
        <v>4297</v>
      </c>
      <c r="J9" s="218">
        <f t="shared" si="1"/>
        <v>0.77311982727599859</v>
      </c>
      <c r="K9" s="206">
        <f>IFERROR(VLOOKUP($B9,MMWR_TRAD_AGG_RO_COMP[],K$1,0),"ERROR")</f>
        <v>2076</v>
      </c>
      <c r="L9" s="207">
        <f>IFERROR(VLOOKUP($B9,MMWR_TRAD_AGG_RO_COMP[],L$1,0),"ERROR")</f>
        <v>1860</v>
      </c>
      <c r="M9" s="218">
        <f t="shared" si="2"/>
        <v>0.89595375722543358</v>
      </c>
      <c r="N9" s="206">
        <f>IFERROR(VLOOKUP($B9,MMWR_TRAD_AGG_RO_COMP[],N$1,0),"ERROR")</f>
        <v>865</v>
      </c>
      <c r="O9" s="207">
        <f>IFERROR(VLOOKUP($B9,MMWR_TRAD_AGG_RO_COMP[],O$1,0),"ERROR")</f>
        <v>750</v>
      </c>
      <c r="P9" s="218">
        <f t="shared" si="3"/>
        <v>0.86705202312138729</v>
      </c>
      <c r="Q9" s="203">
        <f>IFERROR(VLOOKUP($B9,MMWR_TRAD_AGG_RO_COMP[],Q$1,0),"ERROR")</f>
        <v>1</v>
      </c>
      <c r="R9" s="203">
        <f>IFERROR(VLOOKUP($B9,MMWR_TRAD_AGG_RO_COMP[],R$1,0),"ERROR")</f>
        <v>1</v>
      </c>
      <c r="S9" s="203">
        <f>IFERROR(VLOOKUP($B9,MMWR_APP_RO[],S$1,0),"ERROR")</f>
        <v>3374</v>
      </c>
      <c r="T9" s="25"/>
    </row>
    <row r="10" spans="1:20" x14ac:dyDescent="0.2">
      <c r="A10" s="107"/>
      <c r="B10" s="108" t="s">
        <v>24</v>
      </c>
      <c r="C10" s="211">
        <f>IFERROR(VLOOKUP($B10,MMWR_TRAD_AGG_RO_COMP[],C$1,0),"ERROR")</f>
        <v>1883</v>
      </c>
      <c r="D10" s="200">
        <f>IFERROR(VLOOKUP($B10,MMWR_TRAD_AGG_RO_COMP[],D$1,0),"ERROR")</f>
        <v>164.790228359</v>
      </c>
      <c r="E10" s="197">
        <f>IFERROR(VLOOKUP($B10,MMWR_TRAD_AGG_RO_COMP[],E$1,0),"ERROR")</f>
        <v>4227</v>
      </c>
      <c r="F10" s="193">
        <f>IFERROR(VLOOKUP($B10,MMWR_TRAD_AGG_RO_COMP[],F$1,0),"ERROR")</f>
        <v>939</v>
      </c>
      <c r="G10" s="218">
        <f t="shared" si="0"/>
        <v>0.22214336408800567</v>
      </c>
      <c r="H10" s="192">
        <f>IFERROR(VLOOKUP($B10,MMWR_TRAD_AGG_RO_COMP[],H$1,0),"ERROR")</f>
        <v>2773</v>
      </c>
      <c r="I10" s="193">
        <f>IFERROR(VLOOKUP($B10,MMWR_TRAD_AGG_RO_COMP[],I$1,0),"ERROR")</f>
        <v>1181</v>
      </c>
      <c r="J10" s="218">
        <f t="shared" si="1"/>
        <v>0.42589253516047604</v>
      </c>
      <c r="K10" s="206">
        <f>IFERROR(VLOOKUP($B10,MMWR_TRAD_AGG_RO_COMP[],K$1,0),"ERROR")</f>
        <v>243</v>
      </c>
      <c r="L10" s="207">
        <f>IFERROR(VLOOKUP($B10,MMWR_TRAD_AGG_RO_COMP[],L$1,0),"ERROR")</f>
        <v>71</v>
      </c>
      <c r="M10" s="218">
        <f t="shared" si="2"/>
        <v>0.29218106995884774</v>
      </c>
      <c r="N10" s="206">
        <f>IFERROR(VLOOKUP($B10,MMWR_TRAD_AGG_RO_COMP[],N$1,0),"ERROR")</f>
        <v>316</v>
      </c>
      <c r="O10" s="207">
        <f>IFERROR(VLOOKUP($B10,MMWR_TRAD_AGG_RO_COMP[],O$1,0),"ERROR")</f>
        <v>202</v>
      </c>
      <c r="P10" s="218">
        <f t="shared" si="3"/>
        <v>0.63924050632911389</v>
      </c>
      <c r="Q10" s="203">
        <f>IFERROR(VLOOKUP($B10,MMWR_TRAD_AGG_RO_COMP[],Q$1,0),"ERROR")</f>
        <v>0</v>
      </c>
      <c r="R10" s="203">
        <f>IFERROR(VLOOKUP($B10,MMWR_TRAD_AGG_RO_COMP[],R$1,0),"ERROR")</f>
        <v>1</v>
      </c>
      <c r="S10" s="203">
        <f>IFERROR(VLOOKUP($B10,MMWR_APP_RO[],S$1,0),"ERROR")</f>
        <v>1834</v>
      </c>
      <c r="T10" s="25"/>
    </row>
    <row r="11" spans="1:20" x14ac:dyDescent="0.2">
      <c r="A11" s="107"/>
      <c r="B11" s="108" t="s">
        <v>47</v>
      </c>
      <c r="C11" s="211">
        <f>IFERROR(VLOOKUP($B11,MMWR_TRAD_AGG_RO_COMP[],C$1,0),"ERROR")</f>
        <v>1488</v>
      </c>
      <c r="D11" s="200">
        <f>IFERROR(VLOOKUP($B11,MMWR_TRAD_AGG_RO_COMP[],D$1,0),"ERROR")</f>
        <v>264.94220430109999</v>
      </c>
      <c r="E11" s="197">
        <f>IFERROR(VLOOKUP($B11,MMWR_TRAD_AGG_RO_COMP[],E$1,0),"ERROR")</f>
        <v>1763</v>
      </c>
      <c r="F11" s="193">
        <f>IFERROR(VLOOKUP($B11,MMWR_TRAD_AGG_RO_COMP[],F$1,0),"ERROR")</f>
        <v>308</v>
      </c>
      <c r="G11" s="218">
        <f t="shared" si="0"/>
        <v>0.17470221213840045</v>
      </c>
      <c r="H11" s="192">
        <f>IFERROR(VLOOKUP($B11,MMWR_TRAD_AGG_RO_COMP[],H$1,0),"ERROR")</f>
        <v>3178</v>
      </c>
      <c r="I11" s="193">
        <f>IFERROR(VLOOKUP($B11,MMWR_TRAD_AGG_RO_COMP[],I$1,0),"ERROR")</f>
        <v>1983</v>
      </c>
      <c r="J11" s="218">
        <f t="shared" si="1"/>
        <v>0.6239773442416614</v>
      </c>
      <c r="K11" s="206">
        <f>IFERROR(VLOOKUP($B11,MMWR_TRAD_AGG_RO_COMP[],K$1,0),"ERROR")</f>
        <v>354</v>
      </c>
      <c r="L11" s="207">
        <f>IFERROR(VLOOKUP($B11,MMWR_TRAD_AGG_RO_COMP[],L$1,0),"ERROR")</f>
        <v>255</v>
      </c>
      <c r="M11" s="218">
        <f t="shared" si="2"/>
        <v>0.72033898305084743</v>
      </c>
      <c r="N11" s="206">
        <f>IFERROR(VLOOKUP($B11,MMWR_TRAD_AGG_RO_COMP[],N$1,0),"ERROR")</f>
        <v>676</v>
      </c>
      <c r="O11" s="207">
        <f>IFERROR(VLOOKUP($B11,MMWR_TRAD_AGG_RO_COMP[],O$1,0),"ERROR")</f>
        <v>527</v>
      </c>
      <c r="P11" s="218">
        <f t="shared" si="3"/>
        <v>0.77958579881656809</v>
      </c>
      <c r="Q11" s="203">
        <f>IFERROR(VLOOKUP($B11,MMWR_TRAD_AGG_RO_COMP[],Q$1,0),"ERROR")</f>
        <v>0</v>
      </c>
      <c r="R11" s="203">
        <f>IFERROR(VLOOKUP($B11,MMWR_TRAD_AGG_RO_COMP[],R$1,0),"ERROR")</f>
        <v>2</v>
      </c>
      <c r="S11" s="203">
        <f>IFERROR(VLOOKUP($B11,MMWR_APP_RO[],S$1,0),"ERROR")</f>
        <v>791</v>
      </c>
      <c r="T11" s="25"/>
    </row>
    <row r="12" spans="1:20" x14ac:dyDescent="0.2">
      <c r="A12" s="107"/>
      <c r="B12" s="108" t="s">
        <v>50</v>
      </c>
      <c r="C12" s="211">
        <f>IFERROR(VLOOKUP($B12,MMWR_TRAD_AGG_RO_COMP[],C$1,0),"ERROR")</f>
        <v>2170</v>
      </c>
      <c r="D12" s="200">
        <f>IFERROR(VLOOKUP($B12,MMWR_TRAD_AGG_RO_COMP[],D$1,0),"ERROR")</f>
        <v>234.2493087558</v>
      </c>
      <c r="E12" s="197">
        <f>IFERROR(VLOOKUP($B12,MMWR_TRAD_AGG_RO_COMP[],E$1,0),"ERROR")</f>
        <v>2162</v>
      </c>
      <c r="F12" s="193">
        <f>IFERROR(VLOOKUP($B12,MMWR_TRAD_AGG_RO_COMP[],F$1,0),"ERROR")</f>
        <v>308</v>
      </c>
      <c r="G12" s="218">
        <f t="shared" si="0"/>
        <v>0.14246068455134134</v>
      </c>
      <c r="H12" s="192">
        <f>IFERROR(VLOOKUP($B12,MMWR_TRAD_AGG_RO_COMP[],H$1,0),"ERROR")</f>
        <v>3380</v>
      </c>
      <c r="I12" s="193">
        <f>IFERROR(VLOOKUP($B12,MMWR_TRAD_AGG_RO_COMP[],I$1,0),"ERROR")</f>
        <v>2000</v>
      </c>
      <c r="J12" s="218">
        <f t="shared" si="1"/>
        <v>0.59171597633136097</v>
      </c>
      <c r="K12" s="206">
        <f>IFERROR(VLOOKUP($B12,MMWR_TRAD_AGG_RO_COMP[],K$1,0),"ERROR")</f>
        <v>141</v>
      </c>
      <c r="L12" s="207">
        <f>IFERROR(VLOOKUP($B12,MMWR_TRAD_AGG_RO_COMP[],L$1,0),"ERROR")</f>
        <v>118</v>
      </c>
      <c r="M12" s="218">
        <f t="shared" si="2"/>
        <v>0.83687943262411346</v>
      </c>
      <c r="N12" s="206">
        <f>IFERROR(VLOOKUP($B12,MMWR_TRAD_AGG_RO_COMP[],N$1,0),"ERROR")</f>
        <v>990</v>
      </c>
      <c r="O12" s="207">
        <f>IFERROR(VLOOKUP($B12,MMWR_TRAD_AGG_RO_COMP[],O$1,0),"ERROR")</f>
        <v>727</v>
      </c>
      <c r="P12" s="218">
        <f t="shared" si="3"/>
        <v>0.7343434343434343</v>
      </c>
      <c r="Q12" s="203">
        <f>IFERROR(VLOOKUP($B12,MMWR_TRAD_AGG_RO_COMP[],Q$1,0),"ERROR")</f>
        <v>1</v>
      </c>
      <c r="R12" s="203">
        <f>IFERROR(VLOOKUP($B12,MMWR_TRAD_AGG_RO_COMP[],R$1,0),"ERROR")</f>
        <v>12</v>
      </c>
      <c r="S12" s="203">
        <f>IFERROR(VLOOKUP($B12,MMWR_APP_RO[],S$1,0),"ERROR")</f>
        <v>1888</v>
      </c>
      <c r="T12" s="25"/>
    </row>
    <row r="13" spans="1:20" x14ac:dyDescent="0.2">
      <c r="A13" s="107"/>
      <c r="B13" s="108" t="s">
        <v>57</v>
      </c>
      <c r="C13" s="211">
        <f>IFERROR(VLOOKUP($B13,MMWR_TRAD_AGG_RO_COMP[],C$1,0),"ERROR")</f>
        <v>1588</v>
      </c>
      <c r="D13" s="200">
        <f>IFERROR(VLOOKUP($B13,MMWR_TRAD_AGG_RO_COMP[],D$1,0),"ERROR")</f>
        <v>385.36146095719999</v>
      </c>
      <c r="E13" s="197">
        <f>IFERROR(VLOOKUP($B13,MMWR_TRAD_AGG_RO_COMP[],E$1,0),"ERROR")</f>
        <v>1180</v>
      </c>
      <c r="F13" s="193">
        <f>IFERROR(VLOOKUP($B13,MMWR_TRAD_AGG_RO_COMP[],F$1,0),"ERROR")</f>
        <v>262</v>
      </c>
      <c r="G13" s="218">
        <f t="shared" si="0"/>
        <v>0.22203389830508474</v>
      </c>
      <c r="H13" s="192">
        <f>IFERROR(VLOOKUP($B13,MMWR_TRAD_AGG_RO_COMP[],H$1,0),"ERROR")</f>
        <v>1996</v>
      </c>
      <c r="I13" s="193">
        <f>IFERROR(VLOOKUP($B13,MMWR_TRAD_AGG_RO_COMP[],I$1,0),"ERROR")</f>
        <v>1374</v>
      </c>
      <c r="J13" s="218">
        <f t="shared" si="1"/>
        <v>0.68837675350701399</v>
      </c>
      <c r="K13" s="206">
        <f>IFERROR(VLOOKUP($B13,MMWR_TRAD_AGG_RO_COMP[],K$1,0),"ERROR")</f>
        <v>428</v>
      </c>
      <c r="L13" s="207">
        <f>IFERROR(VLOOKUP($B13,MMWR_TRAD_AGG_RO_COMP[],L$1,0),"ERROR")</f>
        <v>415</v>
      </c>
      <c r="M13" s="218">
        <f t="shared" si="2"/>
        <v>0.96962616822429903</v>
      </c>
      <c r="N13" s="206">
        <f>IFERROR(VLOOKUP($B13,MMWR_TRAD_AGG_RO_COMP[],N$1,0),"ERROR")</f>
        <v>75</v>
      </c>
      <c r="O13" s="207">
        <f>IFERROR(VLOOKUP($B13,MMWR_TRAD_AGG_RO_COMP[],O$1,0),"ERROR")</f>
        <v>63</v>
      </c>
      <c r="P13" s="218">
        <f t="shared" si="3"/>
        <v>0.84</v>
      </c>
      <c r="Q13" s="203">
        <f>IFERROR(VLOOKUP($B13,MMWR_TRAD_AGG_RO_COMP[],Q$1,0),"ERROR")</f>
        <v>0</v>
      </c>
      <c r="R13" s="203">
        <f>IFERROR(VLOOKUP($B13,MMWR_TRAD_AGG_RO_COMP[],R$1,0),"ERROR")</f>
        <v>1</v>
      </c>
      <c r="S13" s="203">
        <f>IFERROR(VLOOKUP($B13,MMWR_APP_RO[],S$1,0),"ERROR")</f>
        <v>641</v>
      </c>
      <c r="T13" s="25"/>
    </row>
    <row r="14" spans="1:20" x14ac:dyDescent="0.2">
      <c r="A14" s="107"/>
      <c r="B14" s="108" t="s">
        <v>63</v>
      </c>
      <c r="C14" s="211">
        <f>IFERROR(VLOOKUP($B14,MMWR_TRAD_AGG_RO_COMP[],C$1,0),"ERROR")</f>
        <v>3614</v>
      </c>
      <c r="D14" s="200">
        <f>IFERROR(VLOOKUP($B14,MMWR_TRAD_AGG_RO_COMP[],D$1,0),"ERROR")</f>
        <v>264.77642501380001</v>
      </c>
      <c r="E14" s="197">
        <f>IFERROR(VLOOKUP($B14,MMWR_TRAD_AGG_RO_COMP[],E$1,0),"ERROR")</f>
        <v>4746</v>
      </c>
      <c r="F14" s="193">
        <f>IFERROR(VLOOKUP($B14,MMWR_TRAD_AGG_RO_COMP[],F$1,0),"ERROR")</f>
        <v>1009</v>
      </c>
      <c r="G14" s="218">
        <f t="shared" si="0"/>
        <v>0.21260008428150021</v>
      </c>
      <c r="H14" s="192">
        <f>IFERROR(VLOOKUP($B14,MMWR_TRAD_AGG_RO_COMP[],H$1,0),"ERROR")</f>
        <v>5228</v>
      </c>
      <c r="I14" s="193">
        <f>IFERROR(VLOOKUP($B14,MMWR_TRAD_AGG_RO_COMP[],I$1,0),"ERROR")</f>
        <v>3259</v>
      </c>
      <c r="J14" s="218">
        <f t="shared" si="1"/>
        <v>0.62337413925019125</v>
      </c>
      <c r="K14" s="206">
        <f>IFERROR(VLOOKUP($B14,MMWR_TRAD_AGG_RO_COMP[],K$1,0),"ERROR")</f>
        <v>2403</v>
      </c>
      <c r="L14" s="207">
        <f>IFERROR(VLOOKUP($B14,MMWR_TRAD_AGG_RO_COMP[],L$1,0),"ERROR")</f>
        <v>2103</v>
      </c>
      <c r="M14" s="218">
        <f t="shared" si="2"/>
        <v>0.87515605493133586</v>
      </c>
      <c r="N14" s="206">
        <f>IFERROR(VLOOKUP($B14,MMWR_TRAD_AGG_RO_COMP[],N$1,0),"ERROR")</f>
        <v>286</v>
      </c>
      <c r="O14" s="207">
        <f>IFERROR(VLOOKUP($B14,MMWR_TRAD_AGG_RO_COMP[],O$1,0),"ERROR")</f>
        <v>209</v>
      </c>
      <c r="P14" s="218">
        <f t="shared" si="3"/>
        <v>0.73076923076923073</v>
      </c>
      <c r="Q14" s="203">
        <f>IFERROR(VLOOKUP($B14,MMWR_TRAD_AGG_RO_COMP[],Q$1,0),"ERROR")</f>
        <v>0</v>
      </c>
      <c r="R14" s="203">
        <f>IFERROR(VLOOKUP($B14,MMWR_TRAD_AGG_RO_COMP[],R$1,0),"ERROR")</f>
        <v>3</v>
      </c>
      <c r="S14" s="203">
        <f>IFERROR(VLOOKUP($B14,MMWR_APP_RO[],S$1,0),"ERROR")</f>
        <v>3276</v>
      </c>
      <c r="T14" s="25"/>
    </row>
    <row r="15" spans="1:20" x14ac:dyDescent="0.2">
      <c r="A15" s="107"/>
      <c r="B15" s="108" t="s">
        <v>64</v>
      </c>
      <c r="C15" s="211">
        <f>IFERROR(VLOOKUP($B15,MMWR_TRAD_AGG_RO_COMP[],C$1,0),"ERROR")</f>
        <v>918</v>
      </c>
      <c r="D15" s="200">
        <f>IFERROR(VLOOKUP($B15,MMWR_TRAD_AGG_RO_COMP[],D$1,0),"ERROR")</f>
        <v>99.920479302800004</v>
      </c>
      <c r="E15" s="197">
        <f>IFERROR(VLOOKUP($B15,MMWR_TRAD_AGG_RO_COMP[],E$1,0),"ERROR")</f>
        <v>2520</v>
      </c>
      <c r="F15" s="193">
        <f>IFERROR(VLOOKUP($B15,MMWR_TRAD_AGG_RO_COMP[],F$1,0),"ERROR")</f>
        <v>560</v>
      </c>
      <c r="G15" s="218">
        <f t="shared" si="0"/>
        <v>0.22222222222222221</v>
      </c>
      <c r="H15" s="192">
        <f>IFERROR(VLOOKUP($B15,MMWR_TRAD_AGG_RO_COMP[],H$1,0),"ERROR")</f>
        <v>1676</v>
      </c>
      <c r="I15" s="193">
        <f>IFERROR(VLOOKUP($B15,MMWR_TRAD_AGG_RO_COMP[],I$1,0),"ERROR")</f>
        <v>346</v>
      </c>
      <c r="J15" s="218">
        <f t="shared" si="1"/>
        <v>0.2064439140811456</v>
      </c>
      <c r="K15" s="206">
        <f>IFERROR(VLOOKUP($B15,MMWR_TRAD_AGG_RO_COMP[],K$1,0),"ERROR")</f>
        <v>611</v>
      </c>
      <c r="L15" s="207">
        <f>IFERROR(VLOOKUP($B15,MMWR_TRAD_AGG_RO_COMP[],L$1,0),"ERROR")</f>
        <v>575</v>
      </c>
      <c r="M15" s="218">
        <f t="shared" si="2"/>
        <v>0.94108019639934537</v>
      </c>
      <c r="N15" s="206">
        <f>IFERROR(VLOOKUP($B15,MMWR_TRAD_AGG_RO_COMP[],N$1,0),"ERROR")</f>
        <v>2079</v>
      </c>
      <c r="O15" s="207">
        <f>IFERROR(VLOOKUP($B15,MMWR_TRAD_AGG_RO_COMP[],O$1,0),"ERROR")</f>
        <v>1156</v>
      </c>
      <c r="P15" s="218">
        <f t="shared" si="3"/>
        <v>0.556036556036556</v>
      </c>
      <c r="Q15" s="203">
        <f>IFERROR(VLOOKUP($B15,MMWR_TRAD_AGG_RO_COMP[],Q$1,0),"ERROR")</f>
        <v>0</v>
      </c>
      <c r="R15" s="203">
        <f>IFERROR(VLOOKUP($B15,MMWR_TRAD_AGG_RO_COMP[],R$1,0),"ERROR")</f>
        <v>0</v>
      </c>
      <c r="S15" s="203">
        <f>IFERROR(VLOOKUP($B15,MMWR_APP_RO[],S$1,0),"ERROR")</f>
        <v>2719</v>
      </c>
      <c r="T15" s="25"/>
    </row>
    <row r="16" spans="1:20" x14ac:dyDescent="0.2">
      <c r="A16" s="107"/>
      <c r="B16" s="108" t="s">
        <v>66</v>
      </c>
      <c r="C16" s="211">
        <f>IFERROR(VLOOKUP($B16,MMWR_TRAD_AGG_RO_COMP[],C$1,0),"ERROR")</f>
        <v>5486</v>
      </c>
      <c r="D16" s="200">
        <f>IFERROR(VLOOKUP($B16,MMWR_TRAD_AGG_RO_COMP[],D$1,0),"ERROR")</f>
        <v>374.45041924899999</v>
      </c>
      <c r="E16" s="197">
        <f>IFERROR(VLOOKUP($B16,MMWR_TRAD_AGG_RO_COMP[],E$1,0),"ERROR")</f>
        <v>10133</v>
      </c>
      <c r="F16" s="193">
        <f>IFERROR(VLOOKUP($B16,MMWR_TRAD_AGG_RO_COMP[],F$1,0),"ERROR")</f>
        <v>2849</v>
      </c>
      <c r="G16" s="218">
        <f t="shared" si="0"/>
        <v>0.28116056449225302</v>
      </c>
      <c r="H16" s="192">
        <f>IFERROR(VLOOKUP($B16,MMWR_TRAD_AGG_RO_COMP[],H$1,0),"ERROR")</f>
        <v>8522</v>
      </c>
      <c r="I16" s="193">
        <f>IFERROR(VLOOKUP($B16,MMWR_TRAD_AGG_RO_COMP[],I$1,0),"ERROR")</f>
        <v>5717</v>
      </c>
      <c r="J16" s="218">
        <f t="shared" si="1"/>
        <v>0.67085191269655009</v>
      </c>
      <c r="K16" s="206">
        <f>IFERROR(VLOOKUP($B16,MMWR_TRAD_AGG_RO_COMP[],K$1,0),"ERROR")</f>
        <v>1135</v>
      </c>
      <c r="L16" s="207">
        <f>IFERROR(VLOOKUP($B16,MMWR_TRAD_AGG_RO_COMP[],L$1,0),"ERROR")</f>
        <v>385</v>
      </c>
      <c r="M16" s="218">
        <f t="shared" si="2"/>
        <v>0.33920704845814981</v>
      </c>
      <c r="N16" s="206">
        <f>IFERROR(VLOOKUP($B16,MMWR_TRAD_AGG_RO_COMP[],N$1,0),"ERROR")</f>
        <v>6927</v>
      </c>
      <c r="O16" s="207">
        <f>IFERROR(VLOOKUP($B16,MMWR_TRAD_AGG_RO_COMP[],O$1,0),"ERROR")</f>
        <v>5761</v>
      </c>
      <c r="P16" s="218">
        <f t="shared" si="3"/>
        <v>0.83167316298541938</v>
      </c>
      <c r="Q16" s="203">
        <f>IFERROR(VLOOKUP($B16,MMWR_TRAD_AGG_RO_COMP[],Q$1,0),"ERROR")</f>
        <v>10908</v>
      </c>
      <c r="R16" s="203">
        <f>IFERROR(VLOOKUP($B16,MMWR_TRAD_AGG_RO_COMP[],R$1,0),"ERROR")</f>
        <v>0</v>
      </c>
      <c r="S16" s="203">
        <f>IFERROR(VLOOKUP($B16,MMWR_APP_RO[],S$1,0),"ERROR")</f>
        <v>4941</v>
      </c>
      <c r="T16" s="25"/>
    </row>
    <row r="17" spans="1:20" x14ac:dyDescent="0.2">
      <c r="A17" s="107"/>
      <c r="B17" s="108" t="s">
        <v>68</v>
      </c>
      <c r="C17" s="211">
        <f>IFERROR(VLOOKUP($B17,MMWR_TRAD_AGG_RO_COMP[],C$1,0),"ERROR")</f>
        <v>3855</v>
      </c>
      <c r="D17" s="200">
        <f>IFERROR(VLOOKUP($B17,MMWR_TRAD_AGG_RO_COMP[],D$1,0),"ERROR")</f>
        <v>461.3520103761</v>
      </c>
      <c r="E17" s="197">
        <f>IFERROR(VLOOKUP($B17,MMWR_TRAD_AGG_RO_COMP[],E$1,0),"ERROR")</f>
        <v>5294</v>
      </c>
      <c r="F17" s="193">
        <f>IFERROR(VLOOKUP($B17,MMWR_TRAD_AGG_RO_COMP[],F$1,0),"ERROR")</f>
        <v>1549</v>
      </c>
      <c r="G17" s="218">
        <f t="shared" si="0"/>
        <v>0.29259539100868909</v>
      </c>
      <c r="H17" s="192">
        <f>IFERROR(VLOOKUP($B17,MMWR_TRAD_AGG_RO_COMP[],H$1,0),"ERROR")</f>
        <v>5416</v>
      </c>
      <c r="I17" s="193">
        <f>IFERROR(VLOOKUP($B17,MMWR_TRAD_AGG_RO_COMP[],I$1,0),"ERROR")</f>
        <v>4056</v>
      </c>
      <c r="J17" s="218">
        <f t="shared" si="1"/>
        <v>0.74889217134416541</v>
      </c>
      <c r="K17" s="206">
        <f>IFERROR(VLOOKUP($B17,MMWR_TRAD_AGG_RO_COMP[],K$1,0),"ERROR")</f>
        <v>429</v>
      </c>
      <c r="L17" s="207">
        <f>IFERROR(VLOOKUP($B17,MMWR_TRAD_AGG_RO_COMP[],L$1,0),"ERROR")</f>
        <v>350</v>
      </c>
      <c r="M17" s="218">
        <f t="shared" si="2"/>
        <v>0.81585081585081587</v>
      </c>
      <c r="N17" s="206">
        <f>IFERROR(VLOOKUP($B17,MMWR_TRAD_AGG_RO_COMP[],N$1,0),"ERROR")</f>
        <v>1053</v>
      </c>
      <c r="O17" s="207">
        <f>IFERROR(VLOOKUP($B17,MMWR_TRAD_AGG_RO_COMP[],O$1,0),"ERROR")</f>
        <v>779</v>
      </c>
      <c r="P17" s="218">
        <f t="shared" si="3"/>
        <v>0.73979107312440651</v>
      </c>
      <c r="Q17" s="203">
        <f>IFERROR(VLOOKUP($B17,MMWR_TRAD_AGG_RO_COMP[],Q$1,0),"ERROR")</f>
        <v>0</v>
      </c>
      <c r="R17" s="203">
        <f>IFERROR(VLOOKUP($B17,MMWR_TRAD_AGG_RO_COMP[],R$1,0),"ERROR")</f>
        <v>1</v>
      </c>
      <c r="S17" s="203">
        <f>IFERROR(VLOOKUP($B17,MMWR_APP_RO[],S$1,0),"ERROR")</f>
        <v>4964</v>
      </c>
      <c r="T17" s="25"/>
    </row>
    <row r="18" spans="1:20" x14ac:dyDescent="0.2">
      <c r="A18" s="107"/>
      <c r="B18" s="108" t="s">
        <v>70</v>
      </c>
      <c r="C18" s="211">
        <f>IFERROR(VLOOKUP($B18,MMWR_TRAD_AGG_RO_COMP[],C$1,0),"ERROR")</f>
        <v>1449</v>
      </c>
      <c r="D18" s="200">
        <f>IFERROR(VLOOKUP($B18,MMWR_TRAD_AGG_RO_COMP[],D$1,0),"ERROR")</f>
        <v>240.68184955140001</v>
      </c>
      <c r="E18" s="197">
        <f>IFERROR(VLOOKUP($B18,MMWR_TRAD_AGG_RO_COMP[],E$1,0),"ERROR")</f>
        <v>2077</v>
      </c>
      <c r="F18" s="193">
        <f>IFERROR(VLOOKUP($B18,MMWR_TRAD_AGG_RO_COMP[],F$1,0),"ERROR")</f>
        <v>342</v>
      </c>
      <c r="G18" s="218">
        <f t="shared" si="0"/>
        <v>0.16466056812710642</v>
      </c>
      <c r="H18" s="192">
        <f>IFERROR(VLOOKUP($B18,MMWR_TRAD_AGG_RO_COMP[],H$1,0),"ERROR")</f>
        <v>4179</v>
      </c>
      <c r="I18" s="193">
        <f>IFERROR(VLOOKUP($B18,MMWR_TRAD_AGG_RO_COMP[],I$1,0),"ERROR")</f>
        <v>1301</v>
      </c>
      <c r="J18" s="218">
        <f t="shared" si="1"/>
        <v>0.31131849724814548</v>
      </c>
      <c r="K18" s="206">
        <f>IFERROR(VLOOKUP($B18,MMWR_TRAD_AGG_RO_COMP[],K$1,0),"ERROR")</f>
        <v>2588</v>
      </c>
      <c r="L18" s="207">
        <f>IFERROR(VLOOKUP($B18,MMWR_TRAD_AGG_RO_COMP[],L$1,0),"ERROR")</f>
        <v>2135</v>
      </c>
      <c r="M18" s="218">
        <f t="shared" si="2"/>
        <v>0.82496136012364762</v>
      </c>
      <c r="N18" s="206">
        <f>IFERROR(VLOOKUP($B18,MMWR_TRAD_AGG_RO_COMP[],N$1,0),"ERROR")</f>
        <v>299</v>
      </c>
      <c r="O18" s="207">
        <f>IFERROR(VLOOKUP($B18,MMWR_TRAD_AGG_RO_COMP[],O$1,0),"ERROR")</f>
        <v>106</v>
      </c>
      <c r="P18" s="218">
        <f t="shared" si="3"/>
        <v>0.35451505016722407</v>
      </c>
      <c r="Q18" s="203">
        <f>IFERROR(VLOOKUP($B18,MMWR_TRAD_AGG_RO_COMP[],Q$1,0),"ERROR")</f>
        <v>0</v>
      </c>
      <c r="R18" s="203">
        <f>IFERROR(VLOOKUP($B18,MMWR_TRAD_AGG_RO_COMP[],R$1,0),"ERROR")</f>
        <v>0</v>
      </c>
      <c r="S18" s="203">
        <f>IFERROR(VLOOKUP($B18,MMWR_APP_RO[],S$1,0),"ERROR")</f>
        <v>468</v>
      </c>
      <c r="T18" s="25"/>
    </row>
    <row r="19" spans="1:20" x14ac:dyDescent="0.2">
      <c r="A19" s="107"/>
      <c r="B19" s="108" t="s">
        <v>72</v>
      </c>
      <c r="C19" s="211">
        <f>IFERROR(VLOOKUP($B19,MMWR_TRAD_AGG_RO_COMP[],C$1,0),"ERROR")</f>
        <v>14754</v>
      </c>
      <c r="D19" s="200">
        <f>IFERROR(VLOOKUP($B19,MMWR_TRAD_AGG_RO_COMP[],D$1,0),"ERROR")</f>
        <v>468.94415073879998</v>
      </c>
      <c r="E19" s="197">
        <f>IFERROR(VLOOKUP($B19,MMWR_TRAD_AGG_RO_COMP[],E$1,0),"ERROR")</f>
        <v>12516</v>
      </c>
      <c r="F19" s="193">
        <f>IFERROR(VLOOKUP($B19,MMWR_TRAD_AGG_RO_COMP[],F$1,0),"ERROR")</f>
        <v>2148</v>
      </c>
      <c r="G19" s="218">
        <f t="shared" si="0"/>
        <v>0.1716203259827421</v>
      </c>
      <c r="H19" s="192">
        <f>IFERROR(VLOOKUP($B19,MMWR_TRAD_AGG_RO_COMP[],H$1,0),"ERROR")</f>
        <v>16738</v>
      </c>
      <c r="I19" s="193">
        <f>IFERROR(VLOOKUP($B19,MMWR_TRAD_AGG_RO_COMP[],I$1,0),"ERROR")</f>
        <v>11949</v>
      </c>
      <c r="J19" s="218">
        <f t="shared" si="1"/>
        <v>0.71388457402318084</v>
      </c>
      <c r="K19" s="206">
        <f>IFERROR(VLOOKUP($B19,MMWR_TRAD_AGG_RO_COMP[],K$1,0),"ERROR")</f>
        <v>5453</v>
      </c>
      <c r="L19" s="207">
        <f>IFERROR(VLOOKUP($B19,MMWR_TRAD_AGG_RO_COMP[],L$1,0),"ERROR")</f>
        <v>5130</v>
      </c>
      <c r="M19" s="218">
        <f t="shared" si="2"/>
        <v>0.94076655052264813</v>
      </c>
      <c r="N19" s="206">
        <f>IFERROR(VLOOKUP($B19,MMWR_TRAD_AGG_RO_COMP[],N$1,0),"ERROR")</f>
        <v>4587</v>
      </c>
      <c r="O19" s="207">
        <f>IFERROR(VLOOKUP($B19,MMWR_TRAD_AGG_RO_COMP[],O$1,0),"ERROR")</f>
        <v>3757</v>
      </c>
      <c r="P19" s="218">
        <f t="shared" si="3"/>
        <v>0.81905384783082624</v>
      </c>
      <c r="Q19" s="203">
        <f>IFERROR(VLOOKUP($B19,MMWR_TRAD_AGG_RO_COMP[],Q$1,0),"ERROR")</f>
        <v>7</v>
      </c>
      <c r="R19" s="203">
        <f>IFERROR(VLOOKUP($B19,MMWR_TRAD_AGG_RO_COMP[],R$1,0),"ERROR")</f>
        <v>10</v>
      </c>
      <c r="S19" s="203">
        <f>IFERROR(VLOOKUP($B19,MMWR_APP_RO[],S$1,0),"ERROR")</f>
        <v>14961</v>
      </c>
      <c r="T19" s="25"/>
    </row>
    <row r="20" spans="1:20" x14ac:dyDescent="0.2">
      <c r="A20" s="107"/>
      <c r="B20" s="108" t="s">
        <v>81</v>
      </c>
      <c r="C20" s="211">
        <f>IFERROR(VLOOKUP($B20,MMWR_TRAD_AGG_RO_COMP[],C$1,0),"ERROR")</f>
        <v>1516</v>
      </c>
      <c r="D20" s="200">
        <f>IFERROR(VLOOKUP($B20,MMWR_TRAD_AGG_RO_COMP[],D$1,0),"ERROR")</f>
        <v>254.518469657</v>
      </c>
      <c r="E20" s="197">
        <f>IFERROR(VLOOKUP($B20,MMWR_TRAD_AGG_RO_COMP[],E$1,0),"ERROR")</f>
        <v>1041</v>
      </c>
      <c r="F20" s="193">
        <f>IFERROR(VLOOKUP($B20,MMWR_TRAD_AGG_RO_COMP[],F$1,0),"ERROR")</f>
        <v>157</v>
      </c>
      <c r="G20" s="218">
        <f t="shared" si="0"/>
        <v>0.15081652257444764</v>
      </c>
      <c r="H20" s="192">
        <f>IFERROR(VLOOKUP($B20,MMWR_TRAD_AGG_RO_COMP[],H$1,0),"ERROR")</f>
        <v>2233</v>
      </c>
      <c r="I20" s="193">
        <f>IFERROR(VLOOKUP($B20,MMWR_TRAD_AGG_RO_COMP[],I$1,0),"ERROR")</f>
        <v>1351</v>
      </c>
      <c r="J20" s="218">
        <f t="shared" si="1"/>
        <v>0.60501567398119127</v>
      </c>
      <c r="K20" s="206">
        <f>IFERROR(VLOOKUP($B20,MMWR_TRAD_AGG_RO_COMP[],K$1,0),"ERROR")</f>
        <v>1005</v>
      </c>
      <c r="L20" s="207">
        <f>IFERROR(VLOOKUP($B20,MMWR_TRAD_AGG_RO_COMP[],L$1,0),"ERROR")</f>
        <v>851</v>
      </c>
      <c r="M20" s="218">
        <f t="shared" si="2"/>
        <v>0.84676616915422886</v>
      </c>
      <c r="N20" s="206">
        <f>IFERROR(VLOOKUP($B20,MMWR_TRAD_AGG_RO_COMP[],N$1,0),"ERROR")</f>
        <v>708</v>
      </c>
      <c r="O20" s="207">
        <f>IFERROR(VLOOKUP($B20,MMWR_TRAD_AGG_RO_COMP[],O$1,0),"ERROR")</f>
        <v>639</v>
      </c>
      <c r="P20" s="218">
        <f t="shared" si="3"/>
        <v>0.90254237288135597</v>
      </c>
      <c r="Q20" s="203">
        <f>IFERROR(VLOOKUP($B20,MMWR_TRAD_AGG_RO_COMP[],Q$1,0),"ERROR")</f>
        <v>1</v>
      </c>
      <c r="R20" s="203">
        <f>IFERROR(VLOOKUP($B20,MMWR_TRAD_AGG_RO_COMP[],R$1,0),"ERROR")</f>
        <v>0</v>
      </c>
      <c r="S20" s="203">
        <f>IFERROR(VLOOKUP($B20,MMWR_APP_RO[],S$1,0),"ERROR")</f>
        <v>374</v>
      </c>
      <c r="T20" s="25"/>
    </row>
    <row r="21" spans="1:20" x14ac:dyDescent="0.2">
      <c r="A21" s="107"/>
      <c r="B21" s="108" t="s">
        <v>437</v>
      </c>
      <c r="C21" s="211">
        <f>IFERROR(VLOOKUP($B21,MMWR_TRAD_AGG_RO_COMP[],C$1,0),"ERROR")</f>
        <v>37335</v>
      </c>
      <c r="D21" s="200">
        <f>IFERROR(VLOOKUP($B21,MMWR_TRAD_AGG_RO_COMP[],D$1,0),"ERROR")</f>
        <v>499.3269586179</v>
      </c>
      <c r="E21" s="197">
        <f>IFERROR(VLOOKUP($B21,MMWR_TRAD_AGG_RO_COMP[],E$1,0),"ERROR")</f>
        <v>1458</v>
      </c>
      <c r="F21" s="193">
        <f>IFERROR(VLOOKUP($B21,MMWR_TRAD_AGG_RO_COMP[],F$1,0),"ERROR")</f>
        <v>409</v>
      </c>
      <c r="G21" s="218">
        <f t="shared" si="0"/>
        <v>0.28052126200274347</v>
      </c>
      <c r="H21" s="192">
        <f>IFERROR(VLOOKUP($B21,MMWR_TRAD_AGG_RO_COMP[],H$1,0),"ERROR")</f>
        <v>37762</v>
      </c>
      <c r="I21" s="193">
        <f>IFERROR(VLOOKUP($B21,MMWR_TRAD_AGG_RO_COMP[],I$1,0),"ERROR")</f>
        <v>36447</v>
      </c>
      <c r="J21" s="218">
        <f t="shared" si="1"/>
        <v>0.96517663259361264</v>
      </c>
      <c r="K21" s="206">
        <f>IFERROR(VLOOKUP($B21,MMWR_TRAD_AGG_RO_COMP[],K$1,0),"ERROR")</f>
        <v>56</v>
      </c>
      <c r="L21" s="207">
        <f>IFERROR(VLOOKUP($B21,MMWR_TRAD_AGG_RO_COMP[],L$1,0),"ERROR")</f>
        <v>54</v>
      </c>
      <c r="M21" s="218">
        <f t="shared" si="2"/>
        <v>0.9642857142857143</v>
      </c>
      <c r="N21" s="206">
        <f>IFERROR(VLOOKUP($B21,MMWR_TRAD_AGG_RO_COMP[],N$1,0),"ERROR")</f>
        <v>1272</v>
      </c>
      <c r="O21" s="207">
        <f>IFERROR(VLOOKUP($B21,MMWR_TRAD_AGG_RO_COMP[],O$1,0),"ERROR")</f>
        <v>1149</v>
      </c>
      <c r="P21" s="218">
        <f t="shared" si="3"/>
        <v>0.90330188679245282</v>
      </c>
      <c r="Q21" s="203">
        <f>IFERROR(VLOOKUP($B21,MMWR_TRAD_AGG_RO_COMP[],Q$1,0),"ERROR")</f>
        <v>0</v>
      </c>
      <c r="R21" s="203">
        <f>IFERROR(VLOOKUP($B21,MMWR_TRAD_AGG_RO_COMP[],R$1,0),"ERROR")</f>
        <v>0</v>
      </c>
      <c r="S21" s="203">
        <f>IFERROR(VLOOKUP($B21,MMWR_APP_RO[],S$1,0),"ERROR")</f>
        <v>15</v>
      </c>
      <c r="T21" s="25"/>
    </row>
    <row r="22" spans="1:20" x14ac:dyDescent="0.2">
      <c r="A22" s="107"/>
      <c r="B22" s="108" t="s">
        <v>141</v>
      </c>
      <c r="C22" s="211">
        <f>IFERROR(VLOOKUP($B22,MMWR_TRAD_AGG_RO_COMP[],C$1,0),"ERROR")</f>
        <v>420</v>
      </c>
      <c r="D22" s="200">
        <f>IFERROR(VLOOKUP($B22,MMWR_TRAD_AGG_RO_COMP[],D$1,0),"ERROR")</f>
        <v>354.66428571429998</v>
      </c>
      <c r="E22" s="197">
        <f>IFERROR(VLOOKUP($B22,MMWR_TRAD_AGG_RO_COMP[],E$1,0),"ERROR")</f>
        <v>412</v>
      </c>
      <c r="F22" s="193">
        <f>IFERROR(VLOOKUP($B22,MMWR_TRAD_AGG_RO_COMP[],F$1,0),"ERROR")</f>
        <v>82</v>
      </c>
      <c r="G22" s="218">
        <f t="shared" si="0"/>
        <v>0.19902912621359223</v>
      </c>
      <c r="H22" s="192">
        <f>IFERROR(VLOOKUP($B22,MMWR_TRAD_AGG_RO_COMP[],H$1,0),"ERROR")</f>
        <v>554</v>
      </c>
      <c r="I22" s="193">
        <f>IFERROR(VLOOKUP($B22,MMWR_TRAD_AGG_RO_COMP[],I$1,0),"ERROR")</f>
        <v>397</v>
      </c>
      <c r="J22" s="218">
        <f t="shared" si="1"/>
        <v>0.71660649819494582</v>
      </c>
      <c r="K22" s="206">
        <f>IFERROR(VLOOKUP($B22,MMWR_TRAD_AGG_RO_COMP[],K$1,0),"ERROR")</f>
        <v>51</v>
      </c>
      <c r="L22" s="207">
        <f>IFERROR(VLOOKUP($B22,MMWR_TRAD_AGG_RO_COMP[],L$1,0),"ERROR")</f>
        <v>43</v>
      </c>
      <c r="M22" s="218">
        <f t="shared" si="2"/>
        <v>0.84313725490196079</v>
      </c>
      <c r="N22" s="206">
        <f>IFERROR(VLOOKUP($B22,MMWR_TRAD_AGG_RO_COMP[],N$1,0),"ERROR")</f>
        <v>84</v>
      </c>
      <c r="O22" s="207">
        <f>IFERROR(VLOOKUP($B22,MMWR_TRAD_AGG_RO_COMP[],O$1,0),"ERROR")</f>
        <v>58</v>
      </c>
      <c r="P22" s="218">
        <f t="shared" si="3"/>
        <v>0.69047619047619047</v>
      </c>
      <c r="Q22" s="203">
        <f>IFERROR(VLOOKUP($B22,MMWR_TRAD_AGG_RO_COMP[],Q$1,0),"ERROR")</f>
        <v>0</v>
      </c>
      <c r="R22" s="203">
        <f>IFERROR(VLOOKUP($B22,MMWR_TRAD_AGG_RO_COMP[],R$1,0),"ERROR")</f>
        <v>2</v>
      </c>
      <c r="S22" s="203">
        <f>IFERROR(VLOOKUP($B22,MMWR_APP_RO[],S$1,0),"ERROR")</f>
        <v>165</v>
      </c>
      <c r="T22" s="25"/>
    </row>
    <row r="23" spans="1:20" x14ac:dyDescent="0.2">
      <c r="A23" s="107"/>
      <c r="B23" s="108" t="s">
        <v>85</v>
      </c>
      <c r="C23" s="211">
        <f>IFERROR(VLOOKUP($B23,MMWR_TRAD_AGG_RO_COMP[],C$1,0),"ERROR")</f>
        <v>716</v>
      </c>
      <c r="D23" s="200">
        <f>IFERROR(VLOOKUP($B23,MMWR_TRAD_AGG_RO_COMP[],D$1,0),"ERROR")</f>
        <v>369.26117318439998</v>
      </c>
      <c r="E23" s="197">
        <f>IFERROR(VLOOKUP($B23,MMWR_TRAD_AGG_RO_COMP[],E$1,0),"ERROR")</f>
        <v>790</v>
      </c>
      <c r="F23" s="193">
        <f>IFERROR(VLOOKUP($B23,MMWR_TRAD_AGG_RO_COMP[],F$1,0),"ERROR")</f>
        <v>188</v>
      </c>
      <c r="G23" s="218">
        <f t="shared" si="0"/>
        <v>0.23797468354430379</v>
      </c>
      <c r="H23" s="192">
        <f>IFERROR(VLOOKUP($B23,MMWR_TRAD_AGG_RO_COMP[],H$1,0),"ERROR")</f>
        <v>770</v>
      </c>
      <c r="I23" s="193">
        <f>IFERROR(VLOOKUP($B23,MMWR_TRAD_AGG_RO_COMP[],I$1,0),"ERROR")</f>
        <v>427</v>
      </c>
      <c r="J23" s="218">
        <f t="shared" si="1"/>
        <v>0.55454545454545456</v>
      </c>
      <c r="K23" s="206">
        <f>IFERROR(VLOOKUP($B23,MMWR_TRAD_AGG_RO_COMP[],K$1,0),"ERROR")</f>
        <v>2</v>
      </c>
      <c r="L23" s="207">
        <f>IFERROR(VLOOKUP($B23,MMWR_TRAD_AGG_RO_COMP[],L$1,0),"ERROR")</f>
        <v>1</v>
      </c>
      <c r="M23" s="218">
        <f t="shared" si="2"/>
        <v>0.5</v>
      </c>
      <c r="N23" s="206">
        <f>IFERROR(VLOOKUP($B23,MMWR_TRAD_AGG_RO_COMP[],N$1,0),"ERROR")</f>
        <v>135</v>
      </c>
      <c r="O23" s="207">
        <f>IFERROR(VLOOKUP($B23,MMWR_TRAD_AGG_RO_COMP[],O$1,0),"ERROR")</f>
        <v>100</v>
      </c>
      <c r="P23" s="218">
        <f t="shared" si="3"/>
        <v>0.7407407407407407</v>
      </c>
      <c r="Q23" s="203">
        <f>IFERROR(VLOOKUP($B23,MMWR_TRAD_AGG_RO_COMP[],Q$1,0),"ERROR")</f>
        <v>0</v>
      </c>
      <c r="R23" s="203">
        <f>IFERROR(VLOOKUP($B23,MMWR_TRAD_AGG_RO_COMP[],R$1,0),"ERROR")</f>
        <v>0</v>
      </c>
      <c r="S23" s="203">
        <f>IFERROR(VLOOKUP($B23,MMWR_APP_RO[],S$1,0),"ERROR")</f>
        <v>175</v>
      </c>
      <c r="T23" s="25"/>
    </row>
    <row r="24" spans="1:20" x14ac:dyDescent="0.2">
      <c r="A24" s="92"/>
      <c r="B24" s="116" t="s">
        <v>86</v>
      </c>
      <c r="C24" s="212">
        <f>IFERROR(VLOOKUP($B24,MMWR_TRAD_AGG_RO_COMP[],C$1,0),"ERROR")</f>
        <v>19235</v>
      </c>
      <c r="D24" s="201">
        <f>IFERROR(VLOOKUP($B24,MMWR_TRAD_AGG_RO_COMP[],D$1,0),"ERROR")</f>
        <v>365.38986223030003</v>
      </c>
      <c r="E24" s="198">
        <f>IFERROR(VLOOKUP($B24,MMWR_TRAD_AGG_RO_COMP[],E$1,0),"ERROR")</f>
        <v>20815</v>
      </c>
      <c r="F24" s="195">
        <f>IFERROR(VLOOKUP($B24,MMWR_TRAD_AGG_RO_COMP[],F$1,0),"ERROR")</f>
        <v>4960</v>
      </c>
      <c r="G24" s="219">
        <f t="shared" si="0"/>
        <v>0.23828969493153976</v>
      </c>
      <c r="H24" s="194">
        <f>IFERROR(VLOOKUP($B24,MMWR_TRAD_AGG_RO_COMP[],H$1,0),"ERROR")</f>
        <v>30857</v>
      </c>
      <c r="I24" s="195">
        <f>IFERROR(VLOOKUP($B24,MMWR_TRAD_AGG_RO_COMP[],I$1,0),"ERROR")</f>
        <v>17762</v>
      </c>
      <c r="J24" s="219">
        <f t="shared" si="1"/>
        <v>0.57562303529183001</v>
      </c>
      <c r="K24" s="208">
        <f>IFERROR(VLOOKUP($B24,MMWR_TRAD_AGG_RO_COMP[],K$1,0),"ERROR")</f>
        <v>5698</v>
      </c>
      <c r="L24" s="209">
        <f>IFERROR(VLOOKUP($B24,MMWR_TRAD_AGG_RO_COMP[],L$1,0),"ERROR")</f>
        <v>4838</v>
      </c>
      <c r="M24" s="219">
        <f t="shared" si="2"/>
        <v>0.84906984906984906</v>
      </c>
      <c r="N24" s="208">
        <f>IFERROR(VLOOKUP($B24,MMWR_TRAD_AGG_RO_COMP[],N$1,0),"ERROR")</f>
        <v>3929</v>
      </c>
      <c r="O24" s="209">
        <f>IFERROR(VLOOKUP($B24,MMWR_TRAD_AGG_RO_COMP[],O$1,0),"ERROR")</f>
        <v>3414</v>
      </c>
      <c r="P24" s="219">
        <f t="shared" si="3"/>
        <v>0.86892339017561726</v>
      </c>
      <c r="Q24" s="204">
        <f>IFERROR(VLOOKUP($B24,MMWR_TRAD_AGG_RO_COMP[],Q$1,0),"ERROR")</f>
        <v>0</v>
      </c>
      <c r="R24" s="204">
        <f>IFERROR(VLOOKUP($B24,MMWR_TRAD_AGG_RO_COMP[],R$1,0),"ERROR")</f>
        <v>14</v>
      </c>
      <c r="S24" s="203">
        <f>IFERROR(VLOOKUP($B24,MMWR_APP_RO[],S$1,0),"ERROR")</f>
        <v>9315</v>
      </c>
      <c r="T24" s="25"/>
    </row>
    <row r="25" spans="1:20" x14ac:dyDescent="0.2">
      <c r="A25" s="107"/>
      <c r="B25" s="101" t="s">
        <v>397</v>
      </c>
      <c r="C25" s="214">
        <f>IFERROR(VLOOKUP($B25,MMWR_TRAD_AGG_DISTRICT_COMP[],C$1,0),"ERROR")</f>
        <v>43064</v>
      </c>
      <c r="D25" s="199">
        <f>IFERROR(VLOOKUP($B25,MMWR_TRAD_AGG_DISTRICT_COMP[],D$1,0),"ERROR")</f>
        <v>355.60869868100002</v>
      </c>
      <c r="E25" s="215">
        <f>IFERROR(VLOOKUP($B25,MMWR_TRAD_AGG_DISTRICT_COMP[],E$1,0),"ERROR")</f>
        <v>57848</v>
      </c>
      <c r="F25" s="220">
        <f>IFERROR(VLOOKUP($B25,MMWR_TRAD_AGG_DISTRICT_COMP[],F$1,0),"ERROR")</f>
        <v>11511</v>
      </c>
      <c r="G25" s="216">
        <f t="shared" si="0"/>
        <v>0.19898700041488038</v>
      </c>
      <c r="H25" s="220">
        <f>IFERROR(VLOOKUP($B25,MMWR_TRAD_AGG_DISTRICT_COMP[],H$1,0),"ERROR")</f>
        <v>73078</v>
      </c>
      <c r="I25" s="220">
        <f>IFERROR(VLOOKUP($B25,MMWR_TRAD_AGG_DISTRICT_COMP[],I$1,0),"ERROR")</f>
        <v>37099</v>
      </c>
      <c r="J25" s="216">
        <f t="shared" si="1"/>
        <v>0.50766304496565318</v>
      </c>
      <c r="K25" s="214">
        <f>IFERROR(VLOOKUP($B25,MMWR_TRAD_AGG_DISTRICT_COMP[],K$1,0),"ERROR")</f>
        <v>9298</v>
      </c>
      <c r="L25" s="214">
        <f>IFERROR(VLOOKUP($B25,MMWR_TRAD_AGG_DISTRICT_COMP[],L$1,0),"ERROR")</f>
        <v>7608</v>
      </c>
      <c r="M25" s="216">
        <f t="shared" si="2"/>
        <v>0.81824048182404818</v>
      </c>
      <c r="N25" s="214">
        <f>IFERROR(VLOOKUP($B25,MMWR_TRAD_AGG_DISTRICT_COMP[],N$1,0),"ERROR")</f>
        <v>17623</v>
      </c>
      <c r="O25" s="214">
        <f>IFERROR(VLOOKUP($B25,MMWR_TRAD_AGG_DISTRICT_COMP[],O$1,0),"ERROR")</f>
        <v>12118</v>
      </c>
      <c r="P25" s="216">
        <f t="shared" si="3"/>
        <v>0.68762412756057423</v>
      </c>
      <c r="Q25" s="214">
        <f>IFERROR(VLOOKUP($B25,MMWR_TRAD_AGG_DISTRICT_COMP[],Q$1,0),"ERROR")</f>
        <v>4547</v>
      </c>
      <c r="R25" s="217">
        <f>IFERROR(VLOOKUP($B25,MMWR_TRAD_AGG_DISTRICT_COMP[],R$1,0),"ERROR")</f>
        <v>1048</v>
      </c>
      <c r="S25" s="217">
        <f>IFERROR(VLOOKUP($B25,MMWR_APP_RO[],S$1,0),"ERROR")</f>
        <v>52256</v>
      </c>
      <c r="T25" s="25"/>
    </row>
    <row r="26" spans="1:20" x14ac:dyDescent="0.2">
      <c r="A26" s="107"/>
      <c r="B26" s="108" t="s">
        <v>40</v>
      </c>
      <c r="C26" s="211">
        <f>IFERROR(VLOOKUP($B26,MMWR_TRAD_AGG_RO_COMP[],C$1,0),"ERROR")</f>
        <v>6383</v>
      </c>
      <c r="D26" s="200">
        <f>IFERROR(VLOOKUP($B26,MMWR_TRAD_AGG_RO_COMP[],D$1,0),"ERROR")</f>
        <v>515.38947203509997</v>
      </c>
      <c r="E26" s="197">
        <f>IFERROR(VLOOKUP($B26,MMWR_TRAD_AGG_RO_COMP[],E$1,0),"ERROR")</f>
        <v>6954</v>
      </c>
      <c r="F26" s="193">
        <f>IFERROR(VLOOKUP($B26,MMWR_TRAD_AGG_RO_COMP[],F$1,0),"ERROR")</f>
        <v>1819</v>
      </c>
      <c r="G26" s="218">
        <f t="shared" si="0"/>
        <v>0.26157607132585564</v>
      </c>
      <c r="H26" s="192">
        <f>IFERROR(VLOOKUP($B26,MMWR_TRAD_AGG_RO_COMP[],H$1,0),"ERROR")</f>
        <v>7553</v>
      </c>
      <c r="I26" s="193">
        <f>IFERROR(VLOOKUP($B26,MMWR_TRAD_AGG_RO_COMP[],I$1,0),"ERROR")</f>
        <v>5974</v>
      </c>
      <c r="J26" s="218">
        <f t="shared" si="1"/>
        <v>0.7909439957632729</v>
      </c>
      <c r="K26" s="206">
        <f>IFERROR(VLOOKUP($B26,MMWR_TRAD_AGG_RO_COMP[],K$1,0),"ERROR")</f>
        <v>1285</v>
      </c>
      <c r="L26" s="207">
        <f>IFERROR(VLOOKUP($B26,MMWR_TRAD_AGG_RO_COMP[],L$1,0),"ERROR")</f>
        <v>1235</v>
      </c>
      <c r="M26" s="218">
        <f t="shared" si="2"/>
        <v>0.96108949416342415</v>
      </c>
      <c r="N26" s="206">
        <f>IFERROR(VLOOKUP($B26,MMWR_TRAD_AGG_RO_COMP[],N$1,0),"ERROR")</f>
        <v>1930</v>
      </c>
      <c r="O26" s="207">
        <f>IFERROR(VLOOKUP($B26,MMWR_TRAD_AGG_RO_COMP[],O$1,0),"ERROR")</f>
        <v>1439</v>
      </c>
      <c r="P26" s="218">
        <f t="shared" si="3"/>
        <v>0.74559585492227975</v>
      </c>
      <c r="Q26" s="203">
        <f>IFERROR(VLOOKUP($B26,MMWR_TRAD_AGG_RO_COMP[],Q$1,0),"ERROR")</f>
        <v>0</v>
      </c>
      <c r="R26" s="203">
        <f>IFERROR(VLOOKUP($B26,MMWR_TRAD_AGG_RO_COMP[],R$1,0),"ERROR")</f>
        <v>206</v>
      </c>
      <c r="S26" s="203">
        <f>IFERROR(VLOOKUP($B26,MMWR_APP_RO[],S$1,0),"ERROR")</f>
        <v>7811</v>
      </c>
      <c r="T26" s="25"/>
    </row>
    <row r="27" spans="1:20" x14ac:dyDescent="0.2">
      <c r="A27" s="107"/>
      <c r="B27" s="108" t="s">
        <v>41</v>
      </c>
      <c r="C27" s="211">
        <f>IFERROR(VLOOKUP($B27,MMWR_TRAD_AGG_RO_COMP[],C$1,0),"ERROR")</f>
        <v>6857</v>
      </c>
      <c r="D27" s="200">
        <f>IFERROR(VLOOKUP($B27,MMWR_TRAD_AGG_RO_COMP[],D$1,0),"ERROR")</f>
        <v>493.12483593410002</v>
      </c>
      <c r="E27" s="197">
        <f>IFERROR(VLOOKUP($B27,MMWR_TRAD_AGG_RO_COMP[],E$1,0),"ERROR")</f>
        <v>8403</v>
      </c>
      <c r="F27" s="193">
        <f>IFERROR(VLOOKUP($B27,MMWR_TRAD_AGG_RO_COMP[],F$1,0),"ERROR")</f>
        <v>1955</v>
      </c>
      <c r="G27" s="218">
        <f t="shared" si="0"/>
        <v>0.23265500416517909</v>
      </c>
      <c r="H27" s="192">
        <f>IFERROR(VLOOKUP($B27,MMWR_TRAD_AGG_RO_COMP[],H$1,0),"ERROR")</f>
        <v>9237</v>
      </c>
      <c r="I27" s="193">
        <f>IFERROR(VLOOKUP($B27,MMWR_TRAD_AGG_RO_COMP[],I$1,0),"ERROR")</f>
        <v>6704</v>
      </c>
      <c r="J27" s="218">
        <f t="shared" si="1"/>
        <v>0.72577676734870633</v>
      </c>
      <c r="K27" s="206">
        <f>IFERROR(VLOOKUP($B27,MMWR_TRAD_AGG_RO_COMP[],K$1,0),"ERROR")</f>
        <v>1212</v>
      </c>
      <c r="L27" s="207">
        <f>IFERROR(VLOOKUP($B27,MMWR_TRAD_AGG_RO_COMP[],L$1,0),"ERROR")</f>
        <v>1120</v>
      </c>
      <c r="M27" s="218">
        <f t="shared" si="2"/>
        <v>0.92409240924092406</v>
      </c>
      <c r="N27" s="206">
        <f>IFERROR(VLOOKUP($B27,MMWR_TRAD_AGG_RO_COMP[],N$1,0),"ERROR")</f>
        <v>4708</v>
      </c>
      <c r="O27" s="207">
        <f>IFERROR(VLOOKUP($B27,MMWR_TRAD_AGG_RO_COMP[],O$1,0),"ERROR")</f>
        <v>2246</v>
      </c>
      <c r="P27" s="218">
        <f t="shared" si="3"/>
        <v>0.47706032285471539</v>
      </c>
      <c r="Q27" s="203">
        <f>IFERROR(VLOOKUP($B27,MMWR_TRAD_AGG_RO_COMP[],Q$1,0),"ERROR")</f>
        <v>4</v>
      </c>
      <c r="R27" s="203">
        <f>IFERROR(VLOOKUP($B27,MMWR_TRAD_AGG_RO_COMP[],R$1,0),"ERROR")</f>
        <v>335</v>
      </c>
      <c r="S27" s="203">
        <f>IFERROR(VLOOKUP($B27,MMWR_APP_RO[],S$1,0),"ERROR")</f>
        <v>14120</v>
      </c>
      <c r="T27" s="25"/>
    </row>
    <row r="28" spans="1:20" x14ac:dyDescent="0.2">
      <c r="A28" s="107"/>
      <c r="B28" s="108" t="s">
        <v>44</v>
      </c>
      <c r="C28" s="211">
        <f>IFERROR(VLOOKUP($B28,MMWR_TRAD_AGG_RO_COMP[],C$1,0),"ERROR")</f>
        <v>1140</v>
      </c>
      <c r="D28" s="200">
        <f>IFERROR(VLOOKUP($B28,MMWR_TRAD_AGG_RO_COMP[],D$1,0),"ERROR")</f>
        <v>133.7350877193</v>
      </c>
      <c r="E28" s="197">
        <f>IFERROR(VLOOKUP($B28,MMWR_TRAD_AGG_RO_COMP[],E$1,0),"ERROR")</f>
        <v>2110</v>
      </c>
      <c r="F28" s="193">
        <f>IFERROR(VLOOKUP($B28,MMWR_TRAD_AGG_RO_COMP[],F$1,0),"ERROR")</f>
        <v>390</v>
      </c>
      <c r="G28" s="218">
        <f t="shared" si="0"/>
        <v>0.18483412322274881</v>
      </c>
      <c r="H28" s="192">
        <f>IFERROR(VLOOKUP($B28,MMWR_TRAD_AGG_RO_COMP[],H$1,0),"ERROR")</f>
        <v>1993</v>
      </c>
      <c r="I28" s="193">
        <f>IFERROR(VLOOKUP($B28,MMWR_TRAD_AGG_RO_COMP[],I$1,0),"ERROR")</f>
        <v>784</v>
      </c>
      <c r="J28" s="218">
        <f t="shared" si="1"/>
        <v>0.3933768188660311</v>
      </c>
      <c r="K28" s="206">
        <f>IFERROR(VLOOKUP($B28,MMWR_TRAD_AGG_RO_COMP[],K$1,0),"ERROR")</f>
        <v>191</v>
      </c>
      <c r="L28" s="207">
        <f>IFERROR(VLOOKUP($B28,MMWR_TRAD_AGG_RO_COMP[],L$1,0),"ERROR")</f>
        <v>141</v>
      </c>
      <c r="M28" s="218">
        <f t="shared" si="2"/>
        <v>0.73821989528795806</v>
      </c>
      <c r="N28" s="206">
        <f>IFERROR(VLOOKUP($B28,MMWR_TRAD_AGG_RO_COMP[],N$1,0),"ERROR")</f>
        <v>1094</v>
      </c>
      <c r="O28" s="207">
        <f>IFERROR(VLOOKUP($B28,MMWR_TRAD_AGG_RO_COMP[],O$1,0),"ERROR")</f>
        <v>943</v>
      </c>
      <c r="P28" s="218">
        <f t="shared" si="3"/>
        <v>0.86197440585009144</v>
      </c>
      <c r="Q28" s="203">
        <f>IFERROR(VLOOKUP($B28,MMWR_TRAD_AGG_RO_COMP[],Q$1,0),"ERROR")</f>
        <v>0</v>
      </c>
      <c r="R28" s="203">
        <f>IFERROR(VLOOKUP($B28,MMWR_TRAD_AGG_RO_COMP[],R$1,0),"ERROR")</f>
        <v>9</v>
      </c>
      <c r="S28" s="203">
        <f>IFERROR(VLOOKUP($B28,MMWR_APP_RO[],S$1,0),"ERROR")</f>
        <v>1155</v>
      </c>
      <c r="T28" s="25"/>
    </row>
    <row r="29" spans="1:20" x14ac:dyDescent="0.2">
      <c r="A29" s="107"/>
      <c r="B29" s="108" t="s">
        <v>45</v>
      </c>
      <c r="C29" s="211">
        <f>IFERROR(VLOOKUP($B29,MMWR_TRAD_AGG_RO_COMP[],C$1,0),"ERROR")</f>
        <v>3053</v>
      </c>
      <c r="D29" s="200">
        <f>IFERROR(VLOOKUP($B29,MMWR_TRAD_AGG_RO_COMP[],D$1,0),"ERROR")</f>
        <v>247.2574516869</v>
      </c>
      <c r="E29" s="197">
        <f>IFERROR(VLOOKUP($B29,MMWR_TRAD_AGG_RO_COMP[],E$1,0),"ERROR")</f>
        <v>7197</v>
      </c>
      <c r="F29" s="193">
        <f>IFERROR(VLOOKUP($B29,MMWR_TRAD_AGG_RO_COMP[],F$1,0),"ERROR")</f>
        <v>1806</v>
      </c>
      <c r="G29" s="218">
        <f t="shared" si="0"/>
        <v>0.25093789078782824</v>
      </c>
      <c r="H29" s="192">
        <f>IFERROR(VLOOKUP($B29,MMWR_TRAD_AGG_RO_COMP[],H$1,0),"ERROR")</f>
        <v>6860</v>
      </c>
      <c r="I29" s="193">
        <f>IFERROR(VLOOKUP($B29,MMWR_TRAD_AGG_RO_COMP[],I$1,0),"ERROR")</f>
        <v>2859</v>
      </c>
      <c r="J29" s="218">
        <f t="shared" si="1"/>
        <v>0.41676384839650144</v>
      </c>
      <c r="K29" s="206">
        <f>IFERROR(VLOOKUP($B29,MMWR_TRAD_AGG_RO_COMP[],K$1,0),"ERROR")</f>
        <v>1071</v>
      </c>
      <c r="L29" s="207">
        <f>IFERROR(VLOOKUP($B29,MMWR_TRAD_AGG_RO_COMP[],L$1,0),"ERROR")</f>
        <v>847</v>
      </c>
      <c r="M29" s="218">
        <f t="shared" si="2"/>
        <v>0.79084967320261434</v>
      </c>
      <c r="N29" s="206">
        <f>IFERROR(VLOOKUP($B29,MMWR_TRAD_AGG_RO_COMP[],N$1,0),"ERROR")</f>
        <v>708</v>
      </c>
      <c r="O29" s="207">
        <f>IFERROR(VLOOKUP($B29,MMWR_TRAD_AGG_RO_COMP[],O$1,0),"ERROR")</f>
        <v>378</v>
      </c>
      <c r="P29" s="218">
        <f t="shared" si="3"/>
        <v>0.53389830508474578</v>
      </c>
      <c r="Q29" s="203">
        <f>IFERROR(VLOOKUP($B29,MMWR_TRAD_AGG_RO_COMP[],Q$1,0),"ERROR")</f>
        <v>0</v>
      </c>
      <c r="R29" s="203">
        <f>IFERROR(VLOOKUP($B29,MMWR_TRAD_AGG_RO_COMP[],R$1,0),"ERROR")</f>
        <v>198</v>
      </c>
      <c r="S29" s="203">
        <f>IFERROR(VLOOKUP($B29,MMWR_APP_RO[],S$1,0),"ERROR")</f>
        <v>6025</v>
      </c>
      <c r="T29" s="25"/>
    </row>
    <row r="30" spans="1:20" x14ac:dyDescent="0.2">
      <c r="A30" s="107"/>
      <c r="B30" s="108" t="s">
        <v>46</v>
      </c>
      <c r="C30" s="211">
        <f>IFERROR(VLOOKUP($B30,MMWR_TRAD_AGG_RO_COMP[],C$1,0),"ERROR")</f>
        <v>134</v>
      </c>
      <c r="D30" s="200">
        <f>IFERROR(VLOOKUP($B30,MMWR_TRAD_AGG_RO_COMP[],D$1,0),"ERROR")</f>
        <v>76.305970149299995</v>
      </c>
      <c r="E30" s="197">
        <f>IFERROR(VLOOKUP($B30,MMWR_TRAD_AGG_RO_COMP[],E$1,0),"ERROR")</f>
        <v>802</v>
      </c>
      <c r="F30" s="193">
        <f>IFERROR(VLOOKUP($B30,MMWR_TRAD_AGG_RO_COMP[],F$1,0),"ERROR")</f>
        <v>167</v>
      </c>
      <c r="G30" s="218">
        <f t="shared" si="0"/>
        <v>0.2082294264339152</v>
      </c>
      <c r="H30" s="192">
        <f>IFERROR(VLOOKUP($B30,MMWR_TRAD_AGG_RO_COMP[],H$1,0),"ERROR")</f>
        <v>291</v>
      </c>
      <c r="I30" s="193">
        <f>IFERROR(VLOOKUP($B30,MMWR_TRAD_AGG_RO_COMP[],I$1,0),"ERROR")</f>
        <v>29</v>
      </c>
      <c r="J30" s="218">
        <f t="shared" si="1"/>
        <v>9.9656357388316158E-2</v>
      </c>
      <c r="K30" s="206">
        <f>IFERROR(VLOOKUP($B30,MMWR_TRAD_AGG_RO_COMP[],K$1,0),"ERROR")</f>
        <v>62</v>
      </c>
      <c r="L30" s="207">
        <f>IFERROR(VLOOKUP($B30,MMWR_TRAD_AGG_RO_COMP[],L$1,0),"ERROR")</f>
        <v>22</v>
      </c>
      <c r="M30" s="218">
        <f t="shared" si="2"/>
        <v>0.35483870967741937</v>
      </c>
      <c r="N30" s="206">
        <f>IFERROR(VLOOKUP($B30,MMWR_TRAD_AGG_RO_COMP[],N$1,0),"ERROR")</f>
        <v>64</v>
      </c>
      <c r="O30" s="207">
        <f>IFERROR(VLOOKUP($B30,MMWR_TRAD_AGG_RO_COMP[],O$1,0),"ERROR")</f>
        <v>26</v>
      </c>
      <c r="P30" s="218">
        <f t="shared" si="3"/>
        <v>0.40625</v>
      </c>
      <c r="Q30" s="203">
        <f>IFERROR(VLOOKUP($B30,MMWR_TRAD_AGG_RO_COMP[],Q$1,0),"ERROR")</f>
        <v>0</v>
      </c>
      <c r="R30" s="203">
        <f>IFERROR(VLOOKUP($B30,MMWR_TRAD_AGG_RO_COMP[],R$1,0),"ERROR")</f>
        <v>0</v>
      </c>
      <c r="S30" s="203">
        <f>IFERROR(VLOOKUP($B30,MMWR_APP_RO[],S$1,0),"ERROR")</f>
        <v>558</v>
      </c>
      <c r="T30" s="25"/>
    </row>
    <row r="31" spans="1:20" x14ac:dyDescent="0.2">
      <c r="A31" s="107"/>
      <c r="B31" s="108" t="s">
        <v>51</v>
      </c>
      <c r="C31" s="211">
        <f>IFERROR(VLOOKUP($B31,MMWR_TRAD_AGG_RO_COMP[],C$1,0),"ERROR")</f>
        <v>9517</v>
      </c>
      <c r="D31" s="200">
        <f>IFERROR(VLOOKUP($B31,MMWR_TRAD_AGG_RO_COMP[],D$1,0),"ERROR")</f>
        <v>485.40884732580002</v>
      </c>
      <c r="E31" s="197">
        <f>IFERROR(VLOOKUP($B31,MMWR_TRAD_AGG_RO_COMP[],E$1,0),"ERROR")</f>
        <v>4947</v>
      </c>
      <c r="F31" s="193">
        <f>IFERROR(VLOOKUP($B31,MMWR_TRAD_AGG_RO_COMP[],F$1,0),"ERROR")</f>
        <v>786</v>
      </c>
      <c r="G31" s="218">
        <f t="shared" si="0"/>
        <v>0.15888417222559126</v>
      </c>
      <c r="H31" s="192">
        <f>IFERROR(VLOOKUP($B31,MMWR_TRAD_AGG_RO_COMP[],H$1,0),"ERROR")</f>
        <v>15054</v>
      </c>
      <c r="I31" s="193">
        <f>IFERROR(VLOOKUP($B31,MMWR_TRAD_AGG_RO_COMP[],I$1,0),"ERROR")</f>
        <v>8815</v>
      </c>
      <c r="J31" s="218">
        <f t="shared" si="1"/>
        <v>0.58555865550684205</v>
      </c>
      <c r="K31" s="206">
        <f>IFERROR(VLOOKUP($B31,MMWR_TRAD_AGG_RO_COMP[],K$1,0),"ERROR")</f>
        <v>971</v>
      </c>
      <c r="L31" s="207">
        <f>IFERROR(VLOOKUP($B31,MMWR_TRAD_AGG_RO_COMP[],L$1,0),"ERROR")</f>
        <v>817</v>
      </c>
      <c r="M31" s="218">
        <f t="shared" si="2"/>
        <v>0.84140061791967047</v>
      </c>
      <c r="N31" s="206">
        <f>IFERROR(VLOOKUP($B31,MMWR_TRAD_AGG_RO_COMP[],N$1,0),"ERROR")</f>
        <v>1541</v>
      </c>
      <c r="O31" s="207">
        <f>IFERROR(VLOOKUP($B31,MMWR_TRAD_AGG_RO_COMP[],O$1,0),"ERROR")</f>
        <v>1272</v>
      </c>
      <c r="P31" s="218">
        <f t="shared" si="3"/>
        <v>0.82543802725502924</v>
      </c>
      <c r="Q31" s="203">
        <f>IFERROR(VLOOKUP($B31,MMWR_TRAD_AGG_RO_COMP[],Q$1,0),"ERROR")</f>
        <v>1</v>
      </c>
      <c r="R31" s="203">
        <f>IFERROR(VLOOKUP($B31,MMWR_TRAD_AGG_RO_COMP[],R$1,0),"ERROR")</f>
        <v>194</v>
      </c>
      <c r="S31" s="203">
        <f>IFERROR(VLOOKUP($B31,MMWR_APP_RO[],S$1,0),"ERROR")</f>
        <v>8368</v>
      </c>
      <c r="T31" s="25"/>
    </row>
    <row r="32" spans="1:20" x14ac:dyDescent="0.2">
      <c r="A32" s="107"/>
      <c r="B32" s="108" t="s">
        <v>53</v>
      </c>
      <c r="C32" s="211">
        <f>IFERROR(VLOOKUP($B32,MMWR_TRAD_AGG_RO_COMP[],C$1,0),"ERROR")</f>
        <v>2503</v>
      </c>
      <c r="D32" s="200">
        <f>IFERROR(VLOOKUP($B32,MMWR_TRAD_AGG_RO_COMP[],D$1,0),"ERROR")</f>
        <v>137.41630043949999</v>
      </c>
      <c r="E32" s="197">
        <f>IFERROR(VLOOKUP($B32,MMWR_TRAD_AGG_RO_COMP[],E$1,0),"ERROR")</f>
        <v>2061</v>
      </c>
      <c r="F32" s="193">
        <f>IFERROR(VLOOKUP($B32,MMWR_TRAD_AGG_RO_COMP[],F$1,0),"ERROR")</f>
        <v>243</v>
      </c>
      <c r="G32" s="218">
        <f t="shared" si="0"/>
        <v>0.11790393013100436</v>
      </c>
      <c r="H32" s="192">
        <f>IFERROR(VLOOKUP($B32,MMWR_TRAD_AGG_RO_COMP[],H$1,0),"ERROR")</f>
        <v>4416</v>
      </c>
      <c r="I32" s="193">
        <f>IFERROR(VLOOKUP($B32,MMWR_TRAD_AGG_RO_COMP[],I$1,0),"ERROR")</f>
        <v>1156</v>
      </c>
      <c r="J32" s="218">
        <f t="shared" si="1"/>
        <v>0.26177536231884058</v>
      </c>
      <c r="K32" s="206">
        <f>IFERROR(VLOOKUP($B32,MMWR_TRAD_AGG_RO_COMP[],K$1,0),"ERROR")</f>
        <v>652</v>
      </c>
      <c r="L32" s="207">
        <f>IFERROR(VLOOKUP($B32,MMWR_TRAD_AGG_RO_COMP[],L$1,0),"ERROR")</f>
        <v>476</v>
      </c>
      <c r="M32" s="218">
        <f t="shared" si="2"/>
        <v>0.73006134969325154</v>
      </c>
      <c r="N32" s="206">
        <f>IFERROR(VLOOKUP($B32,MMWR_TRAD_AGG_RO_COMP[],N$1,0),"ERROR")</f>
        <v>378</v>
      </c>
      <c r="O32" s="207">
        <f>IFERROR(VLOOKUP($B32,MMWR_TRAD_AGG_RO_COMP[],O$1,0),"ERROR")</f>
        <v>195</v>
      </c>
      <c r="P32" s="218">
        <f t="shared" si="3"/>
        <v>0.51587301587301593</v>
      </c>
      <c r="Q32" s="203">
        <f>IFERROR(VLOOKUP($B32,MMWR_TRAD_AGG_RO_COMP[],Q$1,0),"ERROR")</f>
        <v>1</v>
      </c>
      <c r="R32" s="203">
        <f>IFERROR(VLOOKUP($B32,MMWR_TRAD_AGG_RO_COMP[],R$1,0),"ERROR")</f>
        <v>13</v>
      </c>
      <c r="S32" s="203">
        <f>IFERROR(VLOOKUP($B32,MMWR_APP_RO[],S$1,0),"ERROR")</f>
        <v>1294</v>
      </c>
      <c r="T32" s="25"/>
    </row>
    <row r="33" spans="1:20" x14ac:dyDescent="0.2">
      <c r="A33" s="107"/>
      <c r="B33" s="108" t="s">
        <v>59</v>
      </c>
      <c r="C33" s="211">
        <f>IFERROR(VLOOKUP($B33,MMWR_TRAD_AGG_RO_COMP[],C$1,0),"ERROR")</f>
        <v>4484</v>
      </c>
      <c r="D33" s="200">
        <f>IFERROR(VLOOKUP($B33,MMWR_TRAD_AGG_RO_COMP[],D$1,0),"ERROR")</f>
        <v>175.3668599465</v>
      </c>
      <c r="E33" s="197">
        <f>IFERROR(VLOOKUP($B33,MMWR_TRAD_AGG_RO_COMP[],E$1,0),"ERROR")</f>
        <v>6204</v>
      </c>
      <c r="F33" s="193">
        <f>IFERROR(VLOOKUP($B33,MMWR_TRAD_AGG_RO_COMP[],F$1,0),"ERROR")</f>
        <v>1033</v>
      </c>
      <c r="G33" s="218">
        <f t="shared" si="0"/>
        <v>0.16650548033526757</v>
      </c>
      <c r="H33" s="192">
        <f>IFERROR(VLOOKUP($B33,MMWR_TRAD_AGG_RO_COMP[],H$1,0),"ERROR")</f>
        <v>6523</v>
      </c>
      <c r="I33" s="193">
        <f>IFERROR(VLOOKUP($B33,MMWR_TRAD_AGG_RO_COMP[],I$1,0),"ERROR")</f>
        <v>2857</v>
      </c>
      <c r="J33" s="218">
        <f t="shared" si="1"/>
        <v>0.43798865552659821</v>
      </c>
      <c r="K33" s="206">
        <f>IFERROR(VLOOKUP($B33,MMWR_TRAD_AGG_RO_COMP[],K$1,0),"ERROR")</f>
        <v>422</v>
      </c>
      <c r="L33" s="207">
        <f>IFERROR(VLOOKUP($B33,MMWR_TRAD_AGG_RO_COMP[],L$1,0),"ERROR")</f>
        <v>247</v>
      </c>
      <c r="M33" s="218">
        <f t="shared" si="2"/>
        <v>0.58530805687203791</v>
      </c>
      <c r="N33" s="206">
        <f>IFERROR(VLOOKUP($B33,MMWR_TRAD_AGG_RO_COMP[],N$1,0),"ERROR")</f>
        <v>465</v>
      </c>
      <c r="O33" s="207">
        <f>IFERROR(VLOOKUP($B33,MMWR_TRAD_AGG_RO_COMP[],O$1,0),"ERROR")</f>
        <v>208</v>
      </c>
      <c r="P33" s="218">
        <f t="shared" si="3"/>
        <v>0.44731182795698926</v>
      </c>
      <c r="Q33" s="203">
        <f>IFERROR(VLOOKUP($B33,MMWR_TRAD_AGG_RO_COMP[],Q$1,0),"ERROR")</f>
        <v>4510</v>
      </c>
      <c r="R33" s="203">
        <f>IFERROR(VLOOKUP($B33,MMWR_TRAD_AGG_RO_COMP[],R$1,0),"ERROR")</f>
        <v>0</v>
      </c>
      <c r="S33" s="203">
        <f>IFERROR(VLOOKUP($B33,MMWR_APP_RO[],S$1,0),"ERROR")</f>
        <v>3282</v>
      </c>
      <c r="T33" s="25"/>
    </row>
    <row r="34" spans="1:20" x14ac:dyDescent="0.2">
      <c r="A34" s="107"/>
      <c r="B34" s="108" t="s">
        <v>77</v>
      </c>
      <c r="C34" s="211">
        <f>IFERROR(VLOOKUP($B34,MMWR_TRAD_AGG_RO_COMP[],C$1,0),"ERROR")</f>
        <v>255</v>
      </c>
      <c r="D34" s="200">
        <f>IFERROR(VLOOKUP($B34,MMWR_TRAD_AGG_RO_COMP[],D$1,0),"ERROR")</f>
        <v>98.713725490200005</v>
      </c>
      <c r="E34" s="197">
        <f>IFERROR(VLOOKUP($B34,MMWR_TRAD_AGG_RO_COMP[],E$1,0),"ERROR")</f>
        <v>821</v>
      </c>
      <c r="F34" s="193">
        <f>IFERROR(VLOOKUP($B34,MMWR_TRAD_AGG_RO_COMP[],F$1,0),"ERROR")</f>
        <v>165</v>
      </c>
      <c r="G34" s="218">
        <f t="shared" si="0"/>
        <v>0.20097442143727162</v>
      </c>
      <c r="H34" s="192">
        <f>IFERROR(VLOOKUP($B34,MMWR_TRAD_AGG_RO_COMP[],H$1,0),"ERROR")</f>
        <v>518</v>
      </c>
      <c r="I34" s="193">
        <f>IFERROR(VLOOKUP($B34,MMWR_TRAD_AGG_RO_COMP[],I$1,0),"ERROR")</f>
        <v>98</v>
      </c>
      <c r="J34" s="218">
        <f t="shared" si="1"/>
        <v>0.1891891891891892</v>
      </c>
      <c r="K34" s="206">
        <f>IFERROR(VLOOKUP($B34,MMWR_TRAD_AGG_RO_COMP[],K$1,0),"ERROR")</f>
        <v>350</v>
      </c>
      <c r="L34" s="207">
        <f>IFERROR(VLOOKUP($B34,MMWR_TRAD_AGG_RO_COMP[],L$1,0),"ERROR")</f>
        <v>171</v>
      </c>
      <c r="M34" s="218">
        <f t="shared" si="2"/>
        <v>0.48857142857142855</v>
      </c>
      <c r="N34" s="206">
        <f>IFERROR(VLOOKUP($B34,MMWR_TRAD_AGG_RO_COMP[],N$1,0),"ERROR")</f>
        <v>32</v>
      </c>
      <c r="O34" s="207">
        <f>IFERROR(VLOOKUP($B34,MMWR_TRAD_AGG_RO_COMP[],O$1,0),"ERROR")</f>
        <v>16</v>
      </c>
      <c r="P34" s="218">
        <f t="shared" si="3"/>
        <v>0.5</v>
      </c>
      <c r="Q34" s="203">
        <f>IFERROR(VLOOKUP($B34,MMWR_TRAD_AGG_RO_COMP[],Q$1,0),"ERROR")</f>
        <v>0</v>
      </c>
      <c r="R34" s="203">
        <f>IFERROR(VLOOKUP($B34,MMWR_TRAD_AGG_RO_COMP[],R$1,0),"ERROR")</f>
        <v>0</v>
      </c>
      <c r="S34" s="203">
        <f>IFERROR(VLOOKUP($B34,MMWR_APP_RO[],S$1,0),"ERROR")</f>
        <v>235</v>
      </c>
      <c r="T34" s="25"/>
    </row>
    <row r="35" spans="1:20" x14ac:dyDescent="0.2">
      <c r="A35" s="107"/>
      <c r="B35" s="108" t="s">
        <v>78</v>
      </c>
      <c r="C35" s="211">
        <f>IFERROR(VLOOKUP($B35,MMWR_TRAD_AGG_RO_COMP[],C$1,0),"ERROR")</f>
        <v>5295</v>
      </c>
      <c r="D35" s="200">
        <f>IFERROR(VLOOKUP($B35,MMWR_TRAD_AGG_RO_COMP[],D$1,0),"ERROR")</f>
        <v>260.43814919739998</v>
      </c>
      <c r="E35" s="197">
        <f>IFERROR(VLOOKUP($B35,MMWR_TRAD_AGG_RO_COMP[],E$1,0),"ERROR")</f>
        <v>5704</v>
      </c>
      <c r="F35" s="193">
        <f>IFERROR(VLOOKUP($B35,MMWR_TRAD_AGG_RO_COMP[],F$1,0),"ERROR")</f>
        <v>793</v>
      </c>
      <c r="G35" s="218">
        <f t="shared" si="0"/>
        <v>0.13902524544179523</v>
      </c>
      <c r="H35" s="192">
        <f>IFERROR(VLOOKUP($B35,MMWR_TRAD_AGG_RO_COMP[],H$1,0),"ERROR")</f>
        <v>7531</v>
      </c>
      <c r="I35" s="193">
        <f>IFERROR(VLOOKUP($B35,MMWR_TRAD_AGG_RO_COMP[],I$1,0),"ERROR")</f>
        <v>5119</v>
      </c>
      <c r="J35" s="218">
        <f t="shared" si="1"/>
        <v>0.67972380825919532</v>
      </c>
      <c r="K35" s="206">
        <f>IFERROR(VLOOKUP($B35,MMWR_TRAD_AGG_RO_COMP[],K$1,0),"ERROR")</f>
        <v>2157</v>
      </c>
      <c r="L35" s="207">
        <f>IFERROR(VLOOKUP($B35,MMWR_TRAD_AGG_RO_COMP[],L$1,0),"ERROR")</f>
        <v>2024</v>
      </c>
      <c r="M35" s="218">
        <f t="shared" si="2"/>
        <v>0.93834028743625408</v>
      </c>
      <c r="N35" s="206">
        <f>IFERROR(VLOOKUP($B35,MMWR_TRAD_AGG_RO_COMP[],N$1,0),"ERROR")</f>
        <v>5438</v>
      </c>
      <c r="O35" s="207">
        <f>IFERROR(VLOOKUP($B35,MMWR_TRAD_AGG_RO_COMP[],O$1,0),"ERROR")</f>
        <v>4637</v>
      </c>
      <c r="P35" s="218">
        <f t="shared" si="3"/>
        <v>0.85270319970577413</v>
      </c>
      <c r="Q35" s="203">
        <f>IFERROR(VLOOKUP($B35,MMWR_TRAD_AGG_RO_COMP[],Q$1,0),"ERROR")</f>
        <v>7</v>
      </c>
      <c r="R35" s="203">
        <f>IFERROR(VLOOKUP($B35,MMWR_TRAD_AGG_RO_COMP[],R$1,0),"ERROR")</f>
        <v>82</v>
      </c>
      <c r="S35" s="203">
        <f>IFERROR(VLOOKUP($B35,MMWR_APP_RO[],S$1,0),"ERROR")</f>
        <v>6423</v>
      </c>
      <c r="T35" s="25"/>
    </row>
    <row r="36" spans="1:20" x14ac:dyDescent="0.2">
      <c r="A36" s="28"/>
      <c r="B36" s="108" t="s">
        <v>79</v>
      </c>
      <c r="C36" s="221">
        <f>IFERROR(VLOOKUP($B36,MMWR_TRAD_AGG_RO_COMP[],C$1,0),"ERROR")</f>
        <v>1969</v>
      </c>
      <c r="D36" s="222">
        <f>IFERROR(VLOOKUP($B36,MMWR_TRAD_AGG_RO_COMP[],D$1,0),"ERROR")</f>
        <v>165.31488065010001</v>
      </c>
      <c r="E36" s="223">
        <f>IFERROR(VLOOKUP($B36,MMWR_TRAD_AGG_RO_COMP[],E$1,0),"ERROR")</f>
        <v>9630</v>
      </c>
      <c r="F36" s="224">
        <f>IFERROR(VLOOKUP($B36,MMWR_TRAD_AGG_RO_COMP[],F$1,0),"ERROR")</f>
        <v>1745</v>
      </c>
      <c r="G36" s="225">
        <f t="shared" si="0"/>
        <v>0.18120456905503635</v>
      </c>
      <c r="H36" s="226">
        <f>IFERROR(VLOOKUP($B36,MMWR_TRAD_AGG_RO_COMP[],H$1,0),"ERROR")</f>
        <v>10811</v>
      </c>
      <c r="I36" s="224">
        <f>IFERROR(VLOOKUP($B36,MMWR_TRAD_AGG_RO_COMP[],I$1,0),"ERROR")</f>
        <v>1717</v>
      </c>
      <c r="J36" s="225">
        <f t="shared" si="1"/>
        <v>0.15881972065488853</v>
      </c>
      <c r="K36" s="227">
        <f>IFERROR(VLOOKUP($B36,MMWR_TRAD_AGG_RO_COMP[],K$1,0),"ERROR")</f>
        <v>461</v>
      </c>
      <c r="L36" s="228">
        <f>IFERROR(VLOOKUP($B36,MMWR_TRAD_AGG_RO_COMP[],L$1,0),"ERROR")</f>
        <v>305</v>
      </c>
      <c r="M36" s="225">
        <f t="shared" si="2"/>
        <v>0.66160520607375273</v>
      </c>
      <c r="N36" s="227">
        <f>IFERROR(VLOOKUP($B36,MMWR_TRAD_AGG_RO_COMP[],N$1,0),"ERROR")</f>
        <v>1114</v>
      </c>
      <c r="O36" s="228">
        <f>IFERROR(VLOOKUP($B36,MMWR_TRAD_AGG_RO_COMP[],O$1,0),"ERROR")</f>
        <v>690</v>
      </c>
      <c r="P36" s="225">
        <f t="shared" si="3"/>
        <v>0.61938958707360858</v>
      </c>
      <c r="Q36" s="229">
        <f>IFERROR(VLOOKUP($B36,MMWR_TRAD_AGG_RO_COMP[],Q$1,0),"ERROR")</f>
        <v>24</v>
      </c>
      <c r="R36" s="229">
        <f>IFERROR(VLOOKUP($B36,MMWR_TRAD_AGG_RO_COMP[],R$1,0),"ERROR")</f>
        <v>0</v>
      </c>
      <c r="S36" s="203">
        <f>IFERROR(VLOOKUP($B36,MMWR_APP_RO[],S$1,0),"ERROR")</f>
        <v>1740</v>
      </c>
      <c r="T36" s="28"/>
    </row>
    <row r="37" spans="1:20" x14ac:dyDescent="0.2">
      <c r="A37" s="28"/>
      <c r="B37" s="116" t="s">
        <v>84</v>
      </c>
      <c r="C37" s="230">
        <f>IFERROR(VLOOKUP($B37,MMWR_TRAD_AGG_RO_COMP[],C$1,0),"ERROR")</f>
        <v>1474</v>
      </c>
      <c r="D37" s="231">
        <f>IFERROR(VLOOKUP($B37,MMWR_TRAD_AGG_RO_COMP[],D$1,0),"ERROR")</f>
        <v>166.65807326999999</v>
      </c>
      <c r="E37" s="232">
        <f>IFERROR(VLOOKUP($B37,MMWR_TRAD_AGG_RO_COMP[],E$1,0),"ERROR")</f>
        <v>3015</v>
      </c>
      <c r="F37" s="233">
        <f>IFERROR(VLOOKUP($B37,MMWR_TRAD_AGG_RO_COMP[],F$1,0),"ERROR")</f>
        <v>609</v>
      </c>
      <c r="G37" s="234">
        <f t="shared" si="0"/>
        <v>0.20199004975124379</v>
      </c>
      <c r="H37" s="235">
        <f>IFERROR(VLOOKUP($B37,MMWR_TRAD_AGG_RO_COMP[],H$1,0),"ERROR")</f>
        <v>2291</v>
      </c>
      <c r="I37" s="233">
        <f>IFERROR(VLOOKUP($B37,MMWR_TRAD_AGG_RO_COMP[],I$1,0),"ERROR")</f>
        <v>987</v>
      </c>
      <c r="J37" s="234">
        <f t="shared" si="1"/>
        <v>0.43081623745089481</v>
      </c>
      <c r="K37" s="236">
        <f>IFERROR(VLOOKUP($B37,MMWR_TRAD_AGG_RO_COMP[],K$1,0),"ERROR")</f>
        <v>464</v>
      </c>
      <c r="L37" s="237">
        <f>IFERROR(VLOOKUP($B37,MMWR_TRAD_AGG_RO_COMP[],L$1,0),"ERROR")</f>
        <v>203</v>
      </c>
      <c r="M37" s="234">
        <f t="shared" si="2"/>
        <v>0.4375</v>
      </c>
      <c r="N37" s="236">
        <f>IFERROR(VLOOKUP($B37,MMWR_TRAD_AGG_RO_COMP[],N$1,0),"ERROR")</f>
        <v>151</v>
      </c>
      <c r="O37" s="237">
        <f>IFERROR(VLOOKUP($B37,MMWR_TRAD_AGG_RO_COMP[],O$1,0),"ERROR")</f>
        <v>68</v>
      </c>
      <c r="P37" s="234">
        <f t="shared" si="3"/>
        <v>0.45033112582781459</v>
      </c>
      <c r="Q37" s="238">
        <f>IFERROR(VLOOKUP($B37,MMWR_TRAD_AGG_RO_COMP[],Q$1,0),"ERROR")</f>
        <v>0</v>
      </c>
      <c r="R37" s="238">
        <f>IFERROR(VLOOKUP($B37,MMWR_TRAD_AGG_RO_COMP[],R$1,0),"ERROR")</f>
        <v>11</v>
      </c>
      <c r="S37" s="203">
        <f>IFERROR(VLOOKUP($B37,MMWR_APP_RO[],S$1,0),"ERROR")</f>
        <v>1245</v>
      </c>
      <c r="T37" s="28"/>
    </row>
    <row r="38" spans="1:20" x14ac:dyDescent="0.2">
      <c r="A38" s="28"/>
      <c r="B38" s="101" t="s">
        <v>392</v>
      </c>
      <c r="C38" s="214">
        <f>IFERROR(VLOOKUP($B38,MMWR_TRAD_AGG_DISTRICT_COMP[],C$1,0),"ERROR")</f>
        <v>58775</v>
      </c>
      <c r="D38" s="199">
        <f>IFERROR(VLOOKUP($B38,MMWR_TRAD_AGG_DISTRICT_COMP[],D$1,0),"ERROR")</f>
        <v>328.80450871969998</v>
      </c>
      <c r="E38" s="215">
        <f>IFERROR(VLOOKUP($B38,MMWR_TRAD_AGG_DISTRICT_COMP[],E$1,0),"ERROR")</f>
        <v>65401</v>
      </c>
      <c r="F38" s="220">
        <f>IFERROR(VLOOKUP($B38,MMWR_TRAD_AGG_DISTRICT_COMP[],F$1,0),"ERROR")</f>
        <v>13949</v>
      </c>
      <c r="G38" s="216">
        <f t="shared" si="0"/>
        <v>0.21328420054739225</v>
      </c>
      <c r="H38" s="220">
        <f>IFERROR(VLOOKUP($B38,MMWR_TRAD_AGG_DISTRICT_COMP[],H$1,0),"ERROR")</f>
        <v>91834</v>
      </c>
      <c r="I38" s="220">
        <f>IFERROR(VLOOKUP($B38,MMWR_TRAD_AGG_DISTRICT_COMP[],I$1,0),"ERROR")</f>
        <v>52444</v>
      </c>
      <c r="J38" s="216">
        <f t="shared" si="1"/>
        <v>0.57107389420040511</v>
      </c>
      <c r="K38" s="214">
        <f>IFERROR(VLOOKUP($B38,MMWR_TRAD_AGG_DISTRICT_COMP[],K$1,0),"ERROR")</f>
        <v>13923</v>
      </c>
      <c r="L38" s="214">
        <f>IFERROR(VLOOKUP($B38,MMWR_TRAD_AGG_DISTRICT_COMP[],L$1,0),"ERROR")</f>
        <v>11605</v>
      </c>
      <c r="M38" s="216">
        <f t="shared" si="2"/>
        <v>0.83351289233642178</v>
      </c>
      <c r="N38" s="214">
        <f>IFERROR(VLOOKUP($B38,MMWR_TRAD_AGG_DISTRICT_COMP[],N$1,0),"ERROR")</f>
        <v>13996</v>
      </c>
      <c r="O38" s="214">
        <f>IFERROR(VLOOKUP($B38,MMWR_TRAD_AGG_DISTRICT_COMP[],O$1,0),"ERROR")</f>
        <v>7898</v>
      </c>
      <c r="P38" s="216">
        <f t="shared" si="3"/>
        <v>0.56430408688196632</v>
      </c>
      <c r="Q38" s="214">
        <f>IFERROR(VLOOKUP($B38,MMWR_TRAD_AGG_DISTRICT_COMP[],Q$1,0),"ERROR")</f>
        <v>42</v>
      </c>
      <c r="R38" s="217">
        <f>IFERROR(VLOOKUP($B38,MMWR_TRAD_AGG_DISTRICT_COMP[],R$1,0),"ERROR")</f>
        <v>1124</v>
      </c>
      <c r="S38" s="217">
        <f>IFERROR(VLOOKUP($B38,MMWR_APP_RO[],S$1,0),"ERROR")</f>
        <v>66142</v>
      </c>
      <c r="T38" s="28"/>
    </row>
    <row r="39" spans="1:20" x14ac:dyDescent="0.2">
      <c r="A39" s="28"/>
      <c r="B39" s="108" t="s">
        <v>39</v>
      </c>
      <c r="C39" s="221">
        <f>IFERROR(VLOOKUP($B39,MMWR_TRAD_AGG_RO_COMP[],C$1,0),"ERROR")</f>
        <v>431</v>
      </c>
      <c r="D39" s="222">
        <f>IFERROR(VLOOKUP($B39,MMWR_TRAD_AGG_RO_COMP[],D$1,0),"ERROR")</f>
        <v>269.78654292340002</v>
      </c>
      <c r="E39" s="223">
        <f>IFERROR(VLOOKUP($B39,MMWR_TRAD_AGG_RO_COMP[],E$1,0),"ERROR")</f>
        <v>821</v>
      </c>
      <c r="F39" s="224">
        <f>IFERROR(VLOOKUP($B39,MMWR_TRAD_AGG_RO_COMP[],F$1,0),"ERROR")</f>
        <v>147</v>
      </c>
      <c r="G39" s="225">
        <f t="shared" si="0"/>
        <v>0.17904993909866018</v>
      </c>
      <c r="H39" s="226">
        <f>IFERROR(VLOOKUP($B39,MMWR_TRAD_AGG_RO_COMP[],H$1,0),"ERROR")</f>
        <v>710</v>
      </c>
      <c r="I39" s="224">
        <f>IFERROR(VLOOKUP($B39,MMWR_TRAD_AGG_RO_COMP[],I$1,0),"ERROR")</f>
        <v>336</v>
      </c>
      <c r="J39" s="225">
        <f t="shared" si="1"/>
        <v>0.47323943661971829</v>
      </c>
      <c r="K39" s="227">
        <f>IFERROR(VLOOKUP($B39,MMWR_TRAD_AGG_RO_COMP[],K$1,0),"ERROR")</f>
        <v>21</v>
      </c>
      <c r="L39" s="228">
        <f>IFERROR(VLOOKUP($B39,MMWR_TRAD_AGG_RO_COMP[],L$1,0),"ERROR")</f>
        <v>9</v>
      </c>
      <c r="M39" s="225">
        <f t="shared" si="2"/>
        <v>0.42857142857142855</v>
      </c>
      <c r="N39" s="227">
        <f>IFERROR(VLOOKUP($B39,MMWR_TRAD_AGG_RO_COMP[],N$1,0),"ERROR")</f>
        <v>124</v>
      </c>
      <c r="O39" s="228">
        <f>IFERROR(VLOOKUP($B39,MMWR_TRAD_AGG_RO_COMP[],O$1,0),"ERROR")</f>
        <v>27</v>
      </c>
      <c r="P39" s="225">
        <f t="shared" si="3"/>
        <v>0.21774193548387097</v>
      </c>
      <c r="Q39" s="229">
        <f>IFERROR(VLOOKUP($B39,MMWR_TRAD_AGG_RO_COMP[],Q$1,0),"ERROR")</f>
        <v>2</v>
      </c>
      <c r="R39" s="229">
        <f>IFERROR(VLOOKUP($B39,MMWR_TRAD_AGG_RO_COMP[],R$1,0),"ERROR")</f>
        <v>6</v>
      </c>
      <c r="S39" s="203">
        <f>IFERROR(VLOOKUP($B39,MMWR_APP_RO[],S$1,0),"ERROR")</f>
        <v>320</v>
      </c>
      <c r="T39" s="28"/>
    </row>
    <row r="40" spans="1:20" x14ac:dyDescent="0.2">
      <c r="A40" s="28"/>
      <c r="B40" s="108" t="s">
        <v>43</v>
      </c>
      <c r="C40" s="221">
        <f>IFERROR(VLOOKUP($B40,MMWR_TRAD_AGG_RO_COMP[],C$1,0),"ERROR")</f>
        <v>7191</v>
      </c>
      <c r="D40" s="222">
        <f>IFERROR(VLOOKUP($B40,MMWR_TRAD_AGG_RO_COMP[],D$1,0),"ERROR")</f>
        <v>418.69461827280003</v>
      </c>
      <c r="E40" s="223">
        <f>IFERROR(VLOOKUP($B40,MMWR_TRAD_AGG_RO_COMP[],E$1,0),"ERROR")</f>
        <v>7467</v>
      </c>
      <c r="F40" s="224">
        <f>IFERROR(VLOOKUP($B40,MMWR_TRAD_AGG_RO_COMP[],F$1,0),"ERROR")</f>
        <v>2236</v>
      </c>
      <c r="G40" s="225">
        <f t="shared" si="0"/>
        <v>0.29945091736976026</v>
      </c>
      <c r="H40" s="226">
        <f>IFERROR(VLOOKUP($B40,MMWR_TRAD_AGG_RO_COMP[],H$1,0),"ERROR")</f>
        <v>9234</v>
      </c>
      <c r="I40" s="224">
        <f>IFERROR(VLOOKUP($B40,MMWR_TRAD_AGG_RO_COMP[],I$1,0),"ERROR")</f>
        <v>6969</v>
      </c>
      <c r="J40" s="225">
        <f t="shared" si="1"/>
        <v>0.75471085120207926</v>
      </c>
      <c r="K40" s="227">
        <f>IFERROR(VLOOKUP($B40,MMWR_TRAD_AGG_RO_COMP[],K$1,0),"ERROR")</f>
        <v>1959</v>
      </c>
      <c r="L40" s="228">
        <f>IFERROR(VLOOKUP($B40,MMWR_TRAD_AGG_RO_COMP[],L$1,0),"ERROR")</f>
        <v>1736</v>
      </c>
      <c r="M40" s="225">
        <f t="shared" si="2"/>
        <v>0.88616641143440533</v>
      </c>
      <c r="N40" s="227">
        <f>IFERROR(VLOOKUP($B40,MMWR_TRAD_AGG_RO_COMP[],N$1,0),"ERROR")</f>
        <v>2418</v>
      </c>
      <c r="O40" s="228">
        <f>IFERROR(VLOOKUP($B40,MMWR_TRAD_AGG_RO_COMP[],O$1,0),"ERROR")</f>
        <v>1607</v>
      </c>
      <c r="P40" s="225">
        <f t="shared" si="3"/>
        <v>0.66459884201819686</v>
      </c>
      <c r="Q40" s="229">
        <f>IFERROR(VLOOKUP($B40,MMWR_TRAD_AGG_RO_COMP[],Q$1,0),"ERROR")</f>
        <v>0</v>
      </c>
      <c r="R40" s="229">
        <f>IFERROR(VLOOKUP($B40,MMWR_TRAD_AGG_RO_COMP[],R$1,0),"ERROR")</f>
        <v>63</v>
      </c>
      <c r="S40" s="203">
        <f>IFERROR(VLOOKUP($B40,MMWR_APP_RO[],S$1,0),"ERROR")</f>
        <v>5969</v>
      </c>
      <c r="T40" s="28"/>
    </row>
    <row r="41" spans="1:20" x14ac:dyDescent="0.2">
      <c r="A41" s="28"/>
      <c r="B41" s="108" t="s">
        <v>187</v>
      </c>
      <c r="C41" s="221">
        <f>IFERROR(VLOOKUP($B41,MMWR_TRAD_AGG_RO_COMP[],C$1,0),"ERROR")</f>
        <v>646</v>
      </c>
      <c r="D41" s="222">
        <f>IFERROR(VLOOKUP($B41,MMWR_TRAD_AGG_RO_COMP[],D$1,0),"ERROR")</f>
        <v>192.4334365325</v>
      </c>
      <c r="E41" s="223">
        <f>IFERROR(VLOOKUP($B41,MMWR_TRAD_AGG_RO_COMP[],E$1,0),"ERROR")</f>
        <v>727</v>
      </c>
      <c r="F41" s="224">
        <f>IFERROR(VLOOKUP($B41,MMWR_TRAD_AGG_RO_COMP[],F$1,0),"ERROR")</f>
        <v>79</v>
      </c>
      <c r="G41" s="225">
        <f t="shared" si="0"/>
        <v>0.10866574965612105</v>
      </c>
      <c r="H41" s="226">
        <f>IFERROR(VLOOKUP($B41,MMWR_TRAD_AGG_RO_COMP[],H$1,0),"ERROR")</f>
        <v>1021</v>
      </c>
      <c r="I41" s="224">
        <f>IFERROR(VLOOKUP($B41,MMWR_TRAD_AGG_RO_COMP[],I$1,0),"ERROR")</f>
        <v>426</v>
      </c>
      <c r="J41" s="225">
        <f t="shared" si="1"/>
        <v>0.41723800195886385</v>
      </c>
      <c r="K41" s="227">
        <f>IFERROR(VLOOKUP($B41,MMWR_TRAD_AGG_RO_COMP[],K$1,0),"ERROR")</f>
        <v>300</v>
      </c>
      <c r="L41" s="228">
        <f>IFERROR(VLOOKUP($B41,MMWR_TRAD_AGG_RO_COMP[],L$1,0),"ERROR")</f>
        <v>162</v>
      </c>
      <c r="M41" s="225">
        <f t="shared" si="2"/>
        <v>0.54</v>
      </c>
      <c r="N41" s="227">
        <f>IFERROR(VLOOKUP($B41,MMWR_TRAD_AGG_RO_COMP[],N$1,0),"ERROR")</f>
        <v>98</v>
      </c>
      <c r="O41" s="228">
        <f>IFERROR(VLOOKUP($B41,MMWR_TRAD_AGG_RO_COMP[],O$1,0),"ERROR")</f>
        <v>34</v>
      </c>
      <c r="P41" s="225">
        <f t="shared" si="3"/>
        <v>0.34693877551020408</v>
      </c>
      <c r="Q41" s="229">
        <f>IFERROR(VLOOKUP($B41,MMWR_TRAD_AGG_RO_COMP[],Q$1,0),"ERROR")</f>
        <v>0</v>
      </c>
      <c r="R41" s="229">
        <f>IFERROR(VLOOKUP($B41,MMWR_TRAD_AGG_RO_COMP[],R$1,0),"ERROR")</f>
        <v>1</v>
      </c>
      <c r="S41" s="203">
        <f>IFERROR(VLOOKUP($B41,MMWR_APP_RO[],S$1,0),"ERROR")</f>
        <v>278</v>
      </c>
      <c r="T41" s="28"/>
    </row>
    <row r="42" spans="1:20" x14ac:dyDescent="0.2">
      <c r="A42" s="28"/>
      <c r="B42" s="108" t="s">
        <v>49</v>
      </c>
      <c r="C42" s="221">
        <f>IFERROR(VLOOKUP($B42,MMWR_TRAD_AGG_RO_COMP[],C$1,0),"ERROR")</f>
        <v>13292</v>
      </c>
      <c r="D42" s="222">
        <f>IFERROR(VLOOKUP($B42,MMWR_TRAD_AGG_RO_COMP[],D$1,0),"ERROR")</f>
        <v>335.37496238339997</v>
      </c>
      <c r="E42" s="223">
        <f>IFERROR(VLOOKUP($B42,MMWR_TRAD_AGG_RO_COMP[],E$1,0),"ERROR")</f>
        <v>16301</v>
      </c>
      <c r="F42" s="224">
        <f>IFERROR(VLOOKUP($B42,MMWR_TRAD_AGG_RO_COMP[],F$1,0),"ERROR")</f>
        <v>4103</v>
      </c>
      <c r="G42" s="225">
        <f t="shared" si="0"/>
        <v>0.25170234954910742</v>
      </c>
      <c r="H42" s="226">
        <f>IFERROR(VLOOKUP($B42,MMWR_TRAD_AGG_RO_COMP[],H$1,0),"ERROR")</f>
        <v>17274</v>
      </c>
      <c r="I42" s="224">
        <f>IFERROR(VLOOKUP($B42,MMWR_TRAD_AGG_RO_COMP[],I$1,0),"ERROR")</f>
        <v>11931</v>
      </c>
      <c r="J42" s="225">
        <f t="shared" si="1"/>
        <v>0.69069121222646757</v>
      </c>
      <c r="K42" s="227">
        <f>IFERROR(VLOOKUP($B42,MMWR_TRAD_AGG_RO_COMP[],K$1,0),"ERROR")</f>
        <v>1794</v>
      </c>
      <c r="L42" s="228">
        <f>IFERROR(VLOOKUP($B42,MMWR_TRAD_AGG_RO_COMP[],L$1,0),"ERROR")</f>
        <v>1430</v>
      </c>
      <c r="M42" s="225">
        <f t="shared" si="2"/>
        <v>0.79710144927536231</v>
      </c>
      <c r="N42" s="227">
        <f>IFERROR(VLOOKUP($B42,MMWR_TRAD_AGG_RO_COMP[],N$1,0),"ERROR")</f>
        <v>2852</v>
      </c>
      <c r="O42" s="228">
        <f>IFERROR(VLOOKUP($B42,MMWR_TRAD_AGG_RO_COMP[],O$1,0),"ERROR")</f>
        <v>2132</v>
      </c>
      <c r="P42" s="225">
        <f t="shared" si="3"/>
        <v>0.74754558204768584</v>
      </c>
      <c r="Q42" s="229">
        <f>IFERROR(VLOOKUP($B42,MMWR_TRAD_AGG_RO_COMP[],Q$1,0),"ERROR")</f>
        <v>1</v>
      </c>
      <c r="R42" s="229">
        <f>IFERROR(VLOOKUP($B42,MMWR_TRAD_AGG_RO_COMP[],R$1,0),"ERROR")</f>
        <v>227</v>
      </c>
      <c r="S42" s="203">
        <f>IFERROR(VLOOKUP($B42,MMWR_APP_RO[],S$1,0),"ERROR")</f>
        <v>19917</v>
      </c>
      <c r="T42" s="28"/>
    </row>
    <row r="43" spans="1:20" x14ac:dyDescent="0.2">
      <c r="A43" s="28"/>
      <c r="B43" s="108" t="s">
        <v>52</v>
      </c>
      <c r="C43" s="221">
        <f>IFERROR(VLOOKUP($B43,MMWR_TRAD_AGG_RO_COMP[],C$1,0),"ERROR")</f>
        <v>4148</v>
      </c>
      <c r="D43" s="222">
        <f>IFERROR(VLOOKUP($B43,MMWR_TRAD_AGG_RO_COMP[],D$1,0),"ERROR")</f>
        <v>376.81702025070001</v>
      </c>
      <c r="E43" s="223">
        <f>IFERROR(VLOOKUP($B43,MMWR_TRAD_AGG_RO_COMP[],E$1,0),"ERROR")</f>
        <v>4114</v>
      </c>
      <c r="F43" s="224">
        <f>IFERROR(VLOOKUP($B43,MMWR_TRAD_AGG_RO_COMP[],F$1,0),"ERROR")</f>
        <v>963</v>
      </c>
      <c r="G43" s="225">
        <f t="shared" si="0"/>
        <v>0.23407875546912979</v>
      </c>
      <c r="H43" s="226">
        <f>IFERROR(VLOOKUP($B43,MMWR_TRAD_AGG_RO_COMP[],H$1,0),"ERROR")</f>
        <v>6355</v>
      </c>
      <c r="I43" s="224">
        <f>IFERROR(VLOOKUP($B43,MMWR_TRAD_AGG_RO_COMP[],I$1,0),"ERROR")</f>
        <v>4054</v>
      </c>
      <c r="J43" s="225">
        <f t="shared" si="1"/>
        <v>0.63792289535798585</v>
      </c>
      <c r="K43" s="227">
        <f>IFERROR(VLOOKUP($B43,MMWR_TRAD_AGG_RO_COMP[],K$1,0),"ERROR")</f>
        <v>1857</v>
      </c>
      <c r="L43" s="228">
        <f>IFERROR(VLOOKUP($B43,MMWR_TRAD_AGG_RO_COMP[],L$1,0),"ERROR")</f>
        <v>1638</v>
      </c>
      <c r="M43" s="225">
        <f t="shared" si="2"/>
        <v>0.88206785137318255</v>
      </c>
      <c r="N43" s="227">
        <f>IFERROR(VLOOKUP($B43,MMWR_TRAD_AGG_RO_COMP[],N$1,0),"ERROR")</f>
        <v>2024</v>
      </c>
      <c r="O43" s="228">
        <f>IFERROR(VLOOKUP($B43,MMWR_TRAD_AGG_RO_COMP[],O$1,0),"ERROR")</f>
        <v>1285</v>
      </c>
      <c r="P43" s="225">
        <f t="shared" si="3"/>
        <v>0.63488142292490124</v>
      </c>
      <c r="Q43" s="229">
        <f>IFERROR(VLOOKUP($B43,MMWR_TRAD_AGG_RO_COMP[],Q$1,0),"ERROR")</f>
        <v>34</v>
      </c>
      <c r="R43" s="229">
        <f>IFERROR(VLOOKUP($B43,MMWR_TRAD_AGG_RO_COMP[],R$1,0),"ERROR")</f>
        <v>171</v>
      </c>
      <c r="S43" s="203">
        <f>IFERROR(VLOOKUP($B43,MMWR_APP_RO[],S$1,0),"ERROR")</f>
        <v>4591</v>
      </c>
      <c r="T43" s="28"/>
    </row>
    <row r="44" spans="1:20" x14ac:dyDescent="0.2">
      <c r="A44" s="28"/>
      <c r="B44" s="108" t="s">
        <v>54</v>
      </c>
      <c r="C44" s="221">
        <f>IFERROR(VLOOKUP($B44,MMWR_TRAD_AGG_RO_COMP[],C$1,0),"ERROR")</f>
        <v>4966</v>
      </c>
      <c r="D44" s="222">
        <f>IFERROR(VLOOKUP($B44,MMWR_TRAD_AGG_RO_COMP[],D$1,0),"ERROR")</f>
        <v>339.03262182840001</v>
      </c>
      <c r="E44" s="223">
        <f>IFERROR(VLOOKUP($B44,MMWR_TRAD_AGG_RO_COMP[],E$1,0),"ERROR")</f>
        <v>3494</v>
      </c>
      <c r="F44" s="224">
        <f>IFERROR(VLOOKUP($B44,MMWR_TRAD_AGG_RO_COMP[],F$1,0),"ERROR")</f>
        <v>524</v>
      </c>
      <c r="G44" s="225">
        <f t="shared" si="0"/>
        <v>0.14997137950772754</v>
      </c>
      <c r="H44" s="226">
        <f>IFERROR(VLOOKUP($B44,MMWR_TRAD_AGG_RO_COMP[],H$1,0),"ERROR")</f>
        <v>8697</v>
      </c>
      <c r="I44" s="224">
        <f>IFERROR(VLOOKUP($B44,MMWR_TRAD_AGG_RO_COMP[],I$1,0),"ERROR")</f>
        <v>4379</v>
      </c>
      <c r="J44" s="225">
        <f t="shared" si="1"/>
        <v>0.50350695642175458</v>
      </c>
      <c r="K44" s="227">
        <f>IFERROR(VLOOKUP($B44,MMWR_TRAD_AGG_RO_COMP[],K$1,0),"ERROR")</f>
        <v>3736</v>
      </c>
      <c r="L44" s="228">
        <f>IFERROR(VLOOKUP($B44,MMWR_TRAD_AGG_RO_COMP[],L$1,0),"ERROR")</f>
        <v>3583</v>
      </c>
      <c r="M44" s="225">
        <f t="shared" si="2"/>
        <v>0.95904710920770875</v>
      </c>
      <c r="N44" s="227">
        <f>IFERROR(VLOOKUP($B44,MMWR_TRAD_AGG_RO_COMP[],N$1,0),"ERROR")</f>
        <v>1021</v>
      </c>
      <c r="O44" s="228">
        <f>IFERROR(VLOOKUP($B44,MMWR_TRAD_AGG_RO_COMP[],O$1,0),"ERROR")</f>
        <v>418</v>
      </c>
      <c r="P44" s="225">
        <f t="shared" si="3"/>
        <v>0.40940254652301666</v>
      </c>
      <c r="Q44" s="229">
        <f>IFERROR(VLOOKUP($B44,MMWR_TRAD_AGG_RO_COMP[],Q$1,0),"ERROR")</f>
        <v>1</v>
      </c>
      <c r="R44" s="229">
        <f>IFERROR(VLOOKUP($B44,MMWR_TRAD_AGG_RO_COMP[],R$1,0),"ERROR")</f>
        <v>150</v>
      </c>
      <c r="S44" s="203">
        <f>IFERROR(VLOOKUP($B44,MMWR_APP_RO[],S$1,0),"ERROR")</f>
        <v>5251</v>
      </c>
      <c r="T44" s="28"/>
    </row>
    <row r="45" spans="1:20" x14ac:dyDescent="0.2">
      <c r="A45" s="28"/>
      <c r="B45" s="108" t="s">
        <v>27</v>
      </c>
      <c r="C45" s="221">
        <f>IFERROR(VLOOKUP($B45,MMWR_TRAD_AGG_RO_COMP[],C$1,0),"ERROR")</f>
        <v>1620</v>
      </c>
      <c r="D45" s="222">
        <f>IFERROR(VLOOKUP($B45,MMWR_TRAD_AGG_RO_COMP[],D$1,0),"ERROR")</f>
        <v>108.225308642</v>
      </c>
      <c r="E45" s="223">
        <f>IFERROR(VLOOKUP($B45,MMWR_TRAD_AGG_RO_COMP[],E$1,0),"ERROR")</f>
        <v>6543</v>
      </c>
      <c r="F45" s="224">
        <f>IFERROR(VLOOKUP($B45,MMWR_TRAD_AGG_RO_COMP[],F$1,0),"ERROR")</f>
        <v>1066</v>
      </c>
      <c r="G45" s="225">
        <f t="shared" si="0"/>
        <v>0.16292220693871312</v>
      </c>
      <c r="H45" s="226">
        <f>IFERROR(VLOOKUP($B45,MMWR_TRAD_AGG_RO_COMP[],H$1,0),"ERROR")</f>
        <v>8830</v>
      </c>
      <c r="I45" s="224">
        <f>IFERROR(VLOOKUP($B45,MMWR_TRAD_AGG_RO_COMP[],I$1,0),"ERROR")</f>
        <v>2809</v>
      </c>
      <c r="J45" s="225">
        <f t="shared" si="1"/>
        <v>0.31812004530011323</v>
      </c>
      <c r="K45" s="227">
        <f>IFERROR(VLOOKUP($B45,MMWR_TRAD_AGG_RO_COMP[],K$1,0),"ERROR")</f>
        <v>967</v>
      </c>
      <c r="L45" s="228">
        <f>IFERROR(VLOOKUP($B45,MMWR_TRAD_AGG_RO_COMP[],L$1,0),"ERROR")</f>
        <v>500</v>
      </c>
      <c r="M45" s="225">
        <f t="shared" si="2"/>
        <v>0.51706308169596693</v>
      </c>
      <c r="N45" s="227">
        <f>IFERROR(VLOOKUP($B45,MMWR_TRAD_AGG_RO_COMP[],N$1,0),"ERROR")</f>
        <v>810</v>
      </c>
      <c r="O45" s="228">
        <f>IFERROR(VLOOKUP($B45,MMWR_TRAD_AGG_RO_COMP[],O$1,0),"ERROR")</f>
        <v>389</v>
      </c>
      <c r="P45" s="225">
        <f t="shared" si="3"/>
        <v>0.4802469135802469</v>
      </c>
      <c r="Q45" s="229">
        <f>IFERROR(VLOOKUP($B45,MMWR_TRAD_AGG_RO_COMP[],Q$1,0),"ERROR")</f>
        <v>0</v>
      </c>
      <c r="R45" s="229">
        <f>IFERROR(VLOOKUP($B45,MMWR_TRAD_AGG_RO_COMP[],R$1,0),"ERROR")</f>
        <v>63</v>
      </c>
      <c r="S45" s="203">
        <f>IFERROR(VLOOKUP($B45,MMWR_APP_RO[],S$1,0),"ERROR")</f>
        <v>4118</v>
      </c>
      <c r="T45" s="28"/>
    </row>
    <row r="46" spans="1:20" x14ac:dyDescent="0.2">
      <c r="A46" s="28"/>
      <c r="B46" s="108" t="s">
        <v>62</v>
      </c>
      <c r="C46" s="221">
        <f>IFERROR(VLOOKUP($B46,MMWR_TRAD_AGG_RO_COMP[],C$1,0),"ERROR")</f>
        <v>5422</v>
      </c>
      <c r="D46" s="222">
        <f>IFERROR(VLOOKUP($B46,MMWR_TRAD_AGG_RO_COMP[],D$1,0),"ERROR")</f>
        <v>395.15621541870001</v>
      </c>
      <c r="E46" s="223">
        <f>IFERROR(VLOOKUP($B46,MMWR_TRAD_AGG_RO_COMP[],E$1,0),"ERROR")</f>
        <v>5913</v>
      </c>
      <c r="F46" s="224">
        <f>IFERROR(VLOOKUP($B46,MMWR_TRAD_AGG_RO_COMP[],F$1,0),"ERROR")</f>
        <v>983</v>
      </c>
      <c r="G46" s="225">
        <f t="shared" si="0"/>
        <v>0.16624386944021646</v>
      </c>
      <c r="H46" s="226">
        <f>IFERROR(VLOOKUP($B46,MMWR_TRAD_AGG_RO_COMP[],H$1,0),"ERROR")</f>
        <v>6710</v>
      </c>
      <c r="I46" s="224">
        <f>IFERROR(VLOOKUP($B46,MMWR_TRAD_AGG_RO_COMP[],I$1,0),"ERROR")</f>
        <v>4718</v>
      </c>
      <c r="J46" s="225">
        <f t="shared" si="1"/>
        <v>0.7031296572280179</v>
      </c>
      <c r="K46" s="227">
        <f>IFERROR(VLOOKUP($B46,MMWR_TRAD_AGG_RO_COMP[],K$1,0),"ERROR")</f>
        <v>538</v>
      </c>
      <c r="L46" s="228">
        <f>IFERROR(VLOOKUP($B46,MMWR_TRAD_AGG_RO_COMP[],L$1,0),"ERROR")</f>
        <v>460</v>
      </c>
      <c r="M46" s="225">
        <f t="shared" si="2"/>
        <v>0.85501858736059477</v>
      </c>
      <c r="N46" s="227">
        <f>IFERROR(VLOOKUP($B46,MMWR_TRAD_AGG_RO_COMP[],N$1,0),"ERROR")</f>
        <v>968</v>
      </c>
      <c r="O46" s="228">
        <f>IFERROR(VLOOKUP($B46,MMWR_TRAD_AGG_RO_COMP[],O$1,0),"ERROR")</f>
        <v>469</v>
      </c>
      <c r="P46" s="225">
        <f t="shared" si="3"/>
        <v>0.48450413223140498</v>
      </c>
      <c r="Q46" s="229">
        <f>IFERROR(VLOOKUP($B46,MMWR_TRAD_AGG_RO_COMP[],Q$1,0),"ERROR")</f>
        <v>2</v>
      </c>
      <c r="R46" s="229">
        <f>IFERROR(VLOOKUP($B46,MMWR_TRAD_AGG_RO_COMP[],R$1,0),"ERROR")</f>
        <v>250</v>
      </c>
      <c r="S46" s="203">
        <f>IFERROR(VLOOKUP($B46,MMWR_APP_RO[],S$1,0),"ERROR")</f>
        <v>5780</v>
      </c>
      <c r="T46" s="28"/>
    </row>
    <row r="47" spans="1:20" x14ac:dyDescent="0.2">
      <c r="A47" s="28"/>
      <c r="B47" s="108" t="s">
        <v>73</v>
      </c>
      <c r="C47" s="221">
        <f>IFERROR(VLOOKUP($B47,MMWR_TRAD_AGG_RO_COMP[],C$1,0),"ERROR")</f>
        <v>8141</v>
      </c>
      <c r="D47" s="222">
        <f>IFERROR(VLOOKUP($B47,MMWR_TRAD_AGG_RO_COMP[],D$1,0),"ERROR")</f>
        <v>247.90676821029999</v>
      </c>
      <c r="E47" s="223">
        <f>IFERROR(VLOOKUP($B47,MMWR_TRAD_AGG_RO_COMP[],E$1,0),"ERROR")</f>
        <v>2059</v>
      </c>
      <c r="F47" s="224">
        <f>IFERROR(VLOOKUP($B47,MMWR_TRAD_AGG_RO_COMP[],F$1,0),"ERROR")</f>
        <v>400</v>
      </c>
      <c r="G47" s="225">
        <f t="shared" si="0"/>
        <v>0.19426906265177271</v>
      </c>
      <c r="H47" s="226">
        <f>IFERROR(VLOOKUP($B47,MMWR_TRAD_AGG_RO_COMP[],H$1,0),"ERROR")</f>
        <v>17508</v>
      </c>
      <c r="I47" s="224">
        <f>IFERROR(VLOOKUP($B47,MMWR_TRAD_AGG_RO_COMP[],I$1,0),"ERROR")</f>
        <v>7880</v>
      </c>
      <c r="J47" s="225">
        <f t="shared" si="1"/>
        <v>0.45007996344528217</v>
      </c>
      <c r="K47" s="227">
        <f>IFERROR(VLOOKUP($B47,MMWR_TRAD_AGG_RO_COMP[],K$1,0),"ERROR")</f>
        <v>1037</v>
      </c>
      <c r="L47" s="228">
        <f>IFERROR(VLOOKUP($B47,MMWR_TRAD_AGG_RO_COMP[],L$1,0),"ERROR")</f>
        <v>728</v>
      </c>
      <c r="M47" s="225">
        <f t="shared" si="2"/>
        <v>0.70202507232401157</v>
      </c>
      <c r="N47" s="227">
        <f>IFERROR(VLOOKUP($B47,MMWR_TRAD_AGG_RO_COMP[],N$1,0),"ERROR")</f>
        <v>153</v>
      </c>
      <c r="O47" s="228">
        <f>IFERROR(VLOOKUP($B47,MMWR_TRAD_AGG_RO_COMP[],O$1,0),"ERROR")</f>
        <v>93</v>
      </c>
      <c r="P47" s="225">
        <f t="shared" si="3"/>
        <v>0.60784313725490191</v>
      </c>
      <c r="Q47" s="229">
        <f>IFERROR(VLOOKUP($B47,MMWR_TRAD_AGG_RO_COMP[],Q$1,0),"ERROR")</f>
        <v>0</v>
      </c>
      <c r="R47" s="229">
        <f>IFERROR(VLOOKUP($B47,MMWR_TRAD_AGG_RO_COMP[],R$1,0),"ERROR")</f>
        <v>4</v>
      </c>
      <c r="S47" s="203">
        <f>IFERROR(VLOOKUP($B47,MMWR_APP_RO[],S$1,0),"ERROR")</f>
        <v>500</v>
      </c>
      <c r="T47" s="28"/>
    </row>
    <row r="48" spans="1:20" x14ac:dyDescent="0.2">
      <c r="A48" s="28"/>
      <c r="B48" s="116" t="s">
        <v>82</v>
      </c>
      <c r="C48" s="230">
        <f>IFERROR(VLOOKUP($B48,MMWR_TRAD_AGG_RO_COMP[],C$1,0),"ERROR")</f>
        <v>12918</v>
      </c>
      <c r="D48" s="231">
        <f>IFERROR(VLOOKUP($B48,MMWR_TRAD_AGG_RO_COMP[],D$1,0),"ERROR")</f>
        <v>312.23982040560003</v>
      </c>
      <c r="E48" s="232">
        <f>IFERROR(VLOOKUP($B48,MMWR_TRAD_AGG_RO_COMP[],E$1,0),"ERROR")</f>
        <v>17962</v>
      </c>
      <c r="F48" s="233">
        <f>IFERROR(VLOOKUP($B48,MMWR_TRAD_AGG_RO_COMP[],F$1,0),"ERROR")</f>
        <v>3448</v>
      </c>
      <c r="G48" s="234">
        <f t="shared" si="0"/>
        <v>0.19196080614630887</v>
      </c>
      <c r="H48" s="235">
        <f>IFERROR(VLOOKUP($B48,MMWR_TRAD_AGG_RO_COMP[],H$1,0),"ERROR")</f>
        <v>15495</v>
      </c>
      <c r="I48" s="233">
        <f>IFERROR(VLOOKUP($B48,MMWR_TRAD_AGG_RO_COMP[],I$1,0),"ERROR")</f>
        <v>8942</v>
      </c>
      <c r="J48" s="234">
        <f t="shared" si="1"/>
        <v>0.57708938367215235</v>
      </c>
      <c r="K48" s="236">
        <f>IFERROR(VLOOKUP($B48,MMWR_TRAD_AGG_RO_COMP[],K$1,0),"ERROR")</f>
        <v>1714</v>
      </c>
      <c r="L48" s="237">
        <f>IFERROR(VLOOKUP($B48,MMWR_TRAD_AGG_RO_COMP[],L$1,0),"ERROR")</f>
        <v>1359</v>
      </c>
      <c r="M48" s="234">
        <f t="shared" si="2"/>
        <v>0.7928821470245041</v>
      </c>
      <c r="N48" s="236">
        <f>IFERROR(VLOOKUP($B48,MMWR_TRAD_AGG_RO_COMP[],N$1,0),"ERROR")</f>
        <v>3528</v>
      </c>
      <c r="O48" s="237">
        <f>IFERROR(VLOOKUP($B48,MMWR_TRAD_AGG_RO_COMP[],O$1,0),"ERROR")</f>
        <v>1444</v>
      </c>
      <c r="P48" s="234">
        <f t="shared" si="3"/>
        <v>0.40929705215419498</v>
      </c>
      <c r="Q48" s="238">
        <f>IFERROR(VLOOKUP($B48,MMWR_TRAD_AGG_RO_COMP[],Q$1,0),"ERROR")</f>
        <v>2</v>
      </c>
      <c r="R48" s="238">
        <f>IFERROR(VLOOKUP($B48,MMWR_TRAD_AGG_RO_COMP[],R$1,0),"ERROR")</f>
        <v>189</v>
      </c>
      <c r="S48" s="203">
        <f>IFERROR(VLOOKUP($B48,MMWR_APP_RO[],S$1,0),"ERROR")</f>
        <v>19418</v>
      </c>
      <c r="T48" s="28"/>
    </row>
    <row r="49" spans="1:20" x14ac:dyDescent="0.2">
      <c r="A49" s="28"/>
      <c r="B49" s="101" t="s">
        <v>411</v>
      </c>
      <c r="C49" s="214">
        <f>IFERROR(VLOOKUP($B49,MMWR_TRAD_AGG_DISTRICT_COMP[],C$1,0),"ERROR")</f>
        <v>60233</v>
      </c>
      <c r="D49" s="199">
        <f>IFERROR(VLOOKUP($B49,MMWR_TRAD_AGG_DISTRICT_COMP[],D$1,0),"ERROR")</f>
        <v>370.73692162100002</v>
      </c>
      <c r="E49" s="215">
        <f>IFERROR(VLOOKUP($B49,MMWR_TRAD_AGG_DISTRICT_COMP[],E$1,0),"ERROR")</f>
        <v>61676</v>
      </c>
      <c r="F49" s="220">
        <f>IFERROR(VLOOKUP($B49,MMWR_TRAD_AGG_DISTRICT_COMP[],F$1,0),"ERROR")</f>
        <v>12640</v>
      </c>
      <c r="G49" s="216">
        <f t="shared" si="0"/>
        <v>0.20494195473117582</v>
      </c>
      <c r="H49" s="220">
        <f>IFERROR(VLOOKUP($B49,MMWR_TRAD_AGG_DISTRICT_COMP[],H$1,0),"ERROR")</f>
        <v>85119</v>
      </c>
      <c r="I49" s="220">
        <f>IFERROR(VLOOKUP($B49,MMWR_TRAD_AGG_DISTRICT_COMP[],I$1,0),"ERROR")</f>
        <v>54844</v>
      </c>
      <c r="J49" s="216">
        <f t="shared" si="1"/>
        <v>0.64432147934068773</v>
      </c>
      <c r="K49" s="214">
        <f>IFERROR(VLOOKUP($B49,MMWR_TRAD_AGG_DISTRICT_COMP[],K$1,0),"ERROR")</f>
        <v>18129</v>
      </c>
      <c r="L49" s="214">
        <f>IFERROR(VLOOKUP($B49,MMWR_TRAD_AGG_DISTRICT_COMP[],L$1,0),"ERROR")</f>
        <v>16158</v>
      </c>
      <c r="M49" s="216">
        <f t="shared" si="2"/>
        <v>0.89127916597716361</v>
      </c>
      <c r="N49" s="214">
        <f>IFERROR(VLOOKUP($B49,MMWR_TRAD_AGG_DISTRICT_COMP[],N$1,0),"ERROR")</f>
        <v>19236</v>
      </c>
      <c r="O49" s="214">
        <f>IFERROR(VLOOKUP($B49,MMWR_TRAD_AGG_DISTRICT_COMP[],O$1,0),"ERROR")</f>
        <v>14106</v>
      </c>
      <c r="P49" s="216">
        <f t="shared" si="3"/>
        <v>0.73331253898939486</v>
      </c>
      <c r="Q49" s="214">
        <f>IFERROR(VLOOKUP($B49,MMWR_TRAD_AGG_DISTRICT_COMP[],Q$1,0),"ERROR")</f>
        <v>310</v>
      </c>
      <c r="R49" s="217">
        <f>IFERROR(VLOOKUP($B49,MMWR_TRAD_AGG_DISTRICT_COMP[],R$1,0),"ERROR")</f>
        <v>662</v>
      </c>
      <c r="S49" s="217">
        <f>IFERROR(VLOOKUP($B49,MMWR_APP_RO[],S$1,0),"ERROR")</f>
        <v>43375</v>
      </c>
      <c r="T49" s="28"/>
    </row>
    <row r="50" spans="1:20" x14ac:dyDescent="0.2">
      <c r="A50" s="28"/>
      <c r="B50" s="108" t="s">
        <v>34</v>
      </c>
      <c r="C50" s="221">
        <f>IFERROR(VLOOKUP($B50,MMWR_TRAD_AGG_RO_COMP[],C$1,0),"ERROR")</f>
        <v>1193</v>
      </c>
      <c r="D50" s="222">
        <f>IFERROR(VLOOKUP($B50,MMWR_TRAD_AGG_RO_COMP[],D$1,0),"ERROR")</f>
        <v>131.6177703269</v>
      </c>
      <c r="E50" s="223">
        <f>IFERROR(VLOOKUP($B50,MMWR_TRAD_AGG_RO_COMP[],E$1,0),"ERROR")</f>
        <v>3220</v>
      </c>
      <c r="F50" s="224">
        <f>IFERROR(VLOOKUP($B50,MMWR_TRAD_AGG_RO_COMP[],F$1,0),"ERROR")</f>
        <v>665</v>
      </c>
      <c r="G50" s="225">
        <f t="shared" si="0"/>
        <v>0.20652173913043478</v>
      </c>
      <c r="H50" s="226">
        <f>IFERROR(VLOOKUP($B50,MMWR_TRAD_AGG_RO_COMP[],H$1,0),"ERROR")</f>
        <v>1733</v>
      </c>
      <c r="I50" s="224">
        <f>IFERROR(VLOOKUP($B50,MMWR_TRAD_AGG_RO_COMP[],I$1,0),"ERROR")</f>
        <v>614</v>
      </c>
      <c r="J50" s="225">
        <f t="shared" si="1"/>
        <v>0.35429890363531447</v>
      </c>
      <c r="K50" s="227">
        <f>IFERROR(VLOOKUP($B50,MMWR_TRAD_AGG_RO_COMP[],K$1,0),"ERROR")</f>
        <v>212</v>
      </c>
      <c r="L50" s="228">
        <f>IFERROR(VLOOKUP($B50,MMWR_TRAD_AGG_RO_COMP[],L$1,0),"ERROR")</f>
        <v>107</v>
      </c>
      <c r="M50" s="225">
        <f t="shared" si="2"/>
        <v>0.50471698113207553</v>
      </c>
      <c r="N50" s="227">
        <f>IFERROR(VLOOKUP($B50,MMWR_TRAD_AGG_RO_COMP[],N$1,0),"ERROR")</f>
        <v>371</v>
      </c>
      <c r="O50" s="228">
        <f>IFERROR(VLOOKUP($B50,MMWR_TRAD_AGG_RO_COMP[],O$1,0),"ERROR")</f>
        <v>190</v>
      </c>
      <c r="P50" s="225">
        <f t="shared" si="3"/>
        <v>0.5121293800539084</v>
      </c>
      <c r="Q50" s="229">
        <f>IFERROR(VLOOKUP($B50,MMWR_TRAD_AGG_RO_COMP[],Q$1,0),"ERROR")</f>
        <v>0</v>
      </c>
      <c r="R50" s="229">
        <f>IFERROR(VLOOKUP($B50,MMWR_TRAD_AGG_RO_COMP[],R$1,0),"ERROR")</f>
        <v>9</v>
      </c>
      <c r="S50" s="203">
        <f>IFERROR(VLOOKUP($B50,MMWR_APP_RO[],S$1,0),"ERROR")</f>
        <v>1748</v>
      </c>
      <c r="T50" s="28"/>
    </row>
    <row r="51" spans="1:20" x14ac:dyDescent="0.2">
      <c r="A51" s="28"/>
      <c r="B51" s="108" t="s">
        <v>35</v>
      </c>
      <c r="C51" s="221">
        <f>IFERROR(VLOOKUP($B51,MMWR_TRAD_AGG_RO_COMP[],C$1,0),"ERROR")</f>
        <v>1931</v>
      </c>
      <c r="D51" s="222">
        <f>IFERROR(VLOOKUP($B51,MMWR_TRAD_AGG_RO_COMP[],D$1,0),"ERROR")</f>
        <v>435.80321077159999</v>
      </c>
      <c r="E51" s="223">
        <f>IFERROR(VLOOKUP($B51,MMWR_TRAD_AGG_RO_COMP[],E$1,0),"ERROR")</f>
        <v>1081</v>
      </c>
      <c r="F51" s="224">
        <f>IFERROR(VLOOKUP($B51,MMWR_TRAD_AGG_RO_COMP[],F$1,0),"ERROR")</f>
        <v>163</v>
      </c>
      <c r="G51" s="225">
        <f t="shared" si="0"/>
        <v>0.15078630897317299</v>
      </c>
      <c r="H51" s="226">
        <f>IFERROR(VLOOKUP($B51,MMWR_TRAD_AGG_RO_COMP[],H$1,0),"ERROR")</f>
        <v>2598</v>
      </c>
      <c r="I51" s="224">
        <f>IFERROR(VLOOKUP($B51,MMWR_TRAD_AGG_RO_COMP[],I$1,0),"ERROR")</f>
        <v>1787</v>
      </c>
      <c r="J51" s="225">
        <f t="shared" si="1"/>
        <v>0.68783679753656657</v>
      </c>
      <c r="K51" s="227">
        <f>IFERROR(VLOOKUP($B51,MMWR_TRAD_AGG_RO_COMP[],K$1,0),"ERROR")</f>
        <v>1826</v>
      </c>
      <c r="L51" s="228">
        <f>IFERROR(VLOOKUP($B51,MMWR_TRAD_AGG_RO_COMP[],L$1,0),"ERROR")</f>
        <v>1730</v>
      </c>
      <c r="M51" s="225">
        <f t="shared" si="2"/>
        <v>0.94742606790799566</v>
      </c>
      <c r="N51" s="227">
        <f>IFERROR(VLOOKUP($B51,MMWR_TRAD_AGG_RO_COMP[],N$1,0),"ERROR")</f>
        <v>286</v>
      </c>
      <c r="O51" s="228">
        <f>IFERROR(VLOOKUP($B51,MMWR_TRAD_AGG_RO_COMP[],O$1,0),"ERROR")</f>
        <v>107</v>
      </c>
      <c r="P51" s="225">
        <f t="shared" si="3"/>
        <v>0.37412587412587411</v>
      </c>
      <c r="Q51" s="229">
        <f>IFERROR(VLOOKUP($B51,MMWR_TRAD_AGG_RO_COMP[],Q$1,0),"ERROR")</f>
        <v>0</v>
      </c>
      <c r="R51" s="229">
        <f>IFERROR(VLOOKUP($B51,MMWR_TRAD_AGG_RO_COMP[],R$1,0),"ERROR")</f>
        <v>2</v>
      </c>
      <c r="S51" s="203">
        <f>IFERROR(VLOOKUP($B51,MMWR_APP_RO[],S$1,0),"ERROR")</f>
        <v>214</v>
      </c>
      <c r="T51" s="28"/>
    </row>
    <row r="52" spans="1:20" x14ac:dyDescent="0.2">
      <c r="A52" s="28"/>
      <c r="B52" s="108" t="s">
        <v>37</v>
      </c>
      <c r="C52" s="221">
        <f>IFERROR(VLOOKUP($B52,MMWR_TRAD_AGG_RO_COMP[],C$1,0),"ERROR")</f>
        <v>252</v>
      </c>
      <c r="D52" s="222">
        <f>IFERROR(VLOOKUP($B52,MMWR_TRAD_AGG_RO_COMP[],D$1,0),"ERROR")</f>
        <v>65.642857142899999</v>
      </c>
      <c r="E52" s="223">
        <f>IFERROR(VLOOKUP($B52,MMWR_TRAD_AGG_RO_COMP[],E$1,0),"ERROR")</f>
        <v>1389</v>
      </c>
      <c r="F52" s="224">
        <f>IFERROR(VLOOKUP($B52,MMWR_TRAD_AGG_RO_COMP[],F$1,0),"ERROR")</f>
        <v>289</v>
      </c>
      <c r="G52" s="225">
        <f t="shared" si="0"/>
        <v>0.20806335493160547</v>
      </c>
      <c r="H52" s="226">
        <f>IFERROR(VLOOKUP($B52,MMWR_TRAD_AGG_RO_COMP[],H$1,0),"ERROR")</f>
        <v>419</v>
      </c>
      <c r="I52" s="224">
        <f>IFERROR(VLOOKUP($B52,MMWR_TRAD_AGG_RO_COMP[],I$1,0),"ERROR")</f>
        <v>77</v>
      </c>
      <c r="J52" s="225">
        <f t="shared" si="1"/>
        <v>0.18377088305489261</v>
      </c>
      <c r="K52" s="227">
        <f>IFERROR(VLOOKUP($B52,MMWR_TRAD_AGG_RO_COMP[],K$1,0),"ERROR")</f>
        <v>71</v>
      </c>
      <c r="L52" s="228">
        <f>IFERROR(VLOOKUP($B52,MMWR_TRAD_AGG_RO_COMP[],L$1,0),"ERROR")</f>
        <v>20</v>
      </c>
      <c r="M52" s="225">
        <f t="shared" si="2"/>
        <v>0.28169014084507044</v>
      </c>
      <c r="N52" s="227">
        <f>IFERROR(VLOOKUP($B52,MMWR_TRAD_AGG_RO_COMP[],N$1,0),"ERROR")</f>
        <v>121</v>
      </c>
      <c r="O52" s="228">
        <f>IFERROR(VLOOKUP($B52,MMWR_TRAD_AGG_RO_COMP[],O$1,0),"ERROR")</f>
        <v>44</v>
      </c>
      <c r="P52" s="225">
        <f t="shared" si="3"/>
        <v>0.36363636363636365</v>
      </c>
      <c r="Q52" s="229">
        <f>IFERROR(VLOOKUP($B52,MMWR_TRAD_AGG_RO_COMP[],Q$1,0),"ERROR")</f>
        <v>0</v>
      </c>
      <c r="R52" s="229">
        <f>IFERROR(VLOOKUP($B52,MMWR_TRAD_AGG_RO_COMP[],R$1,0),"ERROR")</f>
        <v>8</v>
      </c>
      <c r="S52" s="203">
        <f>IFERROR(VLOOKUP($B52,MMWR_APP_RO[],S$1,0),"ERROR")</f>
        <v>896</v>
      </c>
      <c r="T52" s="28"/>
    </row>
    <row r="53" spans="1:20" x14ac:dyDescent="0.2">
      <c r="A53" s="28"/>
      <c r="B53" s="108" t="s">
        <v>48</v>
      </c>
      <c r="C53" s="221">
        <f>IFERROR(VLOOKUP($B53,MMWR_TRAD_AGG_RO_COMP[],C$1,0),"ERROR")</f>
        <v>1807</v>
      </c>
      <c r="D53" s="222">
        <f>IFERROR(VLOOKUP($B53,MMWR_TRAD_AGG_RO_COMP[],D$1,0),"ERROR")</f>
        <v>242.44327614829999</v>
      </c>
      <c r="E53" s="223">
        <f>IFERROR(VLOOKUP($B53,MMWR_TRAD_AGG_RO_COMP[],E$1,0),"ERROR")</f>
        <v>2480</v>
      </c>
      <c r="F53" s="224">
        <f>IFERROR(VLOOKUP($B53,MMWR_TRAD_AGG_RO_COMP[],F$1,0),"ERROR")</f>
        <v>526</v>
      </c>
      <c r="G53" s="225">
        <f t="shared" si="0"/>
        <v>0.21209677419354839</v>
      </c>
      <c r="H53" s="226">
        <f>IFERROR(VLOOKUP($B53,MMWR_TRAD_AGG_RO_COMP[],H$1,0),"ERROR")</f>
        <v>2328</v>
      </c>
      <c r="I53" s="224">
        <f>IFERROR(VLOOKUP($B53,MMWR_TRAD_AGG_RO_COMP[],I$1,0),"ERROR")</f>
        <v>1472</v>
      </c>
      <c r="J53" s="225">
        <f t="shared" si="1"/>
        <v>0.63230240549828176</v>
      </c>
      <c r="K53" s="227">
        <f>IFERROR(VLOOKUP($B53,MMWR_TRAD_AGG_RO_COMP[],K$1,0),"ERROR")</f>
        <v>392</v>
      </c>
      <c r="L53" s="228">
        <f>IFERROR(VLOOKUP($B53,MMWR_TRAD_AGG_RO_COMP[],L$1,0),"ERROR")</f>
        <v>309</v>
      </c>
      <c r="M53" s="225">
        <f t="shared" si="2"/>
        <v>0.78826530612244894</v>
      </c>
      <c r="N53" s="227">
        <f>IFERROR(VLOOKUP($B53,MMWR_TRAD_AGG_RO_COMP[],N$1,0),"ERROR")</f>
        <v>139</v>
      </c>
      <c r="O53" s="228">
        <f>IFERROR(VLOOKUP($B53,MMWR_TRAD_AGG_RO_COMP[],O$1,0),"ERROR")</f>
        <v>76</v>
      </c>
      <c r="P53" s="225">
        <f t="shared" si="3"/>
        <v>0.5467625899280576</v>
      </c>
      <c r="Q53" s="229">
        <f>IFERROR(VLOOKUP($B53,MMWR_TRAD_AGG_RO_COMP[],Q$1,0),"ERROR")</f>
        <v>0</v>
      </c>
      <c r="R53" s="229">
        <f>IFERROR(VLOOKUP($B53,MMWR_TRAD_AGG_RO_COMP[],R$1,0),"ERROR")</f>
        <v>0</v>
      </c>
      <c r="S53" s="203">
        <f>IFERROR(VLOOKUP($B53,MMWR_APP_RO[],S$1,0),"ERROR")</f>
        <v>1318</v>
      </c>
      <c r="T53" s="28"/>
    </row>
    <row r="54" spans="1:20" x14ac:dyDescent="0.2">
      <c r="A54" s="28"/>
      <c r="B54" s="108" t="s">
        <v>55</v>
      </c>
      <c r="C54" s="221">
        <f>IFERROR(VLOOKUP($B54,MMWR_TRAD_AGG_RO_COMP[],C$1,0),"ERROR")</f>
        <v>7565</v>
      </c>
      <c r="D54" s="222">
        <f>IFERROR(VLOOKUP($B54,MMWR_TRAD_AGG_RO_COMP[],D$1,0),"ERROR")</f>
        <v>381.41057501649999</v>
      </c>
      <c r="E54" s="223">
        <f>IFERROR(VLOOKUP($B54,MMWR_TRAD_AGG_RO_COMP[],E$1,0),"ERROR")</f>
        <v>9264</v>
      </c>
      <c r="F54" s="224">
        <f>IFERROR(VLOOKUP($B54,MMWR_TRAD_AGG_RO_COMP[],F$1,0),"ERROR")</f>
        <v>2240</v>
      </c>
      <c r="G54" s="225">
        <f t="shared" si="0"/>
        <v>0.24179620034542315</v>
      </c>
      <c r="H54" s="226">
        <f>IFERROR(VLOOKUP($B54,MMWR_TRAD_AGG_RO_COMP[],H$1,0),"ERROR")</f>
        <v>9192</v>
      </c>
      <c r="I54" s="224">
        <f>IFERROR(VLOOKUP($B54,MMWR_TRAD_AGG_RO_COMP[],I$1,0),"ERROR")</f>
        <v>6266</v>
      </c>
      <c r="J54" s="225">
        <f t="shared" si="1"/>
        <v>0.68167972149695388</v>
      </c>
      <c r="K54" s="227">
        <f>IFERROR(VLOOKUP($B54,MMWR_TRAD_AGG_RO_COMP[],K$1,0),"ERROR")</f>
        <v>797</v>
      </c>
      <c r="L54" s="228">
        <f>IFERROR(VLOOKUP($B54,MMWR_TRAD_AGG_RO_COMP[],L$1,0),"ERROR")</f>
        <v>763</v>
      </c>
      <c r="M54" s="225">
        <f t="shared" si="2"/>
        <v>0.95734002509410288</v>
      </c>
      <c r="N54" s="227">
        <f>IFERROR(VLOOKUP($B54,MMWR_TRAD_AGG_RO_COMP[],N$1,0),"ERROR")</f>
        <v>4343</v>
      </c>
      <c r="O54" s="228">
        <f>IFERROR(VLOOKUP($B54,MMWR_TRAD_AGG_RO_COMP[],O$1,0),"ERROR")</f>
        <v>3192</v>
      </c>
      <c r="P54" s="225">
        <f t="shared" si="3"/>
        <v>0.73497582316371168</v>
      </c>
      <c r="Q54" s="229">
        <f>IFERROR(VLOOKUP($B54,MMWR_TRAD_AGG_RO_COMP[],Q$1,0),"ERROR")</f>
        <v>2</v>
      </c>
      <c r="R54" s="229">
        <f>IFERROR(VLOOKUP($B54,MMWR_TRAD_AGG_RO_COMP[],R$1,0),"ERROR")</f>
        <v>30</v>
      </c>
      <c r="S54" s="203">
        <f>IFERROR(VLOOKUP($B54,MMWR_APP_RO[],S$1,0),"ERROR")</f>
        <v>4637</v>
      </c>
      <c r="T54" s="28"/>
    </row>
    <row r="55" spans="1:20" x14ac:dyDescent="0.2">
      <c r="A55" s="28"/>
      <c r="B55" s="108" t="s">
        <v>58</v>
      </c>
      <c r="C55" s="221">
        <f>IFERROR(VLOOKUP($B55,MMWR_TRAD_AGG_RO_COMP[],C$1,0),"ERROR")</f>
        <v>757</v>
      </c>
      <c r="D55" s="222">
        <f>IFERROR(VLOOKUP($B55,MMWR_TRAD_AGG_RO_COMP[],D$1,0),"ERROR")</f>
        <v>162.036988111</v>
      </c>
      <c r="E55" s="223">
        <f>IFERROR(VLOOKUP($B55,MMWR_TRAD_AGG_RO_COMP[],E$1,0),"ERROR")</f>
        <v>804</v>
      </c>
      <c r="F55" s="224">
        <f>IFERROR(VLOOKUP($B55,MMWR_TRAD_AGG_RO_COMP[],F$1,0),"ERROR")</f>
        <v>207</v>
      </c>
      <c r="G55" s="225">
        <f t="shared" si="0"/>
        <v>0.2574626865671642</v>
      </c>
      <c r="H55" s="226">
        <f>IFERROR(VLOOKUP($B55,MMWR_TRAD_AGG_RO_COMP[],H$1,0),"ERROR")</f>
        <v>882</v>
      </c>
      <c r="I55" s="224">
        <f>IFERROR(VLOOKUP($B55,MMWR_TRAD_AGG_RO_COMP[],I$1,0),"ERROR")</f>
        <v>389</v>
      </c>
      <c r="J55" s="225">
        <f t="shared" si="1"/>
        <v>0.44104308390022678</v>
      </c>
      <c r="K55" s="227">
        <f>IFERROR(VLOOKUP($B55,MMWR_TRAD_AGG_RO_COMP[],K$1,0),"ERROR")</f>
        <v>88</v>
      </c>
      <c r="L55" s="228">
        <f>IFERROR(VLOOKUP($B55,MMWR_TRAD_AGG_RO_COMP[],L$1,0),"ERROR")</f>
        <v>70</v>
      </c>
      <c r="M55" s="225">
        <f t="shared" si="2"/>
        <v>0.79545454545454541</v>
      </c>
      <c r="N55" s="227">
        <f>IFERROR(VLOOKUP($B55,MMWR_TRAD_AGG_RO_COMP[],N$1,0),"ERROR")</f>
        <v>701</v>
      </c>
      <c r="O55" s="228">
        <f>IFERROR(VLOOKUP($B55,MMWR_TRAD_AGG_RO_COMP[],O$1,0),"ERROR")</f>
        <v>364</v>
      </c>
      <c r="P55" s="225">
        <f t="shared" si="3"/>
        <v>0.51925820256776034</v>
      </c>
      <c r="Q55" s="229">
        <f>IFERROR(VLOOKUP($B55,MMWR_TRAD_AGG_RO_COMP[],Q$1,0),"ERROR")</f>
        <v>304</v>
      </c>
      <c r="R55" s="229">
        <f>IFERROR(VLOOKUP($B55,MMWR_TRAD_AGG_RO_COMP[],R$1,0),"ERROR")</f>
        <v>136</v>
      </c>
      <c r="S55" s="203">
        <f>IFERROR(VLOOKUP($B55,MMWR_APP_RO[],S$1,0),"ERROR")</f>
        <v>1036</v>
      </c>
      <c r="T55" s="28"/>
    </row>
    <row r="56" spans="1:20" x14ac:dyDescent="0.2">
      <c r="A56" s="28"/>
      <c r="B56" s="108" t="s">
        <v>65</v>
      </c>
      <c r="C56" s="221">
        <f>IFERROR(VLOOKUP($B56,MMWR_TRAD_AGG_RO_COMP[],C$1,0),"ERROR")</f>
        <v>10419</v>
      </c>
      <c r="D56" s="222">
        <f>IFERROR(VLOOKUP($B56,MMWR_TRAD_AGG_RO_COMP[],D$1,0),"ERROR")</f>
        <v>387.12774738460001</v>
      </c>
      <c r="E56" s="223">
        <f>IFERROR(VLOOKUP($B56,MMWR_TRAD_AGG_RO_COMP[],E$1,0),"ERROR")</f>
        <v>10881</v>
      </c>
      <c r="F56" s="224">
        <f>IFERROR(VLOOKUP($B56,MMWR_TRAD_AGG_RO_COMP[],F$1,0),"ERROR")</f>
        <v>2283</v>
      </c>
      <c r="G56" s="225">
        <f t="shared" si="0"/>
        <v>0.20981527433140337</v>
      </c>
      <c r="H56" s="226">
        <f>IFERROR(VLOOKUP($B56,MMWR_TRAD_AGG_RO_COMP[],H$1,0),"ERROR")</f>
        <v>13737</v>
      </c>
      <c r="I56" s="224">
        <f>IFERROR(VLOOKUP($B56,MMWR_TRAD_AGG_RO_COMP[],I$1,0),"ERROR")</f>
        <v>10443</v>
      </c>
      <c r="J56" s="225">
        <f t="shared" si="1"/>
        <v>0.76020965276261188</v>
      </c>
      <c r="K56" s="227">
        <f>IFERROR(VLOOKUP($B56,MMWR_TRAD_AGG_RO_COMP[],K$1,0),"ERROR")</f>
        <v>4922</v>
      </c>
      <c r="L56" s="228">
        <f>IFERROR(VLOOKUP($B56,MMWR_TRAD_AGG_RO_COMP[],L$1,0),"ERROR")</f>
        <v>4685</v>
      </c>
      <c r="M56" s="225">
        <f t="shared" si="2"/>
        <v>0.95184884193417307</v>
      </c>
      <c r="N56" s="227">
        <f>IFERROR(VLOOKUP($B56,MMWR_TRAD_AGG_RO_COMP[],N$1,0),"ERROR")</f>
        <v>2064</v>
      </c>
      <c r="O56" s="228">
        <f>IFERROR(VLOOKUP($B56,MMWR_TRAD_AGG_RO_COMP[],O$1,0),"ERROR")</f>
        <v>1615</v>
      </c>
      <c r="P56" s="225">
        <f t="shared" si="3"/>
        <v>0.78246124031007747</v>
      </c>
      <c r="Q56" s="229">
        <f>IFERROR(VLOOKUP($B56,MMWR_TRAD_AGG_RO_COMP[],Q$1,0),"ERROR")</f>
        <v>0</v>
      </c>
      <c r="R56" s="229">
        <f>IFERROR(VLOOKUP($B56,MMWR_TRAD_AGG_RO_COMP[],R$1,0),"ERROR")</f>
        <v>28</v>
      </c>
      <c r="S56" s="203">
        <f>IFERROR(VLOOKUP($B56,MMWR_APP_RO[],S$1,0),"ERROR")</f>
        <v>8837</v>
      </c>
      <c r="T56" s="28"/>
    </row>
    <row r="57" spans="1:20" x14ac:dyDescent="0.2">
      <c r="A57" s="28"/>
      <c r="B57" s="108" t="s">
        <v>67</v>
      </c>
      <c r="C57" s="221">
        <f>IFERROR(VLOOKUP($B57,MMWR_TRAD_AGG_RO_COMP[],C$1,0),"ERROR")</f>
        <v>4819</v>
      </c>
      <c r="D57" s="222">
        <f>IFERROR(VLOOKUP($B57,MMWR_TRAD_AGG_RO_COMP[],D$1,0),"ERROR")</f>
        <v>254.7161236771</v>
      </c>
      <c r="E57" s="223">
        <f>IFERROR(VLOOKUP($B57,MMWR_TRAD_AGG_RO_COMP[],E$1,0),"ERROR")</f>
        <v>4603</v>
      </c>
      <c r="F57" s="224">
        <f>IFERROR(VLOOKUP($B57,MMWR_TRAD_AGG_RO_COMP[],F$1,0),"ERROR")</f>
        <v>896</v>
      </c>
      <c r="G57" s="225">
        <f t="shared" si="0"/>
        <v>0.19465565935259613</v>
      </c>
      <c r="H57" s="226">
        <f>IFERROR(VLOOKUP($B57,MMWR_TRAD_AGG_RO_COMP[],H$1,0),"ERROR")</f>
        <v>5859</v>
      </c>
      <c r="I57" s="224">
        <f>IFERROR(VLOOKUP($B57,MMWR_TRAD_AGG_RO_COMP[],I$1,0),"ERROR")</f>
        <v>3346</v>
      </c>
      <c r="J57" s="225">
        <f t="shared" si="1"/>
        <v>0.57108721624850656</v>
      </c>
      <c r="K57" s="227">
        <f>IFERROR(VLOOKUP($B57,MMWR_TRAD_AGG_RO_COMP[],K$1,0),"ERROR")</f>
        <v>301</v>
      </c>
      <c r="L57" s="228">
        <f>IFERROR(VLOOKUP($B57,MMWR_TRAD_AGG_RO_COMP[],L$1,0),"ERROR")</f>
        <v>203</v>
      </c>
      <c r="M57" s="225">
        <f t="shared" si="2"/>
        <v>0.67441860465116277</v>
      </c>
      <c r="N57" s="227">
        <f>IFERROR(VLOOKUP($B57,MMWR_TRAD_AGG_RO_COMP[],N$1,0),"ERROR")</f>
        <v>2273</v>
      </c>
      <c r="O57" s="228">
        <f>IFERROR(VLOOKUP($B57,MMWR_TRAD_AGG_RO_COMP[],O$1,0),"ERROR")</f>
        <v>1813</v>
      </c>
      <c r="P57" s="225">
        <f t="shared" si="3"/>
        <v>0.79762428508578975</v>
      </c>
      <c r="Q57" s="229">
        <f>IFERROR(VLOOKUP($B57,MMWR_TRAD_AGG_RO_COMP[],Q$1,0),"ERROR")</f>
        <v>2</v>
      </c>
      <c r="R57" s="229">
        <f>IFERROR(VLOOKUP($B57,MMWR_TRAD_AGG_RO_COMP[],R$1,0),"ERROR")</f>
        <v>67</v>
      </c>
      <c r="S57" s="203">
        <f>IFERROR(VLOOKUP($B57,MMWR_APP_RO[],S$1,0),"ERROR")</f>
        <v>7068</v>
      </c>
      <c r="T57" s="28"/>
    </row>
    <row r="58" spans="1:20" x14ac:dyDescent="0.2">
      <c r="A58" s="28"/>
      <c r="B58" s="108" t="s">
        <v>69</v>
      </c>
      <c r="C58" s="221">
        <f>IFERROR(VLOOKUP($B58,MMWR_TRAD_AGG_RO_COMP[],C$1,0),"ERROR")</f>
        <v>7753</v>
      </c>
      <c r="D58" s="222">
        <f>IFERROR(VLOOKUP($B58,MMWR_TRAD_AGG_RO_COMP[],D$1,0),"ERROR")</f>
        <v>407.18754030700001</v>
      </c>
      <c r="E58" s="223">
        <f>IFERROR(VLOOKUP($B58,MMWR_TRAD_AGG_RO_COMP[],E$1,0),"ERROR")</f>
        <v>4512</v>
      </c>
      <c r="F58" s="224">
        <f>IFERROR(VLOOKUP($B58,MMWR_TRAD_AGG_RO_COMP[],F$1,0),"ERROR")</f>
        <v>1321</v>
      </c>
      <c r="G58" s="225">
        <f t="shared" si="0"/>
        <v>0.29277482269503546</v>
      </c>
      <c r="H58" s="226">
        <f>IFERROR(VLOOKUP($B58,MMWR_TRAD_AGG_RO_COMP[],H$1,0),"ERROR")</f>
        <v>9824</v>
      </c>
      <c r="I58" s="224">
        <f>IFERROR(VLOOKUP($B58,MMWR_TRAD_AGG_RO_COMP[],I$1,0),"ERROR")</f>
        <v>7313</v>
      </c>
      <c r="J58" s="225">
        <f t="shared" si="1"/>
        <v>0.74440146579804556</v>
      </c>
      <c r="K58" s="227">
        <f>IFERROR(VLOOKUP($B58,MMWR_TRAD_AGG_RO_COMP[],K$1,0),"ERROR")</f>
        <v>3188</v>
      </c>
      <c r="L58" s="228">
        <f>IFERROR(VLOOKUP($B58,MMWR_TRAD_AGG_RO_COMP[],L$1,0),"ERROR")</f>
        <v>2891</v>
      </c>
      <c r="M58" s="225">
        <f t="shared" si="2"/>
        <v>0.90683814303638643</v>
      </c>
      <c r="N58" s="227">
        <f>IFERROR(VLOOKUP($B58,MMWR_TRAD_AGG_RO_COMP[],N$1,0),"ERROR")</f>
        <v>1561</v>
      </c>
      <c r="O58" s="228">
        <f>IFERROR(VLOOKUP($B58,MMWR_TRAD_AGG_RO_COMP[],O$1,0),"ERROR")</f>
        <v>735</v>
      </c>
      <c r="P58" s="225">
        <f t="shared" si="3"/>
        <v>0.47085201793721976</v>
      </c>
      <c r="Q58" s="229">
        <f>IFERROR(VLOOKUP($B58,MMWR_TRAD_AGG_RO_COMP[],Q$1,0),"ERROR")</f>
        <v>0</v>
      </c>
      <c r="R58" s="229">
        <f>IFERROR(VLOOKUP($B58,MMWR_TRAD_AGG_RO_COMP[],R$1,0),"ERROR")</f>
        <v>68</v>
      </c>
      <c r="S58" s="203">
        <f>IFERROR(VLOOKUP($B58,MMWR_APP_RO[],S$1,0),"ERROR")</f>
        <v>5431</v>
      </c>
      <c r="T58" s="28"/>
    </row>
    <row r="59" spans="1:20" x14ac:dyDescent="0.2">
      <c r="A59" s="28"/>
      <c r="B59" s="108" t="s">
        <v>71</v>
      </c>
      <c r="C59" s="221">
        <f>IFERROR(VLOOKUP($B59,MMWR_TRAD_AGG_RO_COMP[],C$1,0),"ERROR")</f>
        <v>3711</v>
      </c>
      <c r="D59" s="222">
        <f>IFERROR(VLOOKUP($B59,MMWR_TRAD_AGG_RO_COMP[],D$1,0),"ERROR")</f>
        <v>502.56292104549999</v>
      </c>
      <c r="E59" s="223">
        <f>IFERROR(VLOOKUP($B59,MMWR_TRAD_AGG_RO_COMP[],E$1,0),"ERROR")</f>
        <v>3514</v>
      </c>
      <c r="F59" s="224">
        <f>IFERROR(VLOOKUP($B59,MMWR_TRAD_AGG_RO_COMP[],F$1,0),"ERROR")</f>
        <v>838</v>
      </c>
      <c r="G59" s="225">
        <f t="shared" si="0"/>
        <v>0.23847467273762094</v>
      </c>
      <c r="H59" s="226">
        <f>IFERROR(VLOOKUP($B59,MMWR_TRAD_AGG_RO_COMP[],H$1,0),"ERROR")</f>
        <v>4246</v>
      </c>
      <c r="I59" s="224">
        <f>IFERROR(VLOOKUP($B59,MMWR_TRAD_AGG_RO_COMP[],I$1,0),"ERROR")</f>
        <v>3089</v>
      </c>
      <c r="J59" s="225">
        <f t="shared" si="1"/>
        <v>0.72750824305228445</v>
      </c>
      <c r="K59" s="227">
        <f>IFERROR(VLOOKUP($B59,MMWR_TRAD_AGG_RO_COMP[],K$1,0),"ERROR")</f>
        <v>337</v>
      </c>
      <c r="L59" s="228">
        <f>IFERROR(VLOOKUP($B59,MMWR_TRAD_AGG_RO_COMP[],L$1,0),"ERROR")</f>
        <v>298</v>
      </c>
      <c r="M59" s="225">
        <f t="shared" si="2"/>
        <v>0.88427299703264095</v>
      </c>
      <c r="N59" s="227">
        <f>IFERROR(VLOOKUP($B59,MMWR_TRAD_AGG_RO_COMP[],N$1,0),"ERROR")</f>
        <v>1000</v>
      </c>
      <c r="O59" s="228">
        <f>IFERROR(VLOOKUP($B59,MMWR_TRAD_AGG_RO_COMP[],O$1,0),"ERROR")</f>
        <v>640</v>
      </c>
      <c r="P59" s="225">
        <f t="shared" si="3"/>
        <v>0.64</v>
      </c>
      <c r="Q59" s="229">
        <f>IFERROR(VLOOKUP($B59,MMWR_TRAD_AGG_RO_COMP[],Q$1,0),"ERROR")</f>
        <v>0</v>
      </c>
      <c r="R59" s="229">
        <f>IFERROR(VLOOKUP($B59,MMWR_TRAD_AGG_RO_COMP[],R$1,0),"ERROR")</f>
        <v>110</v>
      </c>
      <c r="S59" s="203">
        <f>IFERROR(VLOOKUP($B59,MMWR_APP_RO[],S$1,0),"ERROR")</f>
        <v>2943</v>
      </c>
      <c r="T59" s="28"/>
    </row>
    <row r="60" spans="1:20" x14ac:dyDescent="0.2">
      <c r="A60" s="28"/>
      <c r="B60" s="108" t="s">
        <v>74</v>
      </c>
      <c r="C60" s="221">
        <f>IFERROR(VLOOKUP($B60,MMWR_TRAD_AGG_RO_COMP[],C$1,0),"ERROR")</f>
        <v>7090</v>
      </c>
      <c r="D60" s="222">
        <f>IFERROR(VLOOKUP($B60,MMWR_TRAD_AGG_RO_COMP[],D$1,0),"ERROR")</f>
        <v>333.18913963329999</v>
      </c>
      <c r="E60" s="223">
        <f>IFERROR(VLOOKUP($B60,MMWR_TRAD_AGG_RO_COMP[],E$1,0),"ERROR")</f>
        <v>12255</v>
      </c>
      <c r="F60" s="224">
        <f>IFERROR(VLOOKUP($B60,MMWR_TRAD_AGG_RO_COMP[],F$1,0),"ERROR")</f>
        <v>1869</v>
      </c>
      <c r="G60" s="225">
        <f t="shared" si="0"/>
        <v>0.1525091799265606</v>
      </c>
      <c r="H60" s="226">
        <f>IFERROR(VLOOKUP($B60,MMWR_TRAD_AGG_RO_COMP[],H$1,0),"ERROR")</f>
        <v>16226</v>
      </c>
      <c r="I60" s="224">
        <f>IFERROR(VLOOKUP($B60,MMWR_TRAD_AGG_RO_COMP[],I$1,0),"ERROR")</f>
        <v>7233</v>
      </c>
      <c r="J60" s="225">
        <f t="shared" si="1"/>
        <v>0.44576605448046347</v>
      </c>
      <c r="K60" s="227">
        <f>IFERROR(VLOOKUP($B60,MMWR_TRAD_AGG_RO_COMP[],K$1,0),"ERROR")</f>
        <v>2081</v>
      </c>
      <c r="L60" s="228">
        <f>IFERROR(VLOOKUP($B60,MMWR_TRAD_AGG_RO_COMP[],L$1,0),"ERROR")</f>
        <v>1470</v>
      </c>
      <c r="M60" s="225">
        <f t="shared" si="2"/>
        <v>0.70639115809706876</v>
      </c>
      <c r="N60" s="227">
        <f>IFERROR(VLOOKUP($B60,MMWR_TRAD_AGG_RO_COMP[],N$1,0),"ERROR")</f>
        <v>1951</v>
      </c>
      <c r="O60" s="228">
        <f>IFERROR(VLOOKUP($B60,MMWR_TRAD_AGG_RO_COMP[],O$1,0),"ERROR")</f>
        <v>1412</v>
      </c>
      <c r="P60" s="225">
        <f t="shared" si="3"/>
        <v>0.72373141978472577</v>
      </c>
      <c r="Q60" s="229">
        <f>IFERROR(VLOOKUP($B60,MMWR_TRAD_AGG_RO_COMP[],Q$1,0),"ERROR")</f>
        <v>0</v>
      </c>
      <c r="R60" s="229">
        <f>IFERROR(VLOOKUP($B60,MMWR_TRAD_AGG_RO_COMP[],R$1,0),"ERROR")</f>
        <v>62</v>
      </c>
      <c r="S60" s="203">
        <f>IFERROR(VLOOKUP($B60,MMWR_APP_RO[],S$1,0),"ERROR")</f>
        <v>4280</v>
      </c>
      <c r="T60" s="28"/>
    </row>
    <row r="61" spans="1:20" x14ac:dyDescent="0.2">
      <c r="A61" s="28"/>
      <c r="B61" s="116" t="s">
        <v>76</v>
      </c>
      <c r="C61" s="230">
        <f>IFERROR(VLOOKUP($B61,MMWR_TRAD_AGG_RO_COMP[],C$1,0),"ERROR")</f>
        <v>12936</v>
      </c>
      <c r="D61" s="231">
        <f>IFERROR(VLOOKUP($B61,MMWR_TRAD_AGG_RO_COMP[],D$1,0),"ERROR")</f>
        <v>403.84686147190001</v>
      </c>
      <c r="E61" s="232">
        <f>IFERROR(VLOOKUP($B61,MMWR_TRAD_AGG_RO_COMP[],E$1,0),"ERROR")</f>
        <v>7673</v>
      </c>
      <c r="F61" s="233">
        <f>IFERROR(VLOOKUP($B61,MMWR_TRAD_AGG_RO_COMP[],F$1,0),"ERROR")</f>
        <v>1343</v>
      </c>
      <c r="G61" s="234">
        <f t="shared" si="0"/>
        <v>0.17502932360224163</v>
      </c>
      <c r="H61" s="235">
        <f>IFERROR(VLOOKUP($B61,MMWR_TRAD_AGG_RO_COMP[],H$1,0),"ERROR")</f>
        <v>18075</v>
      </c>
      <c r="I61" s="233">
        <f>IFERROR(VLOOKUP($B61,MMWR_TRAD_AGG_RO_COMP[],I$1,0),"ERROR")</f>
        <v>12815</v>
      </c>
      <c r="J61" s="234">
        <f t="shared" si="1"/>
        <v>0.70899031811894886</v>
      </c>
      <c r="K61" s="236">
        <f>IFERROR(VLOOKUP($B61,MMWR_TRAD_AGG_RO_COMP[],K$1,0),"ERROR")</f>
        <v>3914</v>
      </c>
      <c r="L61" s="237">
        <f>IFERROR(VLOOKUP($B61,MMWR_TRAD_AGG_RO_COMP[],L$1,0),"ERROR")</f>
        <v>3612</v>
      </c>
      <c r="M61" s="234">
        <f t="shared" si="2"/>
        <v>0.9228410832907511</v>
      </c>
      <c r="N61" s="236">
        <f>IFERROR(VLOOKUP($B61,MMWR_TRAD_AGG_RO_COMP[],N$1,0),"ERROR")</f>
        <v>4426</v>
      </c>
      <c r="O61" s="237">
        <f>IFERROR(VLOOKUP($B61,MMWR_TRAD_AGG_RO_COMP[],O$1,0),"ERROR")</f>
        <v>3918</v>
      </c>
      <c r="P61" s="234">
        <f t="shared" si="3"/>
        <v>0.88522367826479886</v>
      </c>
      <c r="Q61" s="238">
        <f>IFERROR(VLOOKUP($B61,MMWR_TRAD_AGG_RO_COMP[],Q$1,0),"ERROR")</f>
        <v>2</v>
      </c>
      <c r="R61" s="238">
        <f>IFERROR(VLOOKUP($B61,MMWR_TRAD_AGG_RO_COMP[],R$1,0),"ERROR")</f>
        <v>142</v>
      </c>
      <c r="S61" s="203">
        <f>IFERROR(VLOOKUP($B61,MMWR_APP_RO[],S$1,0),"ERROR")</f>
        <v>4967</v>
      </c>
      <c r="T61" s="28"/>
    </row>
    <row r="62" spans="1:20" x14ac:dyDescent="0.2">
      <c r="A62" s="28"/>
      <c r="B62" s="101" t="s">
        <v>387</v>
      </c>
      <c r="C62" s="214">
        <f>IFERROR(VLOOKUP($B62,MMWR_TRAD_AGG_DISTRICT_COMP[],C$1,0),"ERROR")</f>
        <v>70496</v>
      </c>
      <c r="D62" s="199">
        <f>IFERROR(VLOOKUP($B62,MMWR_TRAD_AGG_DISTRICT_COMP[],D$1,0),"ERROR")</f>
        <v>339.68798229689997</v>
      </c>
      <c r="E62" s="215">
        <f>IFERROR(VLOOKUP($B62,MMWR_TRAD_AGG_DISTRICT_COMP[],E$1,0),"ERROR")</f>
        <v>75319</v>
      </c>
      <c r="F62" s="220">
        <f>IFERROR(VLOOKUP($B62,MMWR_TRAD_AGG_DISTRICT_COMP[],F$1,0),"ERROR")</f>
        <v>16841</v>
      </c>
      <c r="G62" s="216">
        <f t="shared" si="0"/>
        <v>0.22359563987838393</v>
      </c>
      <c r="H62" s="220">
        <f>IFERROR(VLOOKUP($B62,MMWR_TRAD_AGG_DISTRICT_COMP[],H$1,0),"ERROR")</f>
        <v>100589</v>
      </c>
      <c r="I62" s="220">
        <f>IFERROR(VLOOKUP($B62,MMWR_TRAD_AGG_DISTRICT_COMP[],I$1,0),"ERROR")</f>
        <v>64149</v>
      </c>
      <c r="J62" s="216">
        <f t="shared" si="1"/>
        <v>0.63773374822296669</v>
      </c>
      <c r="K62" s="214">
        <f>IFERROR(VLOOKUP($B62,MMWR_TRAD_AGG_DISTRICT_COMP[],K$1,0),"ERROR")</f>
        <v>19451</v>
      </c>
      <c r="L62" s="214">
        <f>IFERROR(VLOOKUP($B62,MMWR_TRAD_AGG_DISTRICT_COMP[],L$1,0),"ERROR")</f>
        <v>17196</v>
      </c>
      <c r="M62" s="216">
        <f t="shared" si="2"/>
        <v>0.88406765718986169</v>
      </c>
      <c r="N62" s="214">
        <f>IFERROR(VLOOKUP($B62,MMWR_TRAD_AGG_DISTRICT_COMP[],N$1,0),"ERROR")</f>
        <v>28472</v>
      </c>
      <c r="O62" s="214">
        <f>IFERROR(VLOOKUP($B62,MMWR_TRAD_AGG_DISTRICT_COMP[],O$1,0),"ERROR")</f>
        <v>17866</v>
      </c>
      <c r="P62" s="216">
        <f t="shared" si="3"/>
        <v>0.627493677999438</v>
      </c>
      <c r="Q62" s="214">
        <f>IFERROR(VLOOKUP($B62,MMWR_TRAD_AGG_DISTRICT_COMP[],Q$1,0),"ERROR")</f>
        <v>146</v>
      </c>
      <c r="R62" s="217">
        <f>IFERROR(VLOOKUP($B62,MMWR_TRAD_AGG_DISTRICT_COMP[],R$1,0),"ERROR")</f>
        <v>1088</v>
      </c>
      <c r="S62" s="217">
        <f>IFERROR(VLOOKUP($B62,MMWR_APP_RO[],S$1,0),"ERROR")</f>
        <v>86623</v>
      </c>
      <c r="T62" s="28"/>
    </row>
    <row r="63" spans="1:20" x14ac:dyDescent="0.2">
      <c r="A63" s="28"/>
      <c r="B63" s="108" t="s">
        <v>25</v>
      </c>
      <c r="C63" s="221">
        <f>IFERROR(VLOOKUP($B63,MMWR_TRAD_AGG_RO_COMP[],C$1,0),"ERROR")</f>
        <v>13728</v>
      </c>
      <c r="D63" s="222">
        <f>IFERROR(VLOOKUP($B63,MMWR_TRAD_AGG_RO_COMP[],D$1,0),"ERROR")</f>
        <v>348.82138694640003</v>
      </c>
      <c r="E63" s="223">
        <f>IFERROR(VLOOKUP($B63,MMWR_TRAD_AGG_RO_COMP[],E$1,0),"ERROR")</f>
        <v>17643</v>
      </c>
      <c r="F63" s="224">
        <f>IFERROR(VLOOKUP($B63,MMWR_TRAD_AGG_RO_COMP[],F$1,0),"ERROR")</f>
        <v>3620</v>
      </c>
      <c r="G63" s="225">
        <f t="shared" si="0"/>
        <v>0.20518052485404978</v>
      </c>
      <c r="H63" s="226">
        <f>IFERROR(VLOOKUP($B63,MMWR_TRAD_AGG_RO_COMP[],H$1,0),"ERROR")</f>
        <v>18949</v>
      </c>
      <c r="I63" s="224">
        <f>IFERROR(VLOOKUP($B63,MMWR_TRAD_AGG_RO_COMP[],I$1,0),"ERROR")</f>
        <v>12978</v>
      </c>
      <c r="J63" s="225">
        <f t="shared" si="1"/>
        <v>0.68489102327299589</v>
      </c>
      <c r="K63" s="227">
        <f>IFERROR(VLOOKUP($B63,MMWR_TRAD_AGG_RO_COMP[],K$1,0),"ERROR")</f>
        <v>4442</v>
      </c>
      <c r="L63" s="228">
        <f>IFERROR(VLOOKUP($B63,MMWR_TRAD_AGG_RO_COMP[],L$1,0),"ERROR")</f>
        <v>3960</v>
      </c>
      <c r="M63" s="225">
        <f t="shared" si="2"/>
        <v>0.89149031967582171</v>
      </c>
      <c r="N63" s="227">
        <f>IFERROR(VLOOKUP($B63,MMWR_TRAD_AGG_RO_COMP[],N$1,0),"ERROR")</f>
        <v>12529</v>
      </c>
      <c r="O63" s="228">
        <f>IFERROR(VLOOKUP($B63,MMWR_TRAD_AGG_RO_COMP[],O$1,0),"ERROR")</f>
        <v>7973</v>
      </c>
      <c r="P63" s="225">
        <f t="shared" si="3"/>
        <v>0.63636363636363635</v>
      </c>
      <c r="Q63" s="229">
        <f>IFERROR(VLOOKUP($B63,MMWR_TRAD_AGG_RO_COMP[],Q$1,0),"ERROR")</f>
        <v>61</v>
      </c>
      <c r="R63" s="229">
        <f>IFERROR(VLOOKUP($B63,MMWR_TRAD_AGG_RO_COMP[],R$1,0),"ERROR")</f>
        <v>6</v>
      </c>
      <c r="S63" s="203">
        <f>IFERROR(VLOOKUP($B63,MMWR_APP_RO[],S$1,0),"ERROR")</f>
        <v>17221</v>
      </c>
      <c r="T63" s="28"/>
    </row>
    <row r="64" spans="1:20" x14ac:dyDescent="0.2">
      <c r="A64" s="28"/>
      <c r="B64" s="108" t="s">
        <v>42</v>
      </c>
      <c r="C64" s="221">
        <f>IFERROR(VLOOKUP($B64,MMWR_TRAD_AGG_RO_COMP[],C$1,0),"ERROR")</f>
        <v>11133</v>
      </c>
      <c r="D64" s="222">
        <f>IFERROR(VLOOKUP($B64,MMWR_TRAD_AGG_RO_COMP[],D$1,0),"ERROR")</f>
        <v>297.48136171739998</v>
      </c>
      <c r="E64" s="223">
        <f>IFERROR(VLOOKUP($B64,MMWR_TRAD_AGG_RO_COMP[],E$1,0),"ERROR")</f>
        <v>9156</v>
      </c>
      <c r="F64" s="224">
        <f>IFERROR(VLOOKUP($B64,MMWR_TRAD_AGG_RO_COMP[],F$1,0),"ERROR")</f>
        <v>2297</v>
      </c>
      <c r="G64" s="225">
        <f t="shared" si="0"/>
        <v>0.25087374399301005</v>
      </c>
      <c r="H64" s="226">
        <f>IFERROR(VLOOKUP($B64,MMWR_TRAD_AGG_RO_COMP[],H$1,0),"ERROR")</f>
        <v>20895</v>
      </c>
      <c r="I64" s="224">
        <f>IFERROR(VLOOKUP($B64,MMWR_TRAD_AGG_RO_COMP[],I$1,0),"ERROR")</f>
        <v>12115</v>
      </c>
      <c r="J64" s="225">
        <f t="shared" si="1"/>
        <v>0.5798037808088059</v>
      </c>
      <c r="K64" s="227">
        <f>IFERROR(VLOOKUP($B64,MMWR_TRAD_AGG_RO_COMP[],K$1,0),"ERROR")</f>
        <v>2757</v>
      </c>
      <c r="L64" s="228">
        <f>IFERROR(VLOOKUP($B64,MMWR_TRAD_AGG_RO_COMP[],L$1,0),"ERROR")</f>
        <v>2512</v>
      </c>
      <c r="M64" s="225">
        <f t="shared" si="2"/>
        <v>0.91113529198404064</v>
      </c>
      <c r="N64" s="227">
        <f>IFERROR(VLOOKUP($B64,MMWR_TRAD_AGG_RO_COMP[],N$1,0),"ERROR")</f>
        <v>1395</v>
      </c>
      <c r="O64" s="228">
        <f>IFERROR(VLOOKUP($B64,MMWR_TRAD_AGG_RO_COMP[],O$1,0),"ERROR")</f>
        <v>1044</v>
      </c>
      <c r="P64" s="225">
        <f t="shared" si="3"/>
        <v>0.74838709677419357</v>
      </c>
      <c r="Q64" s="229">
        <f>IFERROR(VLOOKUP($B64,MMWR_TRAD_AGG_RO_COMP[],Q$1,0),"ERROR")</f>
        <v>1</v>
      </c>
      <c r="R64" s="229">
        <f>IFERROR(VLOOKUP($B64,MMWR_TRAD_AGG_RO_COMP[],R$1,0),"ERROR")</f>
        <v>50</v>
      </c>
      <c r="S64" s="203">
        <f>IFERROR(VLOOKUP($B64,MMWR_APP_RO[],S$1,0),"ERROR")</f>
        <v>12424</v>
      </c>
      <c r="T64" s="28"/>
    </row>
    <row r="65" spans="1:20" x14ac:dyDescent="0.2">
      <c r="A65" s="28"/>
      <c r="B65" s="108" t="s">
        <v>56</v>
      </c>
      <c r="C65" s="221">
        <f>IFERROR(VLOOKUP($B65,MMWR_TRAD_AGG_RO_COMP[],C$1,0),"ERROR")</f>
        <v>7854</v>
      </c>
      <c r="D65" s="222">
        <f>IFERROR(VLOOKUP($B65,MMWR_TRAD_AGG_RO_COMP[],D$1,0),"ERROR")</f>
        <v>506.67150496559998</v>
      </c>
      <c r="E65" s="223">
        <f>IFERROR(VLOOKUP($B65,MMWR_TRAD_AGG_RO_COMP[],E$1,0),"ERROR")</f>
        <v>4642</v>
      </c>
      <c r="F65" s="224">
        <f>IFERROR(VLOOKUP($B65,MMWR_TRAD_AGG_RO_COMP[],F$1,0),"ERROR")</f>
        <v>1173</v>
      </c>
      <c r="G65" s="225">
        <f t="shared" si="0"/>
        <v>0.25269280482550627</v>
      </c>
      <c r="H65" s="226">
        <f>IFERROR(VLOOKUP($B65,MMWR_TRAD_AGG_RO_COMP[],H$1,0),"ERROR")</f>
        <v>12953</v>
      </c>
      <c r="I65" s="224">
        <f>IFERROR(VLOOKUP($B65,MMWR_TRAD_AGG_RO_COMP[],I$1,0),"ERROR")</f>
        <v>8423</v>
      </c>
      <c r="J65" s="225">
        <f t="shared" si="1"/>
        <v>0.65027406778352503</v>
      </c>
      <c r="K65" s="227">
        <f>IFERROR(VLOOKUP($B65,MMWR_TRAD_AGG_RO_COMP[],K$1,0),"ERROR")</f>
        <v>2957</v>
      </c>
      <c r="L65" s="228">
        <f>IFERROR(VLOOKUP($B65,MMWR_TRAD_AGG_RO_COMP[],L$1,0),"ERROR")</f>
        <v>2865</v>
      </c>
      <c r="M65" s="225">
        <f t="shared" si="2"/>
        <v>0.96888738586405143</v>
      </c>
      <c r="N65" s="227">
        <f>IFERROR(VLOOKUP($B65,MMWR_TRAD_AGG_RO_COMP[],N$1,0),"ERROR")</f>
        <v>617</v>
      </c>
      <c r="O65" s="228">
        <f>IFERROR(VLOOKUP($B65,MMWR_TRAD_AGG_RO_COMP[],O$1,0),"ERROR")</f>
        <v>353</v>
      </c>
      <c r="P65" s="225">
        <f t="shared" si="3"/>
        <v>0.57212317666126422</v>
      </c>
      <c r="Q65" s="229">
        <f>IFERROR(VLOOKUP($B65,MMWR_TRAD_AGG_RO_COMP[],Q$1,0),"ERROR")</f>
        <v>67</v>
      </c>
      <c r="R65" s="229">
        <f>IFERROR(VLOOKUP($B65,MMWR_TRAD_AGG_RO_COMP[],R$1,0),"ERROR")</f>
        <v>222</v>
      </c>
      <c r="S65" s="203">
        <f>IFERROR(VLOOKUP($B65,MMWR_APP_RO[],S$1,0),"ERROR")</f>
        <v>4813</v>
      </c>
      <c r="T65" s="28"/>
    </row>
    <row r="66" spans="1:20" x14ac:dyDescent="0.2">
      <c r="A66" s="28"/>
      <c r="B66" s="108" t="s">
        <v>60</v>
      </c>
      <c r="C66" s="221">
        <f>IFERROR(VLOOKUP($B66,MMWR_TRAD_AGG_RO_COMP[],C$1,0),"ERROR")</f>
        <v>13330</v>
      </c>
      <c r="D66" s="222">
        <f>IFERROR(VLOOKUP($B66,MMWR_TRAD_AGG_RO_COMP[],D$1,0),"ERROR")</f>
        <v>382.2961740435</v>
      </c>
      <c r="E66" s="223">
        <f>IFERROR(VLOOKUP($B66,MMWR_TRAD_AGG_RO_COMP[],E$1,0),"ERROR")</f>
        <v>7737</v>
      </c>
      <c r="F66" s="224">
        <f>IFERROR(VLOOKUP($B66,MMWR_TRAD_AGG_RO_COMP[],F$1,0),"ERROR")</f>
        <v>1216</v>
      </c>
      <c r="G66" s="225">
        <f t="shared" si="0"/>
        <v>0.15716686054026108</v>
      </c>
      <c r="H66" s="226">
        <f>IFERROR(VLOOKUP($B66,MMWR_TRAD_AGG_RO_COMP[],H$1,0),"ERROR")</f>
        <v>14948</v>
      </c>
      <c r="I66" s="224">
        <f>IFERROR(VLOOKUP($B66,MMWR_TRAD_AGG_RO_COMP[],I$1,0),"ERROR")</f>
        <v>10706</v>
      </c>
      <c r="J66" s="225">
        <f t="shared" si="1"/>
        <v>0.71621621621621623</v>
      </c>
      <c r="K66" s="227">
        <f>IFERROR(VLOOKUP($B66,MMWR_TRAD_AGG_RO_COMP[],K$1,0),"ERROR")</f>
        <v>4154</v>
      </c>
      <c r="L66" s="228">
        <f>IFERROR(VLOOKUP($B66,MMWR_TRAD_AGG_RO_COMP[],L$1,0),"ERROR")</f>
        <v>3795</v>
      </c>
      <c r="M66" s="225">
        <f t="shared" si="2"/>
        <v>0.91357727491574381</v>
      </c>
      <c r="N66" s="227">
        <f>IFERROR(VLOOKUP($B66,MMWR_TRAD_AGG_RO_COMP[],N$1,0),"ERROR")</f>
        <v>1759</v>
      </c>
      <c r="O66" s="228">
        <f>IFERROR(VLOOKUP($B66,MMWR_TRAD_AGG_RO_COMP[],O$1,0),"ERROR")</f>
        <v>1281</v>
      </c>
      <c r="P66" s="225">
        <f t="shared" si="3"/>
        <v>0.72825469016486644</v>
      </c>
      <c r="Q66" s="229">
        <f>IFERROR(VLOOKUP($B66,MMWR_TRAD_AGG_RO_COMP[],Q$1,0),"ERROR")</f>
        <v>0</v>
      </c>
      <c r="R66" s="229">
        <f>IFERROR(VLOOKUP($B66,MMWR_TRAD_AGG_RO_COMP[],R$1,0),"ERROR")</f>
        <v>340</v>
      </c>
      <c r="S66" s="203">
        <f>IFERROR(VLOOKUP($B66,MMWR_APP_RO[],S$1,0),"ERROR")</f>
        <v>10263</v>
      </c>
      <c r="T66" s="28"/>
    </row>
    <row r="67" spans="1:20" x14ac:dyDescent="0.2">
      <c r="A67" s="28"/>
      <c r="B67" s="108" t="s">
        <v>61</v>
      </c>
      <c r="C67" s="221">
        <f>IFERROR(VLOOKUP($B67,MMWR_TRAD_AGG_RO_COMP[],C$1,0),"ERROR")</f>
        <v>5705</v>
      </c>
      <c r="D67" s="222">
        <f>IFERROR(VLOOKUP($B67,MMWR_TRAD_AGG_RO_COMP[],D$1,0),"ERROR")</f>
        <v>224.54934268189999</v>
      </c>
      <c r="E67" s="223">
        <f>IFERROR(VLOOKUP($B67,MMWR_TRAD_AGG_RO_COMP[],E$1,0),"ERROR")</f>
        <v>9921</v>
      </c>
      <c r="F67" s="224">
        <f>IFERROR(VLOOKUP($B67,MMWR_TRAD_AGG_RO_COMP[],F$1,0),"ERROR")</f>
        <v>2098</v>
      </c>
      <c r="G67" s="225">
        <f t="shared" si="0"/>
        <v>0.21147061788126198</v>
      </c>
      <c r="H67" s="226">
        <f>IFERROR(VLOOKUP($B67,MMWR_TRAD_AGG_RO_COMP[],H$1,0),"ERROR")</f>
        <v>9271</v>
      </c>
      <c r="I67" s="224">
        <f>IFERROR(VLOOKUP($B67,MMWR_TRAD_AGG_RO_COMP[],I$1,0),"ERROR")</f>
        <v>4762</v>
      </c>
      <c r="J67" s="225">
        <f t="shared" si="1"/>
        <v>0.51364469852227379</v>
      </c>
      <c r="K67" s="227">
        <f>IFERROR(VLOOKUP($B67,MMWR_TRAD_AGG_RO_COMP[],K$1,0),"ERROR")</f>
        <v>1955</v>
      </c>
      <c r="L67" s="228">
        <f>IFERROR(VLOOKUP($B67,MMWR_TRAD_AGG_RO_COMP[],L$1,0),"ERROR")</f>
        <v>1761</v>
      </c>
      <c r="M67" s="225">
        <f t="shared" si="2"/>
        <v>0.90076726342711</v>
      </c>
      <c r="N67" s="227">
        <f>IFERROR(VLOOKUP($B67,MMWR_TRAD_AGG_RO_COMP[],N$1,0),"ERROR")</f>
        <v>1371</v>
      </c>
      <c r="O67" s="228">
        <f>IFERROR(VLOOKUP($B67,MMWR_TRAD_AGG_RO_COMP[],O$1,0),"ERROR")</f>
        <v>1025</v>
      </c>
      <c r="P67" s="225">
        <f t="shared" si="3"/>
        <v>0.74762946754194015</v>
      </c>
      <c r="Q67" s="229">
        <f>IFERROR(VLOOKUP($B67,MMWR_TRAD_AGG_RO_COMP[],Q$1,0),"ERROR")</f>
        <v>5</v>
      </c>
      <c r="R67" s="229">
        <f>IFERROR(VLOOKUP($B67,MMWR_TRAD_AGG_RO_COMP[],R$1,0),"ERROR")</f>
        <v>229</v>
      </c>
      <c r="S67" s="203">
        <f>IFERROR(VLOOKUP($B67,MMWR_APP_RO[],S$1,0),"ERROR")</f>
        <v>6298</v>
      </c>
      <c r="T67" s="28"/>
    </row>
    <row r="68" spans="1:20" x14ac:dyDescent="0.2">
      <c r="A68" s="28"/>
      <c r="B68" s="108" t="s">
        <v>75</v>
      </c>
      <c r="C68" s="221">
        <f>IFERROR(VLOOKUP($B68,MMWR_TRAD_AGG_RO_COMP[],C$1,0),"ERROR")</f>
        <v>2569</v>
      </c>
      <c r="D68" s="222">
        <f>IFERROR(VLOOKUP($B68,MMWR_TRAD_AGG_RO_COMP[],D$1,0),"ERROR")</f>
        <v>338.90346438300003</v>
      </c>
      <c r="E68" s="223">
        <f>IFERROR(VLOOKUP($B68,MMWR_TRAD_AGG_RO_COMP[],E$1,0),"ERROR")</f>
        <v>3158</v>
      </c>
      <c r="F68" s="224">
        <f>IFERROR(VLOOKUP($B68,MMWR_TRAD_AGG_RO_COMP[],F$1,0),"ERROR")</f>
        <v>650</v>
      </c>
      <c r="G68" s="225">
        <f t="shared" si="0"/>
        <v>0.20582647245091831</v>
      </c>
      <c r="H68" s="226">
        <f>IFERROR(VLOOKUP($B68,MMWR_TRAD_AGG_RO_COMP[],H$1,0),"ERROR")</f>
        <v>3882</v>
      </c>
      <c r="I68" s="224">
        <f>IFERROR(VLOOKUP($B68,MMWR_TRAD_AGG_RO_COMP[],I$1,0),"ERROR")</f>
        <v>2926</v>
      </c>
      <c r="J68" s="225">
        <f t="shared" si="1"/>
        <v>0.75373518804739825</v>
      </c>
      <c r="K68" s="227">
        <f>IFERROR(VLOOKUP($B68,MMWR_TRAD_AGG_RO_COMP[],K$1,0),"ERROR")</f>
        <v>661</v>
      </c>
      <c r="L68" s="228">
        <f>IFERROR(VLOOKUP($B68,MMWR_TRAD_AGG_RO_COMP[],L$1,0),"ERROR")</f>
        <v>610</v>
      </c>
      <c r="M68" s="225">
        <f t="shared" si="2"/>
        <v>0.9228441754916793</v>
      </c>
      <c r="N68" s="227">
        <f>IFERROR(VLOOKUP($B68,MMWR_TRAD_AGG_RO_COMP[],N$1,0),"ERROR")</f>
        <v>877</v>
      </c>
      <c r="O68" s="228">
        <f>IFERROR(VLOOKUP($B68,MMWR_TRAD_AGG_RO_COMP[],O$1,0),"ERROR")</f>
        <v>564</v>
      </c>
      <c r="P68" s="225">
        <f t="shared" si="3"/>
        <v>0.64310148232611175</v>
      </c>
      <c r="Q68" s="229">
        <f>IFERROR(VLOOKUP($B68,MMWR_TRAD_AGG_RO_COMP[],Q$1,0),"ERROR")</f>
        <v>0</v>
      </c>
      <c r="R68" s="229">
        <f>IFERROR(VLOOKUP($B68,MMWR_TRAD_AGG_RO_COMP[],R$1,0),"ERROR")</f>
        <v>1</v>
      </c>
      <c r="S68" s="203">
        <f>IFERROR(VLOOKUP($B68,MMWR_APP_RO[],S$1,0),"ERROR")</f>
        <v>6296</v>
      </c>
      <c r="T68" s="28"/>
    </row>
    <row r="69" spans="1:20" x14ac:dyDescent="0.2">
      <c r="A69" s="28"/>
      <c r="B69" s="116" t="s">
        <v>80</v>
      </c>
      <c r="C69" s="230">
        <f>IFERROR(VLOOKUP($B69,MMWR_TRAD_AGG_RO_COMP[],C$1,0),"ERROR")</f>
        <v>16177</v>
      </c>
      <c r="D69" s="231">
        <f>IFERROR(VLOOKUP($B69,MMWR_TRAD_AGG_RO_COMP[],D$1,0),"ERROR")</f>
        <v>285.53260802369999</v>
      </c>
      <c r="E69" s="232">
        <f>IFERROR(VLOOKUP($B69,MMWR_TRAD_AGG_RO_COMP[],E$1,0),"ERROR")</f>
        <v>23062</v>
      </c>
      <c r="F69" s="233">
        <f>IFERROR(VLOOKUP($B69,MMWR_TRAD_AGG_RO_COMP[],F$1,0),"ERROR")</f>
        <v>5787</v>
      </c>
      <c r="G69" s="234">
        <f t="shared" si="0"/>
        <v>0.25093226953429887</v>
      </c>
      <c r="H69" s="235">
        <f>IFERROR(VLOOKUP($B69,MMWR_TRAD_AGG_RO_COMP[],H$1,0),"ERROR")</f>
        <v>19691</v>
      </c>
      <c r="I69" s="233">
        <f>IFERROR(VLOOKUP($B69,MMWR_TRAD_AGG_RO_COMP[],I$1,0),"ERROR")</f>
        <v>12239</v>
      </c>
      <c r="J69" s="234">
        <f t="shared" si="1"/>
        <v>0.62155299375349149</v>
      </c>
      <c r="K69" s="236">
        <f>IFERROR(VLOOKUP($B69,MMWR_TRAD_AGG_RO_COMP[],K$1,0),"ERROR")</f>
        <v>2525</v>
      </c>
      <c r="L69" s="237">
        <f>IFERROR(VLOOKUP($B69,MMWR_TRAD_AGG_RO_COMP[],L$1,0),"ERROR")</f>
        <v>1693</v>
      </c>
      <c r="M69" s="234">
        <f t="shared" si="2"/>
        <v>0.67049504950495054</v>
      </c>
      <c r="N69" s="236">
        <f>IFERROR(VLOOKUP($B69,MMWR_TRAD_AGG_RO_COMP[],N$1,0),"ERROR")</f>
        <v>9924</v>
      </c>
      <c r="O69" s="237">
        <f>IFERROR(VLOOKUP($B69,MMWR_TRAD_AGG_RO_COMP[],O$1,0),"ERROR")</f>
        <v>5626</v>
      </c>
      <c r="P69" s="234">
        <f t="shared" si="3"/>
        <v>0.56690850463522768</v>
      </c>
      <c r="Q69" s="238">
        <f>IFERROR(VLOOKUP($B69,MMWR_TRAD_AGG_RO_COMP[],Q$1,0),"ERROR")</f>
        <v>12</v>
      </c>
      <c r="R69" s="238">
        <f>IFERROR(VLOOKUP($B69,MMWR_TRAD_AGG_RO_COMP[],R$1,0),"ERROR")</f>
        <v>240</v>
      </c>
      <c r="S69" s="203">
        <f>IFERROR(VLOOKUP($B69,MMWR_APP_RO[],S$1,0),"ERROR")</f>
        <v>29308</v>
      </c>
      <c r="T69" s="28"/>
    </row>
    <row r="70" spans="1:20" x14ac:dyDescent="0.2">
      <c r="A70" s="28"/>
      <c r="B70" s="101" t="s">
        <v>8</v>
      </c>
      <c r="C70" s="214">
        <f>IFERROR(VLOOKUP($B70,MMWR_TRAD_AGG_RO_COMP[],C$1,0),"ERROR")</f>
        <v>53</v>
      </c>
      <c r="D70" s="199">
        <f>IFERROR(VLOOKUP($B70,MMWR_TRAD_AGG_RO_COMP[],D$1,0),"ERROR")</f>
        <v>889.90566037739995</v>
      </c>
      <c r="E70" s="215">
        <f>IFERROR(VLOOKUP($B70,MMWR_TRAD_AGG_RO_COMP[],E$1,0),"ERROR")</f>
        <v>2</v>
      </c>
      <c r="F70" s="220">
        <f>IFERROR(VLOOKUP($B70,MMWR_TRAD_AGG_RO_COMP[],F$1,0),"ERROR")</f>
        <v>0</v>
      </c>
      <c r="G70" s="216">
        <f>IFERROR(F70/E70,"0%")</f>
        <v>0</v>
      </c>
      <c r="H70" s="220">
        <f>IFERROR(VLOOKUP($B70,MMWR_TRAD_AGG_RO_COMP[],H$1,0),"ERROR")</f>
        <v>54</v>
      </c>
      <c r="I70" s="220">
        <f>IFERROR(VLOOKUP($B70,MMWR_TRAD_AGG_RO_COMP[],I$1,0),"ERROR")</f>
        <v>54</v>
      </c>
      <c r="J70" s="216">
        <f>IFERROR(I70/H70,"0%")</f>
        <v>1</v>
      </c>
      <c r="K70" s="214">
        <f>IFERROR(VLOOKUP($B70,MMWR_TRAD_AGG_RO_COMP[],K$1,0),"ERROR")</f>
        <v>2</v>
      </c>
      <c r="L70" s="214">
        <f>IFERROR(VLOOKUP($B70,MMWR_TRAD_AGG_RO_COMP[],L$1,0),"ERROR")</f>
        <v>1</v>
      </c>
      <c r="M70" s="216">
        <f>IFERROR(L70/K70,"0%")</f>
        <v>0.5</v>
      </c>
      <c r="N70" s="214">
        <f>IFERROR(VLOOKUP($B70,MMWR_TRAD_AGG_RO_COMP[],N$1,0),"ERROR")</f>
        <v>27246</v>
      </c>
      <c r="O70" s="214">
        <f>IFERROR(VLOOKUP($B70,MMWR_TRAD_AGG_RO_COMP[],O$1,0),"ERROR")</f>
        <v>9591</v>
      </c>
      <c r="P70" s="216">
        <f>IFERROR(O70/N70,"0%")</f>
        <v>0.35201497467518167</v>
      </c>
      <c r="Q70" s="214">
        <f>IFERROR(VLOOKUP($B70,MMWR_TRAD_AGG_RO_COMP[],Q$1,0),"ERROR")</f>
        <v>0</v>
      </c>
      <c r="R70" s="217">
        <f>IFERROR(VLOOKUP($B70,MMWR_TRAD_AGG_RO_COMP[],R$1,0),"ERROR")</f>
        <v>1</v>
      </c>
      <c r="S70" s="217">
        <f>IFERROR(VLOOKUP($B70,MMWR_APP_RO[],S$1,0),"ERROR")</f>
        <v>11286</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3" t="s">
        <v>494</v>
      </c>
      <c r="D72" s="454"/>
      <c r="E72" s="454"/>
      <c r="F72" s="454"/>
      <c r="G72" s="454"/>
      <c r="H72" s="454"/>
      <c r="I72" s="454"/>
      <c r="J72" s="454"/>
      <c r="K72" s="454"/>
      <c r="L72" s="454"/>
      <c r="M72" s="454"/>
      <c r="N72" s="454"/>
      <c r="O72" s="454"/>
      <c r="P72" s="454"/>
      <c r="Q72" s="454"/>
      <c r="R72" s="454"/>
      <c r="S72" s="455"/>
      <c r="T72" s="28"/>
    </row>
    <row r="73" spans="1:20" x14ac:dyDescent="0.2">
      <c r="A73" s="25"/>
      <c r="B73" s="117"/>
      <c r="C73" s="456" t="s">
        <v>231</v>
      </c>
      <c r="D73" s="457"/>
      <c r="E73" s="458" t="s">
        <v>211</v>
      </c>
      <c r="F73" s="459"/>
      <c r="G73" s="460"/>
      <c r="H73" s="458" t="s">
        <v>7</v>
      </c>
      <c r="I73" s="459"/>
      <c r="J73" s="460"/>
      <c r="K73" s="458" t="s">
        <v>33</v>
      </c>
      <c r="L73" s="459"/>
      <c r="M73" s="460"/>
      <c r="N73" s="458" t="s">
        <v>8</v>
      </c>
      <c r="O73" s="459"/>
      <c r="P73" s="460"/>
      <c r="Q73" s="81" t="s">
        <v>9</v>
      </c>
      <c r="R73" s="82" t="s">
        <v>10</v>
      </c>
      <c r="S73" s="82" t="s">
        <v>11</v>
      </c>
      <c r="T73" s="28"/>
    </row>
    <row r="74" spans="1:20" ht="38.25" x14ac:dyDescent="0.2">
      <c r="A74" s="91"/>
      <c r="B74" s="118"/>
      <c r="C74" s="84" t="s">
        <v>12</v>
      </c>
      <c r="D74" s="85" t="s">
        <v>140</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495</v>
      </c>
      <c r="T74" s="28"/>
    </row>
    <row r="75" spans="1:20" x14ac:dyDescent="0.2">
      <c r="A75" s="25"/>
      <c r="B75" s="101" t="s">
        <v>469</v>
      </c>
      <c r="C75" s="239">
        <f>IFERROR(VLOOKUP($B75,MMWR_TRAD_AGG_RO_PEN[],C$1,0),"ERROR")</f>
        <v>17031</v>
      </c>
      <c r="D75" s="240">
        <f>IFERROR(VLOOKUP($B75,MMWR_TRAD_AGG_RO_PEN[],D$1,0),"ERROR")</f>
        <v>98.579942457900003</v>
      </c>
      <c r="E75" s="239">
        <f>IFERROR(VLOOKUP($B75,MMWR_TRAD_AGG_RO_PEN[],E$1,0),"ERROR")</f>
        <v>29122</v>
      </c>
      <c r="F75" s="239">
        <f>IFERROR(VLOOKUP($B75,MMWR_TRAD_AGG_RO_PEN[],F$1,0),"ERROR")</f>
        <v>4281</v>
      </c>
      <c r="G75" s="241">
        <f>IFERROR(F75/E75,"0%")</f>
        <v>0.14700226632786209</v>
      </c>
      <c r="H75" s="239">
        <f>IFERROR(VLOOKUP($B75,MMWR_TRAD_AGG_RO_PEN[],H$1,0),"ERROR")</f>
        <v>26222</v>
      </c>
      <c r="I75" s="239">
        <f>IFERROR(VLOOKUP($B75,MMWR_TRAD_AGG_RO_PEN[],I$1,0),"ERROR")</f>
        <v>6694</v>
      </c>
      <c r="J75" s="241">
        <f>IFERROR(I75/H75,"0%")</f>
        <v>0.25528182442224084</v>
      </c>
      <c r="K75" s="239">
        <f>IFERROR(VLOOKUP($B75,MMWR_TRAD_AGG_RO_PEN[],K$1,0),"ERROR")</f>
        <v>658</v>
      </c>
      <c r="L75" s="239">
        <f>IFERROR(VLOOKUP($B75,MMWR_TRAD_AGG_RO_PEN[],L$1,0),"ERROR")</f>
        <v>611</v>
      </c>
      <c r="M75" s="241">
        <f>IFERROR(L75/K75,"0%")</f>
        <v>0.9285714285714286</v>
      </c>
      <c r="N75" s="239">
        <f>IFERROR(VLOOKUP($B75,MMWR_TRAD_AGG_RO_PEN[],N$1,0),"ERROR")</f>
        <v>1512</v>
      </c>
      <c r="O75" s="239">
        <f>IFERROR(VLOOKUP($B75,MMWR_TRAD_AGG_RO_PEN[],O$1,0),"ERROR")</f>
        <v>527</v>
      </c>
      <c r="P75" s="241">
        <f>IFERROR(O75/N75,"0%")</f>
        <v>0.34854497354497355</v>
      </c>
      <c r="Q75" s="239">
        <f>IFERROR(VLOOKUP($B75,MMWR_TRAD_AGG_RO_PEN[],Q$1,0),"ERROR")</f>
        <v>6950</v>
      </c>
      <c r="R75" s="242">
        <f>IFERROR(VLOOKUP($B75,MMWR_TRAD_AGG_RO_PEN[],R$1,0),"ERROR")</f>
        <v>5562</v>
      </c>
      <c r="S75" s="242">
        <f>IFERROR(VLOOKUP($B75,MMWR_APP_RO[],S$1,0),"ERROR")</f>
        <v>6380</v>
      </c>
      <c r="T75" s="28"/>
    </row>
    <row r="76" spans="1:20" x14ac:dyDescent="0.2">
      <c r="A76" s="107"/>
      <c r="B76" s="122" t="s">
        <v>216</v>
      </c>
      <c r="C76" s="243">
        <f>IFERROR(VLOOKUP($B76,MMWR_TRAD_AGG_RO_PEN[],C$1,0),"ERROR")</f>
        <v>12316</v>
      </c>
      <c r="D76" s="244">
        <f>IFERROR(VLOOKUP($B76,MMWR_TRAD_AGG_RO_PEN[],D$1,0),"ERROR")</f>
        <v>116.42042871060001</v>
      </c>
      <c r="E76" s="243">
        <f>IFERROR(VLOOKUP($B76,MMWR_TRAD_AGG_RO_PEN[],E$1,0),"ERROR")</f>
        <v>13768</v>
      </c>
      <c r="F76" s="243">
        <f>IFERROR(VLOOKUP($B76,MMWR_TRAD_AGG_RO_PEN[],F$1,0),"ERROR")</f>
        <v>3495</v>
      </c>
      <c r="G76" s="225">
        <f>IFERROR(F76/E76,"0%")</f>
        <v>0.25384950610110402</v>
      </c>
      <c r="H76" s="243">
        <f>IFERROR(VLOOKUP($B76,MMWR_TRAD_AGG_RO_PEN[],H$1,0),"ERROR")</f>
        <v>17550</v>
      </c>
      <c r="I76" s="243">
        <f>IFERROR(VLOOKUP($B76,MMWR_TRAD_AGG_RO_PEN[],I$1,0),"ERROR")</f>
        <v>6018</v>
      </c>
      <c r="J76" s="225">
        <f>IFERROR(I76/H76,"0%")</f>
        <v>0.3429059829059829</v>
      </c>
      <c r="K76" s="243">
        <f>IFERROR(VLOOKUP($B76,MMWR_TRAD_AGG_RO_PEN[],K$1,0),"ERROR")</f>
        <v>391</v>
      </c>
      <c r="L76" s="243">
        <f>IFERROR(VLOOKUP($B76,MMWR_TRAD_AGG_RO_PEN[],L$1,0),"ERROR")</f>
        <v>374</v>
      </c>
      <c r="M76" s="225">
        <f>IFERROR(L76/K76,"0%")</f>
        <v>0.95652173913043481</v>
      </c>
      <c r="N76" s="243">
        <f>IFERROR(VLOOKUP($B76,MMWR_TRAD_AGG_RO_PEN[],N$1,0),"ERROR")</f>
        <v>786</v>
      </c>
      <c r="O76" s="243">
        <f>IFERROR(VLOOKUP($B76,MMWR_TRAD_AGG_RO_PEN[],O$1,0),"ERROR")</f>
        <v>275</v>
      </c>
      <c r="P76" s="225">
        <f>IFERROR(O76/N76,"0%")</f>
        <v>0.34987277353689566</v>
      </c>
      <c r="Q76" s="243">
        <f>IFERROR(VLOOKUP($B76,MMWR_TRAD_AGG_RO_PEN[],Q$1,0),"ERROR")</f>
        <v>1446</v>
      </c>
      <c r="R76" s="243">
        <f>IFERROR(VLOOKUP($B76,MMWR_TRAD_AGG_RO_PEN[],R$1,0),"ERROR")</f>
        <v>3878</v>
      </c>
      <c r="S76" s="245">
        <f>IFERROR(VLOOKUP($B76,MMWR_APP_RO[],S$1,0),"ERROR")</f>
        <v>2454</v>
      </c>
      <c r="T76" s="28"/>
    </row>
    <row r="77" spans="1:20" x14ac:dyDescent="0.2">
      <c r="A77" s="107"/>
      <c r="B77" s="122" t="s">
        <v>215</v>
      </c>
      <c r="C77" s="243">
        <f>IFERROR(VLOOKUP($B77,MMWR_TRAD_AGG_RO_PEN[],C$1,0),"ERROR")</f>
        <v>3066</v>
      </c>
      <c r="D77" s="244">
        <f>IFERROR(VLOOKUP($B77,MMWR_TRAD_AGG_RO_PEN[],D$1,0),"ERROR")</f>
        <v>60.368558382300002</v>
      </c>
      <c r="E77" s="243">
        <f>IFERROR(VLOOKUP($B77,MMWR_TRAD_AGG_RO_PEN[],E$1,0),"ERROR")</f>
        <v>8000</v>
      </c>
      <c r="F77" s="243">
        <f>IFERROR(VLOOKUP($B77,MMWR_TRAD_AGG_RO_PEN[],F$1,0),"ERROR")</f>
        <v>505</v>
      </c>
      <c r="G77" s="225">
        <f>IFERROR(F77/E77,"0%")</f>
        <v>6.3125000000000001E-2</v>
      </c>
      <c r="H77" s="243">
        <f>IFERROR(VLOOKUP($B77,MMWR_TRAD_AGG_RO_PEN[],H$1,0),"ERROR")</f>
        <v>5263</v>
      </c>
      <c r="I77" s="243">
        <f>IFERROR(VLOOKUP($B77,MMWR_TRAD_AGG_RO_PEN[],I$1,0),"ERROR")</f>
        <v>311</v>
      </c>
      <c r="J77" s="225">
        <f>IFERROR(I77/H77,"0%")</f>
        <v>5.9091772753182593E-2</v>
      </c>
      <c r="K77" s="243">
        <f>IFERROR(VLOOKUP($B77,MMWR_TRAD_AGG_RO_PEN[],K$1,0),"ERROR")</f>
        <v>6</v>
      </c>
      <c r="L77" s="243">
        <f>IFERROR(VLOOKUP($B77,MMWR_TRAD_AGG_RO_PEN[],L$1,0),"ERROR")</f>
        <v>6</v>
      </c>
      <c r="M77" s="225">
        <f>IFERROR(L77/K77,"0%")</f>
        <v>1</v>
      </c>
      <c r="N77" s="243">
        <f>IFERROR(VLOOKUP($B77,MMWR_TRAD_AGG_RO_PEN[],N$1,0),"ERROR")</f>
        <v>404</v>
      </c>
      <c r="O77" s="243">
        <f>IFERROR(VLOOKUP($B77,MMWR_TRAD_AGG_RO_PEN[],O$1,0),"ERROR")</f>
        <v>64</v>
      </c>
      <c r="P77" s="225">
        <f>IFERROR(O77/N77,"0%")</f>
        <v>0.15841584158415842</v>
      </c>
      <c r="Q77" s="243">
        <f>IFERROR(VLOOKUP($B77,MMWR_TRAD_AGG_RO_PEN[],Q$1,0),"ERROR")</f>
        <v>1134</v>
      </c>
      <c r="R77" s="243">
        <f>IFERROR(VLOOKUP($B77,MMWR_TRAD_AGG_RO_PEN[],R$1,0),"ERROR")</f>
        <v>727</v>
      </c>
      <c r="S77" s="245">
        <f>IFERROR(VLOOKUP($B77,MMWR_APP_RO[],S$1,0),"ERROR")</f>
        <v>2208</v>
      </c>
      <c r="T77" s="28"/>
    </row>
    <row r="78" spans="1:20" x14ac:dyDescent="0.2">
      <c r="A78" s="107"/>
      <c r="B78" s="122" t="s">
        <v>218</v>
      </c>
      <c r="C78" s="243">
        <f>IFERROR(VLOOKUP($B78,MMWR_TRAD_AGG_RO_PEN[],C$1,0),"ERROR")</f>
        <v>1649</v>
      </c>
      <c r="D78" s="244">
        <f>IFERROR(VLOOKUP($B78,MMWR_TRAD_AGG_RO_PEN[],D$1,0),"ERROR")</f>
        <v>36.380230442699997</v>
      </c>
      <c r="E78" s="243">
        <f>IFERROR(VLOOKUP($B78,MMWR_TRAD_AGG_RO_PEN[],E$1,0),"ERROR")</f>
        <v>7139</v>
      </c>
      <c r="F78" s="243">
        <f>IFERROR(VLOOKUP($B78,MMWR_TRAD_AGG_RO_PEN[],F$1,0),"ERROR")</f>
        <v>204</v>
      </c>
      <c r="G78" s="225">
        <f>IFERROR(F78/E78,"0%")</f>
        <v>2.8575430732595601E-2</v>
      </c>
      <c r="H78" s="243">
        <f>IFERROR(VLOOKUP($B78,MMWR_TRAD_AGG_RO_PEN[],H$1,0),"ERROR")</f>
        <v>2936</v>
      </c>
      <c r="I78" s="243">
        <f>IFERROR(VLOOKUP($B78,MMWR_TRAD_AGG_RO_PEN[],I$1,0),"ERROR")</f>
        <v>30</v>
      </c>
      <c r="J78" s="225">
        <f>IFERROR(I78/H78,"0%")</f>
        <v>1.0217983651226158E-2</v>
      </c>
      <c r="K78" s="243">
        <f>IFERROR(VLOOKUP($B78,MMWR_TRAD_AGG_RO_PEN[],K$1,0),"ERROR")</f>
        <v>29</v>
      </c>
      <c r="L78" s="243">
        <f>IFERROR(VLOOKUP($B78,MMWR_TRAD_AGG_RO_PEN[],L$1,0),"ERROR")</f>
        <v>4</v>
      </c>
      <c r="M78" s="225">
        <f>IFERROR(L78/K78,"0%")</f>
        <v>0.13793103448275862</v>
      </c>
      <c r="N78" s="243">
        <f>IFERROR(VLOOKUP($B78,MMWR_TRAD_AGG_RO_PEN[],N$1,0),"ERROR")</f>
        <v>117</v>
      </c>
      <c r="O78" s="243">
        <f>IFERROR(VLOOKUP($B78,MMWR_TRAD_AGG_RO_PEN[],O$1,0),"ERROR")</f>
        <v>34</v>
      </c>
      <c r="P78" s="225">
        <f>IFERROR(O78/N78,"0%")</f>
        <v>0.29059829059829062</v>
      </c>
      <c r="Q78" s="243">
        <f>IFERROR(VLOOKUP($B78,MMWR_TRAD_AGG_RO_PEN[],Q$1,0),"ERROR")</f>
        <v>4349</v>
      </c>
      <c r="R78" s="243">
        <f>IFERROR(VLOOKUP($B78,MMWR_TRAD_AGG_RO_PEN[],R$1,0),"ERROR")</f>
        <v>957</v>
      </c>
      <c r="S78" s="245">
        <f>IFERROR(VLOOKUP($B78,MMWR_APP_RO[],S$1,0),"ERROR")</f>
        <v>1718</v>
      </c>
      <c r="T78" s="28"/>
    </row>
    <row r="79" spans="1:20" x14ac:dyDescent="0.2">
      <c r="A79" s="92"/>
      <c r="B79" s="101" t="s">
        <v>230</v>
      </c>
      <c r="C79" s="220">
        <f>IFERROR(VLOOKUP($B79,MMWR_TRAD_AGG_RO_PEN[],C$1,0),"ERROR")</f>
        <v>0</v>
      </c>
      <c r="D79" s="191">
        <f>IFERROR(VLOOKUP($B79,MMWR_TRAD_AGG_RO_PEN[],D$1,0),"ERROR")</f>
        <v>0</v>
      </c>
      <c r="E79" s="220">
        <f>IFERROR(VLOOKUP($B79,MMWR_TRAD_AGG_RO_PEN[],E$1,0),"ERROR")</f>
        <v>215</v>
      </c>
      <c r="F79" s="220">
        <f>IFERROR(VLOOKUP($B79,MMWR_TRAD_AGG_RO_PEN[],F$1,0),"ERROR")</f>
        <v>77</v>
      </c>
      <c r="G79" s="216">
        <f>IFERROR(F79/E79,"0%")</f>
        <v>0.35813953488372091</v>
      </c>
      <c r="H79" s="220">
        <f>IFERROR(VLOOKUP($B79,MMWR_TRAD_AGG_RO_PEN[],H$1,0),"ERROR")</f>
        <v>473</v>
      </c>
      <c r="I79" s="220">
        <f>IFERROR(VLOOKUP($B79,MMWR_TRAD_AGG_RO_PEN[],I$1,0),"ERROR")</f>
        <v>335</v>
      </c>
      <c r="J79" s="216">
        <f>IFERROR(I79/H79,"0%")</f>
        <v>0.70824524312896409</v>
      </c>
      <c r="K79" s="220">
        <f>IFERROR(VLOOKUP($B79,MMWR_TRAD_AGG_RO_PEN[],K$1,0),"ERROR")</f>
        <v>232</v>
      </c>
      <c r="L79" s="220">
        <f>IFERROR(VLOOKUP($B79,MMWR_TRAD_AGG_RO_PEN[],L$1,0),"ERROR")</f>
        <v>227</v>
      </c>
      <c r="M79" s="216">
        <f>IFERROR(L79/K79,"0%")</f>
        <v>0.97844827586206895</v>
      </c>
      <c r="N79" s="220">
        <f>IFERROR(VLOOKUP($B79,MMWR_TRAD_AGG_RO_PEN[],N$1,0),"ERROR")</f>
        <v>205</v>
      </c>
      <c r="O79" s="220">
        <f>IFERROR(VLOOKUP($B79,MMWR_TRAD_AGG_RO_PEN[],O$1,0),"ERROR")</f>
        <v>154</v>
      </c>
      <c r="P79" s="216">
        <f>IFERROR(O79/N79,"0%")</f>
        <v>0.75121951219512195</v>
      </c>
      <c r="Q79" s="220">
        <f>IFERROR(VLOOKUP($B79,MMWR_TRAD_AGG_RO_PEN[],Q$1,0),"ERROR")</f>
        <v>21</v>
      </c>
      <c r="R79" s="246">
        <f>IFERROR(VLOOKUP($B79,MMWR_TRAD_AGG_RO_PEN[],R$1,0),"ERROR")</f>
        <v>0</v>
      </c>
      <c r="S79" s="246"/>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5:S5"/>
    <mergeCell ref="C72:S72"/>
    <mergeCell ref="C73:D73"/>
    <mergeCell ref="E73:G73"/>
    <mergeCell ref="H73:J73"/>
    <mergeCell ref="K73:M73"/>
    <mergeCell ref="N73:P73"/>
    <mergeCell ref="C2:S2"/>
    <mergeCell ref="C3:D3"/>
    <mergeCell ref="E3:G3"/>
    <mergeCell ref="H3:J3"/>
    <mergeCell ref="K3:M3"/>
    <mergeCell ref="N3:P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3" t="str">
        <f>UPPER("INVENTORY BY STATE "&amp;Transformation!B4)</f>
        <v>INVENTORY BY STATE AS OF: OCTOBER 31, 2015</v>
      </c>
      <c r="D2" s="454"/>
      <c r="E2" s="454"/>
      <c r="F2" s="454"/>
      <c r="G2" s="454"/>
      <c r="H2" s="454"/>
      <c r="I2" s="454"/>
      <c r="J2" s="454"/>
      <c r="K2" s="454"/>
      <c r="L2" s="454"/>
      <c r="M2" s="454"/>
      <c r="N2" s="454"/>
      <c r="O2" s="454"/>
      <c r="P2" s="454"/>
      <c r="Q2" s="454"/>
      <c r="R2" s="454"/>
      <c r="S2" s="455"/>
      <c r="T2" s="28"/>
    </row>
    <row r="3" spans="1:20" s="123" customFormat="1" x14ac:dyDescent="0.2">
      <c r="A3" s="25"/>
      <c r="B3" s="26"/>
      <c r="C3" s="461" t="s">
        <v>231</v>
      </c>
      <c r="D3" s="461"/>
      <c r="E3" s="458" t="s">
        <v>211</v>
      </c>
      <c r="F3" s="459"/>
      <c r="G3" s="460"/>
      <c r="H3" s="458" t="s">
        <v>7</v>
      </c>
      <c r="I3" s="459"/>
      <c r="J3" s="460"/>
      <c r="K3" s="458" t="s">
        <v>33</v>
      </c>
      <c r="L3" s="459"/>
      <c r="M3" s="460"/>
      <c r="N3" s="458" t="s">
        <v>8</v>
      </c>
      <c r="O3" s="459"/>
      <c r="P3" s="460"/>
      <c r="Q3" s="81" t="s">
        <v>9</v>
      </c>
      <c r="R3" s="82" t="s">
        <v>10</v>
      </c>
      <c r="S3" s="82" t="s">
        <v>11</v>
      </c>
      <c r="T3" s="28"/>
    </row>
    <row r="4" spans="1:20" s="123" customFormat="1" ht="38.25" x14ac:dyDescent="0.2">
      <c r="A4" s="83"/>
      <c r="B4" s="54"/>
      <c r="C4" s="84" t="s">
        <v>12</v>
      </c>
      <c r="D4" s="85" t="s">
        <v>140</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495</v>
      </c>
      <c r="T4" s="28"/>
    </row>
    <row r="5" spans="1:20" s="123" customFormat="1" ht="26.25" x14ac:dyDescent="0.4">
      <c r="A5" s="25"/>
      <c r="B5" s="124"/>
      <c r="C5" s="453" t="s">
        <v>493</v>
      </c>
      <c r="D5" s="454"/>
      <c r="E5" s="454"/>
      <c r="F5" s="454"/>
      <c r="G5" s="454"/>
      <c r="H5" s="454"/>
      <c r="I5" s="454"/>
      <c r="J5" s="454"/>
      <c r="K5" s="454"/>
      <c r="L5" s="454"/>
      <c r="M5" s="454"/>
      <c r="N5" s="454"/>
      <c r="O5" s="454"/>
      <c r="P5" s="454"/>
      <c r="Q5" s="454"/>
      <c r="R5" s="454"/>
      <c r="S5" s="455"/>
      <c r="T5" s="28"/>
    </row>
    <row r="6" spans="1:20" s="123" customFormat="1" x14ac:dyDescent="0.2">
      <c r="A6" s="92"/>
      <c r="B6" s="125" t="s">
        <v>468</v>
      </c>
      <c r="C6" s="94">
        <f>IFERROR(VLOOKUP($B6,MMWR_TRAD_AGG_ST_DISTRICT_COMP[],C$1,0),"ERROR")</f>
        <v>341272</v>
      </c>
      <c r="D6" s="95">
        <f>IFERROR(VLOOKUP($B6,MMWR_TRAD_AGG_ST_DISTRICT_COMP[],D$1,0),"ERROR")</f>
        <v>378.12547176449999</v>
      </c>
      <c r="E6" s="96">
        <f>IFERROR(VLOOKUP($B6,MMWR_TRAD_AGG_ST_DISTRICT_COMP[],E$1,0),"ERROR")</f>
        <v>339836</v>
      </c>
      <c r="F6" s="97">
        <f>IFERROR(VLOOKUP($B6,MMWR_TRAD_AGG_ST_DISTRICT_COMP[],F$1,0),"ERROR")</f>
        <v>72906</v>
      </c>
      <c r="G6" s="98">
        <f t="shared" ref="G6:G37" si="0">IFERROR(F6/E6,"0%")</f>
        <v>0.2145328923363034</v>
      </c>
      <c r="H6" s="96">
        <f>IFERROR(VLOOKUP($B6,MMWR_TRAD_AGG_ST_DISTRICT_COMP[],H$1,0),"ERROR")</f>
        <v>490877</v>
      </c>
      <c r="I6" s="97">
        <f>IFERROR(VLOOKUP($B6,MMWR_TRAD_AGG_ST_DISTRICT_COMP[],I$1,0),"ERROR")</f>
        <v>309926</v>
      </c>
      <c r="J6" s="99">
        <f t="shared" ref="J6:J37" si="1">IFERROR(I6/H6,"0%")</f>
        <v>0.63137201376312191</v>
      </c>
      <c r="K6" s="96">
        <f>IFERROR(VLOOKUP($B6,MMWR_TRAD_AGG_ST_DISTRICT_COMP[],K$1,0),"ERROR")</f>
        <v>84416</v>
      </c>
      <c r="L6" s="97">
        <f>IFERROR(VLOOKUP($B6,MMWR_TRAD_AGG_ST_DISTRICT_COMP[],L$1,0),"ERROR")</f>
        <v>72553</v>
      </c>
      <c r="M6" s="99">
        <f t="shared" ref="M6:M37" si="2">IFERROR(L6/K6,"0%")</f>
        <v>0.85946976876421532</v>
      </c>
      <c r="N6" s="96">
        <f>IFERROR(VLOOKUP($B6,MMWR_TRAD_AGG_ST_DISTRICT_COMP[],N$1,0),"ERROR")</f>
        <v>136757</v>
      </c>
      <c r="O6" s="97">
        <f>IFERROR(VLOOKUP($B6,MMWR_TRAD_AGG_ST_DISTRICT_COMP[],O$1,0),"ERROR")</f>
        <v>85929</v>
      </c>
      <c r="P6" s="99">
        <f t="shared" ref="P6:P37" si="3">IFERROR(O6/N6,"0%")</f>
        <v>0.62833346739106588</v>
      </c>
      <c r="Q6" s="100">
        <f>IFERROR(VLOOKUP($B6,MMWR_TRAD_AGG_ST_DISTRICT_COMP[],Q$1,0),"ERROR")</f>
        <v>15985</v>
      </c>
      <c r="R6" s="100">
        <f>IFERROR(VLOOKUP($B6,MMWR_TRAD_AGG_ST_DISTRICT_COMP[],R$1,0),"ERROR")</f>
        <v>3973</v>
      </c>
      <c r="S6" s="100">
        <f>S7+S23+S36+S46+S56+S64</f>
        <v>310122</v>
      </c>
      <c r="T6" s="28"/>
    </row>
    <row r="7" spans="1:20" s="123" customFormat="1" x14ac:dyDescent="0.2">
      <c r="A7" s="92"/>
      <c r="B7" s="126" t="s">
        <v>376</v>
      </c>
      <c r="C7" s="102">
        <f>IF(SUM(C8:C22)&lt;&gt;VLOOKUP($B7,MMWR_TRAD_AGG_ST_DISTRICT_COMP[],C$1,0),"ERROR",
VLOOKUP($B7,MMWR_TRAD_AGG_ST_DISTRICT_COMP[],C$1,0))</f>
        <v>74617</v>
      </c>
      <c r="D7" s="103">
        <f>IFERROR(VLOOKUP($B7,MMWR_TRAD_AGG_ST_DISTRICT_COMP[],D$1,0),"ERROR")</f>
        <v>404.4174785907</v>
      </c>
      <c r="E7" s="102">
        <f>IF(SUM(E8:E22)&lt;&gt;VLOOKUP($B7,MMWR_TRAD_AGG_ST_DISTRICT_COMP[],E$1,0),"ERROR",
VLOOKUP($B7,MMWR_TRAD_AGG_ST_DISTRICT_COMP[],E$1,0))</f>
        <v>73851</v>
      </c>
      <c r="F7" s="102">
        <f>IFERROR(VLOOKUP($B7,MMWR_TRAD_AGG_ST_DISTRICT_COMP[],F$1,0),"ERROR")</f>
        <v>16598</v>
      </c>
      <c r="G7" s="104">
        <f t="shared" si="0"/>
        <v>0.22474983412546884</v>
      </c>
      <c r="H7" s="102">
        <f>IF(SUM(H8:H22)&lt;&gt;VLOOKUP($B7,MMWR_TRAD_AGG_ST_DISTRICT_COMP[],H$1,0),"ERROR",
VLOOKUP($B7,MMWR_TRAD_AGG_ST_DISTRICT_COMP[],H$1,0))</f>
        <v>105356</v>
      </c>
      <c r="I7" s="102">
        <f>IF(SUM(I8:I22)&lt;&gt;VLOOKUP($B7,MMWR_TRAD_AGG_ST_DISTRICT_COMP[],I$1,0),"ERROR",
VLOOKUP($B7,MMWR_TRAD_AGG_ST_DISTRICT_COMP[],I$1,0))</f>
        <v>67928</v>
      </c>
      <c r="J7" s="105">
        <f t="shared" si="1"/>
        <v>0.64474733285242414</v>
      </c>
      <c r="K7" s="102">
        <f>IF(SUM(K8:K22)&lt;&gt;VLOOKUP($B7,MMWR_TRAD_AGG_ST_DISTRICT_COMP[],K$1,0),"ERROR",
VLOOKUP($B7,MMWR_TRAD_AGG_ST_DISTRICT_COMP[],K$1,0))</f>
        <v>22229</v>
      </c>
      <c r="L7" s="102">
        <f>IF(SUM(L8:L22)&lt;&gt;VLOOKUP($B7,MMWR_TRAD_AGG_ST_DISTRICT_COMP[],L$1,0),"ERROR",
VLOOKUP($B7,MMWR_TRAD_AGG_ST_DISTRICT_COMP[],L$1,0))</f>
        <v>19021</v>
      </c>
      <c r="M7" s="105">
        <f t="shared" si="2"/>
        <v>0.85568401637500557</v>
      </c>
      <c r="N7" s="102">
        <f>IF(SUM(N8:N22)&lt;&gt;VLOOKUP($B7,MMWR_TRAD_AGG_ST_DISTRICT_COMP[],N$1,0),"ERROR",
VLOOKUP($B7,MMWR_TRAD_AGG_ST_DISTRICT_COMP[],N$1,0))</f>
        <v>31888</v>
      </c>
      <c r="O7" s="102">
        <f>IF(SUM(O8:O22)&lt;&gt;VLOOKUP($B7,MMWR_TRAD_AGG_ST_DISTRICT_COMP[],O$1,0),"ERROR",
VLOOKUP($B7,MMWR_TRAD_AGG_ST_DISTRICT_COMP[],O$1,0))</f>
        <v>23149</v>
      </c>
      <c r="P7" s="105">
        <f t="shared" si="3"/>
        <v>0.72594706472654291</v>
      </c>
      <c r="Q7" s="102">
        <f>IF(SUM(Q8:Q22)&lt;&gt;VLOOKUP($B7,MMWR_TRAD_AGG_ST_DISTRICT_COMP[],Q$1,0),"ERROR",
VLOOKUP($B7,MMWR_TRAD_AGG_ST_DISTRICT_COMP[],Q$1,0))</f>
        <v>7350</v>
      </c>
      <c r="R7" s="106">
        <f>IFERROR(VLOOKUP($B7,MMWR_TRAD_AGG_ST_DISTRICT_COMP[],R$1,0),"ERROR")</f>
        <v>112</v>
      </c>
      <c r="S7" s="106">
        <f>SUM(S8:S22)</f>
        <v>56102</v>
      </c>
      <c r="T7" s="28"/>
    </row>
    <row r="8" spans="1:20" s="123" customFormat="1" x14ac:dyDescent="0.2">
      <c r="A8" s="107"/>
      <c r="B8" s="127" t="s">
        <v>380</v>
      </c>
      <c r="C8" s="109">
        <f>IFERROR(VLOOKUP($B8,MMWR_TRAD_AGG_STATE_COMP[],C$1,0),"ERROR")</f>
        <v>1727</v>
      </c>
      <c r="D8" s="110">
        <f>IFERROR(VLOOKUP($B8,MMWR_TRAD_AGG_STATE_COMP[],D$1,0),"ERROR")</f>
        <v>285.76838448180001</v>
      </c>
      <c r="E8" s="111">
        <f>IFERROR(VLOOKUP($B8,MMWR_TRAD_AGG_STATE_COMP[],E$1,0),"ERROR")</f>
        <v>1842</v>
      </c>
      <c r="F8" s="112">
        <f>IFERROR(VLOOKUP($B8,MMWR_TRAD_AGG_STATE_COMP[],F$1,0),"ERROR")</f>
        <v>319</v>
      </c>
      <c r="G8" s="113">
        <f t="shared" si="0"/>
        <v>0.17318132464712269</v>
      </c>
      <c r="H8" s="111">
        <f>IFERROR(VLOOKUP($B8,MMWR_TRAD_AGG_STATE_COMP[],H$1,0),"ERROR")</f>
        <v>3439</v>
      </c>
      <c r="I8" s="112">
        <f>IFERROR(VLOOKUP($B8,MMWR_TRAD_AGG_STATE_COMP[],I$1,0),"ERROR")</f>
        <v>2123</v>
      </c>
      <c r="J8" s="114">
        <f t="shared" si="1"/>
        <v>0.61733061936609479</v>
      </c>
      <c r="K8" s="111">
        <f>IFERROR(VLOOKUP($B8,MMWR_TRAD_AGG_STATE_COMP[],K$1,0),"ERROR")</f>
        <v>389</v>
      </c>
      <c r="L8" s="112">
        <f>IFERROR(VLOOKUP($B8,MMWR_TRAD_AGG_STATE_COMP[],L$1,0),"ERROR")</f>
        <v>285</v>
      </c>
      <c r="M8" s="114">
        <f t="shared" si="2"/>
        <v>0.73264781491002573</v>
      </c>
      <c r="N8" s="111">
        <f>IFERROR(VLOOKUP($B8,MMWR_TRAD_AGG_STATE_COMP[],N$1,0),"ERROR")</f>
        <v>817</v>
      </c>
      <c r="O8" s="112">
        <f>IFERROR(VLOOKUP($B8,MMWR_TRAD_AGG_STATE_COMP[],O$1,0),"ERROR")</f>
        <v>571</v>
      </c>
      <c r="P8" s="114">
        <f t="shared" si="3"/>
        <v>0.69889840881272947</v>
      </c>
      <c r="Q8" s="115">
        <f>IFERROR(VLOOKUP($B8,MMWR_TRAD_AGG_STATE_COMP[],Q$1,0),"ERROR")</f>
        <v>252</v>
      </c>
      <c r="R8" s="115">
        <f>IFERROR(VLOOKUP($B8,MMWR_TRAD_AGG_STATE_COMP[],R$1,0),"ERROR")</f>
        <v>2</v>
      </c>
      <c r="S8" s="115">
        <f>IFERROR(VLOOKUP($B8,MMWR_APP_STATE_COMP[],S$1,0),"ERROR")</f>
        <v>935</v>
      </c>
      <c r="T8" s="28"/>
    </row>
    <row r="9" spans="1:20" s="123" customFormat="1" x14ac:dyDescent="0.2">
      <c r="A9" s="107"/>
      <c r="B9" s="127" t="s">
        <v>430</v>
      </c>
      <c r="C9" s="109">
        <f>IFERROR(VLOOKUP($B9,MMWR_TRAD_AGG_STATE_COMP[],C$1,0),"ERROR")</f>
        <v>971</v>
      </c>
      <c r="D9" s="110">
        <f>IFERROR(VLOOKUP($B9,MMWR_TRAD_AGG_STATE_COMP[],D$1,0),"ERROR")</f>
        <v>395.71987641610002</v>
      </c>
      <c r="E9" s="111">
        <f>IFERROR(VLOOKUP($B9,MMWR_TRAD_AGG_STATE_COMP[],E$1,0),"ERROR")</f>
        <v>942</v>
      </c>
      <c r="F9" s="112">
        <f>IFERROR(VLOOKUP($B9,MMWR_TRAD_AGG_STATE_COMP[],F$1,0),"ERROR")</f>
        <v>240</v>
      </c>
      <c r="G9" s="113">
        <f t="shared" si="0"/>
        <v>0.25477707006369427</v>
      </c>
      <c r="H9" s="111">
        <f>IFERROR(VLOOKUP($B9,MMWR_TRAD_AGG_STATE_COMP[],H$1,0),"ERROR")</f>
        <v>1245</v>
      </c>
      <c r="I9" s="112">
        <f>IFERROR(VLOOKUP($B9,MMWR_TRAD_AGG_STATE_COMP[],I$1,0),"ERROR")</f>
        <v>729</v>
      </c>
      <c r="J9" s="114">
        <f t="shared" si="1"/>
        <v>0.58554216867469877</v>
      </c>
      <c r="K9" s="111">
        <f>IFERROR(VLOOKUP($B9,MMWR_TRAD_AGG_STATE_COMP[],K$1,0),"ERROR")</f>
        <v>110</v>
      </c>
      <c r="L9" s="112">
        <f>IFERROR(VLOOKUP($B9,MMWR_TRAD_AGG_STATE_COMP[],L$1,0),"ERROR")</f>
        <v>90</v>
      </c>
      <c r="M9" s="114">
        <f t="shared" si="2"/>
        <v>0.81818181818181823</v>
      </c>
      <c r="N9" s="111">
        <f>IFERROR(VLOOKUP($B9,MMWR_TRAD_AGG_STATE_COMP[],N$1,0),"ERROR")</f>
        <v>283</v>
      </c>
      <c r="O9" s="112">
        <f>IFERROR(VLOOKUP($B9,MMWR_TRAD_AGG_STATE_COMP[],O$1,0),"ERROR")</f>
        <v>186</v>
      </c>
      <c r="P9" s="114">
        <f t="shared" si="3"/>
        <v>0.65724381625441697</v>
      </c>
      <c r="Q9" s="115">
        <f>IFERROR(VLOOKUP($B9,MMWR_TRAD_AGG_STATE_COMP[],Q$1,0),"ERROR")</f>
        <v>66</v>
      </c>
      <c r="R9" s="115">
        <f>IFERROR(VLOOKUP($B9,MMWR_TRAD_AGG_STATE_COMP[],R$1,0),"ERROR")</f>
        <v>1</v>
      </c>
      <c r="S9" s="115">
        <f>IFERROR(VLOOKUP($B9,MMWR_APP_STATE_COMP[],S$1,0),"ERROR")</f>
        <v>510</v>
      </c>
      <c r="T9" s="28"/>
    </row>
    <row r="10" spans="1:20" s="123" customFormat="1" x14ac:dyDescent="0.2">
      <c r="A10" s="107"/>
      <c r="B10" s="127" t="s">
        <v>421</v>
      </c>
      <c r="C10" s="109">
        <f>IFERROR(VLOOKUP($B10,MMWR_TRAD_AGG_STATE_COMP[],C$1,0),"ERROR")</f>
        <v>510</v>
      </c>
      <c r="D10" s="110">
        <f>IFERROR(VLOOKUP($B10,MMWR_TRAD_AGG_STATE_COMP[],D$1,0),"ERROR")</f>
        <v>488.08235294119999</v>
      </c>
      <c r="E10" s="111">
        <f>IFERROR(VLOOKUP($B10,MMWR_TRAD_AGG_STATE_COMP[],E$1,0),"ERROR")</f>
        <v>474</v>
      </c>
      <c r="F10" s="112">
        <f>IFERROR(VLOOKUP($B10,MMWR_TRAD_AGG_STATE_COMP[],F$1,0),"ERROR")</f>
        <v>97</v>
      </c>
      <c r="G10" s="113">
        <f t="shared" si="0"/>
        <v>0.20464135021097046</v>
      </c>
      <c r="H10" s="111">
        <f>IFERROR(VLOOKUP($B10,MMWR_TRAD_AGG_STATE_COMP[],H$1,0),"ERROR")</f>
        <v>698</v>
      </c>
      <c r="I10" s="112">
        <f>IFERROR(VLOOKUP($B10,MMWR_TRAD_AGG_STATE_COMP[],I$1,0),"ERROR")</f>
        <v>500</v>
      </c>
      <c r="J10" s="114">
        <f t="shared" si="1"/>
        <v>0.71633237822349571</v>
      </c>
      <c r="K10" s="111">
        <f>IFERROR(VLOOKUP($B10,MMWR_TRAD_AGG_STATE_COMP[],K$1,0),"ERROR")</f>
        <v>147</v>
      </c>
      <c r="L10" s="112">
        <f>IFERROR(VLOOKUP($B10,MMWR_TRAD_AGG_STATE_COMP[],L$1,0),"ERROR")</f>
        <v>127</v>
      </c>
      <c r="M10" s="114">
        <f t="shared" si="2"/>
        <v>0.86394557823129248</v>
      </c>
      <c r="N10" s="111">
        <f>IFERROR(VLOOKUP($B10,MMWR_TRAD_AGG_STATE_COMP[],N$1,0),"ERROR")</f>
        <v>312</v>
      </c>
      <c r="O10" s="112">
        <f>IFERROR(VLOOKUP($B10,MMWR_TRAD_AGG_STATE_COMP[],O$1,0),"ERROR")</f>
        <v>234</v>
      </c>
      <c r="P10" s="114">
        <f t="shared" si="3"/>
        <v>0.75</v>
      </c>
      <c r="Q10" s="115">
        <f>IFERROR(VLOOKUP($B10,MMWR_TRAD_AGG_STATE_COMP[],Q$1,0),"ERROR")</f>
        <v>26</v>
      </c>
      <c r="R10" s="115">
        <f>IFERROR(VLOOKUP($B10,MMWR_TRAD_AGG_STATE_COMP[],R$1,0),"ERROR")</f>
        <v>0</v>
      </c>
      <c r="S10" s="115">
        <f>IFERROR(VLOOKUP($B10,MMWR_APP_STATE_COMP[],S$1,0),"ERROR")</f>
        <v>591</v>
      </c>
      <c r="T10" s="28"/>
    </row>
    <row r="11" spans="1:20" s="123" customFormat="1" x14ac:dyDescent="0.2">
      <c r="A11" s="107"/>
      <c r="B11" s="127" t="s">
        <v>423</v>
      </c>
      <c r="C11" s="109">
        <f>IFERROR(VLOOKUP($B11,MMWR_TRAD_AGG_STATE_COMP[],C$1,0),"ERROR")</f>
        <v>1519</v>
      </c>
      <c r="D11" s="110">
        <f>IFERROR(VLOOKUP($B11,MMWR_TRAD_AGG_STATE_COMP[],D$1,0),"ERROR")</f>
        <v>280.70375246869997</v>
      </c>
      <c r="E11" s="111">
        <f>IFERROR(VLOOKUP($B11,MMWR_TRAD_AGG_STATE_COMP[],E$1,0),"ERROR")</f>
        <v>1150</v>
      </c>
      <c r="F11" s="112">
        <f>IFERROR(VLOOKUP($B11,MMWR_TRAD_AGG_STATE_COMP[],F$1,0),"ERROR")</f>
        <v>184</v>
      </c>
      <c r="G11" s="113">
        <f t="shared" si="0"/>
        <v>0.16</v>
      </c>
      <c r="H11" s="111">
        <f>IFERROR(VLOOKUP($B11,MMWR_TRAD_AGG_STATE_COMP[],H$1,0),"ERROR")</f>
        <v>2127</v>
      </c>
      <c r="I11" s="112">
        <f>IFERROR(VLOOKUP($B11,MMWR_TRAD_AGG_STATE_COMP[],I$1,0),"ERROR")</f>
        <v>1313</v>
      </c>
      <c r="J11" s="114">
        <f t="shared" si="1"/>
        <v>0.61730136342266106</v>
      </c>
      <c r="K11" s="111">
        <f>IFERROR(VLOOKUP($B11,MMWR_TRAD_AGG_STATE_COMP[],K$1,0),"ERROR")</f>
        <v>942</v>
      </c>
      <c r="L11" s="112">
        <f>IFERROR(VLOOKUP($B11,MMWR_TRAD_AGG_STATE_COMP[],L$1,0),"ERROR")</f>
        <v>791</v>
      </c>
      <c r="M11" s="114">
        <f t="shared" si="2"/>
        <v>0.83970276008492573</v>
      </c>
      <c r="N11" s="111">
        <f>IFERROR(VLOOKUP($B11,MMWR_TRAD_AGG_STATE_COMP[],N$1,0),"ERROR")</f>
        <v>319</v>
      </c>
      <c r="O11" s="112">
        <f>IFERROR(VLOOKUP($B11,MMWR_TRAD_AGG_STATE_COMP[],O$1,0),"ERROR")</f>
        <v>176</v>
      </c>
      <c r="P11" s="114">
        <f t="shared" si="3"/>
        <v>0.55172413793103448</v>
      </c>
      <c r="Q11" s="115">
        <f>IFERROR(VLOOKUP($B11,MMWR_TRAD_AGG_STATE_COMP[],Q$1,0),"ERROR")</f>
        <v>308</v>
      </c>
      <c r="R11" s="115">
        <f>IFERROR(VLOOKUP($B11,MMWR_TRAD_AGG_STATE_COMP[],R$1,0),"ERROR")</f>
        <v>2</v>
      </c>
      <c r="S11" s="115">
        <f>IFERROR(VLOOKUP($B11,MMWR_APP_STATE_COMP[],S$1,0),"ERROR")</f>
        <v>400</v>
      </c>
      <c r="T11" s="28"/>
    </row>
    <row r="12" spans="1:20" s="123" customFormat="1" x14ac:dyDescent="0.2">
      <c r="A12" s="107"/>
      <c r="B12" s="127" t="s">
        <v>383</v>
      </c>
      <c r="C12" s="109">
        <f>IFERROR(VLOOKUP($B12,MMWR_TRAD_AGG_STATE_COMP[],C$1,0),"ERROR")</f>
        <v>8947</v>
      </c>
      <c r="D12" s="110">
        <f>IFERROR(VLOOKUP($B12,MMWR_TRAD_AGG_STATE_COMP[],D$1,0),"ERROR")</f>
        <v>562.52486867109997</v>
      </c>
      <c r="E12" s="111">
        <f>IFERROR(VLOOKUP($B12,MMWR_TRAD_AGG_STATE_COMP[],E$1,0),"ERROR")</f>
        <v>5906</v>
      </c>
      <c r="F12" s="112">
        <f>IFERROR(VLOOKUP($B12,MMWR_TRAD_AGG_STATE_COMP[],F$1,0),"ERROR")</f>
        <v>1204</v>
      </c>
      <c r="G12" s="113">
        <f t="shared" si="0"/>
        <v>0.20386048086691499</v>
      </c>
      <c r="H12" s="111">
        <f>IFERROR(VLOOKUP($B12,MMWR_TRAD_AGG_STATE_COMP[],H$1,0),"ERROR")</f>
        <v>11656</v>
      </c>
      <c r="I12" s="112">
        <f>IFERROR(VLOOKUP($B12,MMWR_TRAD_AGG_STATE_COMP[],I$1,0),"ERROR")</f>
        <v>8492</v>
      </c>
      <c r="J12" s="114">
        <f t="shared" si="1"/>
        <v>0.72855181880576525</v>
      </c>
      <c r="K12" s="111">
        <f>IFERROR(VLOOKUP($B12,MMWR_TRAD_AGG_STATE_COMP[],K$1,0),"ERROR")</f>
        <v>2073</v>
      </c>
      <c r="L12" s="112">
        <f>IFERROR(VLOOKUP($B12,MMWR_TRAD_AGG_STATE_COMP[],L$1,0),"ERROR")</f>
        <v>1821</v>
      </c>
      <c r="M12" s="114">
        <f t="shared" si="2"/>
        <v>0.87843704775687415</v>
      </c>
      <c r="N12" s="111">
        <f>IFERROR(VLOOKUP($B12,MMWR_TRAD_AGG_STATE_COMP[],N$1,0),"ERROR")</f>
        <v>6563</v>
      </c>
      <c r="O12" s="112">
        <f>IFERROR(VLOOKUP($B12,MMWR_TRAD_AGG_STATE_COMP[],O$1,0),"ERROR")</f>
        <v>5280</v>
      </c>
      <c r="P12" s="114">
        <f t="shared" si="3"/>
        <v>0.80451013256132864</v>
      </c>
      <c r="Q12" s="115">
        <f>IFERROR(VLOOKUP($B12,MMWR_TRAD_AGG_STATE_COMP[],Q$1,0),"ERROR")</f>
        <v>395</v>
      </c>
      <c r="R12" s="115">
        <f>IFERROR(VLOOKUP($B12,MMWR_TRAD_AGG_STATE_COMP[],R$1,0),"ERROR")</f>
        <v>4</v>
      </c>
      <c r="S12" s="115">
        <f>IFERROR(VLOOKUP($B12,MMWR_APP_STATE_COMP[],S$1,0),"ERROR")</f>
        <v>5475</v>
      </c>
      <c r="T12" s="28"/>
    </row>
    <row r="13" spans="1:20" s="123" customFormat="1" x14ac:dyDescent="0.2">
      <c r="A13" s="107"/>
      <c r="B13" s="127" t="s">
        <v>378</v>
      </c>
      <c r="C13" s="109">
        <f>IFERROR(VLOOKUP($B13,MMWR_TRAD_AGG_STATE_COMP[],C$1,0),"ERROR")</f>
        <v>4859</v>
      </c>
      <c r="D13" s="110">
        <f>IFERROR(VLOOKUP($B13,MMWR_TRAD_AGG_STATE_COMP[],D$1,0),"ERROR")</f>
        <v>511.4754064622</v>
      </c>
      <c r="E13" s="111">
        <f>IFERROR(VLOOKUP($B13,MMWR_TRAD_AGG_STATE_COMP[],E$1,0),"ERROR")</f>
        <v>4431</v>
      </c>
      <c r="F13" s="112">
        <f>IFERROR(VLOOKUP($B13,MMWR_TRAD_AGG_STATE_COMP[],F$1,0),"ERROR")</f>
        <v>1070</v>
      </c>
      <c r="G13" s="113">
        <f t="shared" si="0"/>
        <v>0.24148047844730308</v>
      </c>
      <c r="H13" s="111">
        <f>IFERROR(VLOOKUP($B13,MMWR_TRAD_AGG_STATE_COMP[],H$1,0),"ERROR")</f>
        <v>7381</v>
      </c>
      <c r="I13" s="112">
        <f>IFERROR(VLOOKUP($B13,MMWR_TRAD_AGG_STATE_COMP[],I$1,0),"ERROR")</f>
        <v>4883</v>
      </c>
      <c r="J13" s="114">
        <f t="shared" si="1"/>
        <v>0.66156347378404012</v>
      </c>
      <c r="K13" s="111">
        <f>IFERROR(VLOOKUP($B13,MMWR_TRAD_AGG_STATE_COMP[],K$1,0),"ERROR")</f>
        <v>2587</v>
      </c>
      <c r="L13" s="112">
        <f>IFERROR(VLOOKUP($B13,MMWR_TRAD_AGG_STATE_COMP[],L$1,0),"ERROR")</f>
        <v>2204</v>
      </c>
      <c r="M13" s="114">
        <f t="shared" si="2"/>
        <v>0.85195206803247003</v>
      </c>
      <c r="N13" s="111">
        <f>IFERROR(VLOOKUP($B13,MMWR_TRAD_AGG_STATE_COMP[],N$1,0),"ERROR")</f>
        <v>1364</v>
      </c>
      <c r="O13" s="112">
        <f>IFERROR(VLOOKUP($B13,MMWR_TRAD_AGG_STATE_COMP[],O$1,0),"ERROR")</f>
        <v>1050</v>
      </c>
      <c r="P13" s="114">
        <f t="shared" si="3"/>
        <v>0.76979472140762462</v>
      </c>
      <c r="Q13" s="115">
        <f>IFERROR(VLOOKUP($B13,MMWR_TRAD_AGG_STATE_COMP[],Q$1,0),"ERROR")</f>
        <v>674</v>
      </c>
      <c r="R13" s="115">
        <f>IFERROR(VLOOKUP($B13,MMWR_TRAD_AGG_STATE_COMP[],R$1,0),"ERROR")</f>
        <v>6</v>
      </c>
      <c r="S13" s="115">
        <f>IFERROR(VLOOKUP($B13,MMWR_APP_STATE_COMP[],S$1,0),"ERROR")</f>
        <v>3497</v>
      </c>
      <c r="T13" s="28"/>
    </row>
    <row r="14" spans="1:20" s="123" customFormat="1" x14ac:dyDescent="0.2">
      <c r="A14" s="107"/>
      <c r="B14" s="127" t="s">
        <v>422</v>
      </c>
      <c r="C14" s="109">
        <f>IFERROR(VLOOKUP($B14,MMWR_TRAD_AGG_STATE_COMP[],C$1,0),"ERROR")</f>
        <v>1654</v>
      </c>
      <c r="D14" s="110">
        <f>IFERROR(VLOOKUP($B14,MMWR_TRAD_AGG_STATE_COMP[],D$1,0),"ERROR")</f>
        <v>389.57134220069997</v>
      </c>
      <c r="E14" s="111">
        <f>IFERROR(VLOOKUP($B14,MMWR_TRAD_AGG_STATE_COMP[],E$1,0),"ERROR")</f>
        <v>1311</v>
      </c>
      <c r="F14" s="112">
        <f>IFERROR(VLOOKUP($B14,MMWR_TRAD_AGG_STATE_COMP[],F$1,0),"ERROR")</f>
        <v>287</v>
      </c>
      <c r="G14" s="113">
        <f t="shared" si="0"/>
        <v>0.21891685736079328</v>
      </c>
      <c r="H14" s="111">
        <f>IFERROR(VLOOKUP($B14,MMWR_TRAD_AGG_STATE_COMP[],H$1,0),"ERROR")</f>
        <v>2329</v>
      </c>
      <c r="I14" s="112">
        <f>IFERROR(VLOOKUP($B14,MMWR_TRAD_AGG_STATE_COMP[],I$1,0),"ERROR")</f>
        <v>1466</v>
      </c>
      <c r="J14" s="114">
        <f t="shared" si="1"/>
        <v>0.62945470158866468</v>
      </c>
      <c r="K14" s="111">
        <f>IFERROR(VLOOKUP($B14,MMWR_TRAD_AGG_STATE_COMP[],K$1,0),"ERROR")</f>
        <v>538</v>
      </c>
      <c r="L14" s="112">
        <f>IFERROR(VLOOKUP($B14,MMWR_TRAD_AGG_STATE_COMP[],L$1,0),"ERROR")</f>
        <v>483</v>
      </c>
      <c r="M14" s="114">
        <f t="shared" si="2"/>
        <v>0.89776951672862448</v>
      </c>
      <c r="N14" s="111">
        <f>IFERROR(VLOOKUP($B14,MMWR_TRAD_AGG_STATE_COMP[],N$1,0),"ERROR")</f>
        <v>154</v>
      </c>
      <c r="O14" s="112">
        <f>IFERROR(VLOOKUP($B14,MMWR_TRAD_AGG_STATE_COMP[],O$1,0),"ERROR")</f>
        <v>101</v>
      </c>
      <c r="P14" s="114">
        <f t="shared" si="3"/>
        <v>0.6558441558441559</v>
      </c>
      <c r="Q14" s="115">
        <f>IFERROR(VLOOKUP($B14,MMWR_TRAD_AGG_STATE_COMP[],Q$1,0),"ERROR")</f>
        <v>140</v>
      </c>
      <c r="R14" s="115">
        <f>IFERROR(VLOOKUP($B14,MMWR_TRAD_AGG_STATE_COMP[],R$1,0),"ERROR")</f>
        <v>3</v>
      </c>
      <c r="S14" s="115">
        <f>IFERROR(VLOOKUP($B14,MMWR_APP_STATE_COMP[],S$1,0),"ERROR")</f>
        <v>706</v>
      </c>
      <c r="T14" s="28"/>
    </row>
    <row r="15" spans="1:20" s="123" customFormat="1" x14ac:dyDescent="0.2">
      <c r="A15" s="107"/>
      <c r="B15" s="127" t="s">
        <v>381</v>
      </c>
      <c r="C15" s="109">
        <f>IFERROR(VLOOKUP($B15,MMWR_TRAD_AGG_STATE_COMP[],C$1,0),"ERROR")</f>
        <v>2585</v>
      </c>
      <c r="D15" s="110">
        <f>IFERROR(VLOOKUP($B15,MMWR_TRAD_AGG_STATE_COMP[],D$1,0),"ERROR")</f>
        <v>284.86382978720002</v>
      </c>
      <c r="E15" s="111">
        <f>IFERROR(VLOOKUP($B15,MMWR_TRAD_AGG_STATE_COMP[],E$1,0),"ERROR")</f>
        <v>4076</v>
      </c>
      <c r="F15" s="112">
        <f>IFERROR(VLOOKUP($B15,MMWR_TRAD_AGG_STATE_COMP[],F$1,0),"ERROR")</f>
        <v>997</v>
      </c>
      <c r="G15" s="113">
        <f t="shared" si="0"/>
        <v>0.24460255152109911</v>
      </c>
      <c r="H15" s="111">
        <f>IFERROR(VLOOKUP($B15,MMWR_TRAD_AGG_STATE_COMP[],H$1,0),"ERROR")</f>
        <v>4156</v>
      </c>
      <c r="I15" s="112">
        <f>IFERROR(VLOOKUP($B15,MMWR_TRAD_AGG_STATE_COMP[],I$1,0),"ERROR")</f>
        <v>1990</v>
      </c>
      <c r="J15" s="114">
        <f t="shared" si="1"/>
        <v>0.47882579403272379</v>
      </c>
      <c r="K15" s="111">
        <f>IFERROR(VLOOKUP($B15,MMWR_TRAD_AGG_STATE_COMP[],K$1,0),"ERROR")</f>
        <v>878</v>
      </c>
      <c r="L15" s="112">
        <f>IFERROR(VLOOKUP($B15,MMWR_TRAD_AGG_STATE_COMP[],L$1,0),"ERROR")</f>
        <v>734</v>
      </c>
      <c r="M15" s="114">
        <f t="shared" si="2"/>
        <v>0.83599088838268798</v>
      </c>
      <c r="N15" s="111">
        <f>IFERROR(VLOOKUP($B15,MMWR_TRAD_AGG_STATE_COMP[],N$1,0),"ERROR")</f>
        <v>1997</v>
      </c>
      <c r="O15" s="112">
        <f>IFERROR(VLOOKUP($B15,MMWR_TRAD_AGG_STATE_COMP[],O$1,0),"ERROR")</f>
        <v>1256</v>
      </c>
      <c r="P15" s="114">
        <f t="shared" si="3"/>
        <v>0.62894341512268404</v>
      </c>
      <c r="Q15" s="115">
        <f>IFERROR(VLOOKUP($B15,MMWR_TRAD_AGG_STATE_COMP[],Q$1,0),"ERROR")</f>
        <v>629</v>
      </c>
      <c r="R15" s="115">
        <f>IFERROR(VLOOKUP($B15,MMWR_TRAD_AGG_STATE_COMP[],R$1,0),"ERROR")</f>
        <v>3</v>
      </c>
      <c r="S15" s="115">
        <f>IFERROR(VLOOKUP($B15,MMWR_APP_STATE_COMP[],S$1,0),"ERROR")</f>
        <v>4120</v>
      </c>
      <c r="T15" s="28"/>
    </row>
    <row r="16" spans="1:20" s="123" customFormat="1" x14ac:dyDescent="0.2">
      <c r="A16" s="107"/>
      <c r="B16" s="127" t="s">
        <v>63</v>
      </c>
      <c r="C16" s="109">
        <f>IFERROR(VLOOKUP($B16,MMWR_TRAD_AGG_STATE_COMP[],C$1,0),"ERROR")</f>
        <v>6560</v>
      </c>
      <c r="D16" s="110">
        <f>IFERROR(VLOOKUP($B16,MMWR_TRAD_AGG_STATE_COMP[],D$1,0),"ERROR")</f>
        <v>264.90807926830001</v>
      </c>
      <c r="E16" s="111">
        <f>IFERROR(VLOOKUP($B16,MMWR_TRAD_AGG_STATE_COMP[],E$1,0),"ERROR")</f>
        <v>9258</v>
      </c>
      <c r="F16" s="112">
        <f>IFERROR(VLOOKUP($B16,MMWR_TRAD_AGG_STATE_COMP[],F$1,0),"ERROR")</f>
        <v>1996</v>
      </c>
      <c r="G16" s="113">
        <f t="shared" si="0"/>
        <v>0.21559732123568806</v>
      </c>
      <c r="H16" s="111">
        <f>IFERROR(VLOOKUP($B16,MMWR_TRAD_AGG_STATE_COMP[],H$1,0),"ERROR")</f>
        <v>9782</v>
      </c>
      <c r="I16" s="112">
        <f>IFERROR(VLOOKUP($B16,MMWR_TRAD_AGG_STATE_COMP[],I$1,0),"ERROR")</f>
        <v>5541</v>
      </c>
      <c r="J16" s="114">
        <f t="shared" si="1"/>
        <v>0.56644857902269474</v>
      </c>
      <c r="K16" s="111">
        <f>IFERROR(VLOOKUP($B16,MMWR_TRAD_AGG_STATE_COMP[],K$1,0),"ERROR")</f>
        <v>2593</v>
      </c>
      <c r="L16" s="112">
        <f>IFERROR(VLOOKUP($B16,MMWR_TRAD_AGG_STATE_COMP[],L$1,0),"ERROR")</f>
        <v>2089</v>
      </c>
      <c r="M16" s="114">
        <f t="shared" si="2"/>
        <v>0.80563054377169308</v>
      </c>
      <c r="N16" s="111">
        <f>IFERROR(VLOOKUP($B16,MMWR_TRAD_AGG_STATE_COMP[],N$1,0),"ERROR")</f>
        <v>1720</v>
      </c>
      <c r="O16" s="112">
        <f>IFERROR(VLOOKUP($B16,MMWR_TRAD_AGG_STATE_COMP[],O$1,0),"ERROR")</f>
        <v>982</v>
      </c>
      <c r="P16" s="114">
        <f t="shared" si="3"/>
        <v>0.57093023255813957</v>
      </c>
      <c r="Q16" s="115">
        <f>IFERROR(VLOOKUP($B16,MMWR_TRAD_AGG_STATE_COMP[],Q$1,0),"ERROR")</f>
        <v>1329</v>
      </c>
      <c r="R16" s="115">
        <f>IFERROR(VLOOKUP($B16,MMWR_TRAD_AGG_STATE_COMP[],R$1,0),"ERROR")</f>
        <v>10</v>
      </c>
      <c r="S16" s="115">
        <f>IFERROR(VLOOKUP($B16,MMWR_APP_STATE_COMP[],S$1,0),"ERROR")</f>
        <v>5458</v>
      </c>
      <c r="T16" s="28"/>
    </row>
    <row r="17" spans="1:20" s="123" customFormat="1" x14ac:dyDescent="0.2">
      <c r="A17" s="107"/>
      <c r="B17" s="127" t="s">
        <v>389</v>
      </c>
      <c r="C17" s="109">
        <f>IFERROR(VLOOKUP($B17,MMWR_TRAD_AGG_STATE_COMP[],C$1,0),"ERROR")</f>
        <v>16373</v>
      </c>
      <c r="D17" s="110">
        <f>IFERROR(VLOOKUP($B17,MMWR_TRAD_AGG_STATE_COMP[],D$1,0),"ERROR")</f>
        <v>324.4748671593</v>
      </c>
      <c r="E17" s="111">
        <f>IFERROR(VLOOKUP($B17,MMWR_TRAD_AGG_STATE_COMP[],E$1,0),"ERROR")</f>
        <v>18694</v>
      </c>
      <c r="F17" s="112">
        <f>IFERROR(VLOOKUP($B17,MMWR_TRAD_AGG_STATE_COMP[],F$1,0),"ERROR")</f>
        <v>4515</v>
      </c>
      <c r="G17" s="113">
        <f t="shared" si="0"/>
        <v>0.24152134374665668</v>
      </c>
      <c r="H17" s="111">
        <f>IFERROR(VLOOKUP($B17,MMWR_TRAD_AGG_STATE_COMP[],H$1,0),"ERROR")</f>
        <v>22672</v>
      </c>
      <c r="I17" s="112">
        <f>IFERROR(VLOOKUP($B17,MMWR_TRAD_AGG_STATE_COMP[],I$1,0),"ERROR")</f>
        <v>14082</v>
      </c>
      <c r="J17" s="114">
        <f t="shared" si="1"/>
        <v>0.6211185603387438</v>
      </c>
      <c r="K17" s="111">
        <f>IFERROR(VLOOKUP($B17,MMWR_TRAD_AGG_STATE_COMP[],K$1,0),"ERROR")</f>
        <v>4272</v>
      </c>
      <c r="L17" s="112">
        <f>IFERROR(VLOOKUP($B17,MMWR_TRAD_AGG_STATE_COMP[],L$1,0),"ERROR")</f>
        <v>3595</v>
      </c>
      <c r="M17" s="114">
        <f t="shared" si="2"/>
        <v>0.84152621722846443</v>
      </c>
      <c r="N17" s="111">
        <f>IFERROR(VLOOKUP($B17,MMWR_TRAD_AGG_STATE_COMP[],N$1,0),"ERROR")</f>
        <v>5225</v>
      </c>
      <c r="O17" s="112">
        <f>IFERROR(VLOOKUP($B17,MMWR_TRAD_AGG_STATE_COMP[],O$1,0),"ERROR")</f>
        <v>3699</v>
      </c>
      <c r="P17" s="114">
        <f t="shared" si="3"/>
        <v>0.70794258373205743</v>
      </c>
      <c r="Q17" s="115">
        <f>IFERROR(VLOOKUP($B17,MMWR_TRAD_AGG_STATE_COMP[],Q$1,0),"ERROR")</f>
        <v>998</v>
      </c>
      <c r="R17" s="115">
        <f>IFERROR(VLOOKUP($B17,MMWR_TRAD_AGG_STATE_COMP[],R$1,0),"ERROR")</f>
        <v>36</v>
      </c>
      <c r="S17" s="115">
        <f>IFERROR(VLOOKUP($B17,MMWR_APP_STATE_COMP[],S$1,0),"ERROR")</f>
        <v>10229</v>
      </c>
      <c r="T17" s="28"/>
    </row>
    <row r="18" spans="1:20" s="123" customFormat="1" x14ac:dyDescent="0.2">
      <c r="A18" s="107"/>
      <c r="B18" s="127" t="s">
        <v>382</v>
      </c>
      <c r="C18" s="109">
        <f>IFERROR(VLOOKUP($B18,MMWR_TRAD_AGG_STATE_COMP[],C$1,0),"ERROR")</f>
        <v>7796</v>
      </c>
      <c r="D18" s="110">
        <f>IFERROR(VLOOKUP($B18,MMWR_TRAD_AGG_STATE_COMP[],D$1,0),"ERROR")</f>
        <v>403.76128783989998</v>
      </c>
      <c r="E18" s="111">
        <f>IFERROR(VLOOKUP($B18,MMWR_TRAD_AGG_STATE_COMP[],E$1,0),"ERROR")</f>
        <v>9221</v>
      </c>
      <c r="F18" s="112">
        <f>IFERROR(VLOOKUP($B18,MMWR_TRAD_AGG_STATE_COMP[],F$1,0),"ERROR")</f>
        <v>2689</v>
      </c>
      <c r="G18" s="113">
        <f t="shared" si="0"/>
        <v>0.29161696128402559</v>
      </c>
      <c r="H18" s="111">
        <f>IFERROR(VLOOKUP($B18,MMWR_TRAD_AGG_STATE_COMP[],H$1,0),"ERROR")</f>
        <v>11945</v>
      </c>
      <c r="I18" s="112">
        <f>IFERROR(VLOOKUP($B18,MMWR_TRAD_AGG_STATE_COMP[],I$1,0),"ERROR")</f>
        <v>8012</v>
      </c>
      <c r="J18" s="114">
        <f t="shared" si="1"/>
        <v>0.67074089577228968</v>
      </c>
      <c r="K18" s="111">
        <f>IFERROR(VLOOKUP($B18,MMWR_TRAD_AGG_STATE_COMP[],K$1,0),"ERROR")</f>
        <v>1062</v>
      </c>
      <c r="L18" s="112">
        <f>IFERROR(VLOOKUP($B18,MMWR_TRAD_AGG_STATE_COMP[],L$1,0),"ERROR")</f>
        <v>797</v>
      </c>
      <c r="M18" s="114">
        <f t="shared" si="2"/>
        <v>0.75047080979284364</v>
      </c>
      <c r="N18" s="111">
        <f>IFERROR(VLOOKUP($B18,MMWR_TRAD_AGG_STATE_COMP[],N$1,0),"ERROR")</f>
        <v>5799</v>
      </c>
      <c r="O18" s="112">
        <f>IFERROR(VLOOKUP($B18,MMWR_TRAD_AGG_STATE_COMP[],O$1,0),"ERROR")</f>
        <v>4440</v>
      </c>
      <c r="P18" s="114">
        <f t="shared" si="3"/>
        <v>0.7656492498706674</v>
      </c>
      <c r="Q18" s="115">
        <f>IFERROR(VLOOKUP($B18,MMWR_TRAD_AGG_STATE_COMP[],Q$1,0),"ERROR")</f>
        <v>1217</v>
      </c>
      <c r="R18" s="115">
        <f>IFERROR(VLOOKUP($B18,MMWR_TRAD_AGG_STATE_COMP[],R$1,0),"ERROR")</f>
        <v>6</v>
      </c>
      <c r="S18" s="115">
        <f>IFERROR(VLOOKUP($B18,MMWR_APP_STATE_COMP[],S$1,0),"ERROR")</f>
        <v>6652</v>
      </c>
      <c r="T18" s="28"/>
    </row>
    <row r="19" spans="1:20" s="123" customFormat="1" x14ac:dyDescent="0.2">
      <c r="A19" s="107"/>
      <c r="B19" s="127" t="s">
        <v>379</v>
      </c>
      <c r="C19" s="109">
        <f>IFERROR(VLOOKUP($B19,MMWR_TRAD_AGG_STATE_COMP[],C$1,0),"ERROR")</f>
        <v>436</v>
      </c>
      <c r="D19" s="110">
        <f>IFERROR(VLOOKUP($B19,MMWR_TRAD_AGG_STATE_COMP[],D$1,0),"ERROR")</f>
        <v>232.2201834862</v>
      </c>
      <c r="E19" s="111">
        <f>IFERROR(VLOOKUP($B19,MMWR_TRAD_AGG_STATE_COMP[],E$1,0),"ERROR")</f>
        <v>895</v>
      </c>
      <c r="F19" s="112">
        <f>IFERROR(VLOOKUP($B19,MMWR_TRAD_AGG_STATE_COMP[],F$1,0),"ERROR")</f>
        <v>172</v>
      </c>
      <c r="G19" s="113">
        <f t="shared" si="0"/>
        <v>0.19217877094972066</v>
      </c>
      <c r="H19" s="111">
        <f>IFERROR(VLOOKUP($B19,MMWR_TRAD_AGG_STATE_COMP[],H$1,0),"ERROR")</f>
        <v>901</v>
      </c>
      <c r="I19" s="112">
        <f>IFERROR(VLOOKUP($B19,MMWR_TRAD_AGG_STATE_COMP[],I$1,0),"ERROR")</f>
        <v>328</v>
      </c>
      <c r="J19" s="114">
        <f t="shared" si="1"/>
        <v>0.36403995560488345</v>
      </c>
      <c r="K19" s="111">
        <f>IFERROR(VLOOKUP($B19,MMWR_TRAD_AGG_STATE_COMP[],K$1,0),"ERROR")</f>
        <v>270</v>
      </c>
      <c r="L19" s="112">
        <f>IFERROR(VLOOKUP($B19,MMWR_TRAD_AGG_STATE_COMP[],L$1,0),"ERROR")</f>
        <v>239</v>
      </c>
      <c r="M19" s="114">
        <f t="shared" si="2"/>
        <v>0.88518518518518519</v>
      </c>
      <c r="N19" s="111">
        <f>IFERROR(VLOOKUP($B19,MMWR_TRAD_AGG_STATE_COMP[],N$1,0),"ERROR")</f>
        <v>145</v>
      </c>
      <c r="O19" s="112">
        <f>IFERROR(VLOOKUP($B19,MMWR_TRAD_AGG_STATE_COMP[],O$1,0),"ERROR")</f>
        <v>58</v>
      </c>
      <c r="P19" s="114">
        <f t="shared" si="3"/>
        <v>0.4</v>
      </c>
      <c r="Q19" s="115">
        <f>IFERROR(VLOOKUP($B19,MMWR_TRAD_AGG_STATE_COMP[],Q$1,0),"ERROR")</f>
        <v>171</v>
      </c>
      <c r="R19" s="115">
        <f>IFERROR(VLOOKUP($B19,MMWR_TRAD_AGG_STATE_COMP[],R$1,0),"ERROR")</f>
        <v>1</v>
      </c>
      <c r="S19" s="115">
        <f>IFERROR(VLOOKUP($B19,MMWR_APP_STATE_COMP[],S$1,0),"ERROR")</f>
        <v>333</v>
      </c>
      <c r="T19" s="28"/>
    </row>
    <row r="20" spans="1:20" s="123" customFormat="1" x14ac:dyDescent="0.2">
      <c r="A20" s="107"/>
      <c r="B20" s="127" t="s">
        <v>424</v>
      </c>
      <c r="C20" s="109">
        <f>IFERROR(VLOOKUP($B20,MMWR_TRAD_AGG_STATE_COMP[],C$1,0),"ERROR")</f>
        <v>453</v>
      </c>
      <c r="D20" s="110">
        <f>IFERROR(VLOOKUP($B20,MMWR_TRAD_AGG_STATE_COMP[],D$1,0),"ERROR")</f>
        <v>365.03532008830001</v>
      </c>
      <c r="E20" s="111">
        <f>IFERROR(VLOOKUP($B20,MMWR_TRAD_AGG_STATE_COMP[],E$1,0),"ERROR")</f>
        <v>415</v>
      </c>
      <c r="F20" s="112">
        <f>IFERROR(VLOOKUP($B20,MMWR_TRAD_AGG_STATE_COMP[],F$1,0),"ERROR")</f>
        <v>91</v>
      </c>
      <c r="G20" s="113">
        <f t="shared" si="0"/>
        <v>0.21927710843373494</v>
      </c>
      <c r="H20" s="111">
        <f>IFERROR(VLOOKUP($B20,MMWR_TRAD_AGG_STATE_COMP[],H$1,0),"ERROR")</f>
        <v>783</v>
      </c>
      <c r="I20" s="112">
        <f>IFERROR(VLOOKUP($B20,MMWR_TRAD_AGG_STATE_COMP[],I$1,0),"ERROR")</f>
        <v>457</v>
      </c>
      <c r="J20" s="114">
        <f t="shared" si="1"/>
        <v>0.58365261813537672</v>
      </c>
      <c r="K20" s="111">
        <f>IFERROR(VLOOKUP($B20,MMWR_TRAD_AGG_STATE_COMP[],K$1,0),"ERROR")</f>
        <v>155</v>
      </c>
      <c r="L20" s="112">
        <f>IFERROR(VLOOKUP($B20,MMWR_TRAD_AGG_STATE_COMP[],L$1,0),"ERROR")</f>
        <v>117</v>
      </c>
      <c r="M20" s="114">
        <f t="shared" si="2"/>
        <v>0.75483870967741939</v>
      </c>
      <c r="N20" s="111">
        <f>IFERROR(VLOOKUP($B20,MMWR_TRAD_AGG_STATE_COMP[],N$1,0),"ERROR")</f>
        <v>113</v>
      </c>
      <c r="O20" s="112">
        <f>IFERROR(VLOOKUP($B20,MMWR_TRAD_AGG_STATE_COMP[],O$1,0),"ERROR")</f>
        <v>64</v>
      </c>
      <c r="P20" s="114">
        <f t="shared" si="3"/>
        <v>0.5663716814159292</v>
      </c>
      <c r="Q20" s="115">
        <f>IFERROR(VLOOKUP($B20,MMWR_TRAD_AGG_STATE_COMP[],Q$1,0),"ERROR")</f>
        <v>60</v>
      </c>
      <c r="R20" s="115">
        <f>IFERROR(VLOOKUP($B20,MMWR_TRAD_AGG_STATE_COMP[],R$1,0),"ERROR")</f>
        <v>2</v>
      </c>
      <c r="S20" s="115">
        <f>IFERROR(VLOOKUP($B20,MMWR_APP_STATE_COMP[],S$1,0),"ERROR")</f>
        <v>169</v>
      </c>
      <c r="T20" s="28"/>
    </row>
    <row r="21" spans="1:20" s="123" customFormat="1" x14ac:dyDescent="0.2">
      <c r="A21" s="107"/>
      <c r="B21" s="127" t="s">
        <v>385</v>
      </c>
      <c r="C21" s="109">
        <f>IFERROR(VLOOKUP($B21,MMWR_TRAD_AGG_STATE_COMP[],C$1,0),"ERROR")</f>
        <v>17995</v>
      </c>
      <c r="D21" s="110">
        <f>IFERROR(VLOOKUP($B21,MMWR_TRAD_AGG_STATE_COMP[],D$1,0),"ERROR")</f>
        <v>482.11069741590001</v>
      </c>
      <c r="E21" s="111">
        <f>IFERROR(VLOOKUP($B21,MMWR_TRAD_AGG_STATE_COMP[],E$1,0),"ERROR")</f>
        <v>12879</v>
      </c>
      <c r="F21" s="112">
        <f>IFERROR(VLOOKUP($B21,MMWR_TRAD_AGG_STATE_COMP[],F$1,0),"ERROR")</f>
        <v>2362</v>
      </c>
      <c r="G21" s="113">
        <f t="shared" si="0"/>
        <v>0.1833993322462924</v>
      </c>
      <c r="H21" s="111">
        <f>IFERROR(VLOOKUP($B21,MMWR_TRAD_AGG_STATE_COMP[],H$1,0),"ERROR")</f>
        <v>22610</v>
      </c>
      <c r="I21" s="112">
        <f>IFERROR(VLOOKUP($B21,MMWR_TRAD_AGG_STATE_COMP[],I$1,0),"ERROR")</f>
        <v>15937</v>
      </c>
      <c r="J21" s="114">
        <f t="shared" si="1"/>
        <v>0.70486510393631141</v>
      </c>
      <c r="K21" s="111">
        <f>IFERROR(VLOOKUP($B21,MMWR_TRAD_AGG_STATE_COMP[],K$1,0),"ERROR")</f>
        <v>5956</v>
      </c>
      <c r="L21" s="112">
        <f>IFERROR(VLOOKUP($B21,MMWR_TRAD_AGG_STATE_COMP[],L$1,0),"ERROR")</f>
        <v>5457</v>
      </c>
      <c r="M21" s="114">
        <f t="shared" si="2"/>
        <v>0.91621893888515782</v>
      </c>
      <c r="N21" s="111">
        <f>IFERROR(VLOOKUP($B21,MMWR_TRAD_AGG_STATE_COMP[],N$1,0),"ERROR")</f>
        <v>5908</v>
      </c>
      <c r="O21" s="112">
        <f>IFERROR(VLOOKUP($B21,MMWR_TRAD_AGG_STATE_COMP[],O$1,0),"ERROR")</f>
        <v>4292</v>
      </c>
      <c r="P21" s="114">
        <f t="shared" si="3"/>
        <v>0.72647257955314826</v>
      </c>
      <c r="Q21" s="115">
        <f>IFERROR(VLOOKUP($B21,MMWR_TRAD_AGG_STATE_COMP[],Q$1,0),"ERROR")</f>
        <v>788</v>
      </c>
      <c r="R21" s="115">
        <f>IFERROR(VLOOKUP($B21,MMWR_TRAD_AGG_STATE_COMP[],R$1,0),"ERROR")</f>
        <v>20</v>
      </c>
      <c r="S21" s="115">
        <f>IFERROR(VLOOKUP($B21,MMWR_APP_STATE_COMP[],S$1,0),"ERROR")</f>
        <v>14774</v>
      </c>
      <c r="T21" s="28"/>
    </row>
    <row r="22" spans="1:20" s="123" customFormat="1" x14ac:dyDescent="0.2">
      <c r="A22" s="107"/>
      <c r="B22" s="127" t="s">
        <v>386</v>
      </c>
      <c r="C22" s="109">
        <f>IFERROR(VLOOKUP($B22,MMWR_TRAD_AGG_STATE_COMP[],C$1,0),"ERROR")</f>
        <v>2232</v>
      </c>
      <c r="D22" s="110">
        <f>IFERROR(VLOOKUP($B22,MMWR_TRAD_AGG_STATE_COMP[],D$1,0),"ERROR")</f>
        <v>261.69847670249999</v>
      </c>
      <c r="E22" s="111">
        <f>IFERROR(VLOOKUP($B22,MMWR_TRAD_AGG_STATE_COMP[],E$1,0),"ERROR")</f>
        <v>2357</v>
      </c>
      <c r="F22" s="112">
        <f>IFERROR(VLOOKUP($B22,MMWR_TRAD_AGG_STATE_COMP[],F$1,0),"ERROR")</f>
        <v>375</v>
      </c>
      <c r="G22" s="113">
        <f t="shared" si="0"/>
        <v>0.15910055154857869</v>
      </c>
      <c r="H22" s="111">
        <f>IFERROR(VLOOKUP($B22,MMWR_TRAD_AGG_STATE_COMP[],H$1,0),"ERROR")</f>
        <v>3632</v>
      </c>
      <c r="I22" s="112">
        <f>IFERROR(VLOOKUP($B22,MMWR_TRAD_AGG_STATE_COMP[],I$1,0),"ERROR")</f>
        <v>2075</v>
      </c>
      <c r="J22" s="114">
        <f t="shared" si="1"/>
        <v>0.57131057268722463</v>
      </c>
      <c r="K22" s="111">
        <f>IFERROR(VLOOKUP($B22,MMWR_TRAD_AGG_STATE_COMP[],K$1,0),"ERROR")</f>
        <v>257</v>
      </c>
      <c r="L22" s="112">
        <f>IFERROR(VLOOKUP($B22,MMWR_TRAD_AGG_STATE_COMP[],L$1,0),"ERROR")</f>
        <v>192</v>
      </c>
      <c r="M22" s="114">
        <f t="shared" si="2"/>
        <v>0.74708171206225682</v>
      </c>
      <c r="N22" s="111">
        <f>IFERROR(VLOOKUP($B22,MMWR_TRAD_AGG_STATE_COMP[],N$1,0),"ERROR")</f>
        <v>1169</v>
      </c>
      <c r="O22" s="112">
        <f>IFERROR(VLOOKUP($B22,MMWR_TRAD_AGG_STATE_COMP[],O$1,0),"ERROR")</f>
        <v>760</v>
      </c>
      <c r="P22" s="114">
        <f t="shared" si="3"/>
        <v>0.65012831479897348</v>
      </c>
      <c r="Q22" s="115">
        <f>IFERROR(VLOOKUP($B22,MMWR_TRAD_AGG_STATE_COMP[],Q$1,0),"ERROR")</f>
        <v>297</v>
      </c>
      <c r="R22" s="115">
        <f>IFERROR(VLOOKUP($B22,MMWR_TRAD_AGG_STATE_COMP[],R$1,0),"ERROR")</f>
        <v>16</v>
      </c>
      <c r="S22" s="115">
        <f>IFERROR(VLOOKUP($B22,MMWR_APP_STATE_COMP[],S$1,0),"ERROR")</f>
        <v>2253</v>
      </c>
      <c r="T22" s="28"/>
    </row>
    <row r="23" spans="1:20" s="123" customFormat="1" x14ac:dyDescent="0.2">
      <c r="A23" s="107"/>
      <c r="B23" s="126" t="s">
        <v>397</v>
      </c>
      <c r="C23" s="102">
        <f>IF(SUM(C24:C35)&lt;&gt;VLOOKUP($B23,MMWR_TRAD_AGG_ST_DISTRICT_COMP[],C$1,0),"ERROR",
VLOOKUP($B23,MMWR_TRAD_AGG_ST_DISTRICT_COMP[],C$1,0))</f>
        <v>45726</v>
      </c>
      <c r="D23" s="103">
        <f>IFERROR(VLOOKUP($B23,MMWR_TRAD_AGG_ST_DISTRICT_COMP[],D$1,0),"ERROR")</f>
        <v>390.00039364909998</v>
      </c>
      <c r="E23" s="102">
        <f>IF(SUM(E24:E35)&lt;&gt;VLOOKUP($B23,MMWR_TRAD_AGG_ST_DISTRICT_COMP[],E$1,0),"ERROR",
VLOOKUP($B23,MMWR_TRAD_AGG_ST_DISTRICT_COMP[],E$1,0))</f>
        <v>53871</v>
      </c>
      <c r="F23" s="102">
        <f>IF(SUM(F24:F35)&lt;&gt;VLOOKUP($B23,MMWR_TRAD_AGG_ST_DISTRICT_COMP[],F$1,0),"ERROR",
VLOOKUP($B23,MMWR_TRAD_AGG_ST_DISTRICT_COMP[],F$1,0))</f>
        <v>10902</v>
      </c>
      <c r="G23" s="104">
        <f t="shared" si="0"/>
        <v>0.20237233390878209</v>
      </c>
      <c r="H23" s="102">
        <f>IF(SUM(H24:H35)&lt;&gt;VLOOKUP($B23,MMWR_TRAD_AGG_ST_DISTRICT_COMP[],H$1,0),"ERROR",
VLOOKUP($B23,MMWR_TRAD_AGG_ST_DISTRICT_COMP[],H$1,0))</f>
        <v>71918</v>
      </c>
      <c r="I23" s="102">
        <f>IF(SUM(I24:I35)&lt;&gt;VLOOKUP($B23,MMWR_TRAD_AGG_ST_DISTRICT_COMP[],I$1,0),"ERROR",
VLOOKUP($B23,MMWR_TRAD_AGG_ST_DISTRICT_COMP[],I$1,0))</f>
        <v>41305</v>
      </c>
      <c r="J23" s="105">
        <f t="shared" si="1"/>
        <v>0.5743346589171</v>
      </c>
      <c r="K23" s="102">
        <f>IF(SUM(K24:K35)&lt;&gt;VLOOKUP($B23,MMWR_TRAD_AGG_ST_DISTRICT_COMP[],K$1,0),"ERROR",
VLOOKUP($B23,MMWR_TRAD_AGG_ST_DISTRICT_COMP[],K$1,0))</f>
        <v>9872</v>
      </c>
      <c r="L23" s="102">
        <f>IF(SUM(L24:L35)&lt;&gt;VLOOKUP($B23,MMWR_TRAD_AGG_ST_DISTRICT_COMP[],L$1,0),"ERROR",
VLOOKUP($B23,MMWR_TRAD_AGG_ST_DISTRICT_COMP[],L$1,0))</f>
        <v>8252</v>
      </c>
      <c r="M23" s="105">
        <f t="shared" si="2"/>
        <v>0.83589951377633709</v>
      </c>
      <c r="N23" s="102">
        <f>IF(SUM(N24:N35)&lt;&gt;VLOOKUP($B23,MMWR_TRAD_AGG_ST_DISTRICT_COMP[],N$1,0),"ERROR",
VLOOKUP($B23,MMWR_TRAD_AGG_ST_DISTRICT_COMP[],N$1,0))</f>
        <v>22404</v>
      </c>
      <c r="O23" s="102">
        <f>IF(SUM(O24:O35)&lt;&gt;VLOOKUP($B23,MMWR_TRAD_AGG_ST_DISTRICT_COMP[],O$1,0),"ERROR",
VLOOKUP($B23,MMWR_TRAD_AGG_ST_DISTRICT_COMP[],O$1,0))</f>
        <v>13940</v>
      </c>
      <c r="P23" s="105">
        <f t="shared" si="3"/>
        <v>0.62221031958578821</v>
      </c>
      <c r="Q23" s="102">
        <f>IF(SUM(Q24:Q35)&lt;&gt;VLOOKUP($B23,MMWR_TRAD_AGG_ST_DISTRICT_COMP[],Q$1,0),"ERROR",
VLOOKUP($B23,MMWR_TRAD_AGG_ST_DISTRICT_COMP[],Q$1,0))</f>
        <v>2807</v>
      </c>
      <c r="R23" s="102">
        <f>IF(SUM(R24:R35)&lt;&gt;VLOOKUP($B23,MMWR_TRAD_AGG_ST_DISTRICT_COMP[],R$1,0),"ERROR",
VLOOKUP($B23,MMWR_TRAD_AGG_ST_DISTRICT_COMP[],R$1,0))</f>
        <v>1063</v>
      </c>
      <c r="S23" s="106">
        <f>SUM(S24:S35)</f>
        <v>53925</v>
      </c>
      <c r="T23" s="28"/>
    </row>
    <row r="24" spans="1:20" s="123" customFormat="1" x14ac:dyDescent="0.2">
      <c r="A24" s="92"/>
      <c r="B24" s="127" t="s">
        <v>401</v>
      </c>
      <c r="C24" s="109">
        <f>IFERROR(VLOOKUP($B24,MMWR_TRAD_AGG_STATE_COMP[],C$1,0),"ERROR")</f>
        <v>7730</v>
      </c>
      <c r="D24" s="110">
        <f>IFERROR(VLOOKUP($B24,MMWR_TRAD_AGG_STATE_COMP[],D$1,0),"ERROR")</f>
        <v>485.19573091849998</v>
      </c>
      <c r="E24" s="111">
        <f>IFERROR(VLOOKUP($B24,MMWR_TRAD_AGG_STATE_COMP[],E$1,0),"ERROR")</f>
        <v>7586</v>
      </c>
      <c r="F24" s="112">
        <f>IFERROR(VLOOKUP($B24,MMWR_TRAD_AGG_STATE_COMP[],F$1,0),"ERROR")</f>
        <v>1903</v>
      </c>
      <c r="G24" s="113">
        <f t="shared" si="0"/>
        <v>0.25085684155022409</v>
      </c>
      <c r="H24" s="111">
        <f>IFERROR(VLOOKUP($B24,MMWR_TRAD_AGG_STATE_COMP[],H$1,0),"ERROR")</f>
        <v>10258</v>
      </c>
      <c r="I24" s="112">
        <f>IFERROR(VLOOKUP($B24,MMWR_TRAD_AGG_STATE_COMP[],I$1,0),"ERROR")</f>
        <v>7131</v>
      </c>
      <c r="J24" s="114">
        <f t="shared" si="1"/>
        <v>0.69516474946383311</v>
      </c>
      <c r="K24" s="111">
        <f>IFERROR(VLOOKUP($B24,MMWR_TRAD_AGG_STATE_COMP[],K$1,0),"ERROR")</f>
        <v>1457</v>
      </c>
      <c r="L24" s="112">
        <f>IFERROR(VLOOKUP($B24,MMWR_TRAD_AGG_STATE_COMP[],L$1,0),"ERROR")</f>
        <v>1366</v>
      </c>
      <c r="M24" s="114">
        <f t="shared" si="2"/>
        <v>0.93754289636238852</v>
      </c>
      <c r="N24" s="111">
        <f>IFERROR(VLOOKUP($B24,MMWR_TRAD_AGG_STATE_COMP[],N$1,0),"ERROR")</f>
        <v>2949</v>
      </c>
      <c r="O24" s="112">
        <f>IFERROR(VLOOKUP($B24,MMWR_TRAD_AGG_STATE_COMP[],O$1,0),"ERROR")</f>
        <v>1971</v>
      </c>
      <c r="P24" s="114">
        <f t="shared" si="3"/>
        <v>0.6683621566632757</v>
      </c>
      <c r="Q24" s="115">
        <f>IFERROR(VLOOKUP($B24,MMWR_TRAD_AGG_STATE_COMP[],Q$1,0),"ERROR")</f>
        <v>515</v>
      </c>
      <c r="R24" s="115">
        <f>IFERROR(VLOOKUP($B24,MMWR_TRAD_AGG_STATE_COMP[],R$1,0),"ERROR")</f>
        <v>203</v>
      </c>
      <c r="S24" s="115">
        <f>IFERROR(VLOOKUP($B24,MMWR_APP_STATE_COMP[],S$1,0),"ERROR")</f>
        <v>7997</v>
      </c>
      <c r="T24" s="28"/>
    </row>
    <row r="25" spans="1:20" s="123" customFormat="1" x14ac:dyDescent="0.2">
      <c r="A25" s="107"/>
      <c r="B25" s="127" t="s">
        <v>399</v>
      </c>
      <c r="C25" s="109">
        <f>IFERROR(VLOOKUP($B25,MMWR_TRAD_AGG_STATE_COMP[],C$1,0),"ERROR")</f>
        <v>8001</v>
      </c>
      <c r="D25" s="110">
        <f>IFERROR(VLOOKUP($B25,MMWR_TRAD_AGG_STATE_COMP[],D$1,0),"ERROR")</f>
        <v>583.23534558179995</v>
      </c>
      <c r="E25" s="111">
        <f>IFERROR(VLOOKUP($B25,MMWR_TRAD_AGG_STATE_COMP[],E$1,0),"ERROR")</f>
        <v>5390</v>
      </c>
      <c r="F25" s="112">
        <f>IFERROR(VLOOKUP($B25,MMWR_TRAD_AGG_STATE_COMP[],F$1,0),"ERROR")</f>
        <v>850</v>
      </c>
      <c r="G25" s="113">
        <f t="shared" si="0"/>
        <v>0.15769944341372913</v>
      </c>
      <c r="H25" s="111">
        <f>IFERROR(VLOOKUP($B25,MMWR_TRAD_AGG_STATE_COMP[],H$1,0),"ERROR")</f>
        <v>11840</v>
      </c>
      <c r="I25" s="112">
        <f>IFERROR(VLOOKUP($B25,MMWR_TRAD_AGG_STATE_COMP[],I$1,0),"ERROR")</f>
        <v>7690</v>
      </c>
      <c r="J25" s="114">
        <f t="shared" si="1"/>
        <v>0.6494932432432432</v>
      </c>
      <c r="K25" s="111">
        <f>IFERROR(VLOOKUP($B25,MMWR_TRAD_AGG_STATE_COMP[],K$1,0),"ERROR")</f>
        <v>1226</v>
      </c>
      <c r="L25" s="112">
        <f>IFERROR(VLOOKUP($B25,MMWR_TRAD_AGG_STATE_COMP[],L$1,0),"ERROR")</f>
        <v>1030</v>
      </c>
      <c r="M25" s="114">
        <f t="shared" si="2"/>
        <v>0.84013050570962478</v>
      </c>
      <c r="N25" s="111">
        <f>IFERROR(VLOOKUP($B25,MMWR_TRAD_AGG_STATE_COMP[],N$1,0),"ERROR")</f>
        <v>2246</v>
      </c>
      <c r="O25" s="112">
        <f>IFERROR(VLOOKUP($B25,MMWR_TRAD_AGG_STATE_COMP[],O$1,0),"ERROR")</f>
        <v>1673</v>
      </c>
      <c r="P25" s="114">
        <f t="shared" si="3"/>
        <v>0.74487978628673202</v>
      </c>
      <c r="Q25" s="115">
        <f>IFERROR(VLOOKUP($B25,MMWR_TRAD_AGG_STATE_COMP[],Q$1,0),"ERROR")</f>
        <v>372</v>
      </c>
      <c r="R25" s="115">
        <f>IFERROR(VLOOKUP($B25,MMWR_TRAD_AGG_STATE_COMP[],R$1,0),"ERROR")</f>
        <v>188</v>
      </c>
      <c r="S25" s="115">
        <f>IFERROR(VLOOKUP($B25,MMWR_APP_STATE_COMP[],S$1,0),"ERROR")</f>
        <v>8277</v>
      </c>
      <c r="T25" s="28"/>
    </row>
    <row r="26" spans="1:20" s="123" customFormat="1" x14ac:dyDescent="0.2">
      <c r="A26" s="107"/>
      <c r="B26" s="127" t="s">
        <v>406</v>
      </c>
      <c r="C26" s="109">
        <f>IFERROR(VLOOKUP($B26,MMWR_TRAD_AGG_STATE_COMP[],C$1,0),"ERROR")</f>
        <v>1465</v>
      </c>
      <c r="D26" s="110">
        <f>IFERROR(VLOOKUP($B26,MMWR_TRAD_AGG_STATE_COMP[],D$1,0),"ERROR")</f>
        <v>195.1549488055</v>
      </c>
      <c r="E26" s="111">
        <f>IFERROR(VLOOKUP($B26,MMWR_TRAD_AGG_STATE_COMP[],E$1,0),"ERROR")</f>
        <v>2306</v>
      </c>
      <c r="F26" s="112">
        <f>IFERROR(VLOOKUP($B26,MMWR_TRAD_AGG_STATE_COMP[],F$1,0),"ERROR")</f>
        <v>430</v>
      </c>
      <c r="G26" s="113">
        <f t="shared" si="0"/>
        <v>0.18647007805724197</v>
      </c>
      <c r="H26" s="111">
        <f>IFERROR(VLOOKUP($B26,MMWR_TRAD_AGG_STATE_COMP[],H$1,0),"ERROR")</f>
        <v>2823</v>
      </c>
      <c r="I26" s="112">
        <f>IFERROR(VLOOKUP($B26,MMWR_TRAD_AGG_STATE_COMP[],I$1,0),"ERROR")</f>
        <v>1159</v>
      </c>
      <c r="J26" s="114">
        <f t="shared" si="1"/>
        <v>0.41055614594403117</v>
      </c>
      <c r="K26" s="111">
        <f>IFERROR(VLOOKUP($B26,MMWR_TRAD_AGG_STATE_COMP[],K$1,0),"ERROR")</f>
        <v>268</v>
      </c>
      <c r="L26" s="112">
        <f>IFERROR(VLOOKUP($B26,MMWR_TRAD_AGG_STATE_COMP[],L$1,0),"ERROR")</f>
        <v>215</v>
      </c>
      <c r="M26" s="114">
        <f t="shared" si="2"/>
        <v>0.80223880597014929</v>
      </c>
      <c r="N26" s="111">
        <f>IFERROR(VLOOKUP($B26,MMWR_TRAD_AGG_STATE_COMP[],N$1,0),"ERROR")</f>
        <v>1258</v>
      </c>
      <c r="O26" s="112">
        <f>IFERROR(VLOOKUP($B26,MMWR_TRAD_AGG_STATE_COMP[],O$1,0),"ERROR")</f>
        <v>991</v>
      </c>
      <c r="P26" s="114">
        <f t="shared" si="3"/>
        <v>0.78775834658187605</v>
      </c>
      <c r="Q26" s="115">
        <f>IFERROR(VLOOKUP($B26,MMWR_TRAD_AGG_STATE_COMP[],Q$1,0),"ERROR")</f>
        <v>1</v>
      </c>
      <c r="R26" s="115">
        <f>IFERROR(VLOOKUP($B26,MMWR_TRAD_AGG_STATE_COMP[],R$1,0),"ERROR")</f>
        <v>10</v>
      </c>
      <c r="S26" s="115">
        <f>IFERROR(VLOOKUP($B26,MMWR_APP_STATE_COMP[],S$1,0),"ERROR")</f>
        <v>1271</v>
      </c>
      <c r="T26" s="28"/>
    </row>
    <row r="27" spans="1:20" s="123" customFormat="1" x14ac:dyDescent="0.2">
      <c r="A27" s="107"/>
      <c r="B27" s="127" t="s">
        <v>429</v>
      </c>
      <c r="C27" s="109">
        <f>IFERROR(VLOOKUP($B27,MMWR_TRAD_AGG_STATE_COMP[],C$1,0),"ERROR")</f>
        <v>2021</v>
      </c>
      <c r="D27" s="110">
        <f>IFERROR(VLOOKUP($B27,MMWR_TRAD_AGG_STATE_COMP[],D$1,0),"ERROR")</f>
        <v>236.98169223159999</v>
      </c>
      <c r="E27" s="111">
        <f>IFERROR(VLOOKUP($B27,MMWR_TRAD_AGG_STATE_COMP[],E$1,0),"ERROR")</f>
        <v>2964</v>
      </c>
      <c r="F27" s="112">
        <f>IFERROR(VLOOKUP($B27,MMWR_TRAD_AGG_STATE_COMP[],F$1,0),"ERROR")</f>
        <v>588</v>
      </c>
      <c r="G27" s="113">
        <f t="shared" si="0"/>
        <v>0.19838056680161945</v>
      </c>
      <c r="H27" s="111">
        <f>IFERROR(VLOOKUP($B27,MMWR_TRAD_AGG_STATE_COMP[],H$1,0),"ERROR")</f>
        <v>3453</v>
      </c>
      <c r="I27" s="112">
        <f>IFERROR(VLOOKUP($B27,MMWR_TRAD_AGG_STATE_COMP[],I$1,0),"ERROR")</f>
        <v>1443</v>
      </c>
      <c r="J27" s="114">
        <f t="shared" si="1"/>
        <v>0.41789748045178104</v>
      </c>
      <c r="K27" s="111">
        <f>IFERROR(VLOOKUP($B27,MMWR_TRAD_AGG_STATE_COMP[],K$1,0),"ERROR")</f>
        <v>514</v>
      </c>
      <c r="L27" s="112">
        <f>IFERROR(VLOOKUP($B27,MMWR_TRAD_AGG_STATE_COMP[],L$1,0),"ERROR")</f>
        <v>288</v>
      </c>
      <c r="M27" s="114">
        <f t="shared" si="2"/>
        <v>0.56031128404669261</v>
      </c>
      <c r="N27" s="111">
        <f>IFERROR(VLOOKUP($B27,MMWR_TRAD_AGG_STATE_COMP[],N$1,0),"ERROR")</f>
        <v>461</v>
      </c>
      <c r="O27" s="112">
        <f>IFERROR(VLOOKUP($B27,MMWR_TRAD_AGG_STATE_COMP[],O$1,0),"ERROR")</f>
        <v>210</v>
      </c>
      <c r="P27" s="114">
        <f t="shared" si="3"/>
        <v>0.45553145336225598</v>
      </c>
      <c r="Q27" s="115">
        <f>IFERROR(VLOOKUP($B27,MMWR_TRAD_AGG_STATE_COMP[],Q$1,0),"ERROR")</f>
        <v>6</v>
      </c>
      <c r="R27" s="115">
        <f>IFERROR(VLOOKUP($B27,MMWR_TRAD_AGG_STATE_COMP[],R$1,0),"ERROR")</f>
        <v>14</v>
      </c>
      <c r="S27" s="115">
        <f>IFERROR(VLOOKUP($B27,MMWR_APP_STATE_COMP[],S$1,0),"ERROR")</f>
        <v>1371</v>
      </c>
      <c r="T27" s="28"/>
    </row>
    <row r="28" spans="1:20" s="123" customFormat="1" x14ac:dyDescent="0.2">
      <c r="A28" s="107"/>
      <c r="B28" s="127" t="s">
        <v>402</v>
      </c>
      <c r="C28" s="109">
        <f>IFERROR(VLOOKUP($B28,MMWR_TRAD_AGG_STATE_COMP[],C$1,0),"ERROR")</f>
        <v>4089</v>
      </c>
      <c r="D28" s="110">
        <f>IFERROR(VLOOKUP($B28,MMWR_TRAD_AGG_STATE_COMP[],D$1,0),"ERROR")</f>
        <v>258.74052335530001</v>
      </c>
      <c r="E28" s="111">
        <f>IFERROR(VLOOKUP($B28,MMWR_TRAD_AGG_STATE_COMP[],E$1,0),"ERROR")</f>
        <v>7747</v>
      </c>
      <c r="F28" s="112">
        <f>IFERROR(VLOOKUP($B28,MMWR_TRAD_AGG_STATE_COMP[],F$1,0),"ERROR")</f>
        <v>1861</v>
      </c>
      <c r="G28" s="113">
        <f t="shared" si="0"/>
        <v>0.24022202142764942</v>
      </c>
      <c r="H28" s="111">
        <f>IFERROR(VLOOKUP($B28,MMWR_TRAD_AGG_STATE_COMP[],H$1,0),"ERROR")</f>
        <v>8061</v>
      </c>
      <c r="I28" s="112">
        <f>IFERROR(VLOOKUP($B28,MMWR_TRAD_AGG_STATE_COMP[],I$1,0),"ERROR")</f>
        <v>3833</v>
      </c>
      <c r="J28" s="114">
        <f t="shared" si="1"/>
        <v>0.4754993177025183</v>
      </c>
      <c r="K28" s="111">
        <f>IFERROR(VLOOKUP($B28,MMWR_TRAD_AGG_STATE_COMP[],K$1,0),"ERROR")</f>
        <v>1017</v>
      </c>
      <c r="L28" s="112">
        <f>IFERROR(VLOOKUP($B28,MMWR_TRAD_AGG_STATE_COMP[],L$1,0),"ERROR")</f>
        <v>825</v>
      </c>
      <c r="M28" s="114">
        <f t="shared" si="2"/>
        <v>0.8112094395280236</v>
      </c>
      <c r="N28" s="111">
        <f>IFERROR(VLOOKUP($B28,MMWR_TRAD_AGG_STATE_COMP[],N$1,0),"ERROR")</f>
        <v>1390</v>
      </c>
      <c r="O28" s="112">
        <f>IFERROR(VLOOKUP($B28,MMWR_TRAD_AGG_STATE_COMP[],O$1,0),"ERROR")</f>
        <v>717</v>
      </c>
      <c r="P28" s="114">
        <f t="shared" si="3"/>
        <v>0.51582733812949644</v>
      </c>
      <c r="Q28" s="115">
        <f>IFERROR(VLOOKUP($B28,MMWR_TRAD_AGG_STATE_COMP[],Q$1,0),"ERROR")</f>
        <v>545</v>
      </c>
      <c r="R28" s="115">
        <f>IFERROR(VLOOKUP($B28,MMWR_TRAD_AGG_STATE_COMP[],R$1,0),"ERROR")</f>
        <v>197</v>
      </c>
      <c r="S28" s="115">
        <f>IFERROR(VLOOKUP($B28,MMWR_APP_STATE_COMP[],S$1,0),"ERROR")</f>
        <v>6318</v>
      </c>
      <c r="T28" s="28"/>
    </row>
    <row r="29" spans="1:20" s="123" customFormat="1" x14ac:dyDescent="0.2">
      <c r="A29" s="107"/>
      <c r="B29" s="127" t="s">
        <v>408</v>
      </c>
      <c r="C29" s="109">
        <f>IFERROR(VLOOKUP($B29,MMWR_TRAD_AGG_STATE_COMP[],C$1,0),"ERROR")</f>
        <v>1333</v>
      </c>
      <c r="D29" s="110">
        <f>IFERROR(VLOOKUP($B29,MMWR_TRAD_AGG_STATE_COMP[],D$1,0),"ERROR")</f>
        <v>199.45536384100001</v>
      </c>
      <c r="E29" s="111">
        <f>IFERROR(VLOOKUP($B29,MMWR_TRAD_AGG_STATE_COMP[],E$1,0),"ERROR")</f>
        <v>5150</v>
      </c>
      <c r="F29" s="112">
        <f>IFERROR(VLOOKUP($B29,MMWR_TRAD_AGG_STATE_COMP[],F$1,0),"ERROR")</f>
        <v>1043</v>
      </c>
      <c r="G29" s="113">
        <f t="shared" si="0"/>
        <v>0.20252427184466018</v>
      </c>
      <c r="H29" s="111">
        <f>IFERROR(VLOOKUP($B29,MMWR_TRAD_AGG_STATE_COMP[],H$1,0),"ERROR")</f>
        <v>3743</v>
      </c>
      <c r="I29" s="112">
        <f>IFERROR(VLOOKUP($B29,MMWR_TRAD_AGG_STATE_COMP[],I$1,0),"ERROR")</f>
        <v>1117</v>
      </c>
      <c r="J29" s="114">
        <f t="shared" si="1"/>
        <v>0.29842372428533265</v>
      </c>
      <c r="K29" s="111">
        <f>IFERROR(VLOOKUP($B29,MMWR_TRAD_AGG_STATE_COMP[],K$1,0),"ERROR")</f>
        <v>338</v>
      </c>
      <c r="L29" s="112">
        <f>IFERROR(VLOOKUP($B29,MMWR_TRAD_AGG_STATE_COMP[],L$1,0),"ERROR")</f>
        <v>239</v>
      </c>
      <c r="M29" s="114">
        <f t="shared" si="2"/>
        <v>0.70710059171597628</v>
      </c>
      <c r="N29" s="111">
        <f>IFERROR(VLOOKUP($B29,MMWR_TRAD_AGG_STATE_COMP[],N$1,0),"ERROR")</f>
        <v>1021</v>
      </c>
      <c r="O29" s="112">
        <f>IFERROR(VLOOKUP($B29,MMWR_TRAD_AGG_STATE_COMP[],O$1,0),"ERROR")</f>
        <v>564</v>
      </c>
      <c r="P29" s="114">
        <f t="shared" si="3"/>
        <v>0.55239960822722822</v>
      </c>
      <c r="Q29" s="115">
        <f>IFERROR(VLOOKUP($B29,MMWR_TRAD_AGG_STATE_COMP[],Q$1,0),"ERROR")</f>
        <v>4</v>
      </c>
      <c r="R29" s="115">
        <f>IFERROR(VLOOKUP($B29,MMWR_TRAD_AGG_STATE_COMP[],R$1,0),"ERROR")</f>
        <v>4</v>
      </c>
      <c r="S29" s="115">
        <f>IFERROR(VLOOKUP($B29,MMWR_APP_STATE_COMP[],S$1,0),"ERROR")</f>
        <v>2159</v>
      </c>
      <c r="T29" s="28"/>
    </row>
    <row r="30" spans="1:20" s="123" customFormat="1" x14ac:dyDescent="0.2">
      <c r="A30" s="107"/>
      <c r="B30" s="127" t="s">
        <v>404</v>
      </c>
      <c r="C30" s="109">
        <f>IFERROR(VLOOKUP($B30,MMWR_TRAD_AGG_STATE_COMP[],C$1,0),"ERROR")</f>
        <v>6187</v>
      </c>
      <c r="D30" s="110">
        <f>IFERROR(VLOOKUP($B30,MMWR_TRAD_AGG_STATE_COMP[],D$1,0),"ERROR")</f>
        <v>279.04687247449999</v>
      </c>
      <c r="E30" s="111">
        <f>IFERROR(VLOOKUP($B30,MMWR_TRAD_AGG_STATE_COMP[],E$1,0),"ERROR")</f>
        <v>6060</v>
      </c>
      <c r="F30" s="112">
        <f>IFERROR(VLOOKUP($B30,MMWR_TRAD_AGG_STATE_COMP[],F$1,0),"ERROR")</f>
        <v>908</v>
      </c>
      <c r="G30" s="113">
        <f t="shared" si="0"/>
        <v>0.14983498349834984</v>
      </c>
      <c r="H30" s="111">
        <f>IFERROR(VLOOKUP($B30,MMWR_TRAD_AGG_STATE_COMP[],H$1,0),"ERROR")</f>
        <v>8877</v>
      </c>
      <c r="I30" s="112">
        <f>IFERROR(VLOOKUP($B30,MMWR_TRAD_AGG_STATE_COMP[],I$1,0),"ERROR")</f>
        <v>5720</v>
      </c>
      <c r="J30" s="114">
        <f t="shared" si="1"/>
        <v>0.64436183395291202</v>
      </c>
      <c r="K30" s="111">
        <f>IFERROR(VLOOKUP($B30,MMWR_TRAD_AGG_STATE_COMP[],K$1,0),"ERROR")</f>
        <v>2090</v>
      </c>
      <c r="L30" s="112">
        <f>IFERROR(VLOOKUP($B30,MMWR_TRAD_AGG_STATE_COMP[],L$1,0),"ERROR")</f>
        <v>1908</v>
      </c>
      <c r="M30" s="114">
        <f t="shared" si="2"/>
        <v>0.91291866028708135</v>
      </c>
      <c r="N30" s="111">
        <f>IFERROR(VLOOKUP($B30,MMWR_TRAD_AGG_STATE_COMP[],N$1,0),"ERROR")</f>
        <v>6599</v>
      </c>
      <c r="O30" s="112">
        <f>IFERROR(VLOOKUP($B30,MMWR_TRAD_AGG_STATE_COMP[],O$1,0),"ERROR")</f>
        <v>4712</v>
      </c>
      <c r="P30" s="114">
        <f t="shared" si="3"/>
        <v>0.71404758296711623</v>
      </c>
      <c r="Q30" s="115">
        <f>IFERROR(VLOOKUP($B30,MMWR_TRAD_AGG_STATE_COMP[],Q$1,0),"ERROR")</f>
        <v>515</v>
      </c>
      <c r="R30" s="115">
        <f>IFERROR(VLOOKUP($B30,MMWR_TRAD_AGG_STATE_COMP[],R$1,0),"ERROR")</f>
        <v>92</v>
      </c>
      <c r="S30" s="115">
        <f>IFERROR(VLOOKUP($B30,MMWR_APP_STATE_COMP[],S$1,0),"ERROR")</f>
        <v>6861</v>
      </c>
      <c r="T30" s="28"/>
    </row>
    <row r="31" spans="1:20" s="123" customFormat="1" x14ac:dyDescent="0.2">
      <c r="A31" s="107"/>
      <c r="B31" s="127" t="s">
        <v>407</v>
      </c>
      <c r="C31" s="109">
        <f>IFERROR(VLOOKUP($B31,MMWR_TRAD_AGG_STATE_COMP[],C$1,0),"ERROR")</f>
        <v>1368</v>
      </c>
      <c r="D31" s="110">
        <f>IFERROR(VLOOKUP($B31,MMWR_TRAD_AGG_STATE_COMP[],D$1,0),"ERROR")</f>
        <v>213.94005847950001</v>
      </c>
      <c r="E31" s="111">
        <f>IFERROR(VLOOKUP($B31,MMWR_TRAD_AGG_STATE_COMP[],E$1,0),"ERROR")</f>
        <v>2131</v>
      </c>
      <c r="F31" s="112">
        <f>IFERROR(VLOOKUP($B31,MMWR_TRAD_AGG_STATE_COMP[],F$1,0),"ERROR")</f>
        <v>257</v>
      </c>
      <c r="G31" s="113">
        <f t="shared" si="0"/>
        <v>0.12060065696855936</v>
      </c>
      <c r="H31" s="111">
        <f>IFERROR(VLOOKUP($B31,MMWR_TRAD_AGG_STATE_COMP[],H$1,0),"ERROR")</f>
        <v>2346</v>
      </c>
      <c r="I31" s="112">
        <f>IFERROR(VLOOKUP($B31,MMWR_TRAD_AGG_STATE_COMP[],I$1,0),"ERROR")</f>
        <v>929</v>
      </c>
      <c r="J31" s="114">
        <f t="shared" si="1"/>
        <v>0.39599317988064792</v>
      </c>
      <c r="K31" s="111">
        <f>IFERROR(VLOOKUP($B31,MMWR_TRAD_AGG_STATE_COMP[],K$1,0),"ERROR")</f>
        <v>756</v>
      </c>
      <c r="L31" s="112">
        <f>IFERROR(VLOOKUP($B31,MMWR_TRAD_AGG_STATE_COMP[],L$1,0),"ERROR")</f>
        <v>598</v>
      </c>
      <c r="M31" s="114">
        <f t="shared" si="2"/>
        <v>0.79100529100529104</v>
      </c>
      <c r="N31" s="111">
        <f>IFERROR(VLOOKUP($B31,MMWR_TRAD_AGG_STATE_COMP[],N$1,0),"ERROR")</f>
        <v>444</v>
      </c>
      <c r="O31" s="112">
        <f>IFERROR(VLOOKUP($B31,MMWR_TRAD_AGG_STATE_COMP[],O$1,0),"ERROR")</f>
        <v>183</v>
      </c>
      <c r="P31" s="114">
        <f t="shared" si="3"/>
        <v>0.41216216216216217</v>
      </c>
      <c r="Q31" s="115">
        <f>IFERROR(VLOOKUP($B31,MMWR_TRAD_AGG_STATE_COMP[],Q$1,0),"ERROR")</f>
        <v>1</v>
      </c>
      <c r="R31" s="115">
        <f>IFERROR(VLOOKUP($B31,MMWR_TRAD_AGG_STATE_COMP[],R$1,0),"ERROR")</f>
        <v>12</v>
      </c>
      <c r="S31" s="115">
        <f>IFERROR(VLOOKUP($B31,MMWR_APP_STATE_COMP[],S$1,0),"ERROR")</f>
        <v>1451</v>
      </c>
      <c r="T31" s="28"/>
    </row>
    <row r="32" spans="1:20" s="123" customFormat="1" x14ac:dyDescent="0.2">
      <c r="A32" s="107"/>
      <c r="B32" s="127" t="s">
        <v>426</v>
      </c>
      <c r="C32" s="109">
        <f>IFERROR(VLOOKUP($B32,MMWR_TRAD_AGG_STATE_COMP[],C$1,0),"ERROR")</f>
        <v>235</v>
      </c>
      <c r="D32" s="110">
        <f>IFERROR(VLOOKUP($B32,MMWR_TRAD_AGG_STATE_COMP[],D$1,0),"ERROR")</f>
        <v>238.73191489359999</v>
      </c>
      <c r="E32" s="111">
        <f>IFERROR(VLOOKUP($B32,MMWR_TRAD_AGG_STATE_COMP[],E$1,0),"ERROR")</f>
        <v>608</v>
      </c>
      <c r="F32" s="112">
        <f>IFERROR(VLOOKUP($B32,MMWR_TRAD_AGG_STATE_COMP[],F$1,0),"ERROR")</f>
        <v>107</v>
      </c>
      <c r="G32" s="113">
        <f t="shared" si="0"/>
        <v>0.17598684210526316</v>
      </c>
      <c r="H32" s="111">
        <f>IFERROR(VLOOKUP($B32,MMWR_TRAD_AGG_STATE_COMP[],H$1,0),"ERROR")</f>
        <v>430</v>
      </c>
      <c r="I32" s="112">
        <f>IFERROR(VLOOKUP($B32,MMWR_TRAD_AGG_STATE_COMP[],I$1,0),"ERROR")</f>
        <v>147</v>
      </c>
      <c r="J32" s="114">
        <f t="shared" si="1"/>
        <v>0.34186046511627904</v>
      </c>
      <c r="K32" s="111">
        <f>IFERROR(VLOOKUP($B32,MMWR_TRAD_AGG_STATE_COMP[],K$1,0),"ERROR")</f>
        <v>69</v>
      </c>
      <c r="L32" s="112">
        <f>IFERROR(VLOOKUP($B32,MMWR_TRAD_AGG_STATE_COMP[],L$1,0),"ERROR")</f>
        <v>44</v>
      </c>
      <c r="M32" s="114">
        <f t="shared" si="2"/>
        <v>0.6376811594202898</v>
      </c>
      <c r="N32" s="111">
        <f>IFERROR(VLOOKUP($B32,MMWR_TRAD_AGG_STATE_COMP[],N$1,0),"ERROR")</f>
        <v>123</v>
      </c>
      <c r="O32" s="112">
        <f>IFERROR(VLOOKUP($B32,MMWR_TRAD_AGG_STATE_COMP[],O$1,0),"ERROR")</f>
        <v>56</v>
      </c>
      <c r="P32" s="114">
        <f t="shared" si="3"/>
        <v>0.45528455284552843</v>
      </c>
      <c r="Q32" s="115">
        <f>IFERROR(VLOOKUP($B32,MMWR_TRAD_AGG_STATE_COMP[],Q$1,0),"ERROR")</f>
        <v>0</v>
      </c>
      <c r="R32" s="115">
        <f>IFERROR(VLOOKUP($B32,MMWR_TRAD_AGG_STATE_COMP[],R$1,0),"ERROR")</f>
        <v>0</v>
      </c>
      <c r="S32" s="115">
        <f>IFERROR(VLOOKUP($B32,MMWR_APP_STATE_COMP[],S$1,0),"ERROR")</f>
        <v>442</v>
      </c>
      <c r="T32" s="28"/>
    </row>
    <row r="33" spans="1:20" s="123" customFormat="1" x14ac:dyDescent="0.2">
      <c r="A33" s="107"/>
      <c r="B33" s="127" t="s">
        <v>398</v>
      </c>
      <c r="C33" s="109">
        <f>IFERROR(VLOOKUP($B33,MMWR_TRAD_AGG_STATE_COMP[],C$1,0),"ERROR")</f>
        <v>8635</v>
      </c>
      <c r="D33" s="110">
        <f>IFERROR(VLOOKUP($B33,MMWR_TRAD_AGG_STATE_COMP[],D$1,0),"ERROR")</f>
        <v>463.94163288940001</v>
      </c>
      <c r="E33" s="111">
        <f>IFERROR(VLOOKUP($B33,MMWR_TRAD_AGG_STATE_COMP[],E$1,0),"ERROR")</f>
        <v>9077</v>
      </c>
      <c r="F33" s="112">
        <f>IFERROR(VLOOKUP($B33,MMWR_TRAD_AGG_STATE_COMP[],F$1,0),"ERROR")</f>
        <v>2040</v>
      </c>
      <c r="G33" s="113">
        <f t="shared" si="0"/>
        <v>0.22474385810289743</v>
      </c>
      <c r="H33" s="111">
        <f>IFERROR(VLOOKUP($B33,MMWR_TRAD_AGG_STATE_COMP[],H$1,0),"ERROR")</f>
        <v>12534</v>
      </c>
      <c r="I33" s="112">
        <f>IFERROR(VLOOKUP($B33,MMWR_TRAD_AGG_STATE_COMP[],I$1,0),"ERROR")</f>
        <v>8346</v>
      </c>
      <c r="J33" s="114">
        <f t="shared" si="1"/>
        <v>0.66586883676400188</v>
      </c>
      <c r="K33" s="111">
        <f>IFERROR(VLOOKUP($B33,MMWR_TRAD_AGG_STATE_COMP[],K$1,0),"ERROR")</f>
        <v>1388</v>
      </c>
      <c r="L33" s="112">
        <f>IFERROR(VLOOKUP($B33,MMWR_TRAD_AGG_STATE_COMP[],L$1,0),"ERROR")</f>
        <v>1273</v>
      </c>
      <c r="M33" s="114">
        <f t="shared" si="2"/>
        <v>0.91714697406340062</v>
      </c>
      <c r="N33" s="111">
        <f>IFERROR(VLOOKUP($B33,MMWR_TRAD_AGG_STATE_COMP[],N$1,0),"ERROR")</f>
        <v>5029</v>
      </c>
      <c r="O33" s="112">
        <f>IFERROR(VLOOKUP($B33,MMWR_TRAD_AGG_STATE_COMP[],O$1,0),"ERROR")</f>
        <v>2393</v>
      </c>
      <c r="P33" s="114">
        <f t="shared" si="3"/>
        <v>0.47584012726188107</v>
      </c>
      <c r="Q33" s="115">
        <f>IFERROR(VLOOKUP($B33,MMWR_TRAD_AGG_STATE_COMP[],Q$1,0),"ERROR")</f>
        <v>553</v>
      </c>
      <c r="R33" s="115">
        <f>IFERROR(VLOOKUP($B33,MMWR_TRAD_AGG_STATE_COMP[],R$1,0),"ERROR")</f>
        <v>336</v>
      </c>
      <c r="S33" s="115">
        <f>IFERROR(VLOOKUP($B33,MMWR_APP_STATE_COMP[],S$1,0),"ERROR")</f>
        <v>14171</v>
      </c>
      <c r="T33" s="28"/>
    </row>
    <row r="34" spans="1:20" s="123" customFormat="1" x14ac:dyDescent="0.2">
      <c r="A34" s="107"/>
      <c r="B34" s="127" t="s">
        <v>427</v>
      </c>
      <c r="C34" s="109">
        <f>IFERROR(VLOOKUP($B34,MMWR_TRAD_AGG_STATE_COMP[],C$1,0),"ERROR")</f>
        <v>408</v>
      </c>
      <c r="D34" s="110">
        <f>IFERROR(VLOOKUP($B34,MMWR_TRAD_AGG_STATE_COMP[],D$1,0),"ERROR")</f>
        <v>244.375</v>
      </c>
      <c r="E34" s="111">
        <f>IFERROR(VLOOKUP($B34,MMWR_TRAD_AGG_STATE_COMP[],E$1,0),"ERROR")</f>
        <v>900</v>
      </c>
      <c r="F34" s="112">
        <f>IFERROR(VLOOKUP($B34,MMWR_TRAD_AGG_STATE_COMP[],F$1,0),"ERROR")</f>
        <v>170</v>
      </c>
      <c r="G34" s="113">
        <f t="shared" si="0"/>
        <v>0.18888888888888888</v>
      </c>
      <c r="H34" s="111">
        <f>IFERROR(VLOOKUP($B34,MMWR_TRAD_AGG_STATE_COMP[],H$1,0),"ERROR")</f>
        <v>953</v>
      </c>
      <c r="I34" s="112">
        <f>IFERROR(VLOOKUP($B34,MMWR_TRAD_AGG_STATE_COMP[],I$1,0),"ERROR")</f>
        <v>259</v>
      </c>
      <c r="J34" s="114">
        <f t="shared" si="1"/>
        <v>0.27177334732423925</v>
      </c>
      <c r="K34" s="111">
        <f>IFERROR(VLOOKUP($B34,MMWR_TRAD_AGG_STATE_COMP[],K$1,0),"ERROR")</f>
        <v>311</v>
      </c>
      <c r="L34" s="112">
        <f>IFERROR(VLOOKUP($B34,MMWR_TRAD_AGG_STATE_COMP[],L$1,0),"ERROR")</f>
        <v>163</v>
      </c>
      <c r="M34" s="114">
        <f t="shared" si="2"/>
        <v>0.52411575562700963</v>
      </c>
      <c r="N34" s="111">
        <f>IFERROR(VLOOKUP($B34,MMWR_TRAD_AGG_STATE_COMP[],N$1,0),"ERROR")</f>
        <v>122</v>
      </c>
      <c r="O34" s="112">
        <f>IFERROR(VLOOKUP($B34,MMWR_TRAD_AGG_STATE_COMP[],O$1,0),"ERROR")</f>
        <v>66</v>
      </c>
      <c r="P34" s="114">
        <f t="shared" si="3"/>
        <v>0.54098360655737709</v>
      </c>
      <c r="Q34" s="115">
        <f>IFERROR(VLOOKUP($B34,MMWR_TRAD_AGG_STATE_COMP[],Q$1,0),"ERROR")</f>
        <v>1</v>
      </c>
      <c r="R34" s="115">
        <f>IFERROR(VLOOKUP($B34,MMWR_TRAD_AGG_STATE_COMP[],R$1,0),"ERROR")</f>
        <v>1</v>
      </c>
      <c r="S34" s="115">
        <f>IFERROR(VLOOKUP($B34,MMWR_APP_STATE_COMP[],S$1,0),"ERROR")</f>
        <v>204</v>
      </c>
      <c r="T34" s="28"/>
    </row>
    <row r="35" spans="1:20" s="123" customFormat="1" x14ac:dyDescent="0.2">
      <c r="A35" s="107"/>
      <c r="B35" s="127" t="s">
        <v>403</v>
      </c>
      <c r="C35" s="109">
        <f>IFERROR(VLOOKUP($B35,MMWR_TRAD_AGG_STATE_COMP[],C$1,0),"ERROR")</f>
        <v>4254</v>
      </c>
      <c r="D35" s="110">
        <f>IFERROR(VLOOKUP($B35,MMWR_TRAD_AGG_STATE_COMP[],D$1,0),"ERROR")</f>
        <v>269.47508227549997</v>
      </c>
      <c r="E35" s="111">
        <f>IFERROR(VLOOKUP($B35,MMWR_TRAD_AGG_STATE_COMP[],E$1,0),"ERROR")</f>
        <v>3952</v>
      </c>
      <c r="F35" s="112">
        <f>IFERROR(VLOOKUP($B35,MMWR_TRAD_AGG_STATE_COMP[],F$1,0),"ERROR")</f>
        <v>745</v>
      </c>
      <c r="G35" s="113">
        <f t="shared" si="0"/>
        <v>0.18851214574898786</v>
      </c>
      <c r="H35" s="111">
        <f>IFERROR(VLOOKUP($B35,MMWR_TRAD_AGG_STATE_COMP[],H$1,0),"ERROR")</f>
        <v>6600</v>
      </c>
      <c r="I35" s="112">
        <f>IFERROR(VLOOKUP($B35,MMWR_TRAD_AGG_STATE_COMP[],I$1,0),"ERROR")</f>
        <v>3531</v>
      </c>
      <c r="J35" s="114">
        <f t="shared" si="1"/>
        <v>0.53500000000000003</v>
      </c>
      <c r="K35" s="111">
        <f>IFERROR(VLOOKUP($B35,MMWR_TRAD_AGG_STATE_COMP[],K$1,0),"ERROR")</f>
        <v>438</v>
      </c>
      <c r="L35" s="112">
        <f>IFERROR(VLOOKUP($B35,MMWR_TRAD_AGG_STATE_COMP[],L$1,0),"ERROR")</f>
        <v>303</v>
      </c>
      <c r="M35" s="114">
        <f t="shared" si="2"/>
        <v>0.69178082191780821</v>
      </c>
      <c r="N35" s="111">
        <f>IFERROR(VLOOKUP($B35,MMWR_TRAD_AGG_STATE_COMP[],N$1,0),"ERROR")</f>
        <v>762</v>
      </c>
      <c r="O35" s="112">
        <f>IFERROR(VLOOKUP($B35,MMWR_TRAD_AGG_STATE_COMP[],O$1,0),"ERROR")</f>
        <v>404</v>
      </c>
      <c r="P35" s="114">
        <f t="shared" si="3"/>
        <v>0.53018372703412076</v>
      </c>
      <c r="Q35" s="115">
        <f>IFERROR(VLOOKUP($B35,MMWR_TRAD_AGG_STATE_COMP[],Q$1,0),"ERROR")</f>
        <v>294</v>
      </c>
      <c r="R35" s="115">
        <f>IFERROR(VLOOKUP($B35,MMWR_TRAD_AGG_STATE_COMP[],R$1,0),"ERROR")</f>
        <v>6</v>
      </c>
      <c r="S35" s="115">
        <f>IFERROR(VLOOKUP($B35,MMWR_APP_STATE_COMP[],S$1,0),"ERROR")</f>
        <v>3403</v>
      </c>
      <c r="T35" s="28"/>
    </row>
    <row r="36" spans="1:20" s="123" customFormat="1" x14ac:dyDescent="0.2">
      <c r="A36" s="28"/>
      <c r="B36" s="126" t="s">
        <v>392</v>
      </c>
      <c r="C36" s="102">
        <f>IF(SUM(C37:C45)&lt;&gt;VLOOKUP($B36,MMWR_TRAD_AGG_ST_DISTRICT_COMP[],C$1,0),"ERROR",
VLOOKUP($B36,MMWR_TRAD_AGG_ST_DISTRICT_COMP[],C$1,0))</f>
        <v>64463</v>
      </c>
      <c r="D36" s="103">
        <f>IFERROR(VLOOKUP($B36,MMWR_TRAD_AGG_ST_DISTRICT_COMP[],D$1,0),"ERROR")</f>
        <v>366.09121511559999</v>
      </c>
      <c r="E36" s="102">
        <f>IFERROR(VLOOKUP($B36,MMWR_TRAD_AGG_ST_DISTRICT_COMP[],E$1,0),"ERROR")</f>
        <v>68282</v>
      </c>
      <c r="F36" s="102">
        <f>IFERROR(VLOOKUP($B36,MMWR_TRAD_AGG_ST_DISTRICT_COMP[],F$1,0),"ERROR")</f>
        <v>14050</v>
      </c>
      <c r="G36" s="104">
        <f t="shared" si="0"/>
        <v>0.20576433027737911</v>
      </c>
      <c r="H36" s="102">
        <f>IFERROR(VLOOKUP($B36,MMWR_TRAD_AGG_ST_DISTRICT_COMP[],H$1,0),"ERROR")</f>
        <v>91492</v>
      </c>
      <c r="I36" s="102">
        <f>IFERROR(VLOOKUP($B36,MMWR_TRAD_AGG_ST_DISTRICT_COMP[],I$1,0),"ERROR")</f>
        <v>56687</v>
      </c>
      <c r="J36" s="105">
        <f t="shared" si="1"/>
        <v>0.61958422594325191</v>
      </c>
      <c r="K36" s="102">
        <f>IFERROR(VLOOKUP($B36,MMWR_TRAD_AGG_ST_DISTRICT_COMP[],K$1,0),"ERROR")</f>
        <v>12853</v>
      </c>
      <c r="L36" s="102">
        <f>IFERROR(VLOOKUP($B36,MMWR_TRAD_AGG_ST_DISTRICT_COMP[],L$1,0),"ERROR")</f>
        <v>10687</v>
      </c>
      <c r="M36" s="105">
        <f t="shared" si="2"/>
        <v>0.83147903213257601</v>
      </c>
      <c r="N36" s="102">
        <f>IFERROR(VLOOKUP($B36,MMWR_TRAD_AGG_ST_DISTRICT_COMP[],N$1,0),"ERROR")</f>
        <v>20362</v>
      </c>
      <c r="O36" s="102">
        <f>IFERROR(VLOOKUP($B36,MMWR_TRAD_AGG_ST_DISTRICT_COMP[],O$1,0),"ERROR")</f>
        <v>10439</v>
      </c>
      <c r="P36" s="105">
        <f t="shared" si="3"/>
        <v>0.51267066103526171</v>
      </c>
      <c r="Q36" s="102">
        <f>IFERROR(VLOOKUP($B36,MMWR_TRAD_AGG_ST_DISTRICT_COMP[],Q$1,0),"ERROR")</f>
        <v>757</v>
      </c>
      <c r="R36" s="106">
        <f>IFERROR(VLOOKUP($B36,MMWR_TRAD_AGG_ST_DISTRICT_COMP[],R$1,0),"ERROR")</f>
        <v>1083</v>
      </c>
      <c r="S36" s="106">
        <f>SUM(S37:S45)</f>
        <v>68251</v>
      </c>
      <c r="T36" s="28"/>
    </row>
    <row r="37" spans="1:20" s="123" customFormat="1" x14ac:dyDescent="0.2">
      <c r="A37" s="28"/>
      <c r="B37" s="127" t="s">
        <v>418</v>
      </c>
      <c r="C37" s="109">
        <f>IFERROR(VLOOKUP($B37,MMWR_TRAD_AGG_STATE_COMP[],C$1,0),"ERROR")</f>
        <v>5470</v>
      </c>
      <c r="D37" s="110">
        <f>IFERROR(VLOOKUP($B37,MMWR_TRAD_AGG_STATE_COMP[],D$1,0),"ERROR")</f>
        <v>347.77349177330001</v>
      </c>
      <c r="E37" s="111">
        <f>IFERROR(VLOOKUP($B37,MMWR_TRAD_AGG_STATE_COMP[],E$1,0),"ERROR")</f>
        <v>3757</v>
      </c>
      <c r="F37" s="112">
        <f>IFERROR(VLOOKUP($B37,MMWR_TRAD_AGG_STATE_COMP[],F$1,0),"ERROR")</f>
        <v>568</v>
      </c>
      <c r="G37" s="113">
        <f t="shared" si="0"/>
        <v>0.15118445568272557</v>
      </c>
      <c r="H37" s="111">
        <f>IFERROR(VLOOKUP($B37,MMWR_TRAD_AGG_STATE_COMP[],H$1,0),"ERROR")</f>
        <v>7259</v>
      </c>
      <c r="I37" s="112">
        <f>IFERROR(VLOOKUP($B37,MMWR_TRAD_AGG_STATE_COMP[],I$1,0),"ERROR")</f>
        <v>4725</v>
      </c>
      <c r="J37" s="114">
        <f t="shared" si="1"/>
        <v>0.65091610414657664</v>
      </c>
      <c r="K37" s="111">
        <f>IFERROR(VLOOKUP($B37,MMWR_TRAD_AGG_STATE_COMP[],K$1,0),"ERROR")</f>
        <v>1758</v>
      </c>
      <c r="L37" s="112">
        <f>IFERROR(VLOOKUP($B37,MMWR_TRAD_AGG_STATE_COMP[],L$1,0),"ERROR")</f>
        <v>1646</v>
      </c>
      <c r="M37" s="114">
        <f t="shared" si="2"/>
        <v>0.93629124004550623</v>
      </c>
      <c r="N37" s="111">
        <f>IFERROR(VLOOKUP($B37,MMWR_TRAD_AGG_STATE_COMP[],N$1,0),"ERROR")</f>
        <v>1617</v>
      </c>
      <c r="O37" s="112">
        <f>IFERROR(VLOOKUP($B37,MMWR_TRAD_AGG_STATE_COMP[],O$1,0),"ERROR")</f>
        <v>635</v>
      </c>
      <c r="P37" s="114">
        <f t="shared" si="3"/>
        <v>0.39270253555967843</v>
      </c>
      <c r="Q37" s="115">
        <f>IFERROR(VLOOKUP($B37,MMWR_TRAD_AGG_STATE_COMP[],Q$1,0),"ERROR")</f>
        <v>247</v>
      </c>
      <c r="R37" s="115">
        <f>IFERROR(VLOOKUP($B37,MMWR_TRAD_AGG_STATE_COMP[],R$1,0),"ERROR")</f>
        <v>148</v>
      </c>
      <c r="S37" s="115">
        <f>IFERROR(VLOOKUP($B37,MMWR_APP_STATE_COMP[],S$1,0),"ERROR")</f>
        <v>5341</v>
      </c>
      <c r="T37" s="28"/>
    </row>
    <row r="38" spans="1:20" s="123" customFormat="1" x14ac:dyDescent="0.2">
      <c r="A38" s="28"/>
      <c r="B38" s="127" t="s">
        <v>410</v>
      </c>
      <c r="C38" s="109">
        <f>IFERROR(VLOOKUP($B38,MMWR_TRAD_AGG_STATE_COMP[],C$1,0),"ERROR")</f>
        <v>8088</v>
      </c>
      <c r="D38" s="110">
        <f>IFERROR(VLOOKUP($B38,MMWR_TRAD_AGG_STATE_COMP[],D$1,0),"ERROR")</f>
        <v>403.05848170130002</v>
      </c>
      <c r="E38" s="111">
        <f>IFERROR(VLOOKUP($B38,MMWR_TRAD_AGG_STATE_COMP[],E$1,0),"ERROR")</f>
        <v>7125</v>
      </c>
      <c r="F38" s="112">
        <f>IFERROR(VLOOKUP($B38,MMWR_TRAD_AGG_STATE_COMP[],F$1,0),"ERROR")</f>
        <v>1855</v>
      </c>
      <c r="G38" s="113">
        <f t="shared" ref="G38:G64" si="4">IFERROR(F38/E38,"0%")</f>
        <v>0.26035087719298244</v>
      </c>
      <c r="H38" s="111">
        <f>IFERROR(VLOOKUP($B38,MMWR_TRAD_AGG_STATE_COMP[],H$1,0),"ERROR")</f>
        <v>10963</v>
      </c>
      <c r="I38" s="112">
        <f>IFERROR(VLOOKUP($B38,MMWR_TRAD_AGG_STATE_COMP[],I$1,0),"ERROR")</f>
        <v>7696</v>
      </c>
      <c r="J38" s="114">
        <f t="shared" ref="J38:J64" si="5">IFERROR(I38/H38,"0%")</f>
        <v>0.70199762838639057</v>
      </c>
      <c r="K38" s="111">
        <f>IFERROR(VLOOKUP($B38,MMWR_TRAD_AGG_STATE_COMP[],K$1,0),"ERROR")</f>
        <v>2002</v>
      </c>
      <c r="L38" s="112">
        <f>IFERROR(VLOOKUP($B38,MMWR_TRAD_AGG_STATE_COMP[],L$1,0),"ERROR")</f>
        <v>1751</v>
      </c>
      <c r="M38" s="114">
        <f t="shared" ref="M38:M64" si="6">IFERROR(L38/K38,"0%")</f>
        <v>0.8746253746253746</v>
      </c>
      <c r="N38" s="111">
        <f>IFERROR(VLOOKUP($B38,MMWR_TRAD_AGG_STATE_COMP[],N$1,0),"ERROR")</f>
        <v>2896</v>
      </c>
      <c r="O38" s="112">
        <f>IFERROR(VLOOKUP($B38,MMWR_TRAD_AGG_STATE_COMP[],O$1,0),"ERROR")</f>
        <v>1775</v>
      </c>
      <c r="P38" s="114">
        <f t="shared" ref="P38:P64" si="7">IFERROR(O38/N38,"0%")</f>
        <v>0.612914364640884</v>
      </c>
      <c r="Q38" s="115">
        <f>IFERROR(VLOOKUP($B38,MMWR_TRAD_AGG_STATE_COMP[],Q$1,0),"ERROR")</f>
        <v>11</v>
      </c>
      <c r="R38" s="115">
        <f>IFERROR(VLOOKUP($B38,MMWR_TRAD_AGG_STATE_COMP[],R$1,0),"ERROR")</f>
        <v>66</v>
      </c>
      <c r="S38" s="115">
        <f>IFERROR(VLOOKUP($B38,MMWR_APP_STATE_COMP[],S$1,0),"ERROR")</f>
        <v>6150</v>
      </c>
      <c r="T38" s="28"/>
    </row>
    <row r="39" spans="1:20" s="123" customFormat="1" x14ac:dyDescent="0.2">
      <c r="A39" s="28"/>
      <c r="B39" s="127" t="s">
        <v>394</v>
      </c>
      <c r="C39" s="109">
        <f>IFERROR(VLOOKUP($B39,MMWR_TRAD_AGG_STATE_COMP[],C$1,0),"ERROR")</f>
        <v>6448</v>
      </c>
      <c r="D39" s="110">
        <f>IFERROR(VLOOKUP($B39,MMWR_TRAD_AGG_STATE_COMP[],D$1,0),"ERROR")</f>
        <v>402.03830645160002</v>
      </c>
      <c r="E39" s="111">
        <f>IFERROR(VLOOKUP($B39,MMWR_TRAD_AGG_STATE_COMP[],E$1,0),"ERROR")</f>
        <v>6111</v>
      </c>
      <c r="F39" s="112">
        <f>IFERROR(VLOOKUP($B39,MMWR_TRAD_AGG_STATE_COMP[],F$1,0),"ERROR")</f>
        <v>1059</v>
      </c>
      <c r="G39" s="113">
        <f t="shared" si="4"/>
        <v>0.17329405989199803</v>
      </c>
      <c r="H39" s="111">
        <f>IFERROR(VLOOKUP($B39,MMWR_TRAD_AGG_STATE_COMP[],H$1,0),"ERROR")</f>
        <v>9103</v>
      </c>
      <c r="I39" s="112">
        <f>IFERROR(VLOOKUP($B39,MMWR_TRAD_AGG_STATE_COMP[],I$1,0),"ERROR")</f>
        <v>5999</v>
      </c>
      <c r="J39" s="114">
        <f t="shared" si="5"/>
        <v>0.65901351202900138</v>
      </c>
      <c r="K39" s="111">
        <f>IFERROR(VLOOKUP($B39,MMWR_TRAD_AGG_STATE_COMP[],K$1,0),"ERROR")</f>
        <v>980</v>
      </c>
      <c r="L39" s="112">
        <f>IFERROR(VLOOKUP($B39,MMWR_TRAD_AGG_STATE_COMP[],L$1,0),"ERROR")</f>
        <v>853</v>
      </c>
      <c r="M39" s="114">
        <f t="shared" si="6"/>
        <v>0.87040816326530612</v>
      </c>
      <c r="N39" s="111">
        <f>IFERROR(VLOOKUP($B39,MMWR_TRAD_AGG_STATE_COMP[],N$1,0),"ERROR")</f>
        <v>1604</v>
      </c>
      <c r="O39" s="112">
        <f>IFERROR(VLOOKUP($B39,MMWR_TRAD_AGG_STATE_COMP[],O$1,0),"ERROR")</f>
        <v>754</v>
      </c>
      <c r="P39" s="114">
        <f t="shared" si="7"/>
        <v>0.47007481296758102</v>
      </c>
      <c r="Q39" s="115">
        <f>IFERROR(VLOOKUP($B39,MMWR_TRAD_AGG_STATE_COMP[],Q$1,0),"ERROR")</f>
        <v>197</v>
      </c>
      <c r="R39" s="115">
        <f>IFERROR(VLOOKUP($B39,MMWR_TRAD_AGG_STATE_COMP[],R$1,0),"ERROR")</f>
        <v>247</v>
      </c>
      <c r="S39" s="115">
        <f>IFERROR(VLOOKUP($B39,MMWR_APP_STATE_COMP[],S$1,0),"ERROR")</f>
        <v>5935</v>
      </c>
      <c r="T39" s="28"/>
    </row>
    <row r="40" spans="1:20" s="123" customFormat="1" x14ac:dyDescent="0.2">
      <c r="A40" s="28"/>
      <c r="B40" s="127" t="s">
        <v>396</v>
      </c>
      <c r="C40" s="109">
        <f>IFERROR(VLOOKUP($B40,MMWR_TRAD_AGG_STATE_COMP[],C$1,0),"ERROR")</f>
        <v>5025</v>
      </c>
      <c r="D40" s="110">
        <f>IFERROR(VLOOKUP($B40,MMWR_TRAD_AGG_STATE_COMP[],D$1,0),"ERROR")</f>
        <v>382.26228855720001</v>
      </c>
      <c r="E40" s="111">
        <f>IFERROR(VLOOKUP($B40,MMWR_TRAD_AGG_STATE_COMP[],E$1,0),"ERROR")</f>
        <v>4463</v>
      </c>
      <c r="F40" s="112">
        <f>IFERROR(VLOOKUP($B40,MMWR_TRAD_AGG_STATE_COMP[],F$1,0),"ERROR")</f>
        <v>1014</v>
      </c>
      <c r="G40" s="113">
        <f t="shared" si="4"/>
        <v>0.22720143401299575</v>
      </c>
      <c r="H40" s="111">
        <f>IFERROR(VLOOKUP($B40,MMWR_TRAD_AGG_STATE_COMP[],H$1,0),"ERROR")</f>
        <v>7485</v>
      </c>
      <c r="I40" s="112">
        <f>IFERROR(VLOOKUP($B40,MMWR_TRAD_AGG_STATE_COMP[],I$1,0),"ERROR")</f>
        <v>4951</v>
      </c>
      <c r="J40" s="114">
        <f t="shared" si="5"/>
        <v>0.6614562458249833</v>
      </c>
      <c r="K40" s="111">
        <f>IFERROR(VLOOKUP($B40,MMWR_TRAD_AGG_STATE_COMP[],K$1,0),"ERROR")</f>
        <v>1140</v>
      </c>
      <c r="L40" s="112">
        <f>IFERROR(VLOOKUP($B40,MMWR_TRAD_AGG_STATE_COMP[],L$1,0),"ERROR")</f>
        <v>1007</v>
      </c>
      <c r="M40" s="114">
        <f t="shared" si="6"/>
        <v>0.8833333333333333</v>
      </c>
      <c r="N40" s="111">
        <f>IFERROR(VLOOKUP($B40,MMWR_TRAD_AGG_STATE_COMP[],N$1,0),"ERROR")</f>
        <v>2308</v>
      </c>
      <c r="O40" s="112">
        <f>IFERROR(VLOOKUP($B40,MMWR_TRAD_AGG_STATE_COMP[],O$1,0),"ERROR")</f>
        <v>1401</v>
      </c>
      <c r="P40" s="114">
        <f t="shared" si="7"/>
        <v>0.60701906412478335</v>
      </c>
      <c r="Q40" s="115">
        <f>IFERROR(VLOOKUP($B40,MMWR_TRAD_AGG_STATE_COMP[],Q$1,0),"ERROR")</f>
        <v>261</v>
      </c>
      <c r="R40" s="115">
        <f>IFERROR(VLOOKUP($B40,MMWR_TRAD_AGG_STATE_COMP[],R$1,0),"ERROR")</f>
        <v>144</v>
      </c>
      <c r="S40" s="115">
        <f>IFERROR(VLOOKUP($B40,MMWR_APP_STATE_COMP[],S$1,0),"ERROR")</f>
        <v>4841</v>
      </c>
      <c r="T40" s="28"/>
    </row>
    <row r="41" spans="1:20" s="123" customFormat="1" x14ac:dyDescent="0.2">
      <c r="A41" s="28"/>
      <c r="B41" s="127" t="s">
        <v>425</v>
      </c>
      <c r="C41" s="109">
        <f>IFERROR(VLOOKUP($B41,MMWR_TRAD_AGG_STATE_COMP[],C$1,0),"ERROR")</f>
        <v>965</v>
      </c>
      <c r="D41" s="110">
        <f>IFERROR(VLOOKUP($B41,MMWR_TRAD_AGG_STATE_COMP[],D$1,0),"ERROR")</f>
        <v>257.0549222798</v>
      </c>
      <c r="E41" s="111">
        <f>IFERROR(VLOOKUP($B41,MMWR_TRAD_AGG_STATE_COMP[],E$1,0),"ERROR")</f>
        <v>813</v>
      </c>
      <c r="F41" s="112">
        <f>IFERROR(VLOOKUP($B41,MMWR_TRAD_AGG_STATE_COMP[],F$1,0),"ERROR")</f>
        <v>102</v>
      </c>
      <c r="G41" s="113">
        <f t="shared" si="4"/>
        <v>0.12546125461254612</v>
      </c>
      <c r="H41" s="111">
        <f>IFERROR(VLOOKUP($B41,MMWR_TRAD_AGG_STATE_COMP[],H$1,0),"ERROR")</f>
        <v>1668</v>
      </c>
      <c r="I41" s="112">
        <f>IFERROR(VLOOKUP($B41,MMWR_TRAD_AGG_STATE_COMP[],I$1,0),"ERROR")</f>
        <v>765</v>
      </c>
      <c r="J41" s="114">
        <f t="shared" si="5"/>
        <v>0.45863309352517984</v>
      </c>
      <c r="K41" s="111">
        <f>IFERROR(VLOOKUP($B41,MMWR_TRAD_AGG_STATE_COMP[],K$1,0),"ERROR")</f>
        <v>382</v>
      </c>
      <c r="L41" s="112">
        <f>IFERROR(VLOOKUP($B41,MMWR_TRAD_AGG_STATE_COMP[],L$1,0),"ERROR")</f>
        <v>233</v>
      </c>
      <c r="M41" s="114">
        <f t="shared" si="6"/>
        <v>0.60994764397905754</v>
      </c>
      <c r="N41" s="111">
        <f>IFERROR(VLOOKUP($B41,MMWR_TRAD_AGG_STATE_COMP[],N$1,0),"ERROR")</f>
        <v>226</v>
      </c>
      <c r="O41" s="112">
        <f>IFERROR(VLOOKUP($B41,MMWR_TRAD_AGG_STATE_COMP[],O$1,0),"ERROR")</f>
        <v>93</v>
      </c>
      <c r="P41" s="114">
        <f t="shared" si="7"/>
        <v>0.41150442477876104</v>
      </c>
      <c r="Q41" s="115">
        <f>IFERROR(VLOOKUP($B41,MMWR_TRAD_AGG_STATE_COMP[],Q$1,0),"ERROR")</f>
        <v>2</v>
      </c>
      <c r="R41" s="115">
        <f>IFERROR(VLOOKUP($B41,MMWR_TRAD_AGG_STATE_COMP[],R$1,0),"ERROR")</f>
        <v>3</v>
      </c>
      <c r="S41" s="115">
        <f>IFERROR(VLOOKUP($B41,MMWR_APP_STATE_COMP[],S$1,0),"ERROR")</f>
        <v>346</v>
      </c>
      <c r="T41" s="28"/>
    </row>
    <row r="42" spans="1:20" s="123" customFormat="1" x14ac:dyDescent="0.2">
      <c r="A42" s="28"/>
      <c r="B42" s="127" t="s">
        <v>419</v>
      </c>
      <c r="C42" s="109">
        <f>IFERROR(VLOOKUP($B42,MMWR_TRAD_AGG_STATE_COMP[],C$1,0),"ERROR")</f>
        <v>3579</v>
      </c>
      <c r="D42" s="110">
        <f>IFERROR(VLOOKUP($B42,MMWR_TRAD_AGG_STATE_COMP[],D$1,0),"ERROR")</f>
        <v>489.81782620839999</v>
      </c>
      <c r="E42" s="111">
        <f>IFERROR(VLOOKUP($B42,MMWR_TRAD_AGG_STATE_COMP[],E$1,0),"ERROR")</f>
        <v>6707</v>
      </c>
      <c r="F42" s="112">
        <f>IFERROR(VLOOKUP($B42,MMWR_TRAD_AGG_STATE_COMP[],F$1,0),"ERROR")</f>
        <v>1044</v>
      </c>
      <c r="G42" s="113">
        <f t="shared" si="4"/>
        <v>0.1556582674817355</v>
      </c>
      <c r="H42" s="111">
        <f>IFERROR(VLOOKUP($B42,MMWR_TRAD_AGG_STATE_COMP[],H$1,0),"ERROR")</f>
        <v>6030</v>
      </c>
      <c r="I42" s="112">
        <f>IFERROR(VLOOKUP($B42,MMWR_TRAD_AGG_STATE_COMP[],I$1,0),"ERROR")</f>
        <v>3373</v>
      </c>
      <c r="J42" s="114">
        <f t="shared" si="5"/>
        <v>0.5593698175787728</v>
      </c>
      <c r="K42" s="111">
        <f>IFERROR(VLOOKUP($B42,MMWR_TRAD_AGG_STATE_COMP[],K$1,0),"ERROR")</f>
        <v>998</v>
      </c>
      <c r="L42" s="112">
        <f>IFERROR(VLOOKUP($B42,MMWR_TRAD_AGG_STATE_COMP[],L$1,0),"ERROR")</f>
        <v>592</v>
      </c>
      <c r="M42" s="114">
        <f t="shared" si="6"/>
        <v>0.59318637274549102</v>
      </c>
      <c r="N42" s="111">
        <f>IFERROR(VLOOKUP($B42,MMWR_TRAD_AGG_STATE_COMP[],N$1,0),"ERROR")</f>
        <v>1545</v>
      </c>
      <c r="O42" s="112">
        <f>IFERROR(VLOOKUP($B42,MMWR_TRAD_AGG_STATE_COMP[],O$1,0),"ERROR")</f>
        <v>578</v>
      </c>
      <c r="P42" s="114">
        <f t="shared" si="7"/>
        <v>0.37411003236245954</v>
      </c>
      <c r="Q42" s="115">
        <f>IFERROR(VLOOKUP($B42,MMWR_TRAD_AGG_STATE_COMP[],Q$1,0),"ERROR")</f>
        <v>4</v>
      </c>
      <c r="R42" s="115">
        <f>IFERROR(VLOOKUP($B42,MMWR_TRAD_AGG_STATE_COMP[],R$1,0),"ERROR")</f>
        <v>63</v>
      </c>
      <c r="S42" s="115">
        <f>IFERROR(VLOOKUP($B42,MMWR_APP_STATE_COMP[],S$1,0),"ERROR")</f>
        <v>4468</v>
      </c>
      <c r="T42" s="28"/>
    </row>
    <row r="43" spans="1:20" s="123" customFormat="1" x14ac:dyDescent="0.2">
      <c r="A43" s="28"/>
      <c r="B43" s="127" t="s">
        <v>417</v>
      </c>
      <c r="C43" s="109">
        <f>IFERROR(VLOOKUP($B43,MMWR_TRAD_AGG_STATE_COMP[],C$1,0),"ERROR")</f>
        <v>32270</v>
      </c>
      <c r="D43" s="110">
        <f>IFERROR(VLOOKUP($B43,MMWR_TRAD_AGG_STATE_COMP[],D$1,0),"ERROR")</f>
        <v>342.91837620080003</v>
      </c>
      <c r="E43" s="111">
        <f>IFERROR(VLOOKUP($B43,MMWR_TRAD_AGG_STATE_COMP[],E$1,0),"ERROR")</f>
        <v>36449</v>
      </c>
      <c r="F43" s="112">
        <f>IFERROR(VLOOKUP($B43,MMWR_TRAD_AGG_STATE_COMP[],F$1,0),"ERROR")</f>
        <v>7845</v>
      </c>
      <c r="G43" s="113">
        <f t="shared" si="4"/>
        <v>0.21523224231117452</v>
      </c>
      <c r="H43" s="111">
        <f>IFERROR(VLOOKUP($B43,MMWR_TRAD_AGG_STATE_COMP[],H$1,0),"ERROR")</f>
        <v>45055</v>
      </c>
      <c r="I43" s="112">
        <f>IFERROR(VLOOKUP($B43,MMWR_TRAD_AGG_STATE_COMP[],I$1,0),"ERROR")</f>
        <v>26977</v>
      </c>
      <c r="J43" s="114">
        <f t="shared" si="5"/>
        <v>0.59875707468649431</v>
      </c>
      <c r="K43" s="111">
        <f>IFERROR(VLOOKUP($B43,MMWR_TRAD_AGG_STATE_COMP[],K$1,0),"ERROR")</f>
        <v>5002</v>
      </c>
      <c r="L43" s="112">
        <f>IFERROR(VLOOKUP($B43,MMWR_TRAD_AGG_STATE_COMP[],L$1,0),"ERROR")</f>
        <v>4106</v>
      </c>
      <c r="M43" s="114">
        <f t="shared" si="6"/>
        <v>0.82087165133946416</v>
      </c>
      <c r="N43" s="111">
        <f>IFERROR(VLOOKUP($B43,MMWR_TRAD_AGG_STATE_COMP[],N$1,0),"ERROR")</f>
        <v>9746</v>
      </c>
      <c r="O43" s="112">
        <f>IFERROR(VLOOKUP($B43,MMWR_TRAD_AGG_STATE_COMP[],O$1,0),"ERROR")</f>
        <v>5045</v>
      </c>
      <c r="P43" s="114">
        <f t="shared" si="7"/>
        <v>0.5176482659552637</v>
      </c>
      <c r="Q43" s="115">
        <f>IFERROR(VLOOKUP($B43,MMWR_TRAD_AGG_STATE_COMP[],Q$1,0),"ERROR")</f>
        <v>30</v>
      </c>
      <c r="R43" s="115">
        <f>IFERROR(VLOOKUP($B43,MMWR_TRAD_AGG_STATE_COMP[],R$1,0),"ERROR")</f>
        <v>404</v>
      </c>
      <c r="S43" s="115">
        <f>IFERROR(VLOOKUP($B43,MMWR_APP_STATE_COMP[],S$1,0),"ERROR")</f>
        <v>40225</v>
      </c>
      <c r="T43" s="28"/>
    </row>
    <row r="44" spans="1:20" s="123" customFormat="1" x14ac:dyDescent="0.2">
      <c r="A44" s="28"/>
      <c r="B44" s="127" t="s">
        <v>413</v>
      </c>
      <c r="C44" s="109">
        <f>IFERROR(VLOOKUP($B44,MMWR_TRAD_AGG_STATE_COMP[],C$1,0),"ERROR")</f>
        <v>2058</v>
      </c>
      <c r="D44" s="110">
        <f>IFERROR(VLOOKUP($B44,MMWR_TRAD_AGG_STATE_COMP[],D$1,0),"ERROR")</f>
        <v>331.92905733719999</v>
      </c>
      <c r="E44" s="111">
        <f>IFERROR(VLOOKUP($B44,MMWR_TRAD_AGG_STATE_COMP[],E$1,0),"ERROR")</f>
        <v>1962</v>
      </c>
      <c r="F44" s="112">
        <f>IFERROR(VLOOKUP($B44,MMWR_TRAD_AGG_STATE_COMP[],F$1,0),"ERROR")</f>
        <v>392</v>
      </c>
      <c r="G44" s="113">
        <f t="shared" si="4"/>
        <v>0.199796126401631</v>
      </c>
      <c r="H44" s="111">
        <f>IFERROR(VLOOKUP($B44,MMWR_TRAD_AGG_STATE_COMP[],H$1,0),"ERROR")</f>
        <v>2933</v>
      </c>
      <c r="I44" s="112">
        <f>IFERROR(VLOOKUP($B44,MMWR_TRAD_AGG_STATE_COMP[],I$1,0),"ERROR")</f>
        <v>1727</v>
      </c>
      <c r="J44" s="114">
        <f t="shared" si="5"/>
        <v>0.58881691101261502</v>
      </c>
      <c r="K44" s="111">
        <f>IFERROR(VLOOKUP($B44,MMWR_TRAD_AGG_STATE_COMP[],K$1,0),"ERROR")</f>
        <v>479</v>
      </c>
      <c r="L44" s="112">
        <f>IFERROR(VLOOKUP($B44,MMWR_TRAD_AGG_STATE_COMP[],L$1,0),"ERROR")</f>
        <v>414</v>
      </c>
      <c r="M44" s="114">
        <f t="shared" si="6"/>
        <v>0.86430062630480164</v>
      </c>
      <c r="N44" s="111">
        <f>IFERROR(VLOOKUP($B44,MMWR_TRAD_AGG_STATE_COMP[],N$1,0),"ERROR")</f>
        <v>238</v>
      </c>
      <c r="O44" s="112">
        <f>IFERROR(VLOOKUP($B44,MMWR_TRAD_AGG_STATE_COMP[],O$1,0),"ERROR")</f>
        <v>95</v>
      </c>
      <c r="P44" s="114">
        <f t="shared" si="7"/>
        <v>0.39915966386554624</v>
      </c>
      <c r="Q44" s="115">
        <f>IFERROR(VLOOKUP($B44,MMWR_TRAD_AGG_STATE_COMP[],Q$1,0),"ERROR")</f>
        <v>1</v>
      </c>
      <c r="R44" s="115">
        <f>IFERROR(VLOOKUP($B44,MMWR_TRAD_AGG_STATE_COMP[],R$1,0),"ERROR")</f>
        <v>3</v>
      </c>
      <c r="S44" s="115">
        <f>IFERROR(VLOOKUP($B44,MMWR_APP_STATE_COMP[],S$1,0),"ERROR")</f>
        <v>588</v>
      </c>
      <c r="T44" s="28"/>
    </row>
    <row r="45" spans="1:20" s="123" customFormat="1" x14ac:dyDescent="0.2">
      <c r="A45" s="28"/>
      <c r="B45" s="127" t="s">
        <v>428</v>
      </c>
      <c r="C45" s="109">
        <f>IFERROR(VLOOKUP($B45,MMWR_TRAD_AGG_STATE_COMP[],C$1,0),"ERROR")</f>
        <v>560</v>
      </c>
      <c r="D45" s="110">
        <f>IFERROR(VLOOKUP($B45,MMWR_TRAD_AGG_STATE_COMP[],D$1,0),"ERROR")</f>
        <v>310.11964285710002</v>
      </c>
      <c r="E45" s="111">
        <f>IFERROR(VLOOKUP($B45,MMWR_TRAD_AGG_STATE_COMP[],E$1,0),"ERROR")</f>
        <v>895</v>
      </c>
      <c r="F45" s="112">
        <f>IFERROR(VLOOKUP($B45,MMWR_TRAD_AGG_STATE_COMP[],F$1,0),"ERROR")</f>
        <v>171</v>
      </c>
      <c r="G45" s="113">
        <f t="shared" si="4"/>
        <v>0.19106145251396647</v>
      </c>
      <c r="H45" s="111">
        <f>IFERROR(VLOOKUP($B45,MMWR_TRAD_AGG_STATE_COMP[],H$1,0),"ERROR")</f>
        <v>996</v>
      </c>
      <c r="I45" s="112">
        <f>IFERROR(VLOOKUP($B45,MMWR_TRAD_AGG_STATE_COMP[],I$1,0),"ERROR")</f>
        <v>474</v>
      </c>
      <c r="J45" s="114">
        <f t="shared" si="5"/>
        <v>0.4759036144578313</v>
      </c>
      <c r="K45" s="111">
        <f>IFERROR(VLOOKUP($B45,MMWR_TRAD_AGG_STATE_COMP[],K$1,0),"ERROR")</f>
        <v>112</v>
      </c>
      <c r="L45" s="112">
        <f>IFERROR(VLOOKUP($B45,MMWR_TRAD_AGG_STATE_COMP[],L$1,0),"ERROR")</f>
        <v>85</v>
      </c>
      <c r="M45" s="114">
        <f t="shared" si="6"/>
        <v>0.7589285714285714</v>
      </c>
      <c r="N45" s="111">
        <f>IFERROR(VLOOKUP($B45,MMWR_TRAD_AGG_STATE_COMP[],N$1,0),"ERROR")</f>
        <v>182</v>
      </c>
      <c r="O45" s="112">
        <f>IFERROR(VLOOKUP($B45,MMWR_TRAD_AGG_STATE_COMP[],O$1,0),"ERROR")</f>
        <v>63</v>
      </c>
      <c r="P45" s="114">
        <f t="shared" si="7"/>
        <v>0.34615384615384615</v>
      </c>
      <c r="Q45" s="115">
        <f>IFERROR(VLOOKUP($B45,MMWR_TRAD_AGG_STATE_COMP[],Q$1,0),"ERROR")</f>
        <v>4</v>
      </c>
      <c r="R45" s="115">
        <f>IFERROR(VLOOKUP($B45,MMWR_TRAD_AGG_STATE_COMP[],R$1,0),"ERROR")</f>
        <v>5</v>
      </c>
      <c r="S45" s="115">
        <f>IFERROR(VLOOKUP($B45,MMWR_APP_STATE_COMP[],S$1,0),"ERROR")</f>
        <v>357</v>
      </c>
      <c r="T45" s="28"/>
    </row>
    <row r="46" spans="1:20" s="123" customFormat="1" x14ac:dyDescent="0.2">
      <c r="A46" s="28"/>
      <c r="B46" s="126" t="s">
        <v>411</v>
      </c>
      <c r="C46" s="102">
        <f>IFERROR(VLOOKUP($B46,MMWR_TRAD_AGG_ST_DISTRICT_COMP[],C$1,0),"ERROR")</f>
        <v>70038</v>
      </c>
      <c r="D46" s="103">
        <f>IFERROR(VLOOKUP($B46,MMWR_TRAD_AGG_ST_DISTRICT_COMP[],D$1,0),"ERROR")</f>
        <v>374.06230903220001</v>
      </c>
      <c r="E46" s="102">
        <f>IFERROR(VLOOKUP($B46,MMWR_TRAD_AGG_ST_DISTRICT_COMP[],E$1,0),"ERROR")</f>
        <v>61000</v>
      </c>
      <c r="F46" s="102">
        <f>IFERROR(VLOOKUP($B46,MMWR_TRAD_AGG_ST_DISTRICT_COMP[],F$1,0),"ERROR")</f>
        <v>12519</v>
      </c>
      <c r="G46" s="104">
        <f t="shared" si="4"/>
        <v>0.20522950819672131</v>
      </c>
      <c r="H46" s="102">
        <f>IFERROR(VLOOKUP($B46,MMWR_TRAD_AGG_ST_DISTRICT_COMP[],H$1,0),"ERROR")</f>
        <v>100320</v>
      </c>
      <c r="I46" s="102">
        <f>IFERROR(VLOOKUP($B46,MMWR_TRAD_AGG_ST_DISTRICT_COMP[],I$1,0),"ERROR")</f>
        <v>64497</v>
      </c>
      <c r="J46" s="105">
        <f t="shared" si="5"/>
        <v>0.6429126794258373</v>
      </c>
      <c r="K46" s="102">
        <f>IFERROR(VLOOKUP($B46,MMWR_TRAD_AGG_ST_DISTRICT_COMP[],K$1,0),"ERROR")</f>
        <v>17489</v>
      </c>
      <c r="L46" s="102">
        <f>IFERROR(VLOOKUP($B46,MMWR_TRAD_AGG_ST_DISTRICT_COMP[],L$1,0),"ERROR")</f>
        <v>15468</v>
      </c>
      <c r="M46" s="105">
        <f t="shared" si="6"/>
        <v>0.88444164903653721</v>
      </c>
      <c r="N46" s="102">
        <f>IFERROR(VLOOKUP($B46,MMWR_TRAD_AGG_ST_DISTRICT_COMP[],N$1,0),"ERROR")</f>
        <v>24639</v>
      </c>
      <c r="O46" s="102">
        <f>IFERROR(VLOOKUP($B46,MMWR_TRAD_AGG_ST_DISTRICT_COMP[],O$1,0),"ERROR")</f>
        <v>16249</v>
      </c>
      <c r="P46" s="105">
        <f t="shared" si="7"/>
        <v>0.65948293356061527</v>
      </c>
      <c r="Q46" s="102">
        <f>IFERROR(VLOOKUP($B46,MMWR_TRAD_AGG_ST_DISTRICT_COMP[],Q$1,0),"ERROR")</f>
        <v>87</v>
      </c>
      <c r="R46" s="106">
        <f>IFERROR(VLOOKUP($B46,MMWR_TRAD_AGG_ST_DISTRICT_COMP[],R$1,0),"ERROR")</f>
        <v>549</v>
      </c>
      <c r="S46" s="106">
        <f>SUM(S47:S55)</f>
        <v>43571</v>
      </c>
      <c r="T46" s="28"/>
    </row>
    <row r="47" spans="1:20" s="123" customFormat="1" x14ac:dyDescent="0.2">
      <c r="A47" s="28"/>
      <c r="B47" s="127" t="s">
        <v>431</v>
      </c>
      <c r="C47" s="109">
        <f>IFERROR(VLOOKUP($B47,MMWR_TRAD_AGG_STATE_COMP[],C$1,0),"ERROR")</f>
        <v>1960</v>
      </c>
      <c r="D47" s="110">
        <f>IFERROR(VLOOKUP($B47,MMWR_TRAD_AGG_STATE_COMP[],D$1,0),"ERROR")</f>
        <v>427.86173469390002</v>
      </c>
      <c r="E47" s="111">
        <f>IFERROR(VLOOKUP($B47,MMWR_TRAD_AGG_STATE_COMP[],E$1,0),"ERROR")</f>
        <v>1102</v>
      </c>
      <c r="F47" s="112">
        <f>IFERROR(VLOOKUP($B47,MMWR_TRAD_AGG_STATE_COMP[],F$1,0),"ERROR")</f>
        <v>167</v>
      </c>
      <c r="G47" s="113">
        <f t="shared" si="4"/>
        <v>0.15154264972776771</v>
      </c>
      <c r="H47" s="111">
        <f>IFERROR(VLOOKUP($B47,MMWR_TRAD_AGG_STATE_COMP[],H$1,0),"ERROR")</f>
        <v>2853</v>
      </c>
      <c r="I47" s="112">
        <f>IFERROR(VLOOKUP($B47,MMWR_TRAD_AGG_STATE_COMP[],I$1,0),"ERROR")</f>
        <v>1832</v>
      </c>
      <c r="J47" s="114">
        <f t="shared" si="5"/>
        <v>0.64213109008061686</v>
      </c>
      <c r="K47" s="111">
        <f>IFERROR(VLOOKUP($B47,MMWR_TRAD_AGG_STATE_COMP[],K$1,0),"ERROR")</f>
        <v>1515</v>
      </c>
      <c r="L47" s="112">
        <f>IFERROR(VLOOKUP($B47,MMWR_TRAD_AGG_STATE_COMP[],L$1,0),"ERROR")</f>
        <v>1410</v>
      </c>
      <c r="M47" s="114">
        <f t="shared" si="6"/>
        <v>0.93069306930693074</v>
      </c>
      <c r="N47" s="111">
        <f>IFERROR(VLOOKUP($B47,MMWR_TRAD_AGG_STATE_COMP[],N$1,0),"ERROR")</f>
        <v>418</v>
      </c>
      <c r="O47" s="112">
        <f>IFERROR(VLOOKUP($B47,MMWR_TRAD_AGG_STATE_COMP[],O$1,0),"ERROR")</f>
        <v>181</v>
      </c>
      <c r="P47" s="114">
        <f t="shared" si="7"/>
        <v>0.43301435406698563</v>
      </c>
      <c r="Q47" s="115">
        <f>IFERROR(VLOOKUP($B47,MMWR_TRAD_AGG_STATE_COMP[],Q$1,0),"ERROR")</f>
        <v>3</v>
      </c>
      <c r="R47" s="115">
        <f>IFERROR(VLOOKUP($B47,MMWR_TRAD_AGG_STATE_COMP[],R$1,0),"ERROR")</f>
        <v>2</v>
      </c>
      <c r="S47" s="115">
        <f>IFERROR(VLOOKUP($B47,MMWR_APP_STATE_COMP[],S$1,0),"ERROR")</f>
        <v>285</v>
      </c>
      <c r="T47" s="28"/>
    </row>
    <row r="48" spans="1:20" s="123" customFormat="1" x14ac:dyDescent="0.2">
      <c r="A48" s="28"/>
      <c r="B48" s="127" t="s">
        <v>433</v>
      </c>
      <c r="C48" s="109">
        <f>IFERROR(VLOOKUP($B48,MMWR_TRAD_AGG_STATE_COMP[],C$1,0),"ERROR")</f>
        <v>6781</v>
      </c>
      <c r="D48" s="110">
        <f>IFERROR(VLOOKUP($B48,MMWR_TRAD_AGG_STATE_COMP[],D$1,0),"ERROR")</f>
        <v>299.2344786905</v>
      </c>
      <c r="E48" s="111">
        <f>IFERROR(VLOOKUP($B48,MMWR_TRAD_AGG_STATE_COMP[],E$1,0),"ERROR")</f>
        <v>6273</v>
      </c>
      <c r="F48" s="112">
        <f>IFERROR(VLOOKUP($B48,MMWR_TRAD_AGG_STATE_COMP[],F$1,0),"ERROR")</f>
        <v>1138</v>
      </c>
      <c r="G48" s="113">
        <f t="shared" si="4"/>
        <v>0.18141240235931771</v>
      </c>
      <c r="H48" s="111">
        <f>IFERROR(VLOOKUP($B48,MMWR_TRAD_AGG_STATE_COMP[],H$1,0),"ERROR")</f>
        <v>9352</v>
      </c>
      <c r="I48" s="112">
        <f>IFERROR(VLOOKUP($B48,MMWR_TRAD_AGG_STATE_COMP[],I$1,0),"ERROR")</f>
        <v>5322</v>
      </c>
      <c r="J48" s="114">
        <f t="shared" si="5"/>
        <v>0.56907613344739094</v>
      </c>
      <c r="K48" s="111">
        <f>IFERROR(VLOOKUP($B48,MMWR_TRAD_AGG_STATE_COMP[],K$1,0),"ERROR")</f>
        <v>716</v>
      </c>
      <c r="L48" s="112">
        <f>IFERROR(VLOOKUP($B48,MMWR_TRAD_AGG_STATE_COMP[],L$1,0),"ERROR")</f>
        <v>541</v>
      </c>
      <c r="M48" s="114">
        <f t="shared" si="6"/>
        <v>0.755586592178771</v>
      </c>
      <c r="N48" s="111">
        <f>IFERROR(VLOOKUP($B48,MMWR_TRAD_AGG_STATE_COMP[],N$1,0),"ERROR")</f>
        <v>3099</v>
      </c>
      <c r="O48" s="112">
        <f>IFERROR(VLOOKUP($B48,MMWR_TRAD_AGG_STATE_COMP[],O$1,0),"ERROR")</f>
        <v>2262</v>
      </c>
      <c r="P48" s="114">
        <f t="shared" si="7"/>
        <v>0.72991287512100678</v>
      </c>
      <c r="Q48" s="115">
        <f>IFERROR(VLOOKUP($B48,MMWR_TRAD_AGG_STATE_COMP[],Q$1,0),"ERROR")</f>
        <v>6</v>
      </c>
      <c r="R48" s="115">
        <f>IFERROR(VLOOKUP($B48,MMWR_TRAD_AGG_STATE_COMP[],R$1,0),"ERROR")</f>
        <v>76</v>
      </c>
      <c r="S48" s="115">
        <f>IFERROR(VLOOKUP($B48,MMWR_APP_STATE_COMP[],S$1,0),"ERROR")</f>
        <v>7182</v>
      </c>
      <c r="T48" s="28"/>
    </row>
    <row r="49" spans="1:20" s="123" customFormat="1" x14ac:dyDescent="0.2">
      <c r="A49" s="28"/>
      <c r="B49" s="127" t="s">
        <v>414</v>
      </c>
      <c r="C49" s="109">
        <f>IFERROR(VLOOKUP($B49,MMWR_TRAD_AGG_STATE_COMP[],C$1,0),"ERROR")</f>
        <v>30590</v>
      </c>
      <c r="D49" s="110">
        <f>IFERROR(VLOOKUP($B49,MMWR_TRAD_AGG_STATE_COMP[],D$1,0),"ERROR")</f>
        <v>368.47080745340003</v>
      </c>
      <c r="E49" s="111">
        <f>IFERROR(VLOOKUP($B49,MMWR_TRAD_AGG_STATE_COMP[],E$1,0),"ERROR")</f>
        <v>31689</v>
      </c>
      <c r="F49" s="112">
        <f>IFERROR(VLOOKUP($B49,MMWR_TRAD_AGG_STATE_COMP[],F$1,0),"ERROR")</f>
        <v>6268</v>
      </c>
      <c r="G49" s="113">
        <f t="shared" si="4"/>
        <v>0.19779734292656759</v>
      </c>
      <c r="H49" s="111">
        <f>IFERROR(VLOOKUP($B49,MMWR_TRAD_AGG_STATE_COMP[],H$1,0),"ERROR")</f>
        <v>44567</v>
      </c>
      <c r="I49" s="112">
        <f>IFERROR(VLOOKUP($B49,MMWR_TRAD_AGG_STATE_COMP[],I$1,0),"ERROR")</f>
        <v>29130</v>
      </c>
      <c r="J49" s="114">
        <f t="shared" si="5"/>
        <v>0.65362263558238154</v>
      </c>
      <c r="K49" s="111">
        <f>IFERROR(VLOOKUP($B49,MMWR_TRAD_AGG_STATE_COMP[],K$1,0),"ERROR")</f>
        <v>7400</v>
      </c>
      <c r="L49" s="112">
        <f>IFERROR(VLOOKUP($B49,MMWR_TRAD_AGG_STATE_COMP[],L$1,0),"ERROR")</f>
        <v>6624</v>
      </c>
      <c r="M49" s="114">
        <f t="shared" si="6"/>
        <v>0.8951351351351351</v>
      </c>
      <c r="N49" s="111">
        <f>IFERROR(VLOOKUP($B49,MMWR_TRAD_AGG_STATE_COMP[],N$1,0),"ERROR")</f>
        <v>11229</v>
      </c>
      <c r="O49" s="112">
        <f>IFERROR(VLOOKUP($B49,MMWR_TRAD_AGG_STATE_COMP[],O$1,0),"ERROR")</f>
        <v>7444</v>
      </c>
      <c r="P49" s="114">
        <f t="shared" si="7"/>
        <v>0.66292635141152378</v>
      </c>
      <c r="Q49" s="115">
        <f>IFERROR(VLOOKUP($B49,MMWR_TRAD_AGG_STATE_COMP[],Q$1,0),"ERROR")</f>
        <v>46</v>
      </c>
      <c r="R49" s="115">
        <f>IFERROR(VLOOKUP($B49,MMWR_TRAD_AGG_STATE_COMP[],R$1,0),"ERROR")</f>
        <v>131</v>
      </c>
      <c r="S49" s="115">
        <f>IFERROR(VLOOKUP($B49,MMWR_APP_STATE_COMP[],S$1,0),"ERROR")</f>
        <v>18388</v>
      </c>
      <c r="T49" s="28"/>
    </row>
    <row r="50" spans="1:20" s="123" customFormat="1" x14ac:dyDescent="0.2">
      <c r="A50" s="28"/>
      <c r="B50" s="127" t="s">
        <v>435</v>
      </c>
      <c r="C50" s="109">
        <f>IFERROR(VLOOKUP($B50,MMWR_TRAD_AGG_STATE_COMP[],C$1,0),"ERROR")</f>
        <v>1715</v>
      </c>
      <c r="D50" s="110">
        <f>IFERROR(VLOOKUP($B50,MMWR_TRAD_AGG_STATE_COMP[],D$1,0),"ERROR")</f>
        <v>295.1510204082</v>
      </c>
      <c r="E50" s="111">
        <f>IFERROR(VLOOKUP($B50,MMWR_TRAD_AGG_STATE_COMP[],E$1,0),"ERROR")</f>
        <v>1979</v>
      </c>
      <c r="F50" s="112">
        <f>IFERROR(VLOOKUP($B50,MMWR_TRAD_AGG_STATE_COMP[],F$1,0),"ERROR")</f>
        <v>385</v>
      </c>
      <c r="G50" s="113">
        <f t="shared" si="4"/>
        <v>0.19454269833249116</v>
      </c>
      <c r="H50" s="111">
        <f>IFERROR(VLOOKUP($B50,MMWR_TRAD_AGG_STATE_COMP[],H$1,0),"ERROR")</f>
        <v>2425</v>
      </c>
      <c r="I50" s="112">
        <f>IFERROR(VLOOKUP($B50,MMWR_TRAD_AGG_STATE_COMP[],I$1,0),"ERROR")</f>
        <v>1479</v>
      </c>
      <c r="J50" s="114">
        <f t="shared" si="5"/>
        <v>0.60989690721649481</v>
      </c>
      <c r="K50" s="111">
        <f>IFERROR(VLOOKUP($B50,MMWR_TRAD_AGG_STATE_COMP[],K$1,0),"ERROR")</f>
        <v>347</v>
      </c>
      <c r="L50" s="112">
        <f>IFERROR(VLOOKUP($B50,MMWR_TRAD_AGG_STATE_COMP[],L$1,0),"ERROR")</f>
        <v>282</v>
      </c>
      <c r="M50" s="114">
        <f t="shared" si="6"/>
        <v>0.81268011527377526</v>
      </c>
      <c r="N50" s="111">
        <f>IFERROR(VLOOKUP($B50,MMWR_TRAD_AGG_STATE_COMP[],N$1,0),"ERROR")</f>
        <v>345</v>
      </c>
      <c r="O50" s="112">
        <f>IFERROR(VLOOKUP($B50,MMWR_TRAD_AGG_STATE_COMP[],O$1,0),"ERROR")</f>
        <v>179</v>
      </c>
      <c r="P50" s="114">
        <f t="shared" si="7"/>
        <v>0.51884057971014497</v>
      </c>
      <c r="Q50" s="115">
        <f>IFERROR(VLOOKUP($B50,MMWR_TRAD_AGG_STATE_COMP[],Q$1,0),"ERROR")</f>
        <v>4</v>
      </c>
      <c r="R50" s="115">
        <f>IFERROR(VLOOKUP($B50,MMWR_TRAD_AGG_STATE_COMP[],R$1,0),"ERROR")</f>
        <v>2</v>
      </c>
      <c r="S50" s="115">
        <f>IFERROR(VLOOKUP($B50,MMWR_APP_STATE_COMP[],S$1,0),"ERROR")</f>
        <v>1087</v>
      </c>
      <c r="T50" s="28"/>
    </row>
    <row r="51" spans="1:20" s="123" customFormat="1" x14ac:dyDescent="0.2">
      <c r="A51" s="28"/>
      <c r="B51" s="127" t="s">
        <v>415</v>
      </c>
      <c r="C51" s="109">
        <f>IFERROR(VLOOKUP($B51,MMWR_TRAD_AGG_STATE_COMP[],C$1,0),"ERROR")</f>
        <v>840</v>
      </c>
      <c r="D51" s="110">
        <f>IFERROR(VLOOKUP($B51,MMWR_TRAD_AGG_STATE_COMP[],D$1,0),"ERROR")</f>
        <v>276.99047619049998</v>
      </c>
      <c r="E51" s="111">
        <f>IFERROR(VLOOKUP($B51,MMWR_TRAD_AGG_STATE_COMP[],E$1,0),"ERROR")</f>
        <v>1508</v>
      </c>
      <c r="F51" s="112">
        <f>IFERROR(VLOOKUP($B51,MMWR_TRAD_AGG_STATE_COMP[],F$1,0),"ERROR")</f>
        <v>306</v>
      </c>
      <c r="G51" s="113">
        <f t="shared" si="4"/>
        <v>0.20291777188328913</v>
      </c>
      <c r="H51" s="111">
        <f>IFERROR(VLOOKUP($B51,MMWR_TRAD_AGG_STATE_COMP[],H$1,0),"ERROR")</f>
        <v>1256</v>
      </c>
      <c r="I51" s="112">
        <f>IFERROR(VLOOKUP($B51,MMWR_TRAD_AGG_STATE_COMP[],I$1,0),"ERROR")</f>
        <v>622</v>
      </c>
      <c r="J51" s="114">
        <f t="shared" si="5"/>
        <v>0.49522292993630573</v>
      </c>
      <c r="K51" s="111">
        <f>IFERROR(VLOOKUP($B51,MMWR_TRAD_AGG_STATE_COMP[],K$1,0),"ERROR")</f>
        <v>195</v>
      </c>
      <c r="L51" s="112">
        <f>IFERROR(VLOOKUP($B51,MMWR_TRAD_AGG_STATE_COMP[],L$1,0),"ERROR")</f>
        <v>121</v>
      </c>
      <c r="M51" s="114">
        <f t="shared" si="6"/>
        <v>0.62051282051282053</v>
      </c>
      <c r="N51" s="111">
        <f>IFERROR(VLOOKUP($B51,MMWR_TRAD_AGG_STATE_COMP[],N$1,0),"ERROR")</f>
        <v>324</v>
      </c>
      <c r="O51" s="112">
        <f>IFERROR(VLOOKUP($B51,MMWR_TRAD_AGG_STATE_COMP[],O$1,0),"ERROR")</f>
        <v>147</v>
      </c>
      <c r="P51" s="114">
        <f t="shared" si="7"/>
        <v>0.45370370370370372</v>
      </c>
      <c r="Q51" s="115">
        <f>IFERROR(VLOOKUP($B51,MMWR_TRAD_AGG_STATE_COMP[],Q$1,0),"ERROR")</f>
        <v>1</v>
      </c>
      <c r="R51" s="115">
        <f>IFERROR(VLOOKUP($B51,MMWR_TRAD_AGG_STATE_COMP[],R$1,0),"ERROR")</f>
        <v>8</v>
      </c>
      <c r="S51" s="115">
        <f>IFERROR(VLOOKUP($B51,MMWR_APP_STATE_COMP[],S$1,0),"ERROR")</f>
        <v>990</v>
      </c>
      <c r="T51" s="28"/>
    </row>
    <row r="52" spans="1:20" s="123" customFormat="1" x14ac:dyDescent="0.2">
      <c r="A52" s="28"/>
      <c r="B52" s="127" t="s">
        <v>420</v>
      </c>
      <c r="C52" s="109">
        <f>IFERROR(VLOOKUP($B52,MMWR_TRAD_AGG_STATE_COMP[],C$1,0),"ERROR")</f>
        <v>4452</v>
      </c>
      <c r="D52" s="110">
        <f>IFERROR(VLOOKUP($B52,MMWR_TRAD_AGG_STATE_COMP[],D$1,0),"ERROR")</f>
        <v>464.86500449239998</v>
      </c>
      <c r="E52" s="111">
        <f>IFERROR(VLOOKUP($B52,MMWR_TRAD_AGG_STATE_COMP[],E$1,0),"ERROR")</f>
        <v>3822</v>
      </c>
      <c r="F52" s="112">
        <f>IFERROR(VLOOKUP($B52,MMWR_TRAD_AGG_STATE_COMP[],F$1,0),"ERROR")</f>
        <v>907</v>
      </c>
      <c r="G52" s="113">
        <f t="shared" si="4"/>
        <v>0.23731030873888018</v>
      </c>
      <c r="H52" s="111">
        <f>IFERROR(VLOOKUP($B52,MMWR_TRAD_AGG_STATE_COMP[],H$1,0),"ERROR")</f>
        <v>5610</v>
      </c>
      <c r="I52" s="112">
        <f>IFERROR(VLOOKUP($B52,MMWR_TRAD_AGG_STATE_COMP[],I$1,0),"ERROR")</f>
        <v>3827</v>
      </c>
      <c r="J52" s="114">
        <f t="shared" si="5"/>
        <v>0.68217468805704096</v>
      </c>
      <c r="K52" s="111">
        <f>IFERROR(VLOOKUP($B52,MMWR_TRAD_AGG_STATE_COMP[],K$1,0),"ERROR")</f>
        <v>545</v>
      </c>
      <c r="L52" s="112">
        <f>IFERROR(VLOOKUP($B52,MMWR_TRAD_AGG_STATE_COMP[],L$1,0),"ERROR")</f>
        <v>478</v>
      </c>
      <c r="M52" s="114">
        <f t="shared" si="6"/>
        <v>0.87706422018348629</v>
      </c>
      <c r="N52" s="111">
        <f>IFERROR(VLOOKUP($B52,MMWR_TRAD_AGG_STATE_COMP[],N$1,0),"ERROR")</f>
        <v>1545</v>
      </c>
      <c r="O52" s="112">
        <f>IFERROR(VLOOKUP($B52,MMWR_TRAD_AGG_STATE_COMP[],O$1,0),"ERROR")</f>
        <v>930</v>
      </c>
      <c r="P52" s="114">
        <f t="shared" si="7"/>
        <v>0.60194174757281549</v>
      </c>
      <c r="Q52" s="115">
        <f>IFERROR(VLOOKUP($B52,MMWR_TRAD_AGG_STATE_COMP[],Q$1,0),"ERROR")</f>
        <v>6</v>
      </c>
      <c r="R52" s="115">
        <f>IFERROR(VLOOKUP($B52,MMWR_TRAD_AGG_STATE_COMP[],R$1,0),"ERROR")</f>
        <v>113</v>
      </c>
      <c r="S52" s="115">
        <f>IFERROR(VLOOKUP($B52,MMWR_APP_STATE_COMP[],S$1,0),"ERROR")</f>
        <v>3035</v>
      </c>
      <c r="T52" s="28"/>
    </row>
    <row r="53" spans="1:20" s="123" customFormat="1" x14ac:dyDescent="0.2">
      <c r="A53" s="28"/>
      <c r="B53" s="127" t="s">
        <v>412</v>
      </c>
      <c r="C53" s="109">
        <f>IFERROR(VLOOKUP($B53,MMWR_TRAD_AGG_STATE_COMP[],C$1,0),"ERROR")</f>
        <v>1703</v>
      </c>
      <c r="D53" s="110">
        <f>IFERROR(VLOOKUP($B53,MMWR_TRAD_AGG_STATE_COMP[],D$1,0),"ERROR")</f>
        <v>217.59776864360001</v>
      </c>
      <c r="E53" s="111">
        <f>IFERROR(VLOOKUP($B53,MMWR_TRAD_AGG_STATE_COMP[],E$1,0),"ERROR")</f>
        <v>2947</v>
      </c>
      <c r="F53" s="112">
        <f>IFERROR(VLOOKUP($B53,MMWR_TRAD_AGG_STATE_COMP[],F$1,0),"ERROR")</f>
        <v>703</v>
      </c>
      <c r="G53" s="113">
        <f t="shared" si="4"/>
        <v>0.23854767560230744</v>
      </c>
      <c r="H53" s="111">
        <f>IFERROR(VLOOKUP($B53,MMWR_TRAD_AGG_STATE_COMP[],H$1,0),"ERROR")</f>
        <v>2562</v>
      </c>
      <c r="I53" s="112">
        <f>IFERROR(VLOOKUP($B53,MMWR_TRAD_AGG_STATE_COMP[],I$1,0),"ERROR")</f>
        <v>1158</v>
      </c>
      <c r="J53" s="114">
        <f t="shared" si="5"/>
        <v>0.45199063231850117</v>
      </c>
      <c r="K53" s="111">
        <f>IFERROR(VLOOKUP($B53,MMWR_TRAD_AGG_STATE_COMP[],K$1,0),"ERROR")</f>
        <v>298</v>
      </c>
      <c r="L53" s="112">
        <f>IFERROR(VLOOKUP($B53,MMWR_TRAD_AGG_STATE_COMP[],L$1,0),"ERROR")</f>
        <v>195</v>
      </c>
      <c r="M53" s="114">
        <f t="shared" si="6"/>
        <v>0.65436241610738255</v>
      </c>
      <c r="N53" s="111">
        <f>IFERROR(VLOOKUP($B53,MMWR_TRAD_AGG_STATE_COMP[],N$1,0),"ERROR")</f>
        <v>651</v>
      </c>
      <c r="O53" s="112">
        <f>IFERROR(VLOOKUP($B53,MMWR_TRAD_AGG_STATE_COMP[],O$1,0),"ERROR")</f>
        <v>300</v>
      </c>
      <c r="P53" s="114">
        <f t="shared" si="7"/>
        <v>0.46082949308755761</v>
      </c>
      <c r="Q53" s="115">
        <f>IFERROR(VLOOKUP($B53,MMWR_TRAD_AGG_STATE_COMP[],Q$1,0),"ERROR")</f>
        <v>2</v>
      </c>
      <c r="R53" s="115">
        <f>IFERROR(VLOOKUP($B53,MMWR_TRAD_AGG_STATE_COMP[],R$1,0),"ERROR")</f>
        <v>10</v>
      </c>
      <c r="S53" s="115">
        <f>IFERROR(VLOOKUP($B53,MMWR_APP_STATE_COMP[],S$1,0),"ERROR")</f>
        <v>1933</v>
      </c>
      <c r="T53" s="28"/>
    </row>
    <row r="54" spans="1:20" s="123" customFormat="1" x14ac:dyDescent="0.2">
      <c r="A54" s="28"/>
      <c r="B54" s="127" t="s">
        <v>416</v>
      </c>
      <c r="C54" s="109">
        <f>IFERROR(VLOOKUP($B54,MMWR_TRAD_AGG_STATE_COMP[],C$1,0),"ERROR")</f>
        <v>8651</v>
      </c>
      <c r="D54" s="110">
        <f>IFERROR(VLOOKUP($B54,MMWR_TRAD_AGG_STATE_COMP[],D$1,0),"ERROR")</f>
        <v>403.93353369549999</v>
      </c>
      <c r="E54" s="111">
        <f>IFERROR(VLOOKUP($B54,MMWR_TRAD_AGG_STATE_COMP[],E$1,0),"ERROR")</f>
        <v>4797</v>
      </c>
      <c r="F54" s="112">
        <f>IFERROR(VLOOKUP($B54,MMWR_TRAD_AGG_STATE_COMP[],F$1,0),"ERROR")</f>
        <v>1329</v>
      </c>
      <c r="G54" s="113">
        <f t="shared" si="4"/>
        <v>0.27704815509693559</v>
      </c>
      <c r="H54" s="111">
        <f>IFERROR(VLOOKUP($B54,MMWR_TRAD_AGG_STATE_COMP[],H$1,0),"ERROR")</f>
        <v>11993</v>
      </c>
      <c r="I54" s="112">
        <f>IFERROR(VLOOKUP($B54,MMWR_TRAD_AGG_STATE_COMP[],I$1,0),"ERROR")</f>
        <v>8224</v>
      </c>
      <c r="J54" s="114">
        <f t="shared" si="5"/>
        <v>0.6857333444509297</v>
      </c>
      <c r="K54" s="111">
        <f>IFERROR(VLOOKUP($B54,MMWR_TRAD_AGG_STATE_COMP[],K$1,0),"ERROR")</f>
        <v>3060</v>
      </c>
      <c r="L54" s="112">
        <f>IFERROR(VLOOKUP($B54,MMWR_TRAD_AGG_STATE_COMP[],L$1,0),"ERROR")</f>
        <v>2709</v>
      </c>
      <c r="M54" s="114">
        <f t="shared" si="6"/>
        <v>0.88529411764705879</v>
      </c>
      <c r="N54" s="111">
        <f>IFERROR(VLOOKUP($B54,MMWR_TRAD_AGG_STATE_COMP[],N$1,0),"ERROR")</f>
        <v>2053</v>
      </c>
      <c r="O54" s="112">
        <f>IFERROR(VLOOKUP($B54,MMWR_TRAD_AGG_STATE_COMP[],O$1,0),"ERROR")</f>
        <v>854</v>
      </c>
      <c r="P54" s="114">
        <f t="shared" si="7"/>
        <v>0.41597661958110083</v>
      </c>
      <c r="Q54" s="115">
        <f>IFERROR(VLOOKUP($B54,MMWR_TRAD_AGG_STATE_COMP[],Q$1,0),"ERROR")</f>
        <v>5</v>
      </c>
      <c r="R54" s="115">
        <f>IFERROR(VLOOKUP($B54,MMWR_TRAD_AGG_STATE_COMP[],R$1,0),"ERROR")</f>
        <v>71</v>
      </c>
      <c r="S54" s="115">
        <f>IFERROR(VLOOKUP($B54,MMWR_APP_STATE_COMP[],S$1,0),"ERROR")</f>
        <v>5504</v>
      </c>
      <c r="T54" s="28"/>
    </row>
    <row r="55" spans="1:20" s="123" customFormat="1" x14ac:dyDescent="0.2">
      <c r="A55" s="28"/>
      <c r="B55" s="127" t="s">
        <v>83</v>
      </c>
      <c r="C55" s="109">
        <f>IFERROR(VLOOKUP($B55,MMWR_TRAD_AGG_STATE_COMP[],C$1,0),"ERROR")</f>
        <v>13346</v>
      </c>
      <c r="D55" s="110">
        <f>IFERROR(VLOOKUP($B55,MMWR_TRAD_AGG_STATE_COMP[],D$1,0),"ERROR")</f>
        <v>403.5593436236</v>
      </c>
      <c r="E55" s="111">
        <f>IFERROR(VLOOKUP($B55,MMWR_TRAD_AGG_STATE_COMP[],E$1,0),"ERROR")</f>
        <v>6883</v>
      </c>
      <c r="F55" s="112">
        <f>IFERROR(VLOOKUP($B55,MMWR_TRAD_AGG_STATE_COMP[],F$1,0),"ERROR")</f>
        <v>1316</v>
      </c>
      <c r="G55" s="113">
        <f t="shared" si="4"/>
        <v>0.19119569954961499</v>
      </c>
      <c r="H55" s="111">
        <f>IFERROR(VLOOKUP($B55,MMWR_TRAD_AGG_STATE_COMP[],H$1,0),"ERROR")</f>
        <v>19702</v>
      </c>
      <c r="I55" s="112">
        <f>IFERROR(VLOOKUP($B55,MMWR_TRAD_AGG_STATE_COMP[],I$1,0),"ERROR")</f>
        <v>12903</v>
      </c>
      <c r="J55" s="114">
        <f t="shared" si="5"/>
        <v>0.65490813115419755</v>
      </c>
      <c r="K55" s="111">
        <f>IFERROR(VLOOKUP($B55,MMWR_TRAD_AGG_STATE_COMP[],K$1,0),"ERROR")</f>
        <v>3413</v>
      </c>
      <c r="L55" s="112">
        <f>IFERROR(VLOOKUP($B55,MMWR_TRAD_AGG_STATE_COMP[],L$1,0),"ERROR")</f>
        <v>3108</v>
      </c>
      <c r="M55" s="114">
        <f t="shared" si="6"/>
        <v>0.91063580427776147</v>
      </c>
      <c r="N55" s="111">
        <f>IFERROR(VLOOKUP($B55,MMWR_TRAD_AGG_STATE_COMP[],N$1,0),"ERROR")</f>
        <v>4975</v>
      </c>
      <c r="O55" s="112">
        <f>IFERROR(VLOOKUP($B55,MMWR_TRAD_AGG_STATE_COMP[],O$1,0),"ERROR")</f>
        <v>3952</v>
      </c>
      <c r="P55" s="114">
        <f t="shared" si="7"/>
        <v>0.79437185929648246</v>
      </c>
      <c r="Q55" s="115">
        <f>IFERROR(VLOOKUP($B55,MMWR_TRAD_AGG_STATE_COMP[],Q$1,0),"ERROR")</f>
        <v>14</v>
      </c>
      <c r="R55" s="115">
        <f>IFERROR(VLOOKUP($B55,MMWR_TRAD_AGG_STATE_COMP[],R$1,0),"ERROR")</f>
        <v>136</v>
      </c>
      <c r="S55" s="115">
        <f>IFERROR(VLOOKUP($B55,MMWR_APP_STATE_COMP[],S$1,0),"ERROR")</f>
        <v>5167</v>
      </c>
      <c r="T55" s="28"/>
    </row>
    <row r="56" spans="1:20" s="123" customFormat="1" x14ac:dyDescent="0.2">
      <c r="A56" s="28"/>
      <c r="B56" s="126" t="s">
        <v>387</v>
      </c>
      <c r="C56" s="102">
        <f>IFERROR(VLOOKUP($B56,MMWR_TRAD_AGG_ST_DISTRICT_COMP[],C$1,0),"ERROR")</f>
        <v>82076</v>
      </c>
      <c r="D56" s="103">
        <f>IFERROR(VLOOKUP($B56,MMWR_TRAD_AGG_ST_DISTRICT_COMP[],D$1,0),"ERROR")</f>
        <v>359.99225108439998</v>
      </c>
      <c r="E56" s="102">
        <f>IFERROR(VLOOKUP($B56,MMWR_TRAD_AGG_ST_DISTRICT_COMP[],E$1,0),"ERROR")</f>
        <v>78950</v>
      </c>
      <c r="F56" s="102">
        <f>IFERROR(VLOOKUP($B56,MMWR_TRAD_AGG_ST_DISTRICT_COMP[],F$1,0),"ERROR")</f>
        <v>17222</v>
      </c>
      <c r="G56" s="104">
        <f t="shared" si="4"/>
        <v>0.21813806206459785</v>
      </c>
      <c r="H56" s="102">
        <f>IFERROR(VLOOKUP($B56,MMWR_TRAD_AGG_ST_DISTRICT_COMP[],H$1,0),"ERROR")</f>
        <v>116173</v>
      </c>
      <c r="I56" s="102">
        <f>IFERROR(VLOOKUP($B56,MMWR_TRAD_AGG_ST_DISTRICT_COMP[],I$1,0),"ERROR")</f>
        <v>75595</v>
      </c>
      <c r="J56" s="105">
        <f t="shared" si="5"/>
        <v>0.65071057818942435</v>
      </c>
      <c r="K56" s="102">
        <f>IFERROR(VLOOKUP($B56,MMWR_TRAD_AGG_ST_DISTRICT_COMP[],K$1,0),"ERROR")</f>
        <v>21352</v>
      </c>
      <c r="L56" s="102">
        <f>IFERROR(VLOOKUP($B56,MMWR_TRAD_AGG_ST_DISTRICT_COMP[],L$1,0),"ERROR")</f>
        <v>18594</v>
      </c>
      <c r="M56" s="105">
        <f t="shared" si="6"/>
        <v>0.87083177219932562</v>
      </c>
      <c r="N56" s="102">
        <f>IFERROR(VLOOKUP($B56,MMWR_TRAD_AGG_ST_DISTRICT_COMP[],N$1,0),"ERROR")</f>
        <v>36142</v>
      </c>
      <c r="O56" s="102">
        <f>IFERROR(VLOOKUP($B56,MMWR_TRAD_AGG_ST_DISTRICT_COMP[],O$1,0),"ERROR")</f>
        <v>21326</v>
      </c>
      <c r="P56" s="105">
        <f t="shared" si="7"/>
        <v>0.59006142438160591</v>
      </c>
      <c r="Q56" s="102">
        <f>IFERROR(VLOOKUP($B56,MMWR_TRAD_AGG_ST_DISTRICT_COMP[],Q$1,0),"ERROR")</f>
        <v>4623</v>
      </c>
      <c r="R56" s="106">
        <f>IFERROR(VLOOKUP($B56,MMWR_TRAD_AGG_ST_DISTRICT_COMP[],R$1,0),"ERROR")</f>
        <v>1033</v>
      </c>
      <c r="S56" s="106">
        <f>SUM(S57:S63)</f>
        <v>87874</v>
      </c>
      <c r="T56" s="28"/>
    </row>
    <row r="57" spans="1:20" s="123" customFormat="1" x14ac:dyDescent="0.2">
      <c r="A57" s="28"/>
      <c r="B57" s="127" t="s">
        <v>395</v>
      </c>
      <c r="C57" s="109">
        <f>IFERROR(VLOOKUP($B57,MMWR_TRAD_AGG_STATE_COMP[],C$1,0),"ERROR")</f>
        <v>14777</v>
      </c>
      <c r="D57" s="110">
        <f>IFERROR(VLOOKUP($B57,MMWR_TRAD_AGG_STATE_COMP[],D$1,0),"ERROR")</f>
        <v>392.18393449280001</v>
      </c>
      <c r="E57" s="111">
        <f>IFERROR(VLOOKUP($B57,MMWR_TRAD_AGG_STATE_COMP[],E$1,0),"ERROR")</f>
        <v>8272</v>
      </c>
      <c r="F57" s="112">
        <f>IFERROR(VLOOKUP($B57,MMWR_TRAD_AGG_STATE_COMP[],F$1,0),"ERROR")</f>
        <v>1378</v>
      </c>
      <c r="G57" s="113">
        <f t="shared" si="4"/>
        <v>0.16658607350096713</v>
      </c>
      <c r="H57" s="111">
        <f>IFERROR(VLOOKUP($B57,MMWR_TRAD_AGG_STATE_COMP[],H$1,0),"ERROR")</f>
        <v>18325</v>
      </c>
      <c r="I57" s="112">
        <f>IFERROR(VLOOKUP($B57,MMWR_TRAD_AGG_STATE_COMP[],I$1,0),"ERROR")</f>
        <v>12712</v>
      </c>
      <c r="J57" s="114">
        <f t="shared" si="5"/>
        <v>0.69369713506139152</v>
      </c>
      <c r="K57" s="111">
        <f>IFERROR(VLOOKUP($B57,MMWR_TRAD_AGG_STATE_COMP[],K$1,0),"ERROR")</f>
        <v>4266</v>
      </c>
      <c r="L57" s="112">
        <f>IFERROR(VLOOKUP($B57,MMWR_TRAD_AGG_STATE_COMP[],L$1,0),"ERROR")</f>
        <v>3845</v>
      </c>
      <c r="M57" s="114">
        <f t="shared" si="6"/>
        <v>0.90131270511017347</v>
      </c>
      <c r="N57" s="111">
        <f>IFERROR(VLOOKUP($B57,MMWR_TRAD_AGG_STATE_COMP[],N$1,0),"ERROR")</f>
        <v>2904</v>
      </c>
      <c r="O57" s="112">
        <f>IFERROR(VLOOKUP($B57,MMWR_TRAD_AGG_STATE_COMP[],O$1,0),"ERROR")</f>
        <v>1804</v>
      </c>
      <c r="P57" s="114">
        <f t="shared" si="7"/>
        <v>0.62121212121212122</v>
      </c>
      <c r="Q57" s="115">
        <f>IFERROR(VLOOKUP($B57,MMWR_TRAD_AGG_STATE_COMP[],Q$1,0),"ERROR")</f>
        <v>309</v>
      </c>
      <c r="R57" s="115">
        <f>IFERROR(VLOOKUP($B57,MMWR_TRAD_AGG_STATE_COMP[],R$1,0),"ERROR")</f>
        <v>344</v>
      </c>
      <c r="S57" s="115">
        <f>IFERROR(VLOOKUP($B57,MMWR_APP_STATE_COMP[],S$1,0),"ERROR")</f>
        <v>10646</v>
      </c>
      <c r="T57" s="28"/>
    </row>
    <row r="58" spans="1:20" s="123" customFormat="1" x14ac:dyDescent="0.2">
      <c r="A58" s="28"/>
      <c r="B58" s="127" t="s">
        <v>432</v>
      </c>
      <c r="C58" s="109">
        <f>IFERROR(VLOOKUP($B58,MMWR_TRAD_AGG_STATE_COMP[],C$1,0),"ERROR")</f>
        <v>21648</v>
      </c>
      <c r="D58" s="110">
        <f>IFERROR(VLOOKUP($B58,MMWR_TRAD_AGG_STATE_COMP[],D$1,0),"ERROR")</f>
        <v>314.86372875090001</v>
      </c>
      <c r="E58" s="111">
        <f>IFERROR(VLOOKUP($B58,MMWR_TRAD_AGG_STATE_COMP[],E$1,0),"ERROR")</f>
        <v>24998</v>
      </c>
      <c r="F58" s="112">
        <f>IFERROR(VLOOKUP($B58,MMWR_TRAD_AGG_STATE_COMP[],F$1,0),"ERROR")</f>
        <v>6138</v>
      </c>
      <c r="G58" s="113">
        <f t="shared" si="4"/>
        <v>0.24553964317145371</v>
      </c>
      <c r="H58" s="111">
        <f>IFERROR(VLOOKUP($B58,MMWR_TRAD_AGG_STATE_COMP[],H$1,0),"ERROR")</f>
        <v>29741</v>
      </c>
      <c r="I58" s="112">
        <f>IFERROR(VLOOKUP($B58,MMWR_TRAD_AGG_STATE_COMP[],I$1,0),"ERROR")</f>
        <v>18710</v>
      </c>
      <c r="J58" s="114">
        <f t="shared" si="5"/>
        <v>0.62909787834975284</v>
      </c>
      <c r="K58" s="111">
        <f>IFERROR(VLOOKUP($B58,MMWR_TRAD_AGG_STATE_COMP[],K$1,0),"ERROR")</f>
        <v>3949</v>
      </c>
      <c r="L58" s="112">
        <f>IFERROR(VLOOKUP($B58,MMWR_TRAD_AGG_STATE_COMP[],L$1,0),"ERROR")</f>
        <v>2905</v>
      </c>
      <c r="M58" s="114">
        <f t="shared" si="6"/>
        <v>0.73562927323373006</v>
      </c>
      <c r="N58" s="111">
        <f>IFERROR(VLOOKUP($B58,MMWR_TRAD_AGG_STATE_COMP[],N$1,0),"ERROR")</f>
        <v>12956</v>
      </c>
      <c r="O58" s="112">
        <f>IFERROR(VLOOKUP($B58,MMWR_TRAD_AGG_STATE_COMP[],O$1,0),"ERROR")</f>
        <v>7097</v>
      </c>
      <c r="P58" s="114">
        <f t="shared" si="7"/>
        <v>0.54777709169496758</v>
      </c>
      <c r="Q58" s="115">
        <f>IFERROR(VLOOKUP($B58,MMWR_TRAD_AGG_STATE_COMP[],Q$1,0),"ERROR")</f>
        <v>1845</v>
      </c>
      <c r="R58" s="115">
        <f>IFERROR(VLOOKUP($B58,MMWR_TRAD_AGG_STATE_COMP[],R$1,0),"ERROR")</f>
        <v>251</v>
      </c>
      <c r="S58" s="115">
        <f>IFERROR(VLOOKUP($B58,MMWR_APP_STATE_COMP[],S$1,0),"ERROR")</f>
        <v>30135</v>
      </c>
      <c r="T58" s="28"/>
    </row>
    <row r="59" spans="1:20" s="123" customFormat="1" x14ac:dyDescent="0.2">
      <c r="A59" s="28"/>
      <c r="B59" s="127" t="s">
        <v>388</v>
      </c>
      <c r="C59" s="109">
        <f>IFERROR(VLOOKUP($B59,MMWR_TRAD_AGG_STATE_COMP[],C$1,0),"ERROR")</f>
        <v>17060</v>
      </c>
      <c r="D59" s="110">
        <f>IFERROR(VLOOKUP($B59,MMWR_TRAD_AGG_STATE_COMP[],D$1,0),"ERROR")</f>
        <v>359.50814771400002</v>
      </c>
      <c r="E59" s="111">
        <f>IFERROR(VLOOKUP($B59,MMWR_TRAD_AGG_STATE_COMP[],E$1,0),"ERROR")</f>
        <v>18592</v>
      </c>
      <c r="F59" s="112">
        <f>IFERROR(VLOOKUP($B59,MMWR_TRAD_AGG_STATE_COMP[],F$1,0),"ERROR")</f>
        <v>3774</v>
      </c>
      <c r="G59" s="113">
        <f t="shared" si="4"/>
        <v>0.20299053356282271</v>
      </c>
      <c r="H59" s="111">
        <f>IFERROR(VLOOKUP($B59,MMWR_TRAD_AGG_STATE_COMP[],H$1,0),"ERROR")</f>
        <v>25001</v>
      </c>
      <c r="I59" s="112">
        <f>IFERROR(VLOOKUP($B59,MMWR_TRAD_AGG_STATE_COMP[],I$1,0),"ERROR")</f>
        <v>16422</v>
      </c>
      <c r="J59" s="114">
        <f t="shared" si="5"/>
        <v>0.65685372585096591</v>
      </c>
      <c r="K59" s="111">
        <f>IFERROR(VLOOKUP($B59,MMWR_TRAD_AGG_STATE_COMP[],K$1,0),"ERROR")</f>
        <v>5406</v>
      </c>
      <c r="L59" s="112">
        <f>IFERROR(VLOOKUP($B59,MMWR_TRAD_AGG_STATE_COMP[],L$1,0),"ERROR")</f>
        <v>4749</v>
      </c>
      <c r="M59" s="114">
        <f t="shared" si="6"/>
        <v>0.8784683684794673</v>
      </c>
      <c r="N59" s="111">
        <f>IFERROR(VLOOKUP($B59,MMWR_TRAD_AGG_STATE_COMP[],N$1,0),"ERROR")</f>
        <v>13381</v>
      </c>
      <c r="O59" s="112">
        <f>IFERROR(VLOOKUP($B59,MMWR_TRAD_AGG_STATE_COMP[],O$1,0),"ERROR")</f>
        <v>8396</v>
      </c>
      <c r="P59" s="114">
        <f t="shared" si="7"/>
        <v>0.62745684179059857</v>
      </c>
      <c r="Q59" s="115">
        <f>IFERROR(VLOOKUP($B59,MMWR_TRAD_AGG_STATE_COMP[],Q$1,0),"ERROR")</f>
        <v>881</v>
      </c>
      <c r="R59" s="115">
        <f>IFERROR(VLOOKUP($B59,MMWR_TRAD_AGG_STATE_COMP[],R$1,0),"ERROR")</f>
        <v>16</v>
      </c>
      <c r="S59" s="115">
        <f>IFERROR(VLOOKUP($B59,MMWR_APP_STATE_COMP[],S$1,0),"ERROR")</f>
        <v>17736</v>
      </c>
      <c r="T59" s="28"/>
    </row>
    <row r="60" spans="1:20" s="123" customFormat="1" x14ac:dyDescent="0.2">
      <c r="A60" s="28"/>
      <c r="B60" s="127" t="s">
        <v>400</v>
      </c>
      <c r="C60" s="109">
        <f>IFERROR(VLOOKUP($B60,MMWR_TRAD_AGG_STATE_COMP[],C$1,0),"ERROR")</f>
        <v>7238</v>
      </c>
      <c r="D60" s="110">
        <f>IFERROR(VLOOKUP($B60,MMWR_TRAD_AGG_STATE_COMP[],D$1,0),"ERROR")</f>
        <v>535.25241779500004</v>
      </c>
      <c r="E60" s="111">
        <f>IFERROR(VLOOKUP($B60,MMWR_TRAD_AGG_STATE_COMP[],E$1,0),"ERROR")</f>
        <v>4279</v>
      </c>
      <c r="F60" s="112">
        <f>IFERROR(VLOOKUP($B60,MMWR_TRAD_AGG_STATE_COMP[],F$1,0),"ERROR")</f>
        <v>864</v>
      </c>
      <c r="G60" s="113">
        <f t="shared" si="4"/>
        <v>0.20191633559242814</v>
      </c>
      <c r="H60" s="111">
        <f>IFERROR(VLOOKUP($B60,MMWR_TRAD_AGG_STATE_COMP[],H$1,0),"ERROR")</f>
        <v>10640</v>
      </c>
      <c r="I60" s="112">
        <f>IFERROR(VLOOKUP($B60,MMWR_TRAD_AGG_STATE_COMP[],I$1,0),"ERROR")</f>
        <v>7157</v>
      </c>
      <c r="J60" s="114">
        <f t="shared" si="5"/>
        <v>0.67265037593984967</v>
      </c>
      <c r="K60" s="111">
        <f>IFERROR(VLOOKUP($B60,MMWR_TRAD_AGG_STATE_COMP[],K$1,0),"ERROR")</f>
        <v>2610</v>
      </c>
      <c r="L60" s="112">
        <f>IFERROR(VLOOKUP($B60,MMWR_TRAD_AGG_STATE_COMP[],L$1,0),"ERROR")</f>
        <v>2497</v>
      </c>
      <c r="M60" s="114">
        <f t="shared" si="6"/>
        <v>0.95670498084291189</v>
      </c>
      <c r="N60" s="111">
        <f>IFERROR(VLOOKUP($B60,MMWR_TRAD_AGG_STATE_COMP[],N$1,0),"ERROR")</f>
        <v>944</v>
      </c>
      <c r="O60" s="112">
        <f>IFERROR(VLOOKUP($B60,MMWR_TRAD_AGG_STATE_COMP[],O$1,0),"ERROR")</f>
        <v>497</v>
      </c>
      <c r="P60" s="114">
        <f t="shared" si="7"/>
        <v>0.52648305084745761</v>
      </c>
      <c r="Q60" s="115">
        <f>IFERROR(VLOOKUP($B60,MMWR_TRAD_AGG_STATE_COMP[],Q$1,0),"ERROR")</f>
        <v>350</v>
      </c>
      <c r="R60" s="115">
        <f>IFERROR(VLOOKUP($B60,MMWR_TRAD_AGG_STATE_COMP[],R$1,0),"ERROR")</f>
        <v>135</v>
      </c>
      <c r="S60" s="115">
        <f>IFERROR(VLOOKUP($B60,MMWR_APP_STATE_COMP[],S$1,0),"ERROR")</f>
        <v>3412</v>
      </c>
      <c r="T60" s="28"/>
    </row>
    <row r="61" spans="1:20" s="123" customFormat="1" x14ac:dyDescent="0.2">
      <c r="A61" s="28"/>
      <c r="B61" s="127" t="s">
        <v>434</v>
      </c>
      <c r="C61" s="109">
        <f>IFERROR(VLOOKUP($B61,MMWR_TRAD_AGG_STATE_COMP[],C$1,0),"ERROR")</f>
        <v>2869</v>
      </c>
      <c r="D61" s="110">
        <f>IFERROR(VLOOKUP($B61,MMWR_TRAD_AGG_STATE_COMP[],D$1,0),"ERROR")</f>
        <v>337.09306378529999</v>
      </c>
      <c r="E61" s="111">
        <f>IFERROR(VLOOKUP($B61,MMWR_TRAD_AGG_STATE_COMP[],E$1,0),"ERROR")</f>
        <v>3196</v>
      </c>
      <c r="F61" s="112">
        <f>IFERROR(VLOOKUP($B61,MMWR_TRAD_AGG_STATE_COMP[],F$1,0),"ERROR")</f>
        <v>657</v>
      </c>
      <c r="G61" s="113">
        <f t="shared" si="4"/>
        <v>0.20556946182728411</v>
      </c>
      <c r="H61" s="111">
        <f>IFERROR(VLOOKUP($B61,MMWR_TRAD_AGG_STATE_COMP[],H$1,0),"ERROR")</f>
        <v>4789</v>
      </c>
      <c r="I61" s="112">
        <f>IFERROR(VLOOKUP($B61,MMWR_TRAD_AGG_STATE_COMP[],I$1,0),"ERROR")</f>
        <v>3338</v>
      </c>
      <c r="J61" s="114">
        <f t="shared" si="5"/>
        <v>0.69701399039465439</v>
      </c>
      <c r="K61" s="111">
        <f>IFERROR(VLOOKUP($B61,MMWR_TRAD_AGG_STATE_COMP[],K$1,0),"ERROR")</f>
        <v>731</v>
      </c>
      <c r="L61" s="112">
        <f>IFERROR(VLOOKUP($B61,MMWR_TRAD_AGG_STATE_COMP[],L$1,0),"ERROR")</f>
        <v>655</v>
      </c>
      <c r="M61" s="114">
        <f t="shared" si="6"/>
        <v>0.89603283173734605</v>
      </c>
      <c r="N61" s="111">
        <f>IFERROR(VLOOKUP($B61,MMWR_TRAD_AGG_STATE_COMP[],N$1,0),"ERROR")</f>
        <v>1230</v>
      </c>
      <c r="O61" s="112">
        <f>IFERROR(VLOOKUP($B61,MMWR_TRAD_AGG_STATE_COMP[],O$1,0),"ERROR")</f>
        <v>724</v>
      </c>
      <c r="P61" s="114">
        <f t="shared" si="7"/>
        <v>0.58861788617886179</v>
      </c>
      <c r="Q61" s="115">
        <f>IFERROR(VLOOKUP($B61,MMWR_TRAD_AGG_STATE_COMP[],Q$1,0),"ERROR")</f>
        <v>286</v>
      </c>
      <c r="R61" s="115">
        <f>IFERROR(VLOOKUP($B61,MMWR_TRAD_AGG_STATE_COMP[],R$1,0),"ERROR")</f>
        <v>1</v>
      </c>
      <c r="S61" s="115">
        <f>IFERROR(VLOOKUP($B61,MMWR_APP_STATE_COMP[],S$1,0),"ERROR")</f>
        <v>6366</v>
      </c>
      <c r="T61" s="28"/>
    </row>
    <row r="62" spans="1:20" s="123" customFormat="1" x14ac:dyDescent="0.2">
      <c r="A62" s="28"/>
      <c r="B62" s="127" t="s">
        <v>390</v>
      </c>
      <c r="C62" s="109">
        <f>IFERROR(VLOOKUP($B62,MMWR_TRAD_AGG_STATE_COMP[],C$1,0),"ERROR")</f>
        <v>11176</v>
      </c>
      <c r="D62" s="110">
        <f>IFERROR(VLOOKUP($B62,MMWR_TRAD_AGG_STATE_COMP[],D$1,0),"ERROR")</f>
        <v>350.41213314240002</v>
      </c>
      <c r="E62" s="111">
        <f>IFERROR(VLOOKUP($B62,MMWR_TRAD_AGG_STATE_COMP[],E$1,0),"ERROR")</f>
        <v>9857</v>
      </c>
      <c r="F62" s="112">
        <f>IFERROR(VLOOKUP($B62,MMWR_TRAD_AGG_STATE_COMP[],F$1,0),"ERROR")</f>
        <v>2352</v>
      </c>
      <c r="G62" s="113">
        <f t="shared" si="4"/>
        <v>0.23861215379933043</v>
      </c>
      <c r="H62" s="111">
        <f>IFERROR(VLOOKUP($B62,MMWR_TRAD_AGG_STATE_COMP[],H$1,0),"ERROR")</f>
        <v>15916</v>
      </c>
      <c r="I62" s="112">
        <f>IFERROR(VLOOKUP($B62,MMWR_TRAD_AGG_STATE_COMP[],I$1,0),"ERROR")</f>
        <v>10992</v>
      </c>
      <c r="J62" s="114">
        <f t="shared" si="5"/>
        <v>0.6906257853732094</v>
      </c>
      <c r="K62" s="111">
        <f>IFERROR(VLOOKUP($B62,MMWR_TRAD_AGG_STATE_COMP[],K$1,0),"ERROR")</f>
        <v>2190</v>
      </c>
      <c r="L62" s="112">
        <f>IFERROR(VLOOKUP($B62,MMWR_TRAD_AGG_STATE_COMP[],L$1,0),"ERROR")</f>
        <v>1968</v>
      </c>
      <c r="M62" s="114">
        <f t="shared" si="6"/>
        <v>0.89863013698630134</v>
      </c>
      <c r="N62" s="111">
        <f>IFERROR(VLOOKUP($B62,MMWR_TRAD_AGG_STATE_COMP[],N$1,0),"ERROR")</f>
        <v>2779</v>
      </c>
      <c r="O62" s="112">
        <f>IFERROR(VLOOKUP($B62,MMWR_TRAD_AGG_STATE_COMP[],O$1,0),"ERROR")</f>
        <v>1639</v>
      </c>
      <c r="P62" s="114">
        <f t="shared" si="7"/>
        <v>0.58978049658150411</v>
      </c>
      <c r="Q62" s="115">
        <f>IFERROR(VLOOKUP($B62,MMWR_TRAD_AGG_STATE_COMP[],Q$1,0),"ERROR")</f>
        <v>511</v>
      </c>
      <c r="R62" s="115">
        <f>IFERROR(VLOOKUP($B62,MMWR_TRAD_AGG_STATE_COMP[],R$1,0),"ERROR")</f>
        <v>56</v>
      </c>
      <c r="S62" s="115">
        <f>IFERROR(VLOOKUP($B62,MMWR_APP_STATE_COMP[],S$1,0),"ERROR")</f>
        <v>12702</v>
      </c>
      <c r="T62" s="28"/>
    </row>
    <row r="63" spans="1:20" s="123" customFormat="1" x14ac:dyDescent="0.2">
      <c r="A63" s="28"/>
      <c r="B63" s="127" t="s">
        <v>391</v>
      </c>
      <c r="C63" s="109">
        <f>IFERROR(VLOOKUP($B63,MMWR_TRAD_AGG_STATE_COMP[],C$1,0),"ERROR")</f>
        <v>7308</v>
      </c>
      <c r="D63" s="110">
        <f>IFERROR(VLOOKUP($B63,MMWR_TRAD_AGG_STATE_COMP[],D$1,0),"ERROR")</f>
        <v>279.77011494250002</v>
      </c>
      <c r="E63" s="111">
        <f>IFERROR(VLOOKUP($B63,MMWR_TRAD_AGG_STATE_COMP[],E$1,0),"ERROR")</f>
        <v>9756</v>
      </c>
      <c r="F63" s="112">
        <f>IFERROR(VLOOKUP($B63,MMWR_TRAD_AGG_STATE_COMP[],F$1,0),"ERROR")</f>
        <v>2059</v>
      </c>
      <c r="G63" s="113">
        <f t="shared" si="4"/>
        <v>0.21104961049610496</v>
      </c>
      <c r="H63" s="111">
        <f>IFERROR(VLOOKUP($B63,MMWR_TRAD_AGG_STATE_COMP[],H$1,0),"ERROR")</f>
        <v>11761</v>
      </c>
      <c r="I63" s="112">
        <f>IFERROR(VLOOKUP($B63,MMWR_TRAD_AGG_STATE_COMP[],I$1,0),"ERROR")</f>
        <v>6264</v>
      </c>
      <c r="J63" s="114">
        <f t="shared" si="5"/>
        <v>0.53260777144800608</v>
      </c>
      <c r="K63" s="111">
        <f>IFERROR(VLOOKUP($B63,MMWR_TRAD_AGG_STATE_COMP[],K$1,0),"ERROR")</f>
        <v>2200</v>
      </c>
      <c r="L63" s="112">
        <f>IFERROR(VLOOKUP($B63,MMWR_TRAD_AGG_STATE_COMP[],L$1,0),"ERROR")</f>
        <v>1975</v>
      </c>
      <c r="M63" s="114">
        <f t="shared" si="6"/>
        <v>0.89772727272727271</v>
      </c>
      <c r="N63" s="111">
        <f>IFERROR(VLOOKUP($B63,MMWR_TRAD_AGG_STATE_COMP[],N$1,0),"ERROR")</f>
        <v>1948</v>
      </c>
      <c r="O63" s="112">
        <f>IFERROR(VLOOKUP($B63,MMWR_TRAD_AGG_STATE_COMP[],O$1,0),"ERROR")</f>
        <v>1169</v>
      </c>
      <c r="P63" s="114">
        <f t="shared" si="7"/>
        <v>0.60010266940451751</v>
      </c>
      <c r="Q63" s="115">
        <f>IFERROR(VLOOKUP($B63,MMWR_TRAD_AGG_STATE_COMP[],Q$1,0),"ERROR")</f>
        <v>441</v>
      </c>
      <c r="R63" s="115">
        <f>IFERROR(VLOOKUP($B63,MMWR_TRAD_AGG_STATE_COMP[],R$1,0),"ERROR")</f>
        <v>230</v>
      </c>
      <c r="S63" s="115">
        <f>IFERROR(VLOOKUP($B63,MMWR_APP_STATE_COMP[],S$1,0),"ERROR")</f>
        <v>6877</v>
      </c>
      <c r="T63" s="28"/>
    </row>
    <row r="64" spans="1:20" s="123" customFormat="1" x14ac:dyDescent="0.2">
      <c r="A64" s="28"/>
      <c r="B64" s="128" t="s">
        <v>8</v>
      </c>
      <c r="C64" s="102">
        <f>IFERROR(VLOOKUP($B64,MMWR_TRAD_AGG_ST_DISTRICT_COMP[],C$1,0),"ERROR")</f>
        <v>4352</v>
      </c>
      <c r="D64" s="103">
        <f>IFERROR(VLOOKUP($B64,MMWR_TRAD_AGG_ST_DISTRICT_COMP[],D$1,0),"ERROR")</f>
        <v>388.19416360290001</v>
      </c>
      <c r="E64" s="102">
        <f>IFERROR(VLOOKUP($B64,MMWR_TRAD_AGG_ST_DISTRICT_COMP[],E$1,0),"ERROR")</f>
        <v>3882</v>
      </c>
      <c r="F64" s="102">
        <f>IFERROR(VLOOKUP($B64,MMWR_TRAD_AGG_ST_DISTRICT_COMP[],F$1,0),"ERROR")</f>
        <v>1615</v>
      </c>
      <c r="G64" s="104">
        <f t="shared" si="4"/>
        <v>0.41602266872746008</v>
      </c>
      <c r="H64" s="102">
        <f>IFERROR(VLOOKUP($B64,MMWR_TRAD_AGG_ST_DISTRICT_COMP[],H$1,0),"ERROR")</f>
        <v>5618</v>
      </c>
      <c r="I64" s="102">
        <f>IFERROR(VLOOKUP($B64,MMWR_TRAD_AGG_ST_DISTRICT_COMP[],I$1,0),"ERROR")</f>
        <v>3914</v>
      </c>
      <c r="J64" s="105">
        <f t="shared" si="5"/>
        <v>0.69668921324314703</v>
      </c>
      <c r="K64" s="102">
        <f>IFERROR(VLOOKUP($B64,MMWR_TRAD_AGG_ST_DISTRICT_COMP[],K$1,0),"ERROR")</f>
        <v>621</v>
      </c>
      <c r="L64" s="102">
        <f>IFERROR(VLOOKUP($B64,MMWR_TRAD_AGG_ST_DISTRICT_COMP[],L$1,0),"ERROR")</f>
        <v>531</v>
      </c>
      <c r="M64" s="105">
        <f t="shared" si="6"/>
        <v>0.85507246376811596</v>
      </c>
      <c r="N64" s="102">
        <f>IFERROR(VLOOKUP($B64,MMWR_TRAD_AGG_ST_DISTRICT_COMP[],N$1,0),"ERROR")</f>
        <v>1322</v>
      </c>
      <c r="O64" s="102">
        <f>IFERROR(VLOOKUP($B64,MMWR_TRAD_AGG_ST_DISTRICT_COMP[],O$1,0),"ERROR")</f>
        <v>826</v>
      </c>
      <c r="P64" s="105">
        <f t="shared" si="7"/>
        <v>0.62481089258698941</v>
      </c>
      <c r="Q64" s="102">
        <f>IFERROR(VLOOKUP($B64,MMWR_TRAD_AGG_ST_DISTRICT_COMP[],Q$1,0),"ERROR")</f>
        <v>361</v>
      </c>
      <c r="R64" s="106">
        <f>IFERROR(VLOOKUP($B64,MMWR_TRAD_AGG_ST_DISTRICT_COMP[],R$1,0),"ERROR")</f>
        <v>133</v>
      </c>
      <c r="S64" s="106">
        <f>IFERROR(VLOOKUP($B64,MMWR_APP_STATE_COMP[],S$1,0),"ERROR")</f>
        <v>399</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3" t="s">
        <v>494</v>
      </c>
      <c r="D66" s="454"/>
      <c r="E66" s="454"/>
      <c r="F66" s="454"/>
      <c r="G66" s="454"/>
      <c r="H66" s="454"/>
      <c r="I66" s="454"/>
      <c r="J66" s="454"/>
      <c r="K66" s="454"/>
      <c r="L66" s="454"/>
      <c r="M66" s="454"/>
      <c r="N66" s="454"/>
      <c r="O66" s="454"/>
      <c r="P66" s="454"/>
      <c r="Q66" s="454"/>
      <c r="R66" s="454"/>
      <c r="S66" s="455"/>
      <c r="T66" s="28"/>
    </row>
    <row r="67" spans="1:20" s="123" customFormat="1" x14ac:dyDescent="0.2">
      <c r="A67" s="28"/>
      <c r="B67" s="26"/>
      <c r="C67" s="461" t="s">
        <v>231</v>
      </c>
      <c r="D67" s="461"/>
      <c r="E67" s="458" t="s">
        <v>211</v>
      </c>
      <c r="F67" s="459"/>
      <c r="G67" s="460"/>
      <c r="H67" s="458" t="s">
        <v>7</v>
      </c>
      <c r="I67" s="459"/>
      <c r="J67" s="460"/>
      <c r="K67" s="458" t="s">
        <v>33</v>
      </c>
      <c r="L67" s="459"/>
      <c r="M67" s="460"/>
      <c r="N67" s="458" t="s">
        <v>8</v>
      </c>
      <c r="O67" s="459"/>
      <c r="P67" s="460"/>
      <c r="Q67" s="81" t="s">
        <v>9</v>
      </c>
      <c r="R67" s="82" t="s">
        <v>10</v>
      </c>
      <c r="S67" s="82" t="s">
        <v>11</v>
      </c>
      <c r="T67" s="28"/>
    </row>
    <row r="68" spans="1:20" s="123" customFormat="1" ht="38.25" x14ac:dyDescent="0.2">
      <c r="A68" s="28"/>
      <c r="B68" s="54"/>
      <c r="C68" s="84" t="s">
        <v>12</v>
      </c>
      <c r="D68" s="85" t="s">
        <v>140</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495</v>
      </c>
      <c r="T68" s="28"/>
    </row>
    <row r="69" spans="1:20" s="123" customFormat="1" x14ac:dyDescent="0.2">
      <c r="A69" s="28"/>
      <c r="B69" s="129" t="s">
        <v>469</v>
      </c>
      <c r="C69" s="119">
        <f>IFERROR(VLOOKUP($B69,MMWR_TRAD_AGG_RO_PEN[],C$1,0),"ERROR")</f>
        <v>17031</v>
      </c>
      <c r="D69" s="120">
        <f>IFERROR(VLOOKUP($B69,MMWR_TRAD_AGG_RO_PEN[],D$1,0),"ERROR")</f>
        <v>98.579942457900003</v>
      </c>
      <c r="E69" s="119">
        <f>IFERROR(VLOOKUP($B69,MMWR_TRAD_AGG_RO_PEN[],E$1,0),"ERROR")</f>
        <v>29122</v>
      </c>
      <c r="F69" s="119">
        <f>IFERROR(VLOOKUP($B69,MMWR_TRAD_AGG_RO_PEN[],F$1,0),"ERROR")</f>
        <v>4281</v>
      </c>
      <c r="G69" s="98">
        <f t="shared" ref="G69:G100" si="8">IFERROR(F69/E69,"0%")</f>
        <v>0.14700226632786209</v>
      </c>
      <c r="H69" s="119">
        <f>IFERROR(VLOOKUP($B69,MMWR_TRAD_AGG_RO_PEN[],H$1,0),"ERROR")</f>
        <v>26222</v>
      </c>
      <c r="I69" s="119">
        <f>IFERROR(VLOOKUP($B69,MMWR_TRAD_AGG_RO_PEN[],I$1,0),"ERROR")</f>
        <v>6694</v>
      </c>
      <c r="J69" s="98">
        <f t="shared" ref="J69:J100" si="9">IFERROR(I69/H69,"0%")</f>
        <v>0.25528182442224084</v>
      </c>
      <c r="K69" s="119">
        <f>IFERROR(VLOOKUP($B69,MMWR_TRAD_AGG_RO_PEN[],K$1,0),"ERROR")</f>
        <v>658</v>
      </c>
      <c r="L69" s="119">
        <f>IFERROR(VLOOKUP($B69,MMWR_TRAD_AGG_RO_PEN[],L$1,0),"ERROR")</f>
        <v>611</v>
      </c>
      <c r="M69" s="98">
        <f t="shared" ref="M69:M100" si="10">IFERROR(L69/K69,"0%")</f>
        <v>0.9285714285714286</v>
      </c>
      <c r="N69" s="119">
        <f>IFERROR(VLOOKUP($B69,MMWR_TRAD_AGG_RO_PEN[],N$1,0),"ERROR")</f>
        <v>1512</v>
      </c>
      <c r="O69" s="119">
        <f>IFERROR(VLOOKUP($B69,MMWR_TRAD_AGG_RO_PEN[],O$1,0),"ERROR")</f>
        <v>527</v>
      </c>
      <c r="P69" s="98">
        <f t="shared" ref="P69:P100" si="11">IFERROR(O69/N69,"0%")</f>
        <v>0.34854497354497355</v>
      </c>
      <c r="Q69" s="119">
        <f>IFERROR(VLOOKUP($B69,MMWR_TRAD_AGG_RO_PEN[],Q$1,0),"ERROR")</f>
        <v>6950</v>
      </c>
      <c r="R69" s="121">
        <f>IFERROR(VLOOKUP($B69,MMWR_TRAD_AGG_RO_PEN[],R$1,0),"ERROR")</f>
        <v>5562</v>
      </c>
      <c r="S69" s="121">
        <f>S70+S86+S99+S109+S119+S127</f>
        <v>6346</v>
      </c>
      <c r="T69" s="28"/>
    </row>
    <row r="70" spans="1:20" s="123" customFormat="1" x14ac:dyDescent="0.2">
      <c r="A70" s="28"/>
      <c r="B70" s="126" t="s">
        <v>376</v>
      </c>
      <c r="C70" s="102">
        <f>IFERROR(VLOOKUP($B70,MMWR_TRAD_AGG_ST_DISTRICT_PEN[],C$1,0),"ERROR")</f>
        <v>6454</v>
      </c>
      <c r="D70" s="103">
        <f>IFERROR(VLOOKUP($B70,MMWR_TRAD_AGG_ST_DISTRICT_PEN[],D$1,0),"ERROR")</f>
        <v>115.5602726991</v>
      </c>
      <c r="E70" s="102">
        <f>IFERROR(VLOOKUP($B70,MMWR_TRAD_AGG_ST_DISTRICT_PEN[],E$1,0),"ERROR")</f>
        <v>8461</v>
      </c>
      <c r="F70" s="102">
        <f>IFERROR(VLOOKUP($B70,MMWR_TRAD_AGG_ST_DISTRICT_PEN[],F$1,0),"ERROR")</f>
        <v>2114</v>
      </c>
      <c r="G70" s="104">
        <f t="shared" si="8"/>
        <v>0.24985226332584801</v>
      </c>
      <c r="H70" s="102">
        <f>IFERROR(VLOOKUP($B70,MMWR_TRAD_AGG_ST_DISTRICT_PEN[],H$1,0),"ERROR")</f>
        <v>9345</v>
      </c>
      <c r="I70" s="102">
        <f>IFERROR(VLOOKUP($B70,MMWR_TRAD_AGG_ST_DISTRICT_PEN[],I$1,0),"ERROR")</f>
        <v>3237</v>
      </c>
      <c r="J70" s="104">
        <f t="shared" si="9"/>
        <v>0.34638844301765648</v>
      </c>
      <c r="K70" s="102">
        <f>IFERROR(VLOOKUP($B70,MMWR_TRAD_AGG_ST_DISTRICT_PEN[],K$1,0),"ERROR")</f>
        <v>381</v>
      </c>
      <c r="L70" s="102">
        <f>IFERROR(VLOOKUP($B70,MMWR_TRAD_AGG_ST_DISTRICT_PEN[],L$1,0),"ERROR")</f>
        <v>365</v>
      </c>
      <c r="M70" s="104">
        <f t="shared" si="10"/>
        <v>0.95800524934383202</v>
      </c>
      <c r="N70" s="102">
        <f>IFERROR(VLOOKUP($B70,MMWR_TRAD_AGG_ST_DISTRICT_PEN[],N$1,0),"ERROR")</f>
        <v>531</v>
      </c>
      <c r="O70" s="102">
        <f>IFERROR(VLOOKUP($B70,MMWR_TRAD_AGG_ST_DISTRICT_PEN[],O$1,0),"ERROR")</f>
        <v>171</v>
      </c>
      <c r="P70" s="104">
        <f t="shared" si="11"/>
        <v>0.32203389830508472</v>
      </c>
      <c r="Q70" s="102">
        <f>IFERROR(VLOOKUP($B70,MMWR_TRAD_AGG_ST_DISTRICT_PEN[],Q$1,0),"ERROR")</f>
        <v>847</v>
      </c>
      <c r="R70" s="106">
        <f>IFERROR(VLOOKUP($B70,MMWR_TRAD_AGG_ST_DISTRICT_PEN[],R$1,0),"ERROR")</f>
        <v>2263</v>
      </c>
      <c r="S70" s="106">
        <f>IFERROR(VLOOKUP($B70,MMWR_APP_STATE_PEN[],S$1,0),"ERROR")</f>
        <v>1388</v>
      </c>
      <c r="T70" s="28"/>
    </row>
    <row r="71" spans="1:20" s="123" customFormat="1" x14ac:dyDescent="0.2">
      <c r="A71" s="28"/>
      <c r="B71" s="127" t="s">
        <v>380</v>
      </c>
      <c r="C71" s="109">
        <f>IFERROR(VLOOKUP($B71,MMWR_TRAD_AGG_STATE_PEN[],C$1,0),"ERROR")</f>
        <v>158</v>
      </c>
      <c r="D71" s="110">
        <f>IFERROR(VLOOKUP($B71,MMWR_TRAD_AGG_STATE_PEN[],D$1,0),"ERROR")</f>
        <v>106.14556962029999</v>
      </c>
      <c r="E71" s="111">
        <f>IFERROR(VLOOKUP($B71,MMWR_TRAD_AGG_STATE_PEN[],E$1,0),"ERROR")</f>
        <v>302</v>
      </c>
      <c r="F71" s="112">
        <f>IFERROR(VLOOKUP($B71,MMWR_TRAD_AGG_STATE_PEN[],F$1,0),"ERROR")</f>
        <v>85</v>
      </c>
      <c r="G71" s="113">
        <f t="shared" si="8"/>
        <v>0.2814569536423841</v>
      </c>
      <c r="H71" s="111">
        <f>IFERROR(VLOOKUP($B71,MMWR_TRAD_AGG_STATE_PEN[],H$1,0),"ERROR")</f>
        <v>235</v>
      </c>
      <c r="I71" s="112">
        <f>IFERROR(VLOOKUP($B71,MMWR_TRAD_AGG_STATE_PEN[],I$1,0),"ERROR")</f>
        <v>74</v>
      </c>
      <c r="J71" s="114">
        <f t="shared" si="9"/>
        <v>0.31489361702127661</v>
      </c>
      <c r="K71" s="111">
        <f>IFERROR(VLOOKUP($B71,MMWR_TRAD_AGG_STATE_PEN[],K$1,0),"ERROR")</f>
        <v>5</v>
      </c>
      <c r="L71" s="112">
        <f>IFERROR(VLOOKUP($B71,MMWR_TRAD_AGG_STATE_PEN[],L$1,0),"ERROR")</f>
        <v>5</v>
      </c>
      <c r="M71" s="114">
        <f t="shared" si="10"/>
        <v>1</v>
      </c>
      <c r="N71" s="111">
        <f>IFERROR(VLOOKUP($B71,MMWR_TRAD_AGG_STATE_PEN[],N$1,0),"ERROR")</f>
        <v>22</v>
      </c>
      <c r="O71" s="112">
        <f>IFERROR(VLOOKUP($B71,MMWR_TRAD_AGG_STATE_PEN[],O$1,0),"ERROR")</f>
        <v>5</v>
      </c>
      <c r="P71" s="114">
        <f t="shared" si="11"/>
        <v>0.22727272727272727</v>
      </c>
      <c r="Q71" s="115">
        <f>IFERROR(VLOOKUP($B71,MMWR_TRAD_AGG_STATE_PEN[],Q$1,0),"ERROR")</f>
        <v>24</v>
      </c>
      <c r="R71" s="115">
        <f>IFERROR(VLOOKUP($B71,MMWR_TRAD_AGG_STATE_PEN[],R$1,0),"ERROR")</f>
        <v>73</v>
      </c>
      <c r="S71" s="115">
        <f>IFERROR(VLOOKUP($B71,MMWR_APP_STATE_PEN[],S$1,0),"ERROR")</f>
        <v>53</v>
      </c>
      <c r="T71" s="28"/>
    </row>
    <row r="72" spans="1:20" s="123" customFormat="1" x14ac:dyDescent="0.2">
      <c r="A72" s="28"/>
      <c r="B72" s="127" t="s">
        <v>430</v>
      </c>
      <c r="C72" s="109">
        <f>IFERROR(VLOOKUP($B72,MMWR_TRAD_AGG_STATE_PEN[],C$1,0),"ERROR")</f>
        <v>56</v>
      </c>
      <c r="D72" s="110">
        <f>IFERROR(VLOOKUP($B72,MMWR_TRAD_AGG_STATE_PEN[],D$1,0),"ERROR")</f>
        <v>129.96428571429999</v>
      </c>
      <c r="E72" s="111">
        <f>IFERROR(VLOOKUP($B72,MMWR_TRAD_AGG_STATE_PEN[],E$1,0),"ERROR")</f>
        <v>87</v>
      </c>
      <c r="F72" s="112">
        <f>IFERROR(VLOOKUP($B72,MMWR_TRAD_AGG_STATE_PEN[],F$1,0),"ERROR")</f>
        <v>19</v>
      </c>
      <c r="G72" s="113">
        <f t="shared" si="8"/>
        <v>0.21839080459770116</v>
      </c>
      <c r="H72" s="111">
        <f>IFERROR(VLOOKUP($B72,MMWR_TRAD_AGG_STATE_PEN[],H$1,0),"ERROR")</f>
        <v>79</v>
      </c>
      <c r="I72" s="112">
        <f>IFERROR(VLOOKUP($B72,MMWR_TRAD_AGG_STATE_PEN[],I$1,0),"ERROR")</f>
        <v>39</v>
      </c>
      <c r="J72" s="114">
        <f t="shared" si="9"/>
        <v>0.49367088607594939</v>
      </c>
      <c r="K72" s="111">
        <f>IFERROR(VLOOKUP($B72,MMWR_TRAD_AGG_STATE_PEN[],K$1,0),"ERROR")</f>
        <v>5</v>
      </c>
      <c r="L72" s="112">
        <f>IFERROR(VLOOKUP($B72,MMWR_TRAD_AGG_STATE_PEN[],L$1,0),"ERROR")</f>
        <v>4</v>
      </c>
      <c r="M72" s="114">
        <f t="shared" si="10"/>
        <v>0.8</v>
      </c>
      <c r="N72" s="111">
        <f>IFERROR(VLOOKUP($B72,MMWR_TRAD_AGG_STATE_PEN[],N$1,0),"ERROR")</f>
        <v>5</v>
      </c>
      <c r="O72" s="112">
        <f>IFERROR(VLOOKUP($B72,MMWR_TRAD_AGG_STATE_PEN[],O$1,0),"ERROR")</f>
        <v>2</v>
      </c>
      <c r="P72" s="114">
        <f t="shared" si="11"/>
        <v>0.4</v>
      </c>
      <c r="Q72" s="115">
        <f>IFERROR(VLOOKUP($B72,MMWR_TRAD_AGG_STATE_PEN[],Q$1,0),"ERROR")</f>
        <v>7</v>
      </c>
      <c r="R72" s="115">
        <f>IFERROR(VLOOKUP($B72,MMWR_TRAD_AGG_STATE_PEN[],R$1,0),"ERROR")</f>
        <v>25</v>
      </c>
      <c r="S72" s="115">
        <f>IFERROR(VLOOKUP($B72,MMWR_APP_STATE_PEN[],S$1,0),"ERROR")</f>
        <v>17</v>
      </c>
      <c r="T72" s="28"/>
    </row>
    <row r="73" spans="1:20" s="123" customFormat="1" x14ac:dyDescent="0.2">
      <c r="A73" s="28"/>
      <c r="B73" s="127" t="s">
        <v>421</v>
      </c>
      <c r="C73" s="109">
        <f>IFERROR(VLOOKUP($B73,MMWR_TRAD_AGG_STATE_PEN[],C$1,0),"ERROR")</f>
        <v>48</v>
      </c>
      <c r="D73" s="110">
        <f>IFERROR(VLOOKUP($B73,MMWR_TRAD_AGG_STATE_PEN[],D$1,0),"ERROR")</f>
        <v>122.1458333333</v>
      </c>
      <c r="E73" s="111">
        <f>IFERROR(VLOOKUP($B73,MMWR_TRAD_AGG_STATE_PEN[],E$1,0),"ERROR")</f>
        <v>43</v>
      </c>
      <c r="F73" s="112">
        <f>IFERROR(VLOOKUP($B73,MMWR_TRAD_AGG_STATE_PEN[],F$1,0),"ERROR")</f>
        <v>6</v>
      </c>
      <c r="G73" s="113">
        <f t="shared" si="8"/>
        <v>0.13953488372093023</v>
      </c>
      <c r="H73" s="111">
        <f>IFERROR(VLOOKUP($B73,MMWR_TRAD_AGG_STATE_PEN[],H$1,0),"ERROR")</f>
        <v>64</v>
      </c>
      <c r="I73" s="112">
        <f>IFERROR(VLOOKUP($B73,MMWR_TRAD_AGG_STATE_PEN[],I$1,0),"ERROR")</f>
        <v>26</v>
      </c>
      <c r="J73" s="114">
        <f t="shared" si="9"/>
        <v>0.40625</v>
      </c>
      <c r="K73" s="111">
        <f>IFERROR(VLOOKUP($B73,MMWR_TRAD_AGG_STATE_PEN[],K$1,0),"ERROR")</f>
        <v>4</v>
      </c>
      <c r="L73" s="112">
        <f>IFERROR(VLOOKUP($B73,MMWR_TRAD_AGG_STATE_PEN[],L$1,0),"ERROR")</f>
        <v>4</v>
      </c>
      <c r="M73" s="114">
        <f t="shared" si="10"/>
        <v>1</v>
      </c>
      <c r="N73" s="111">
        <f>IFERROR(VLOOKUP($B73,MMWR_TRAD_AGG_STATE_PEN[],N$1,0),"ERROR")</f>
        <v>3</v>
      </c>
      <c r="O73" s="112">
        <f>IFERROR(VLOOKUP($B73,MMWR_TRAD_AGG_STATE_PEN[],O$1,0),"ERROR")</f>
        <v>2</v>
      </c>
      <c r="P73" s="114">
        <f t="shared" si="11"/>
        <v>0.66666666666666663</v>
      </c>
      <c r="Q73" s="115">
        <f>IFERROR(VLOOKUP($B73,MMWR_TRAD_AGG_STATE_PEN[],Q$1,0),"ERROR")</f>
        <v>15</v>
      </c>
      <c r="R73" s="115">
        <f>IFERROR(VLOOKUP($B73,MMWR_TRAD_AGG_STATE_PEN[],R$1,0),"ERROR")</f>
        <v>13</v>
      </c>
      <c r="S73" s="115">
        <f>IFERROR(VLOOKUP($B73,MMWR_APP_STATE_PEN[],S$1,0),"ERROR")</f>
        <v>14</v>
      </c>
      <c r="T73" s="28"/>
    </row>
    <row r="74" spans="1:20" s="123" customFormat="1" x14ac:dyDescent="0.2">
      <c r="A74" s="28"/>
      <c r="B74" s="127" t="s">
        <v>423</v>
      </c>
      <c r="C74" s="109">
        <f>IFERROR(VLOOKUP($B74,MMWR_TRAD_AGG_STATE_PEN[],C$1,0),"ERROR")</f>
        <v>111</v>
      </c>
      <c r="D74" s="110">
        <f>IFERROR(VLOOKUP($B74,MMWR_TRAD_AGG_STATE_PEN[],D$1,0),"ERROR")</f>
        <v>125.7207207207</v>
      </c>
      <c r="E74" s="111">
        <f>IFERROR(VLOOKUP($B74,MMWR_TRAD_AGG_STATE_PEN[],E$1,0),"ERROR")</f>
        <v>105</v>
      </c>
      <c r="F74" s="112">
        <f>IFERROR(VLOOKUP($B74,MMWR_TRAD_AGG_STATE_PEN[],F$1,0),"ERROR")</f>
        <v>18</v>
      </c>
      <c r="G74" s="113">
        <f t="shared" si="8"/>
        <v>0.17142857142857143</v>
      </c>
      <c r="H74" s="111">
        <f>IFERROR(VLOOKUP($B74,MMWR_TRAD_AGG_STATE_PEN[],H$1,0),"ERROR")</f>
        <v>161</v>
      </c>
      <c r="I74" s="112">
        <f>IFERROR(VLOOKUP($B74,MMWR_TRAD_AGG_STATE_PEN[],I$1,0),"ERROR")</f>
        <v>68</v>
      </c>
      <c r="J74" s="114">
        <f t="shared" si="9"/>
        <v>0.42236024844720499</v>
      </c>
      <c r="K74" s="111">
        <f>IFERROR(VLOOKUP($B74,MMWR_TRAD_AGG_STATE_PEN[],K$1,0),"ERROR")</f>
        <v>4</v>
      </c>
      <c r="L74" s="112">
        <f>IFERROR(VLOOKUP($B74,MMWR_TRAD_AGG_STATE_PEN[],L$1,0),"ERROR")</f>
        <v>3</v>
      </c>
      <c r="M74" s="114">
        <f t="shared" si="10"/>
        <v>0.75</v>
      </c>
      <c r="N74" s="111">
        <f>IFERROR(VLOOKUP($B74,MMWR_TRAD_AGG_STATE_PEN[],N$1,0),"ERROR")</f>
        <v>9</v>
      </c>
      <c r="O74" s="112">
        <f>IFERROR(VLOOKUP($B74,MMWR_TRAD_AGG_STATE_PEN[],O$1,0),"ERROR")</f>
        <v>2</v>
      </c>
      <c r="P74" s="114">
        <f t="shared" si="11"/>
        <v>0.22222222222222221</v>
      </c>
      <c r="Q74" s="115">
        <f>IFERROR(VLOOKUP($B74,MMWR_TRAD_AGG_STATE_PEN[],Q$1,0),"ERROR")</f>
        <v>30</v>
      </c>
      <c r="R74" s="115">
        <f>IFERROR(VLOOKUP($B74,MMWR_TRAD_AGG_STATE_PEN[],R$1,0),"ERROR")</f>
        <v>25</v>
      </c>
      <c r="S74" s="115">
        <f>IFERROR(VLOOKUP($B74,MMWR_APP_STATE_PEN[],S$1,0),"ERROR")</f>
        <v>20</v>
      </c>
      <c r="T74" s="28"/>
    </row>
    <row r="75" spans="1:20" s="123" customFormat="1" x14ac:dyDescent="0.2">
      <c r="A75" s="28"/>
      <c r="B75" s="127" t="s">
        <v>383</v>
      </c>
      <c r="C75" s="109">
        <f>IFERROR(VLOOKUP($B75,MMWR_TRAD_AGG_STATE_PEN[],C$1,0),"ERROR")</f>
        <v>347</v>
      </c>
      <c r="D75" s="110">
        <f>IFERROR(VLOOKUP($B75,MMWR_TRAD_AGG_STATE_PEN[],D$1,0),"ERROR")</f>
        <v>112.1902017291</v>
      </c>
      <c r="E75" s="111">
        <f>IFERROR(VLOOKUP($B75,MMWR_TRAD_AGG_STATE_PEN[],E$1,0),"ERROR")</f>
        <v>497</v>
      </c>
      <c r="F75" s="112">
        <f>IFERROR(VLOOKUP($B75,MMWR_TRAD_AGG_STATE_PEN[],F$1,0),"ERROR")</f>
        <v>133</v>
      </c>
      <c r="G75" s="113">
        <f t="shared" si="8"/>
        <v>0.26760563380281688</v>
      </c>
      <c r="H75" s="111">
        <f>IFERROR(VLOOKUP($B75,MMWR_TRAD_AGG_STATE_PEN[],H$1,0),"ERROR")</f>
        <v>494</v>
      </c>
      <c r="I75" s="112">
        <f>IFERROR(VLOOKUP($B75,MMWR_TRAD_AGG_STATE_PEN[],I$1,0),"ERROR")</f>
        <v>176</v>
      </c>
      <c r="J75" s="114">
        <f t="shared" si="9"/>
        <v>0.35627530364372467</v>
      </c>
      <c r="K75" s="111">
        <f>IFERROR(VLOOKUP($B75,MMWR_TRAD_AGG_STATE_PEN[],K$1,0),"ERROR")</f>
        <v>22</v>
      </c>
      <c r="L75" s="112">
        <f>IFERROR(VLOOKUP($B75,MMWR_TRAD_AGG_STATE_PEN[],L$1,0),"ERROR")</f>
        <v>19</v>
      </c>
      <c r="M75" s="114">
        <f t="shared" si="10"/>
        <v>0.86363636363636365</v>
      </c>
      <c r="N75" s="111">
        <f>IFERROR(VLOOKUP($B75,MMWR_TRAD_AGG_STATE_PEN[],N$1,0),"ERROR")</f>
        <v>35</v>
      </c>
      <c r="O75" s="112">
        <f>IFERROR(VLOOKUP($B75,MMWR_TRAD_AGG_STATE_PEN[],O$1,0),"ERROR")</f>
        <v>15</v>
      </c>
      <c r="P75" s="114">
        <f t="shared" si="11"/>
        <v>0.42857142857142855</v>
      </c>
      <c r="Q75" s="115">
        <f>IFERROR(VLOOKUP($B75,MMWR_TRAD_AGG_STATE_PEN[],Q$1,0),"ERROR")</f>
        <v>59</v>
      </c>
      <c r="R75" s="115">
        <f>IFERROR(VLOOKUP($B75,MMWR_TRAD_AGG_STATE_PEN[],R$1,0),"ERROR")</f>
        <v>158</v>
      </c>
      <c r="S75" s="115">
        <f>IFERROR(VLOOKUP($B75,MMWR_APP_STATE_PEN[],S$1,0),"ERROR")</f>
        <v>82</v>
      </c>
      <c r="T75" s="28"/>
    </row>
    <row r="76" spans="1:20" s="123" customFormat="1" x14ac:dyDescent="0.2">
      <c r="A76" s="28"/>
      <c r="B76" s="127" t="s">
        <v>378</v>
      </c>
      <c r="C76" s="109">
        <f>IFERROR(VLOOKUP($B76,MMWR_TRAD_AGG_STATE_PEN[],C$1,0),"ERROR")</f>
        <v>353</v>
      </c>
      <c r="D76" s="110">
        <f>IFERROR(VLOOKUP($B76,MMWR_TRAD_AGG_STATE_PEN[],D$1,0),"ERROR")</f>
        <v>112.8243626062</v>
      </c>
      <c r="E76" s="111">
        <f>IFERROR(VLOOKUP($B76,MMWR_TRAD_AGG_STATE_PEN[],E$1,0),"ERROR")</f>
        <v>514</v>
      </c>
      <c r="F76" s="112">
        <f>IFERROR(VLOOKUP($B76,MMWR_TRAD_AGG_STATE_PEN[],F$1,0),"ERROR")</f>
        <v>118</v>
      </c>
      <c r="G76" s="113">
        <f t="shared" si="8"/>
        <v>0.22957198443579765</v>
      </c>
      <c r="H76" s="111">
        <f>IFERROR(VLOOKUP($B76,MMWR_TRAD_AGG_STATE_PEN[],H$1,0),"ERROR")</f>
        <v>516</v>
      </c>
      <c r="I76" s="112">
        <f>IFERROR(VLOOKUP($B76,MMWR_TRAD_AGG_STATE_PEN[],I$1,0),"ERROR")</f>
        <v>181</v>
      </c>
      <c r="J76" s="114">
        <f t="shared" si="9"/>
        <v>0.35077519379844962</v>
      </c>
      <c r="K76" s="111">
        <f>IFERROR(VLOOKUP($B76,MMWR_TRAD_AGG_STATE_PEN[],K$1,0),"ERROR")</f>
        <v>11</v>
      </c>
      <c r="L76" s="112">
        <f>IFERROR(VLOOKUP($B76,MMWR_TRAD_AGG_STATE_PEN[],L$1,0),"ERROR")</f>
        <v>11</v>
      </c>
      <c r="M76" s="114">
        <f t="shared" si="10"/>
        <v>1</v>
      </c>
      <c r="N76" s="111">
        <f>IFERROR(VLOOKUP($B76,MMWR_TRAD_AGG_STATE_PEN[],N$1,0),"ERROR")</f>
        <v>33</v>
      </c>
      <c r="O76" s="112">
        <f>IFERROR(VLOOKUP($B76,MMWR_TRAD_AGG_STATE_PEN[],O$1,0),"ERROR")</f>
        <v>8</v>
      </c>
      <c r="P76" s="114">
        <f t="shared" si="11"/>
        <v>0.24242424242424243</v>
      </c>
      <c r="Q76" s="115">
        <f>IFERROR(VLOOKUP($B76,MMWR_TRAD_AGG_STATE_PEN[],Q$1,0),"ERROR")</f>
        <v>42</v>
      </c>
      <c r="R76" s="115">
        <f>IFERROR(VLOOKUP($B76,MMWR_TRAD_AGG_STATE_PEN[],R$1,0),"ERROR")</f>
        <v>156</v>
      </c>
      <c r="S76" s="115">
        <f>IFERROR(VLOOKUP($B76,MMWR_APP_STATE_PEN[],S$1,0),"ERROR")</f>
        <v>101</v>
      </c>
      <c r="T76" s="28"/>
    </row>
    <row r="77" spans="1:20" s="123" customFormat="1" x14ac:dyDescent="0.2">
      <c r="A77" s="28"/>
      <c r="B77" s="127" t="s">
        <v>422</v>
      </c>
      <c r="C77" s="109">
        <f>IFERROR(VLOOKUP($B77,MMWR_TRAD_AGG_STATE_PEN[],C$1,0),"ERROR")</f>
        <v>96</v>
      </c>
      <c r="D77" s="110">
        <f>IFERROR(VLOOKUP($B77,MMWR_TRAD_AGG_STATE_PEN[],D$1,0),"ERROR")</f>
        <v>105.46875</v>
      </c>
      <c r="E77" s="111">
        <f>IFERROR(VLOOKUP($B77,MMWR_TRAD_AGG_STATE_PEN[],E$1,0),"ERROR")</f>
        <v>121</v>
      </c>
      <c r="F77" s="112">
        <f>IFERROR(VLOOKUP($B77,MMWR_TRAD_AGG_STATE_PEN[],F$1,0),"ERROR")</f>
        <v>34</v>
      </c>
      <c r="G77" s="113">
        <f t="shared" si="8"/>
        <v>0.28099173553719009</v>
      </c>
      <c r="H77" s="111">
        <f>IFERROR(VLOOKUP($B77,MMWR_TRAD_AGG_STATE_PEN[],H$1,0),"ERROR")</f>
        <v>140</v>
      </c>
      <c r="I77" s="112">
        <f>IFERROR(VLOOKUP($B77,MMWR_TRAD_AGG_STATE_PEN[],I$1,0),"ERROR")</f>
        <v>37</v>
      </c>
      <c r="J77" s="114">
        <f t="shared" si="9"/>
        <v>0.26428571428571429</v>
      </c>
      <c r="K77" s="111">
        <f>IFERROR(VLOOKUP($B77,MMWR_TRAD_AGG_STATE_PEN[],K$1,0),"ERROR")</f>
        <v>2</v>
      </c>
      <c r="L77" s="112">
        <f>IFERROR(VLOOKUP($B77,MMWR_TRAD_AGG_STATE_PEN[],L$1,0),"ERROR")</f>
        <v>2</v>
      </c>
      <c r="M77" s="114">
        <f t="shared" si="10"/>
        <v>1</v>
      </c>
      <c r="N77" s="111">
        <f>IFERROR(VLOOKUP($B77,MMWR_TRAD_AGG_STATE_PEN[],N$1,0),"ERROR")</f>
        <v>11</v>
      </c>
      <c r="O77" s="112">
        <f>IFERROR(VLOOKUP($B77,MMWR_TRAD_AGG_STATE_PEN[],O$1,0),"ERROR")</f>
        <v>3</v>
      </c>
      <c r="P77" s="114">
        <f t="shared" si="11"/>
        <v>0.27272727272727271</v>
      </c>
      <c r="Q77" s="115">
        <f>IFERROR(VLOOKUP($B77,MMWR_TRAD_AGG_STATE_PEN[],Q$1,0),"ERROR")</f>
        <v>7</v>
      </c>
      <c r="R77" s="115">
        <f>IFERROR(VLOOKUP($B77,MMWR_TRAD_AGG_STATE_PEN[],R$1,0),"ERROR")</f>
        <v>35</v>
      </c>
      <c r="S77" s="115">
        <f>IFERROR(VLOOKUP($B77,MMWR_APP_STATE_PEN[],S$1,0),"ERROR")</f>
        <v>13</v>
      </c>
      <c r="T77" s="28"/>
    </row>
    <row r="78" spans="1:20" s="123" customFormat="1" x14ac:dyDescent="0.2">
      <c r="A78" s="28"/>
      <c r="B78" s="127" t="s">
        <v>381</v>
      </c>
      <c r="C78" s="109">
        <f>IFERROR(VLOOKUP($B78,MMWR_TRAD_AGG_STATE_PEN[],C$1,0),"ERROR")</f>
        <v>447</v>
      </c>
      <c r="D78" s="110">
        <f>IFERROR(VLOOKUP($B78,MMWR_TRAD_AGG_STATE_PEN[],D$1,0),"ERROR")</f>
        <v>105.1006711409</v>
      </c>
      <c r="E78" s="111">
        <f>IFERROR(VLOOKUP($B78,MMWR_TRAD_AGG_STATE_PEN[],E$1,0),"ERROR")</f>
        <v>643</v>
      </c>
      <c r="F78" s="112">
        <f>IFERROR(VLOOKUP($B78,MMWR_TRAD_AGG_STATE_PEN[],F$1,0),"ERROR")</f>
        <v>148</v>
      </c>
      <c r="G78" s="113">
        <f t="shared" si="8"/>
        <v>0.23017107309486781</v>
      </c>
      <c r="H78" s="111">
        <f>IFERROR(VLOOKUP($B78,MMWR_TRAD_AGG_STATE_PEN[],H$1,0),"ERROR")</f>
        <v>606</v>
      </c>
      <c r="I78" s="112">
        <f>IFERROR(VLOOKUP($B78,MMWR_TRAD_AGG_STATE_PEN[],I$1,0),"ERROR")</f>
        <v>195</v>
      </c>
      <c r="J78" s="114">
        <f t="shared" si="9"/>
        <v>0.32178217821782179</v>
      </c>
      <c r="K78" s="111">
        <f>IFERROR(VLOOKUP($B78,MMWR_TRAD_AGG_STATE_PEN[],K$1,0),"ERROR")</f>
        <v>13</v>
      </c>
      <c r="L78" s="112">
        <f>IFERROR(VLOOKUP($B78,MMWR_TRAD_AGG_STATE_PEN[],L$1,0),"ERROR")</f>
        <v>13</v>
      </c>
      <c r="M78" s="114">
        <f t="shared" si="10"/>
        <v>1</v>
      </c>
      <c r="N78" s="111">
        <f>IFERROR(VLOOKUP($B78,MMWR_TRAD_AGG_STATE_PEN[],N$1,0),"ERROR")</f>
        <v>35</v>
      </c>
      <c r="O78" s="112">
        <f>IFERROR(VLOOKUP($B78,MMWR_TRAD_AGG_STATE_PEN[],O$1,0),"ERROR")</f>
        <v>14</v>
      </c>
      <c r="P78" s="114">
        <f t="shared" si="11"/>
        <v>0.4</v>
      </c>
      <c r="Q78" s="115">
        <f>IFERROR(VLOOKUP($B78,MMWR_TRAD_AGG_STATE_PEN[],Q$1,0),"ERROR")</f>
        <v>61</v>
      </c>
      <c r="R78" s="115">
        <f>IFERROR(VLOOKUP($B78,MMWR_TRAD_AGG_STATE_PEN[],R$1,0),"ERROR")</f>
        <v>195</v>
      </c>
      <c r="S78" s="115">
        <f>IFERROR(VLOOKUP($B78,MMWR_APP_STATE_PEN[],S$1,0),"ERROR")</f>
        <v>161</v>
      </c>
      <c r="T78" s="28"/>
    </row>
    <row r="79" spans="1:20" s="123" customFormat="1" x14ac:dyDescent="0.2">
      <c r="A79" s="28"/>
      <c r="B79" s="127" t="s">
        <v>63</v>
      </c>
      <c r="C79" s="109">
        <f>IFERROR(VLOOKUP($B79,MMWR_TRAD_AGG_STATE_PEN[],C$1,0),"ERROR")</f>
        <v>1136</v>
      </c>
      <c r="D79" s="110">
        <f>IFERROR(VLOOKUP($B79,MMWR_TRAD_AGG_STATE_PEN[],D$1,0),"ERROR")</f>
        <v>115.1549295775</v>
      </c>
      <c r="E79" s="111">
        <f>IFERROR(VLOOKUP($B79,MMWR_TRAD_AGG_STATE_PEN[],E$1,0),"ERROR")</f>
        <v>1836</v>
      </c>
      <c r="F79" s="112">
        <f>IFERROR(VLOOKUP($B79,MMWR_TRAD_AGG_STATE_PEN[],F$1,0),"ERROR")</f>
        <v>477</v>
      </c>
      <c r="G79" s="113">
        <f t="shared" si="8"/>
        <v>0.25980392156862747</v>
      </c>
      <c r="H79" s="111">
        <f>IFERROR(VLOOKUP($B79,MMWR_TRAD_AGG_STATE_PEN[],H$1,0),"ERROR")</f>
        <v>1695</v>
      </c>
      <c r="I79" s="112">
        <f>IFERROR(VLOOKUP($B79,MMWR_TRAD_AGG_STATE_PEN[],I$1,0),"ERROR")</f>
        <v>621</v>
      </c>
      <c r="J79" s="114">
        <f t="shared" si="9"/>
        <v>0.36637168141592918</v>
      </c>
      <c r="K79" s="111">
        <f>IFERROR(VLOOKUP($B79,MMWR_TRAD_AGG_STATE_PEN[],K$1,0),"ERROR")</f>
        <v>43</v>
      </c>
      <c r="L79" s="112">
        <f>IFERROR(VLOOKUP($B79,MMWR_TRAD_AGG_STATE_PEN[],L$1,0),"ERROR")</f>
        <v>41</v>
      </c>
      <c r="M79" s="114">
        <f t="shared" si="10"/>
        <v>0.95348837209302328</v>
      </c>
      <c r="N79" s="111">
        <f>IFERROR(VLOOKUP($B79,MMWR_TRAD_AGG_STATE_PEN[],N$1,0),"ERROR")</f>
        <v>80</v>
      </c>
      <c r="O79" s="112">
        <f>IFERROR(VLOOKUP($B79,MMWR_TRAD_AGG_STATE_PEN[],O$1,0),"ERROR")</f>
        <v>33</v>
      </c>
      <c r="P79" s="114">
        <f t="shared" si="11"/>
        <v>0.41249999999999998</v>
      </c>
      <c r="Q79" s="115">
        <f>IFERROR(VLOOKUP($B79,MMWR_TRAD_AGG_STATE_PEN[],Q$1,0),"ERROR")</f>
        <v>112</v>
      </c>
      <c r="R79" s="115">
        <f>IFERROR(VLOOKUP($B79,MMWR_TRAD_AGG_STATE_PEN[],R$1,0),"ERROR")</f>
        <v>348</v>
      </c>
      <c r="S79" s="115">
        <f>IFERROR(VLOOKUP($B79,MMWR_APP_STATE_PEN[],S$1,0),"ERROR")</f>
        <v>231</v>
      </c>
      <c r="T79" s="28"/>
    </row>
    <row r="80" spans="1:20" s="123" customFormat="1" x14ac:dyDescent="0.2">
      <c r="A80" s="28"/>
      <c r="B80" s="127" t="s">
        <v>389</v>
      </c>
      <c r="C80" s="109">
        <f>IFERROR(VLOOKUP($B80,MMWR_TRAD_AGG_STATE_PEN[],C$1,0),"ERROR")</f>
        <v>1175</v>
      </c>
      <c r="D80" s="110">
        <f>IFERROR(VLOOKUP($B80,MMWR_TRAD_AGG_STATE_PEN[],D$1,0),"ERROR")</f>
        <v>119.4646808511</v>
      </c>
      <c r="E80" s="111">
        <f>IFERROR(VLOOKUP($B80,MMWR_TRAD_AGG_STATE_PEN[],E$1,0),"ERROR")</f>
        <v>1126</v>
      </c>
      <c r="F80" s="112">
        <f>IFERROR(VLOOKUP($B80,MMWR_TRAD_AGG_STATE_PEN[],F$1,0),"ERROR")</f>
        <v>279</v>
      </c>
      <c r="G80" s="113">
        <f t="shared" si="8"/>
        <v>0.24777975133214919</v>
      </c>
      <c r="H80" s="111">
        <f>IFERROR(VLOOKUP($B80,MMWR_TRAD_AGG_STATE_PEN[],H$1,0),"ERROR")</f>
        <v>1697</v>
      </c>
      <c r="I80" s="112">
        <f>IFERROR(VLOOKUP($B80,MMWR_TRAD_AGG_STATE_PEN[],I$1,0),"ERROR")</f>
        <v>573</v>
      </c>
      <c r="J80" s="114">
        <f t="shared" si="9"/>
        <v>0.33765468473777255</v>
      </c>
      <c r="K80" s="111">
        <f>IFERROR(VLOOKUP($B80,MMWR_TRAD_AGG_STATE_PEN[],K$1,0),"ERROR")</f>
        <v>58</v>
      </c>
      <c r="L80" s="112">
        <f>IFERROR(VLOOKUP($B80,MMWR_TRAD_AGG_STATE_PEN[],L$1,0),"ERROR")</f>
        <v>56</v>
      </c>
      <c r="M80" s="114">
        <f t="shared" si="10"/>
        <v>0.96551724137931039</v>
      </c>
      <c r="N80" s="111">
        <f>IFERROR(VLOOKUP($B80,MMWR_TRAD_AGG_STATE_PEN[],N$1,0),"ERROR")</f>
        <v>109</v>
      </c>
      <c r="O80" s="112">
        <f>IFERROR(VLOOKUP($B80,MMWR_TRAD_AGG_STATE_PEN[],O$1,0),"ERROR")</f>
        <v>37</v>
      </c>
      <c r="P80" s="114">
        <f t="shared" si="11"/>
        <v>0.33944954128440369</v>
      </c>
      <c r="Q80" s="115">
        <f>IFERROR(VLOOKUP($B80,MMWR_TRAD_AGG_STATE_PEN[],Q$1,0),"ERROR")</f>
        <v>227</v>
      </c>
      <c r="R80" s="115">
        <f>IFERROR(VLOOKUP($B80,MMWR_TRAD_AGG_STATE_PEN[],R$1,0),"ERROR")</f>
        <v>415</v>
      </c>
      <c r="S80" s="115">
        <f>IFERROR(VLOOKUP($B80,MMWR_APP_STATE_PEN[],S$1,0),"ERROR")</f>
        <v>213</v>
      </c>
      <c r="T80" s="28"/>
    </row>
    <row r="81" spans="1:20" s="123" customFormat="1" x14ac:dyDescent="0.2">
      <c r="A81" s="28"/>
      <c r="B81" s="127" t="s">
        <v>382</v>
      </c>
      <c r="C81" s="109">
        <f>IFERROR(VLOOKUP($B81,MMWR_TRAD_AGG_STATE_PEN[],C$1,0),"ERROR")</f>
        <v>1450</v>
      </c>
      <c r="D81" s="110">
        <f>IFERROR(VLOOKUP($B81,MMWR_TRAD_AGG_STATE_PEN[],D$1,0),"ERROR")</f>
        <v>115.7351724138</v>
      </c>
      <c r="E81" s="111">
        <f>IFERROR(VLOOKUP($B81,MMWR_TRAD_AGG_STATE_PEN[],E$1,0),"ERROR")</f>
        <v>2099</v>
      </c>
      <c r="F81" s="112">
        <f>IFERROR(VLOOKUP($B81,MMWR_TRAD_AGG_STATE_PEN[],F$1,0),"ERROR")</f>
        <v>533</v>
      </c>
      <c r="G81" s="113">
        <f t="shared" si="8"/>
        <v>0.25393044306812768</v>
      </c>
      <c r="H81" s="111">
        <f>IFERROR(VLOOKUP($B81,MMWR_TRAD_AGG_STATE_PEN[],H$1,0),"ERROR")</f>
        <v>2154</v>
      </c>
      <c r="I81" s="112">
        <f>IFERROR(VLOOKUP($B81,MMWR_TRAD_AGG_STATE_PEN[],I$1,0),"ERROR")</f>
        <v>732</v>
      </c>
      <c r="J81" s="114">
        <f t="shared" si="9"/>
        <v>0.33983286908077992</v>
      </c>
      <c r="K81" s="111">
        <f>IFERROR(VLOOKUP($B81,MMWR_TRAD_AGG_STATE_PEN[],K$1,0),"ERROR")</f>
        <v>47</v>
      </c>
      <c r="L81" s="112">
        <f>IFERROR(VLOOKUP($B81,MMWR_TRAD_AGG_STATE_PEN[],L$1,0),"ERROR")</f>
        <v>43</v>
      </c>
      <c r="M81" s="114">
        <f t="shared" si="10"/>
        <v>0.91489361702127658</v>
      </c>
      <c r="N81" s="111">
        <f>IFERROR(VLOOKUP($B81,MMWR_TRAD_AGG_STATE_PEN[],N$1,0),"ERROR")</f>
        <v>109</v>
      </c>
      <c r="O81" s="112">
        <f>IFERROR(VLOOKUP($B81,MMWR_TRAD_AGG_STATE_PEN[],O$1,0),"ERROR")</f>
        <v>22</v>
      </c>
      <c r="P81" s="114">
        <f t="shared" si="11"/>
        <v>0.20183486238532111</v>
      </c>
      <c r="Q81" s="115">
        <f>IFERROR(VLOOKUP($B81,MMWR_TRAD_AGG_STATE_PEN[],Q$1,0),"ERROR")</f>
        <v>118</v>
      </c>
      <c r="R81" s="115">
        <f>IFERROR(VLOOKUP($B81,MMWR_TRAD_AGG_STATE_PEN[],R$1,0),"ERROR")</f>
        <v>422</v>
      </c>
      <c r="S81" s="115">
        <f>IFERROR(VLOOKUP($B81,MMWR_APP_STATE_PEN[],S$1,0),"ERROR")</f>
        <v>257</v>
      </c>
      <c r="T81" s="28"/>
    </row>
    <row r="82" spans="1:20" s="123" customFormat="1" x14ac:dyDescent="0.2">
      <c r="A82" s="28"/>
      <c r="B82" s="127" t="s">
        <v>379</v>
      </c>
      <c r="C82" s="109">
        <f>IFERROR(VLOOKUP($B82,MMWR_TRAD_AGG_STATE_PEN[],C$1,0),"ERROR")</f>
        <v>69</v>
      </c>
      <c r="D82" s="110">
        <f>IFERROR(VLOOKUP($B82,MMWR_TRAD_AGG_STATE_PEN[],D$1,0),"ERROR")</f>
        <v>93.463768115899995</v>
      </c>
      <c r="E82" s="111">
        <f>IFERROR(VLOOKUP($B82,MMWR_TRAD_AGG_STATE_PEN[],E$1,0),"ERROR")</f>
        <v>139</v>
      </c>
      <c r="F82" s="112">
        <f>IFERROR(VLOOKUP($B82,MMWR_TRAD_AGG_STATE_PEN[],F$1,0),"ERROR")</f>
        <v>33</v>
      </c>
      <c r="G82" s="113">
        <f t="shared" si="8"/>
        <v>0.23741007194244604</v>
      </c>
      <c r="H82" s="111">
        <f>IFERROR(VLOOKUP($B82,MMWR_TRAD_AGG_STATE_PEN[],H$1,0),"ERROR")</f>
        <v>119</v>
      </c>
      <c r="I82" s="112">
        <f>IFERROR(VLOOKUP($B82,MMWR_TRAD_AGG_STATE_PEN[],I$1,0),"ERROR")</f>
        <v>31</v>
      </c>
      <c r="J82" s="114">
        <f t="shared" si="9"/>
        <v>0.26050420168067229</v>
      </c>
      <c r="K82" s="111">
        <f>IFERROR(VLOOKUP($B82,MMWR_TRAD_AGG_STATE_PEN[],K$1,0),"ERROR")</f>
        <v>5</v>
      </c>
      <c r="L82" s="112">
        <f>IFERROR(VLOOKUP($B82,MMWR_TRAD_AGG_STATE_PEN[],L$1,0),"ERROR")</f>
        <v>5</v>
      </c>
      <c r="M82" s="114">
        <f t="shared" si="10"/>
        <v>1</v>
      </c>
      <c r="N82" s="111">
        <f>IFERROR(VLOOKUP($B82,MMWR_TRAD_AGG_STATE_PEN[],N$1,0),"ERROR")</f>
        <v>15</v>
      </c>
      <c r="O82" s="112">
        <f>IFERROR(VLOOKUP($B82,MMWR_TRAD_AGG_STATE_PEN[],O$1,0),"ERROR")</f>
        <v>1</v>
      </c>
      <c r="P82" s="114">
        <f t="shared" si="11"/>
        <v>6.6666666666666666E-2</v>
      </c>
      <c r="Q82" s="115">
        <f>IFERROR(VLOOKUP($B82,MMWR_TRAD_AGG_STATE_PEN[],Q$1,0),"ERROR")</f>
        <v>12</v>
      </c>
      <c r="R82" s="115">
        <f>IFERROR(VLOOKUP($B82,MMWR_TRAD_AGG_STATE_PEN[],R$1,0),"ERROR")</f>
        <v>33</v>
      </c>
      <c r="S82" s="115">
        <f>IFERROR(VLOOKUP($B82,MMWR_APP_STATE_PEN[],S$1,0),"ERROR")</f>
        <v>18</v>
      </c>
      <c r="T82" s="28"/>
    </row>
    <row r="83" spans="1:20" s="123" customFormat="1" x14ac:dyDescent="0.2">
      <c r="A83" s="28"/>
      <c r="B83" s="127" t="s">
        <v>424</v>
      </c>
      <c r="C83" s="109">
        <f>IFERROR(VLOOKUP($B83,MMWR_TRAD_AGG_STATE_PEN[],C$1,0),"ERROR")</f>
        <v>34</v>
      </c>
      <c r="D83" s="110">
        <f>IFERROR(VLOOKUP($B83,MMWR_TRAD_AGG_STATE_PEN[],D$1,0),"ERROR")</f>
        <v>103.0882352941</v>
      </c>
      <c r="E83" s="111">
        <f>IFERROR(VLOOKUP($B83,MMWR_TRAD_AGG_STATE_PEN[],E$1,0),"ERROR")</f>
        <v>28</v>
      </c>
      <c r="F83" s="112">
        <f>IFERROR(VLOOKUP($B83,MMWR_TRAD_AGG_STATE_PEN[],F$1,0),"ERROR")</f>
        <v>7</v>
      </c>
      <c r="G83" s="113">
        <f t="shared" si="8"/>
        <v>0.25</v>
      </c>
      <c r="H83" s="111">
        <f>IFERROR(VLOOKUP($B83,MMWR_TRAD_AGG_STATE_PEN[],H$1,0),"ERROR")</f>
        <v>40</v>
      </c>
      <c r="I83" s="112">
        <f>IFERROR(VLOOKUP($B83,MMWR_TRAD_AGG_STATE_PEN[],I$1,0),"ERROR")</f>
        <v>11</v>
      </c>
      <c r="J83" s="114">
        <f t="shared" si="9"/>
        <v>0.27500000000000002</v>
      </c>
      <c r="K83" s="111">
        <f>IFERROR(VLOOKUP($B83,MMWR_TRAD_AGG_STATE_PEN[],K$1,0),"ERROR")</f>
        <v>1</v>
      </c>
      <c r="L83" s="112">
        <f>IFERROR(VLOOKUP($B83,MMWR_TRAD_AGG_STATE_PEN[],L$1,0),"ERROR")</f>
        <v>1</v>
      </c>
      <c r="M83" s="114">
        <f t="shared" si="10"/>
        <v>1</v>
      </c>
      <c r="N83" s="111">
        <f>IFERROR(VLOOKUP($B83,MMWR_TRAD_AGG_STATE_PEN[],N$1,0),"ERROR")</f>
        <v>1</v>
      </c>
      <c r="O83" s="112">
        <f>IFERROR(VLOOKUP($B83,MMWR_TRAD_AGG_STATE_PEN[],O$1,0),"ERROR")</f>
        <v>1</v>
      </c>
      <c r="P83" s="114">
        <f t="shared" si="11"/>
        <v>1</v>
      </c>
      <c r="Q83" s="115">
        <f>IFERROR(VLOOKUP($B83,MMWR_TRAD_AGG_STATE_PEN[],Q$1,0),"ERROR")</f>
        <v>5</v>
      </c>
      <c r="R83" s="115">
        <f>IFERROR(VLOOKUP($B83,MMWR_TRAD_AGG_STATE_PEN[],R$1,0),"ERROR")</f>
        <v>7</v>
      </c>
      <c r="S83" s="115">
        <f>IFERROR(VLOOKUP($B83,MMWR_APP_STATE_PEN[],S$1,0),"ERROR")</f>
        <v>7</v>
      </c>
      <c r="T83" s="28"/>
    </row>
    <row r="84" spans="1:20" s="123" customFormat="1" x14ac:dyDescent="0.2">
      <c r="A84" s="28"/>
      <c r="B84" s="127" t="s">
        <v>385</v>
      </c>
      <c r="C84" s="109">
        <f>IFERROR(VLOOKUP($B84,MMWR_TRAD_AGG_STATE_PEN[],C$1,0),"ERROR")</f>
        <v>723</v>
      </c>
      <c r="D84" s="110">
        <f>IFERROR(VLOOKUP($B84,MMWR_TRAD_AGG_STATE_PEN[],D$1,0),"ERROR")</f>
        <v>122</v>
      </c>
      <c r="E84" s="111">
        <f>IFERROR(VLOOKUP($B84,MMWR_TRAD_AGG_STATE_PEN[],E$1,0),"ERROR")</f>
        <v>704</v>
      </c>
      <c r="F84" s="112">
        <f>IFERROR(VLOOKUP($B84,MMWR_TRAD_AGG_STATE_PEN[],F$1,0),"ERROR")</f>
        <v>177</v>
      </c>
      <c r="G84" s="113">
        <f t="shared" si="8"/>
        <v>0.25142045454545453</v>
      </c>
      <c r="H84" s="111">
        <f>IFERROR(VLOOKUP($B84,MMWR_TRAD_AGG_STATE_PEN[],H$1,0),"ERROR")</f>
        <v>1015</v>
      </c>
      <c r="I84" s="112">
        <f>IFERROR(VLOOKUP($B84,MMWR_TRAD_AGG_STATE_PEN[],I$1,0),"ERROR")</f>
        <v>362</v>
      </c>
      <c r="J84" s="114">
        <f t="shared" si="9"/>
        <v>0.35665024630541869</v>
      </c>
      <c r="K84" s="111">
        <f>IFERROR(VLOOKUP($B84,MMWR_TRAD_AGG_STATE_PEN[],K$1,0),"ERROR")</f>
        <v>154</v>
      </c>
      <c r="L84" s="112">
        <f>IFERROR(VLOOKUP($B84,MMWR_TRAD_AGG_STATE_PEN[],L$1,0),"ERROR")</f>
        <v>151</v>
      </c>
      <c r="M84" s="114">
        <f t="shared" si="10"/>
        <v>0.98051948051948057</v>
      </c>
      <c r="N84" s="111">
        <f>IFERROR(VLOOKUP($B84,MMWR_TRAD_AGG_STATE_PEN[],N$1,0),"ERROR")</f>
        <v>49</v>
      </c>
      <c r="O84" s="112">
        <f>IFERROR(VLOOKUP($B84,MMWR_TRAD_AGG_STATE_PEN[],O$1,0),"ERROR")</f>
        <v>20</v>
      </c>
      <c r="P84" s="114">
        <f t="shared" si="11"/>
        <v>0.40816326530612246</v>
      </c>
      <c r="Q84" s="115">
        <f>IFERROR(VLOOKUP($B84,MMWR_TRAD_AGG_STATE_PEN[],Q$1,0),"ERROR")</f>
        <v>101</v>
      </c>
      <c r="R84" s="115">
        <f>IFERROR(VLOOKUP($B84,MMWR_TRAD_AGG_STATE_PEN[],R$1,0),"ERROR")</f>
        <v>290</v>
      </c>
      <c r="S84" s="115">
        <f>IFERROR(VLOOKUP($B84,MMWR_APP_STATE_PEN[],S$1,0),"ERROR")</f>
        <v>161</v>
      </c>
      <c r="T84" s="28"/>
    </row>
    <row r="85" spans="1:20" s="123" customFormat="1" x14ac:dyDescent="0.2">
      <c r="A85" s="28"/>
      <c r="B85" s="127" t="s">
        <v>386</v>
      </c>
      <c r="C85" s="109">
        <f>IFERROR(VLOOKUP($B85,MMWR_TRAD_AGG_STATE_PEN[],C$1,0),"ERROR")</f>
        <v>251</v>
      </c>
      <c r="D85" s="110">
        <f>IFERROR(VLOOKUP($B85,MMWR_TRAD_AGG_STATE_PEN[],D$1,0),"ERROR")</f>
        <v>115.27490039840001</v>
      </c>
      <c r="E85" s="111">
        <f>IFERROR(VLOOKUP($B85,MMWR_TRAD_AGG_STATE_PEN[],E$1,0),"ERROR")</f>
        <v>217</v>
      </c>
      <c r="F85" s="112">
        <f>IFERROR(VLOOKUP($B85,MMWR_TRAD_AGG_STATE_PEN[],F$1,0),"ERROR")</f>
        <v>47</v>
      </c>
      <c r="G85" s="113">
        <f t="shared" si="8"/>
        <v>0.21658986175115208</v>
      </c>
      <c r="H85" s="111">
        <f>IFERROR(VLOOKUP($B85,MMWR_TRAD_AGG_STATE_PEN[],H$1,0),"ERROR")</f>
        <v>330</v>
      </c>
      <c r="I85" s="112">
        <f>IFERROR(VLOOKUP($B85,MMWR_TRAD_AGG_STATE_PEN[],I$1,0),"ERROR")</f>
        <v>111</v>
      </c>
      <c r="J85" s="114">
        <f t="shared" si="9"/>
        <v>0.33636363636363636</v>
      </c>
      <c r="K85" s="111">
        <f>IFERROR(VLOOKUP($B85,MMWR_TRAD_AGG_STATE_PEN[],K$1,0),"ERROR")</f>
        <v>7</v>
      </c>
      <c r="L85" s="112">
        <f>IFERROR(VLOOKUP($B85,MMWR_TRAD_AGG_STATE_PEN[],L$1,0),"ERROR")</f>
        <v>7</v>
      </c>
      <c r="M85" s="114">
        <f t="shared" si="10"/>
        <v>1</v>
      </c>
      <c r="N85" s="111">
        <f>IFERROR(VLOOKUP($B85,MMWR_TRAD_AGG_STATE_PEN[],N$1,0),"ERROR")</f>
        <v>15</v>
      </c>
      <c r="O85" s="112">
        <f>IFERROR(VLOOKUP($B85,MMWR_TRAD_AGG_STATE_PEN[],O$1,0),"ERROR")</f>
        <v>6</v>
      </c>
      <c r="P85" s="114">
        <f t="shared" si="11"/>
        <v>0.4</v>
      </c>
      <c r="Q85" s="115">
        <f>IFERROR(VLOOKUP($B85,MMWR_TRAD_AGG_STATE_PEN[],Q$1,0),"ERROR")</f>
        <v>27</v>
      </c>
      <c r="R85" s="115">
        <f>IFERROR(VLOOKUP($B85,MMWR_TRAD_AGG_STATE_PEN[],R$1,0),"ERROR")</f>
        <v>68</v>
      </c>
      <c r="S85" s="115">
        <f>IFERROR(VLOOKUP($B85,MMWR_APP_STATE_PEN[],S$1,0),"ERROR")</f>
        <v>40</v>
      </c>
      <c r="T85" s="28"/>
    </row>
    <row r="86" spans="1:20" s="123" customFormat="1" x14ac:dyDescent="0.2">
      <c r="A86" s="28"/>
      <c r="B86" s="126" t="s">
        <v>397</v>
      </c>
      <c r="C86" s="102">
        <f>IFERROR(VLOOKUP($B86,MMWR_TRAD_AGG_ST_DISTRICT_PEN[],C$1,0),"ERROR")</f>
        <v>2104</v>
      </c>
      <c r="D86" s="103">
        <f>IFERROR(VLOOKUP($B86,MMWR_TRAD_AGG_ST_DISTRICT_PEN[],D$1,0),"ERROR")</f>
        <v>61.923954372600001</v>
      </c>
      <c r="E86" s="102">
        <f>IFERROR(VLOOKUP($B86,MMWR_TRAD_AGG_ST_DISTRICT_PEN[],E$1,0),"ERROR")</f>
        <v>6072</v>
      </c>
      <c r="F86" s="102">
        <f>IFERROR(VLOOKUP($B86,MMWR_TRAD_AGG_ST_DISTRICT_PEN[],F$1,0),"ERROR")</f>
        <v>367</v>
      </c>
      <c r="G86" s="104">
        <f t="shared" si="8"/>
        <v>6.044137022397892E-2</v>
      </c>
      <c r="H86" s="102">
        <f>IFERROR(VLOOKUP($B86,MMWR_TRAD_AGG_ST_DISTRICT_PEN[],H$1,0),"ERROR")</f>
        <v>3565</v>
      </c>
      <c r="I86" s="102">
        <f>IFERROR(VLOOKUP($B86,MMWR_TRAD_AGG_ST_DISTRICT_PEN[],I$1,0),"ERROR")</f>
        <v>260</v>
      </c>
      <c r="J86" s="104">
        <f t="shared" si="9"/>
        <v>7.2931276297335201E-2</v>
      </c>
      <c r="K86" s="102">
        <f>IFERROR(VLOOKUP($B86,MMWR_TRAD_AGG_ST_DISTRICT_PEN[],K$1,0),"ERROR")</f>
        <v>29</v>
      </c>
      <c r="L86" s="102">
        <f>IFERROR(VLOOKUP($B86,MMWR_TRAD_AGG_ST_DISTRICT_PEN[],L$1,0),"ERROR")</f>
        <v>16</v>
      </c>
      <c r="M86" s="104">
        <f t="shared" si="10"/>
        <v>0.55172413793103448</v>
      </c>
      <c r="N86" s="102">
        <f>IFERROR(VLOOKUP($B86,MMWR_TRAD_AGG_ST_DISTRICT_PEN[],N$1,0),"ERROR")</f>
        <v>239</v>
      </c>
      <c r="O86" s="102">
        <f>IFERROR(VLOOKUP($B86,MMWR_TRAD_AGG_ST_DISTRICT_PEN[],O$1,0),"ERROR")</f>
        <v>68</v>
      </c>
      <c r="P86" s="104">
        <f t="shared" si="11"/>
        <v>0.28451882845188287</v>
      </c>
      <c r="Q86" s="102">
        <f>IFERROR(VLOOKUP($B86,MMWR_TRAD_AGG_ST_DISTRICT_PEN[],Q$1,0),"ERROR")</f>
        <v>1515</v>
      </c>
      <c r="R86" s="106">
        <f>IFERROR(VLOOKUP($B86,MMWR_TRAD_AGG_ST_DISTRICT_PEN[],R$1,0),"ERROR")</f>
        <v>545</v>
      </c>
      <c r="S86" s="106">
        <f>IFERROR(VLOOKUP($B86,MMWR_APP_STATE_PEN[],S$1,0),"ERROR")</f>
        <v>1364</v>
      </c>
      <c r="T86" s="28"/>
    </row>
    <row r="87" spans="1:20" s="123" customFormat="1" x14ac:dyDescent="0.2">
      <c r="A87" s="28"/>
      <c r="B87" s="127" t="s">
        <v>401</v>
      </c>
      <c r="C87" s="109">
        <f>IFERROR(VLOOKUP($B87,MMWR_TRAD_AGG_STATE_PEN[],C$1,0),"ERROR")</f>
        <v>328</v>
      </c>
      <c r="D87" s="110">
        <f>IFERROR(VLOOKUP($B87,MMWR_TRAD_AGG_STATE_PEN[],D$1,0),"ERROR")</f>
        <v>66.618902438999996</v>
      </c>
      <c r="E87" s="111">
        <f>IFERROR(VLOOKUP($B87,MMWR_TRAD_AGG_STATE_PEN[],E$1,0),"ERROR")</f>
        <v>882</v>
      </c>
      <c r="F87" s="112">
        <f>IFERROR(VLOOKUP($B87,MMWR_TRAD_AGG_STATE_PEN[],F$1,0),"ERROR")</f>
        <v>69</v>
      </c>
      <c r="G87" s="113">
        <f t="shared" si="8"/>
        <v>7.8231292517006806E-2</v>
      </c>
      <c r="H87" s="111">
        <f>IFERROR(VLOOKUP($B87,MMWR_TRAD_AGG_STATE_PEN[],H$1,0),"ERROR")</f>
        <v>504</v>
      </c>
      <c r="I87" s="112">
        <f>IFERROR(VLOOKUP($B87,MMWR_TRAD_AGG_STATE_PEN[],I$1,0),"ERROR")</f>
        <v>44</v>
      </c>
      <c r="J87" s="114">
        <f t="shared" si="9"/>
        <v>8.7301587301587297E-2</v>
      </c>
      <c r="K87" s="111">
        <f>IFERROR(VLOOKUP($B87,MMWR_TRAD_AGG_STATE_PEN[],K$1,0),"ERROR")</f>
        <v>3</v>
      </c>
      <c r="L87" s="112">
        <f>IFERROR(VLOOKUP($B87,MMWR_TRAD_AGG_STATE_PEN[],L$1,0),"ERROR")</f>
        <v>1</v>
      </c>
      <c r="M87" s="114">
        <f t="shared" si="10"/>
        <v>0.33333333333333331</v>
      </c>
      <c r="N87" s="111">
        <f>IFERROR(VLOOKUP($B87,MMWR_TRAD_AGG_STATE_PEN[],N$1,0),"ERROR")</f>
        <v>43</v>
      </c>
      <c r="O87" s="112">
        <f>IFERROR(VLOOKUP($B87,MMWR_TRAD_AGG_STATE_PEN[],O$1,0),"ERROR")</f>
        <v>15</v>
      </c>
      <c r="P87" s="114">
        <f t="shared" si="11"/>
        <v>0.34883720930232559</v>
      </c>
      <c r="Q87" s="115">
        <f>IFERROR(VLOOKUP($B87,MMWR_TRAD_AGG_STATE_PEN[],Q$1,0),"ERROR")</f>
        <v>118</v>
      </c>
      <c r="R87" s="115">
        <f>IFERROR(VLOOKUP($B87,MMWR_TRAD_AGG_STATE_PEN[],R$1,0),"ERROR")</f>
        <v>129</v>
      </c>
      <c r="S87" s="115">
        <f>IFERROR(VLOOKUP($B87,MMWR_APP_STATE_PEN[],S$1,0),"ERROR")</f>
        <v>388</v>
      </c>
      <c r="T87" s="28"/>
    </row>
    <row r="88" spans="1:20" s="123" customFormat="1" x14ac:dyDescent="0.2">
      <c r="A88" s="28"/>
      <c r="B88" s="127" t="s">
        <v>399</v>
      </c>
      <c r="C88" s="109">
        <f>IFERROR(VLOOKUP($B88,MMWR_TRAD_AGG_STATE_PEN[],C$1,0),"ERROR")</f>
        <v>218</v>
      </c>
      <c r="D88" s="110">
        <f>IFERROR(VLOOKUP($B88,MMWR_TRAD_AGG_STATE_PEN[],D$1,0),"ERROR")</f>
        <v>69.564220183499998</v>
      </c>
      <c r="E88" s="111">
        <f>IFERROR(VLOOKUP($B88,MMWR_TRAD_AGG_STATE_PEN[],E$1,0),"ERROR")</f>
        <v>648</v>
      </c>
      <c r="F88" s="112">
        <f>IFERROR(VLOOKUP($B88,MMWR_TRAD_AGG_STATE_PEN[],F$1,0),"ERROR")</f>
        <v>52</v>
      </c>
      <c r="G88" s="113">
        <f t="shared" si="8"/>
        <v>8.0246913580246909E-2</v>
      </c>
      <c r="H88" s="111">
        <f>IFERROR(VLOOKUP($B88,MMWR_TRAD_AGG_STATE_PEN[],H$1,0),"ERROR")</f>
        <v>374</v>
      </c>
      <c r="I88" s="112">
        <f>IFERROR(VLOOKUP($B88,MMWR_TRAD_AGG_STATE_PEN[],I$1,0),"ERROR")</f>
        <v>38</v>
      </c>
      <c r="J88" s="114">
        <f t="shared" si="9"/>
        <v>0.10160427807486631</v>
      </c>
      <c r="K88" s="111">
        <f>IFERROR(VLOOKUP($B88,MMWR_TRAD_AGG_STATE_PEN[],K$1,0),"ERROR")</f>
        <v>2</v>
      </c>
      <c r="L88" s="112">
        <f>IFERROR(VLOOKUP($B88,MMWR_TRAD_AGG_STATE_PEN[],L$1,0),"ERROR")</f>
        <v>2</v>
      </c>
      <c r="M88" s="114">
        <f t="shared" si="10"/>
        <v>1</v>
      </c>
      <c r="N88" s="111">
        <f>IFERROR(VLOOKUP($B88,MMWR_TRAD_AGG_STATE_PEN[],N$1,0),"ERROR")</f>
        <v>29</v>
      </c>
      <c r="O88" s="112">
        <f>IFERROR(VLOOKUP($B88,MMWR_TRAD_AGG_STATE_PEN[],O$1,0),"ERROR")</f>
        <v>13</v>
      </c>
      <c r="P88" s="114">
        <f t="shared" si="11"/>
        <v>0.44827586206896552</v>
      </c>
      <c r="Q88" s="115">
        <f>IFERROR(VLOOKUP($B88,MMWR_TRAD_AGG_STATE_PEN[],Q$1,0),"ERROR")</f>
        <v>55</v>
      </c>
      <c r="R88" s="115">
        <f>IFERROR(VLOOKUP($B88,MMWR_TRAD_AGG_STATE_PEN[],R$1,0),"ERROR")</f>
        <v>65</v>
      </c>
      <c r="S88" s="115">
        <f>IFERROR(VLOOKUP($B88,MMWR_APP_STATE_PEN[],S$1,0),"ERROR")</f>
        <v>150</v>
      </c>
      <c r="T88" s="28"/>
    </row>
    <row r="89" spans="1:20" s="123" customFormat="1" x14ac:dyDescent="0.2">
      <c r="A89" s="28"/>
      <c r="B89" s="127" t="s">
        <v>406</v>
      </c>
      <c r="C89" s="109">
        <f>IFERROR(VLOOKUP($B89,MMWR_TRAD_AGG_STATE_PEN[],C$1,0),"ERROR")</f>
        <v>78</v>
      </c>
      <c r="D89" s="110">
        <f>IFERROR(VLOOKUP($B89,MMWR_TRAD_AGG_STATE_PEN[],D$1,0),"ERROR")</f>
        <v>45.615384615399996</v>
      </c>
      <c r="E89" s="111">
        <f>IFERROR(VLOOKUP($B89,MMWR_TRAD_AGG_STATE_PEN[],E$1,0),"ERROR")</f>
        <v>315</v>
      </c>
      <c r="F89" s="112">
        <f>IFERROR(VLOOKUP($B89,MMWR_TRAD_AGG_STATE_PEN[],F$1,0),"ERROR")</f>
        <v>8</v>
      </c>
      <c r="G89" s="113">
        <f t="shared" si="8"/>
        <v>2.5396825396825397E-2</v>
      </c>
      <c r="H89" s="111">
        <f>IFERROR(VLOOKUP($B89,MMWR_TRAD_AGG_STATE_PEN[],H$1,0),"ERROR")</f>
        <v>131</v>
      </c>
      <c r="I89" s="112">
        <f>IFERROR(VLOOKUP($B89,MMWR_TRAD_AGG_STATE_PEN[],I$1,0),"ERROR")</f>
        <v>3</v>
      </c>
      <c r="J89" s="114">
        <f t="shared" si="9"/>
        <v>2.2900763358778626E-2</v>
      </c>
      <c r="K89" s="111">
        <f>IFERROR(VLOOKUP($B89,MMWR_TRAD_AGG_STATE_PEN[],K$1,0),"ERROR")</f>
        <v>0</v>
      </c>
      <c r="L89" s="112">
        <f>IFERROR(VLOOKUP($B89,MMWR_TRAD_AGG_STATE_PEN[],L$1,0),"ERROR")</f>
        <v>0</v>
      </c>
      <c r="M89" s="114" t="str">
        <f t="shared" si="10"/>
        <v>0%</v>
      </c>
      <c r="N89" s="111">
        <f>IFERROR(VLOOKUP($B89,MMWR_TRAD_AGG_STATE_PEN[],N$1,0),"ERROR")</f>
        <v>7</v>
      </c>
      <c r="O89" s="112">
        <f>IFERROR(VLOOKUP($B89,MMWR_TRAD_AGG_STATE_PEN[],O$1,0),"ERROR")</f>
        <v>1</v>
      </c>
      <c r="P89" s="114">
        <f t="shared" si="11"/>
        <v>0.14285714285714285</v>
      </c>
      <c r="Q89" s="115">
        <f>IFERROR(VLOOKUP($B89,MMWR_TRAD_AGG_STATE_PEN[],Q$1,0),"ERROR")</f>
        <v>187</v>
      </c>
      <c r="R89" s="115">
        <f>IFERROR(VLOOKUP($B89,MMWR_TRAD_AGG_STATE_PEN[],R$1,0),"ERROR")</f>
        <v>26</v>
      </c>
      <c r="S89" s="115">
        <f>IFERROR(VLOOKUP($B89,MMWR_APP_STATE_PEN[],S$1,0),"ERROR")</f>
        <v>26</v>
      </c>
      <c r="T89" s="28"/>
    </row>
    <row r="90" spans="1:20" s="123" customFormat="1" x14ac:dyDescent="0.2">
      <c r="A90" s="28"/>
      <c r="B90" s="127" t="s">
        <v>429</v>
      </c>
      <c r="C90" s="109">
        <f>IFERROR(VLOOKUP($B90,MMWR_TRAD_AGG_STATE_PEN[],C$1,0),"ERROR")</f>
        <v>61</v>
      </c>
      <c r="D90" s="110">
        <f>IFERROR(VLOOKUP($B90,MMWR_TRAD_AGG_STATE_PEN[],D$1,0),"ERROR")</f>
        <v>42.196721311499999</v>
      </c>
      <c r="E90" s="111">
        <f>IFERROR(VLOOKUP($B90,MMWR_TRAD_AGG_STATE_PEN[],E$1,0),"ERROR")</f>
        <v>247</v>
      </c>
      <c r="F90" s="112">
        <f>IFERROR(VLOOKUP($B90,MMWR_TRAD_AGG_STATE_PEN[],F$1,0),"ERROR")</f>
        <v>7</v>
      </c>
      <c r="G90" s="113">
        <f t="shared" si="8"/>
        <v>2.8340080971659919E-2</v>
      </c>
      <c r="H90" s="111">
        <f>IFERROR(VLOOKUP($B90,MMWR_TRAD_AGG_STATE_PEN[],H$1,0),"ERROR")</f>
        <v>116</v>
      </c>
      <c r="I90" s="112">
        <f>IFERROR(VLOOKUP($B90,MMWR_TRAD_AGG_STATE_PEN[],I$1,0),"ERROR")</f>
        <v>4</v>
      </c>
      <c r="J90" s="114">
        <f t="shared" si="9"/>
        <v>3.4482758620689655E-2</v>
      </c>
      <c r="K90" s="111">
        <f>IFERROR(VLOOKUP($B90,MMWR_TRAD_AGG_STATE_PEN[],K$1,0),"ERROR")</f>
        <v>1</v>
      </c>
      <c r="L90" s="112">
        <f>IFERROR(VLOOKUP($B90,MMWR_TRAD_AGG_STATE_PEN[],L$1,0),"ERROR")</f>
        <v>1</v>
      </c>
      <c r="M90" s="114">
        <f t="shared" si="10"/>
        <v>1</v>
      </c>
      <c r="N90" s="111">
        <f>IFERROR(VLOOKUP($B90,MMWR_TRAD_AGG_STATE_PEN[],N$1,0),"ERROR")</f>
        <v>7</v>
      </c>
      <c r="O90" s="112">
        <f>IFERROR(VLOOKUP($B90,MMWR_TRAD_AGG_STATE_PEN[],O$1,0),"ERROR")</f>
        <v>2</v>
      </c>
      <c r="P90" s="114">
        <f t="shared" si="11"/>
        <v>0.2857142857142857</v>
      </c>
      <c r="Q90" s="115">
        <f>IFERROR(VLOOKUP($B90,MMWR_TRAD_AGG_STATE_PEN[],Q$1,0),"ERROR")</f>
        <v>98</v>
      </c>
      <c r="R90" s="115">
        <f>IFERROR(VLOOKUP($B90,MMWR_TRAD_AGG_STATE_PEN[],R$1,0),"ERROR")</f>
        <v>36</v>
      </c>
      <c r="S90" s="115">
        <f>IFERROR(VLOOKUP($B90,MMWR_APP_STATE_PEN[],S$1,0),"ERROR")</f>
        <v>23</v>
      </c>
      <c r="T90" s="28"/>
    </row>
    <row r="91" spans="1:20" s="123" customFormat="1" x14ac:dyDescent="0.2">
      <c r="A91" s="28"/>
      <c r="B91" s="127" t="s">
        <v>402</v>
      </c>
      <c r="C91" s="109">
        <f>IFERROR(VLOOKUP($B91,MMWR_TRAD_AGG_STATE_PEN[],C$1,0),"ERROR")</f>
        <v>394</v>
      </c>
      <c r="D91" s="110">
        <f>IFERROR(VLOOKUP($B91,MMWR_TRAD_AGG_STATE_PEN[],D$1,0),"ERROR")</f>
        <v>55.446700507599999</v>
      </c>
      <c r="E91" s="111">
        <f>IFERROR(VLOOKUP($B91,MMWR_TRAD_AGG_STATE_PEN[],E$1,0),"ERROR")</f>
        <v>1106</v>
      </c>
      <c r="F91" s="112">
        <f>IFERROR(VLOOKUP($B91,MMWR_TRAD_AGG_STATE_PEN[],F$1,0),"ERROR")</f>
        <v>67</v>
      </c>
      <c r="G91" s="113">
        <f t="shared" si="8"/>
        <v>6.0578661844484627E-2</v>
      </c>
      <c r="H91" s="111">
        <f>IFERROR(VLOOKUP($B91,MMWR_TRAD_AGG_STATE_PEN[],H$1,0),"ERROR")</f>
        <v>615</v>
      </c>
      <c r="I91" s="112">
        <f>IFERROR(VLOOKUP($B91,MMWR_TRAD_AGG_STATE_PEN[],I$1,0),"ERROR")</f>
        <v>39</v>
      </c>
      <c r="J91" s="114">
        <f t="shared" si="9"/>
        <v>6.3414634146341464E-2</v>
      </c>
      <c r="K91" s="111">
        <f>IFERROR(VLOOKUP($B91,MMWR_TRAD_AGG_STATE_PEN[],K$1,0),"ERROR")</f>
        <v>2</v>
      </c>
      <c r="L91" s="112">
        <f>IFERROR(VLOOKUP($B91,MMWR_TRAD_AGG_STATE_PEN[],L$1,0),"ERROR")</f>
        <v>2</v>
      </c>
      <c r="M91" s="114">
        <f t="shared" si="10"/>
        <v>1</v>
      </c>
      <c r="N91" s="111">
        <f>IFERROR(VLOOKUP($B91,MMWR_TRAD_AGG_STATE_PEN[],N$1,0),"ERROR")</f>
        <v>43</v>
      </c>
      <c r="O91" s="112">
        <f>IFERROR(VLOOKUP($B91,MMWR_TRAD_AGG_STATE_PEN[],O$1,0),"ERROR")</f>
        <v>8</v>
      </c>
      <c r="P91" s="114">
        <f t="shared" si="11"/>
        <v>0.18604651162790697</v>
      </c>
      <c r="Q91" s="115">
        <f>IFERROR(VLOOKUP($B91,MMWR_TRAD_AGG_STATE_PEN[],Q$1,0),"ERROR")</f>
        <v>124</v>
      </c>
      <c r="R91" s="115">
        <f>IFERROR(VLOOKUP($B91,MMWR_TRAD_AGG_STATE_PEN[],R$1,0),"ERROR")</f>
        <v>72</v>
      </c>
      <c r="S91" s="115">
        <f>IFERROR(VLOOKUP($B91,MMWR_APP_STATE_PEN[],S$1,0),"ERROR")</f>
        <v>204</v>
      </c>
      <c r="T91" s="28"/>
    </row>
    <row r="92" spans="1:20" s="123" customFormat="1" x14ac:dyDescent="0.2">
      <c r="A92" s="28"/>
      <c r="B92" s="127" t="s">
        <v>408</v>
      </c>
      <c r="C92" s="109">
        <f>IFERROR(VLOOKUP($B92,MMWR_TRAD_AGG_STATE_PEN[],C$1,0),"ERROR")</f>
        <v>83</v>
      </c>
      <c r="D92" s="110">
        <f>IFERROR(VLOOKUP($B92,MMWR_TRAD_AGG_STATE_PEN[],D$1,0),"ERROR")</f>
        <v>35.506024096399997</v>
      </c>
      <c r="E92" s="111">
        <f>IFERROR(VLOOKUP($B92,MMWR_TRAD_AGG_STATE_PEN[],E$1,0),"ERROR")</f>
        <v>354</v>
      </c>
      <c r="F92" s="112">
        <f>IFERROR(VLOOKUP($B92,MMWR_TRAD_AGG_STATE_PEN[],F$1,0),"ERROR")</f>
        <v>8</v>
      </c>
      <c r="G92" s="113">
        <f t="shared" si="8"/>
        <v>2.2598870056497175E-2</v>
      </c>
      <c r="H92" s="111">
        <f>IFERROR(VLOOKUP($B92,MMWR_TRAD_AGG_STATE_PEN[],H$1,0),"ERROR")</f>
        <v>133</v>
      </c>
      <c r="I92" s="112">
        <f>IFERROR(VLOOKUP($B92,MMWR_TRAD_AGG_STATE_PEN[],I$1,0),"ERROR")</f>
        <v>3</v>
      </c>
      <c r="J92" s="114">
        <f t="shared" si="9"/>
        <v>2.2556390977443608E-2</v>
      </c>
      <c r="K92" s="111">
        <f>IFERROR(VLOOKUP($B92,MMWR_TRAD_AGG_STATE_PEN[],K$1,0),"ERROR")</f>
        <v>1</v>
      </c>
      <c r="L92" s="112">
        <f>IFERROR(VLOOKUP($B92,MMWR_TRAD_AGG_STATE_PEN[],L$1,0),"ERROR")</f>
        <v>1</v>
      </c>
      <c r="M92" s="114">
        <f t="shared" si="10"/>
        <v>1</v>
      </c>
      <c r="N92" s="111">
        <f>IFERROR(VLOOKUP($B92,MMWR_TRAD_AGG_STATE_PEN[],N$1,0),"ERROR")</f>
        <v>6</v>
      </c>
      <c r="O92" s="112">
        <f>IFERROR(VLOOKUP($B92,MMWR_TRAD_AGG_STATE_PEN[],O$1,0),"ERROR")</f>
        <v>1</v>
      </c>
      <c r="P92" s="114">
        <f t="shared" si="11"/>
        <v>0.16666666666666666</v>
      </c>
      <c r="Q92" s="115">
        <f>IFERROR(VLOOKUP($B92,MMWR_TRAD_AGG_STATE_PEN[],Q$1,0),"ERROR")</f>
        <v>389</v>
      </c>
      <c r="R92" s="115">
        <f>IFERROR(VLOOKUP($B92,MMWR_TRAD_AGG_STATE_PEN[],R$1,0),"ERROR")</f>
        <v>30</v>
      </c>
      <c r="S92" s="115">
        <f>IFERROR(VLOOKUP($B92,MMWR_APP_STATE_PEN[],S$1,0),"ERROR")</f>
        <v>23</v>
      </c>
      <c r="T92" s="28"/>
    </row>
    <row r="93" spans="1:20" s="123" customFormat="1" x14ac:dyDescent="0.2">
      <c r="A93" s="28"/>
      <c r="B93" s="127" t="s">
        <v>404</v>
      </c>
      <c r="C93" s="109">
        <f>IFERROR(VLOOKUP($B93,MMWR_TRAD_AGG_STATE_PEN[],C$1,0),"ERROR")</f>
        <v>275</v>
      </c>
      <c r="D93" s="110">
        <f>IFERROR(VLOOKUP($B93,MMWR_TRAD_AGG_STATE_PEN[],D$1,0),"ERROR")</f>
        <v>57.232727272699996</v>
      </c>
      <c r="E93" s="111">
        <f>IFERROR(VLOOKUP($B93,MMWR_TRAD_AGG_STATE_PEN[],E$1,0),"ERROR")</f>
        <v>676</v>
      </c>
      <c r="F93" s="112">
        <f>IFERROR(VLOOKUP($B93,MMWR_TRAD_AGG_STATE_PEN[],F$1,0),"ERROR")</f>
        <v>42</v>
      </c>
      <c r="G93" s="113">
        <f t="shared" si="8"/>
        <v>6.2130177514792898E-2</v>
      </c>
      <c r="H93" s="111">
        <f>IFERROR(VLOOKUP($B93,MMWR_TRAD_AGG_STATE_PEN[],H$1,0),"ERROR")</f>
        <v>493</v>
      </c>
      <c r="I93" s="112">
        <f>IFERROR(VLOOKUP($B93,MMWR_TRAD_AGG_STATE_PEN[],I$1,0),"ERROR")</f>
        <v>36</v>
      </c>
      <c r="J93" s="114">
        <f t="shared" si="9"/>
        <v>7.3022312373225151E-2</v>
      </c>
      <c r="K93" s="111">
        <f>IFERROR(VLOOKUP($B93,MMWR_TRAD_AGG_STATE_PEN[],K$1,0),"ERROR")</f>
        <v>1</v>
      </c>
      <c r="L93" s="112">
        <f>IFERROR(VLOOKUP($B93,MMWR_TRAD_AGG_STATE_PEN[],L$1,0),"ERROR")</f>
        <v>1</v>
      </c>
      <c r="M93" s="114">
        <f t="shared" si="10"/>
        <v>1</v>
      </c>
      <c r="N93" s="111">
        <f>IFERROR(VLOOKUP($B93,MMWR_TRAD_AGG_STATE_PEN[],N$1,0),"ERROR")</f>
        <v>26</v>
      </c>
      <c r="O93" s="112">
        <f>IFERROR(VLOOKUP($B93,MMWR_TRAD_AGG_STATE_PEN[],O$1,0),"ERROR")</f>
        <v>10</v>
      </c>
      <c r="P93" s="114">
        <f t="shared" si="11"/>
        <v>0.38461538461538464</v>
      </c>
      <c r="Q93" s="115">
        <f>IFERROR(VLOOKUP($B93,MMWR_TRAD_AGG_STATE_PEN[],Q$1,0),"ERROR")</f>
        <v>117</v>
      </c>
      <c r="R93" s="115">
        <f>IFERROR(VLOOKUP($B93,MMWR_TRAD_AGG_STATE_PEN[],R$1,0),"ERROR")</f>
        <v>47</v>
      </c>
      <c r="S93" s="115">
        <f>IFERROR(VLOOKUP($B93,MMWR_APP_STATE_PEN[],S$1,0),"ERROR")</f>
        <v>217</v>
      </c>
      <c r="T93" s="28"/>
    </row>
    <row r="94" spans="1:20" s="123" customFormat="1" x14ac:dyDescent="0.2">
      <c r="A94" s="28"/>
      <c r="B94" s="127" t="s">
        <v>407</v>
      </c>
      <c r="C94" s="109">
        <f>IFERROR(VLOOKUP($B94,MMWR_TRAD_AGG_STATE_PEN[],C$1,0),"ERROR")</f>
        <v>27</v>
      </c>
      <c r="D94" s="110">
        <f>IFERROR(VLOOKUP($B94,MMWR_TRAD_AGG_STATE_PEN[],D$1,0),"ERROR")</f>
        <v>80.925925925900003</v>
      </c>
      <c r="E94" s="111">
        <f>IFERROR(VLOOKUP($B94,MMWR_TRAD_AGG_STATE_PEN[],E$1,0),"ERROR")</f>
        <v>87</v>
      </c>
      <c r="F94" s="112">
        <f>IFERROR(VLOOKUP($B94,MMWR_TRAD_AGG_STATE_PEN[],F$1,0),"ERROR")</f>
        <v>4</v>
      </c>
      <c r="G94" s="113">
        <f t="shared" si="8"/>
        <v>4.5977011494252873E-2</v>
      </c>
      <c r="H94" s="111">
        <f>IFERROR(VLOOKUP($B94,MMWR_TRAD_AGG_STATE_PEN[],H$1,0),"ERROR")</f>
        <v>56</v>
      </c>
      <c r="I94" s="112">
        <f>IFERROR(VLOOKUP($B94,MMWR_TRAD_AGG_STATE_PEN[],I$1,0),"ERROR")</f>
        <v>5</v>
      </c>
      <c r="J94" s="114">
        <f t="shared" si="9"/>
        <v>8.9285714285714288E-2</v>
      </c>
      <c r="K94" s="111">
        <f>IFERROR(VLOOKUP($B94,MMWR_TRAD_AGG_STATE_PEN[],K$1,0),"ERROR")</f>
        <v>0</v>
      </c>
      <c r="L94" s="112">
        <f>IFERROR(VLOOKUP($B94,MMWR_TRAD_AGG_STATE_PEN[],L$1,0),"ERROR")</f>
        <v>0</v>
      </c>
      <c r="M94" s="114" t="str">
        <f t="shared" si="10"/>
        <v>0%</v>
      </c>
      <c r="N94" s="111">
        <f>IFERROR(VLOOKUP($B94,MMWR_TRAD_AGG_STATE_PEN[],N$1,0),"ERROR")</f>
        <v>4</v>
      </c>
      <c r="O94" s="112">
        <f>IFERROR(VLOOKUP($B94,MMWR_TRAD_AGG_STATE_PEN[],O$1,0),"ERROR")</f>
        <v>2</v>
      </c>
      <c r="P94" s="114">
        <f t="shared" si="11"/>
        <v>0.5</v>
      </c>
      <c r="Q94" s="115">
        <f>IFERROR(VLOOKUP($B94,MMWR_TRAD_AGG_STATE_PEN[],Q$1,0),"ERROR")</f>
        <v>134</v>
      </c>
      <c r="R94" s="115">
        <f>IFERROR(VLOOKUP($B94,MMWR_TRAD_AGG_STATE_PEN[],R$1,0),"ERROR")</f>
        <v>8</v>
      </c>
      <c r="S94" s="115">
        <f>IFERROR(VLOOKUP($B94,MMWR_APP_STATE_PEN[],S$1,0),"ERROR")</f>
        <v>20</v>
      </c>
      <c r="T94" s="28"/>
    </row>
    <row r="95" spans="1:20" s="123" customFormat="1" x14ac:dyDescent="0.2">
      <c r="A95" s="28"/>
      <c r="B95" s="127" t="s">
        <v>426</v>
      </c>
      <c r="C95" s="109">
        <f>IFERROR(VLOOKUP($B95,MMWR_TRAD_AGG_STATE_PEN[],C$1,0),"ERROR")</f>
        <v>10</v>
      </c>
      <c r="D95" s="110">
        <f>IFERROR(VLOOKUP($B95,MMWR_TRAD_AGG_STATE_PEN[],D$1,0),"ERROR")</f>
        <v>41.5</v>
      </c>
      <c r="E95" s="111">
        <f>IFERROR(VLOOKUP($B95,MMWR_TRAD_AGG_STATE_PEN[],E$1,0),"ERROR")</f>
        <v>30</v>
      </c>
      <c r="F95" s="112">
        <f>IFERROR(VLOOKUP($B95,MMWR_TRAD_AGG_STATE_PEN[],F$1,0),"ERROR")</f>
        <v>1</v>
      </c>
      <c r="G95" s="113">
        <f t="shared" si="8"/>
        <v>3.3333333333333333E-2</v>
      </c>
      <c r="H95" s="111">
        <f>IFERROR(VLOOKUP($B95,MMWR_TRAD_AGG_STATE_PEN[],H$1,0),"ERROR")</f>
        <v>18</v>
      </c>
      <c r="I95" s="112">
        <f>IFERROR(VLOOKUP($B95,MMWR_TRAD_AGG_STATE_PEN[],I$1,0),"ERROR")</f>
        <v>1</v>
      </c>
      <c r="J95" s="114">
        <f t="shared" si="9"/>
        <v>5.5555555555555552E-2</v>
      </c>
      <c r="K95" s="111">
        <f>IFERROR(VLOOKUP($B95,MMWR_TRAD_AGG_STATE_PEN[],K$1,0),"ERROR")</f>
        <v>0</v>
      </c>
      <c r="L95" s="112">
        <f>IFERROR(VLOOKUP($B95,MMWR_TRAD_AGG_STATE_PEN[],L$1,0),"ERROR")</f>
        <v>0</v>
      </c>
      <c r="M95" s="114" t="str">
        <f t="shared" si="10"/>
        <v>0%</v>
      </c>
      <c r="N95" s="111">
        <f>IFERROR(VLOOKUP($B95,MMWR_TRAD_AGG_STATE_PEN[],N$1,0),"ERROR")</f>
        <v>0</v>
      </c>
      <c r="O95" s="112">
        <f>IFERROR(VLOOKUP($B95,MMWR_TRAD_AGG_STATE_PEN[],O$1,0),"ERROR")</f>
        <v>0</v>
      </c>
      <c r="P95" s="114" t="str">
        <f t="shared" si="11"/>
        <v>0%</v>
      </c>
      <c r="Q95" s="115">
        <f>IFERROR(VLOOKUP($B95,MMWR_TRAD_AGG_STATE_PEN[],Q$1,0),"ERROR")</f>
        <v>35</v>
      </c>
      <c r="R95" s="115">
        <f>IFERROR(VLOOKUP($B95,MMWR_TRAD_AGG_STATE_PEN[],R$1,0),"ERROR")</f>
        <v>8</v>
      </c>
      <c r="S95" s="115">
        <f>IFERROR(VLOOKUP($B95,MMWR_APP_STATE_PEN[],S$1,0),"ERROR")</f>
        <v>3</v>
      </c>
      <c r="T95" s="28"/>
    </row>
    <row r="96" spans="1:20" s="123" customFormat="1" x14ac:dyDescent="0.2">
      <c r="A96" s="28"/>
      <c r="B96" s="127" t="s">
        <v>398</v>
      </c>
      <c r="C96" s="109">
        <f>IFERROR(VLOOKUP($B96,MMWR_TRAD_AGG_STATE_PEN[],C$1,0),"ERROR")</f>
        <v>441</v>
      </c>
      <c r="D96" s="110">
        <f>IFERROR(VLOOKUP($B96,MMWR_TRAD_AGG_STATE_PEN[],D$1,0),"ERROR")</f>
        <v>77.242630385499993</v>
      </c>
      <c r="E96" s="111">
        <f>IFERROR(VLOOKUP($B96,MMWR_TRAD_AGG_STATE_PEN[],E$1,0),"ERROR")</f>
        <v>1293</v>
      </c>
      <c r="F96" s="112">
        <f>IFERROR(VLOOKUP($B96,MMWR_TRAD_AGG_STATE_PEN[],F$1,0),"ERROR")</f>
        <v>90</v>
      </c>
      <c r="G96" s="113">
        <f t="shared" si="8"/>
        <v>6.9605568445475635E-2</v>
      </c>
      <c r="H96" s="111">
        <f>IFERROR(VLOOKUP($B96,MMWR_TRAD_AGG_STATE_PEN[],H$1,0),"ERROR")</f>
        <v>779</v>
      </c>
      <c r="I96" s="112">
        <f>IFERROR(VLOOKUP($B96,MMWR_TRAD_AGG_STATE_PEN[],I$1,0),"ERROR")</f>
        <v>72</v>
      </c>
      <c r="J96" s="114">
        <f t="shared" si="9"/>
        <v>9.2426187419768935E-2</v>
      </c>
      <c r="K96" s="111">
        <f>IFERROR(VLOOKUP($B96,MMWR_TRAD_AGG_STATE_PEN[],K$1,0),"ERROR")</f>
        <v>18</v>
      </c>
      <c r="L96" s="112">
        <f>IFERROR(VLOOKUP($B96,MMWR_TRAD_AGG_STATE_PEN[],L$1,0),"ERROR")</f>
        <v>8</v>
      </c>
      <c r="M96" s="114">
        <f t="shared" si="10"/>
        <v>0.44444444444444442</v>
      </c>
      <c r="N96" s="111">
        <f>IFERROR(VLOOKUP($B96,MMWR_TRAD_AGG_STATE_PEN[],N$1,0),"ERROR")</f>
        <v>49</v>
      </c>
      <c r="O96" s="112">
        <f>IFERROR(VLOOKUP($B96,MMWR_TRAD_AGG_STATE_PEN[],O$1,0),"ERROR")</f>
        <v>12</v>
      </c>
      <c r="P96" s="114">
        <f t="shared" si="11"/>
        <v>0.24489795918367346</v>
      </c>
      <c r="Q96" s="115">
        <f>IFERROR(VLOOKUP($B96,MMWR_TRAD_AGG_STATE_PEN[],Q$1,0),"ERROR")</f>
        <v>131</v>
      </c>
      <c r="R96" s="115">
        <f>IFERROR(VLOOKUP($B96,MMWR_TRAD_AGG_STATE_PEN[],R$1,0),"ERROR")</f>
        <v>92</v>
      </c>
      <c r="S96" s="115">
        <f>IFERROR(VLOOKUP($B96,MMWR_APP_STATE_PEN[],S$1,0),"ERROR")</f>
        <v>214</v>
      </c>
      <c r="T96" s="28"/>
    </row>
    <row r="97" spans="1:20" s="123" customFormat="1" x14ac:dyDescent="0.2">
      <c r="A97" s="28"/>
      <c r="B97" s="127" t="s">
        <v>427</v>
      </c>
      <c r="C97" s="109">
        <f>IFERROR(VLOOKUP($B97,MMWR_TRAD_AGG_STATE_PEN[],C$1,0),"ERROR")</f>
        <v>14</v>
      </c>
      <c r="D97" s="110">
        <f>IFERROR(VLOOKUP($B97,MMWR_TRAD_AGG_STATE_PEN[],D$1,0),"ERROR")</f>
        <v>44.142857142899999</v>
      </c>
      <c r="E97" s="111">
        <f>IFERROR(VLOOKUP($B97,MMWR_TRAD_AGG_STATE_PEN[],E$1,0),"ERROR")</f>
        <v>45</v>
      </c>
      <c r="F97" s="112">
        <f>IFERROR(VLOOKUP($B97,MMWR_TRAD_AGG_STATE_PEN[],F$1,0),"ERROR")</f>
        <v>3</v>
      </c>
      <c r="G97" s="113">
        <f t="shared" si="8"/>
        <v>6.6666666666666666E-2</v>
      </c>
      <c r="H97" s="111">
        <f>IFERROR(VLOOKUP($B97,MMWR_TRAD_AGG_STATE_PEN[],H$1,0),"ERROR")</f>
        <v>30</v>
      </c>
      <c r="I97" s="112">
        <f>IFERROR(VLOOKUP($B97,MMWR_TRAD_AGG_STATE_PEN[],I$1,0),"ERROR")</f>
        <v>0</v>
      </c>
      <c r="J97" s="114">
        <f t="shared" si="9"/>
        <v>0</v>
      </c>
      <c r="K97" s="111">
        <f>IFERROR(VLOOKUP($B97,MMWR_TRAD_AGG_STATE_PEN[],K$1,0),"ERROR")</f>
        <v>0</v>
      </c>
      <c r="L97" s="112">
        <f>IFERROR(VLOOKUP($B97,MMWR_TRAD_AGG_STATE_PEN[],L$1,0),"ERROR")</f>
        <v>0</v>
      </c>
      <c r="M97" s="114" t="str">
        <f t="shared" si="10"/>
        <v>0%</v>
      </c>
      <c r="N97" s="111">
        <f>IFERROR(VLOOKUP($B97,MMWR_TRAD_AGG_STATE_PEN[],N$1,0),"ERROR")</f>
        <v>0</v>
      </c>
      <c r="O97" s="112">
        <f>IFERROR(VLOOKUP($B97,MMWR_TRAD_AGG_STATE_PEN[],O$1,0),"ERROR")</f>
        <v>0</v>
      </c>
      <c r="P97" s="114" t="str">
        <f t="shared" si="11"/>
        <v>0%</v>
      </c>
      <c r="Q97" s="115">
        <f>IFERROR(VLOOKUP($B97,MMWR_TRAD_AGG_STATE_PEN[],Q$1,0),"ERROR")</f>
        <v>72</v>
      </c>
      <c r="R97" s="115">
        <f>IFERROR(VLOOKUP($B97,MMWR_TRAD_AGG_STATE_PEN[],R$1,0),"ERROR")</f>
        <v>8</v>
      </c>
      <c r="S97" s="115">
        <f>IFERROR(VLOOKUP($B97,MMWR_APP_STATE_PEN[],S$1,0),"ERROR")</f>
        <v>7</v>
      </c>
      <c r="T97" s="28"/>
    </row>
    <row r="98" spans="1:20" s="123" customFormat="1" x14ac:dyDescent="0.2">
      <c r="A98" s="28"/>
      <c r="B98" s="127" t="s">
        <v>403</v>
      </c>
      <c r="C98" s="109">
        <f>IFERROR(VLOOKUP($B98,MMWR_TRAD_AGG_STATE_PEN[],C$1,0),"ERROR")</f>
        <v>175</v>
      </c>
      <c r="D98" s="110">
        <f>IFERROR(VLOOKUP($B98,MMWR_TRAD_AGG_STATE_PEN[],D$1,0),"ERROR")</f>
        <v>53.291428571399997</v>
      </c>
      <c r="E98" s="111">
        <f>IFERROR(VLOOKUP($B98,MMWR_TRAD_AGG_STATE_PEN[],E$1,0),"ERROR")</f>
        <v>389</v>
      </c>
      <c r="F98" s="112">
        <f>IFERROR(VLOOKUP($B98,MMWR_TRAD_AGG_STATE_PEN[],F$1,0),"ERROR")</f>
        <v>16</v>
      </c>
      <c r="G98" s="113">
        <f t="shared" si="8"/>
        <v>4.1131105398457581E-2</v>
      </c>
      <c r="H98" s="111">
        <f>IFERROR(VLOOKUP($B98,MMWR_TRAD_AGG_STATE_PEN[],H$1,0),"ERROR")</f>
        <v>316</v>
      </c>
      <c r="I98" s="112">
        <f>IFERROR(VLOOKUP($B98,MMWR_TRAD_AGG_STATE_PEN[],I$1,0),"ERROR")</f>
        <v>15</v>
      </c>
      <c r="J98" s="114">
        <f t="shared" si="9"/>
        <v>4.746835443037975E-2</v>
      </c>
      <c r="K98" s="111">
        <f>IFERROR(VLOOKUP($B98,MMWR_TRAD_AGG_STATE_PEN[],K$1,0),"ERROR")</f>
        <v>1</v>
      </c>
      <c r="L98" s="112">
        <f>IFERROR(VLOOKUP($B98,MMWR_TRAD_AGG_STATE_PEN[],L$1,0),"ERROR")</f>
        <v>0</v>
      </c>
      <c r="M98" s="114">
        <f t="shared" si="10"/>
        <v>0</v>
      </c>
      <c r="N98" s="111">
        <f>IFERROR(VLOOKUP($B98,MMWR_TRAD_AGG_STATE_PEN[],N$1,0),"ERROR")</f>
        <v>25</v>
      </c>
      <c r="O98" s="112">
        <f>IFERROR(VLOOKUP($B98,MMWR_TRAD_AGG_STATE_PEN[],O$1,0),"ERROR")</f>
        <v>4</v>
      </c>
      <c r="P98" s="114">
        <f t="shared" si="11"/>
        <v>0.16</v>
      </c>
      <c r="Q98" s="115">
        <f>IFERROR(VLOOKUP($B98,MMWR_TRAD_AGG_STATE_PEN[],Q$1,0),"ERROR")</f>
        <v>55</v>
      </c>
      <c r="R98" s="115">
        <f>IFERROR(VLOOKUP($B98,MMWR_TRAD_AGG_STATE_PEN[],R$1,0),"ERROR")</f>
        <v>24</v>
      </c>
      <c r="S98" s="115">
        <f>IFERROR(VLOOKUP($B98,MMWR_APP_STATE_PEN[],S$1,0),"ERROR")</f>
        <v>89</v>
      </c>
      <c r="T98" s="28"/>
    </row>
    <row r="99" spans="1:20" s="123" customFormat="1" x14ac:dyDescent="0.2">
      <c r="A99" s="28"/>
      <c r="B99" s="126" t="s">
        <v>392</v>
      </c>
      <c r="C99" s="102">
        <f>IFERROR(VLOOKUP($B99,MMWR_TRAD_AGG_ST_DISTRICT_PEN[],C$1,0),"ERROR")</f>
        <v>1168</v>
      </c>
      <c r="D99" s="103">
        <f>IFERROR(VLOOKUP($B99,MMWR_TRAD_AGG_ST_DISTRICT_PEN[],D$1,0),"ERROR")</f>
        <v>54.598458904099999</v>
      </c>
      <c r="E99" s="102">
        <f>IFERROR(VLOOKUP($B99,MMWR_TRAD_AGG_ST_DISTRICT_PEN[],E$1,0),"ERROR")</f>
        <v>3183</v>
      </c>
      <c r="F99" s="102">
        <f>IFERROR(VLOOKUP($B99,MMWR_TRAD_AGG_ST_DISTRICT_PEN[],F$1,0),"ERROR")</f>
        <v>104</v>
      </c>
      <c r="G99" s="104">
        <f t="shared" si="8"/>
        <v>3.2673578385171223E-2</v>
      </c>
      <c r="H99" s="102">
        <f>IFERROR(VLOOKUP($B99,MMWR_TRAD_AGG_ST_DISTRICT_PEN[],H$1,0),"ERROR")</f>
        <v>2097</v>
      </c>
      <c r="I99" s="102">
        <f>IFERROR(VLOOKUP($B99,MMWR_TRAD_AGG_ST_DISTRICT_PEN[],I$1,0),"ERROR")</f>
        <v>155</v>
      </c>
      <c r="J99" s="104">
        <f t="shared" si="9"/>
        <v>7.391511683357177E-2</v>
      </c>
      <c r="K99" s="102">
        <f>IFERROR(VLOOKUP($B99,MMWR_TRAD_AGG_ST_DISTRICT_PEN[],K$1,0),"ERROR")</f>
        <v>21</v>
      </c>
      <c r="L99" s="102">
        <f>IFERROR(VLOOKUP($B99,MMWR_TRAD_AGG_ST_DISTRICT_PEN[],L$1,0),"ERROR")</f>
        <v>21</v>
      </c>
      <c r="M99" s="104">
        <f t="shared" si="10"/>
        <v>1</v>
      </c>
      <c r="N99" s="102">
        <f>IFERROR(VLOOKUP($B99,MMWR_TRAD_AGG_ST_DISTRICT_PEN[],N$1,0),"ERROR")</f>
        <v>165</v>
      </c>
      <c r="O99" s="102">
        <f>IFERROR(VLOOKUP($B99,MMWR_TRAD_AGG_ST_DISTRICT_PEN[],O$1,0),"ERROR")</f>
        <v>65</v>
      </c>
      <c r="P99" s="104">
        <f t="shared" si="11"/>
        <v>0.39393939393939392</v>
      </c>
      <c r="Q99" s="102">
        <f>IFERROR(VLOOKUP($B99,MMWR_TRAD_AGG_ST_DISTRICT_PEN[],Q$1,0),"ERROR")</f>
        <v>1803</v>
      </c>
      <c r="R99" s="106">
        <f>IFERROR(VLOOKUP($B99,MMWR_TRAD_AGG_ST_DISTRICT_PEN[],R$1,0),"ERROR")</f>
        <v>507</v>
      </c>
      <c r="S99" s="106">
        <f>IFERROR(VLOOKUP($B99,MMWR_APP_STATE_PEN[],S$1,0),"ERROR")</f>
        <v>1374</v>
      </c>
      <c r="T99" s="28"/>
    </row>
    <row r="100" spans="1:20" s="123" customFormat="1" x14ac:dyDescent="0.2">
      <c r="A100" s="28"/>
      <c r="B100" s="127" t="s">
        <v>418</v>
      </c>
      <c r="C100" s="109">
        <f>IFERROR(VLOOKUP($B100,MMWR_TRAD_AGG_STATE_PEN[],C$1,0),"ERROR")</f>
        <v>146</v>
      </c>
      <c r="D100" s="110">
        <f>IFERROR(VLOOKUP($B100,MMWR_TRAD_AGG_STATE_PEN[],D$1,0),"ERROR")</f>
        <v>66.321917808199998</v>
      </c>
      <c r="E100" s="111">
        <f>IFERROR(VLOOKUP($B100,MMWR_TRAD_AGG_STATE_PEN[],E$1,0),"ERROR")</f>
        <v>260</v>
      </c>
      <c r="F100" s="112">
        <f>IFERROR(VLOOKUP($B100,MMWR_TRAD_AGG_STATE_PEN[],F$1,0),"ERROR")</f>
        <v>18</v>
      </c>
      <c r="G100" s="113">
        <f t="shared" si="8"/>
        <v>6.9230769230769235E-2</v>
      </c>
      <c r="H100" s="111">
        <f>IFERROR(VLOOKUP($B100,MMWR_TRAD_AGG_STATE_PEN[],H$1,0),"ERROR")</f>
        <v>239</v>
      </c>
      <c r="I100" s="112">
        <f>IFERROR(VLOOKUP($B100,MMWR_TRAD_AGG_STATE_PEN[],I$1,0),"ERROR")</f>
        <v>25</v>
      </c>
      <c r="J100" s="114">
        <f t="shared" si="9"/>
        <v>0.10460251046025104</v>
      </c>
      <c r="K100" s="111">
        <f>IFERROR(VLOOKUP($B100,MMWR_TRAD_AGG_STATE_PEN[],K$1,0),"ERROR")</f>
        <v>4</v>
      </c>
      <c r="L100" s="112">
        <f>IFERROR(VLOOKUP($B100,MMWR_TRAD_AGG_STATE_PEN[],L$1,0),"ERROR")</f>
        <v>4</v>
      </c>
      <c r="M100" s="114">
        <f t="shared" si="10"/>
        <v>1</v>
      </c>
      <c r="N100" s="111">
        <f>IFERROR(VLOOKUP($B100,MMWR_TRAD_AGG_STATE_PEN[],N$1,0),"ERROR")</f>
        <v>18</v>
      </c>
      <c r="O100" s="112">
        <f>IFERROR(VLOOKUP($B100,MMWR_TRAD_AGG_STATE_PEN[],O$1,0),"ERROR")</f>
        <v>5</v>
      </c>
      <c r="P100" s="114">
        <f t="shared" si="11"/>
        <v>0.27777777777777779</v>
      </c>
      <c r="Q100" s="115">
        <f>IFERROR(VLOOKUP($B100,MMWR_TRAD_AGG_STATE_PEN[],Q$1,0),"ERROR")</f>
        <v>71</v>
      </c>
      <c r="R100" s="115">
        <f>IFERROR(VLOOKUP($B100,MMWR_TRAD_AGG_STATE_PEN[],R$1,0),"ERROR")</f>
        <v>30</v>
      </c>
      <c r="S100" s="115">
        <f>IFERROR(VLOOKUP($B100,MMWR_APP_STATE_PEN[],S$1,0),"ERROR")</f>
        <v>154</v>
      </c>
      <c r="T100" s="28"/>
    </row>
    <row r="101" spans="1:20" s="123" customFormat="1" x14ac:dyDescent="0.2">
      <c r="A101" s="28"/>
      <c r="B101" s="127" t="s">
        <v>410</v>
      </c>
      <c r="C101" s="109">
        <f>IFERROR(VLOOKUP($B101,MMWR_TRAD_AGG_STATE_PEN[],C$1,0),"ERROR")</f>
        <v>68</v>
      </c>
      <c r="D101" s="110">
        <f>IFERROR(VLOOKUP($B101,MMWR_TRAD_AGG_STATE_PEN[],D$1,0),"ERROR")</f>
        <v>47.794117647100002</v>
      </c>
      <c r="E101" s="111">
        <f>IFERROR(VLOOKUP($B101,MMWR_TRAD_AGG_STATE_PEN[],E$1,0),"ERROR")</f>
        <v>236</v>
      </c>
      <c r="F101" s="112">
        <f>IFERROR(VLOOKUP($B101,MMWR_TRAD_AGG_STATE_PEN[],F$1,0),"ERROR")</f>
        <v>7</v>
      </c>
      <c r="G101" s="113">
        <f t="shared" ref="G101:G127" si="12">IFERROR(F101/E101,"0%")</f>
        <v>2.9661016949152543E-2</v>
      </c>
      <c r="H101" s="111">
        <f>IFERROR(VLOOKUP($B101,MMWR_TRAD_AGG_STATE_PEN[],H$1,0),"ERROR")</f>
        <v>132</v>
      </c>
      <c r="I101" s="112">
        <f>IFERROR(VLOOKUP($B101,MMWR_TRAD_AGG_STATE_PEN[],I$1,0),"ERROR")</f>
        <v>12</v>
      </c>
      <c r="J101" s="114">
        <f t="shared" ref="J101:J127" si="13">IFERROR(I101/H101,"0%")</f>
        <v>9.0909090909090912E-2</v>
      </c>
      <c r="K101" s="111">
        <f>IFERROR(VLOOKUP($B101,MMWR_TRAD_AGG_STATE_PEN[],K$1,0),"ERROR")</f>
        <v>3</v>
      </c>
      <c r="L101" s="112">
        <f>IFERROR(VLOOKUP($B101,MMWR_TRAD_AGG_STATE_PEN[],L$1,0),"ERROR")</f>
        <v>3</v>
      </c>
      <c r="M101" s="114">
        <f t="shared" ref="M101:M127" si="14">IFERROR(L101/K101,"0%")</f>
        <v>1</v>
      </c>
      <c r="N101" s="111">
        <f>IFERROR(VLOOKUP($B101,MMWR_TRAD_AGG_STATE_PEN[],N$1,0),"ERROR")</f>
        <v>19</v>
      </c>
      <c r="O101" s="112">
        <f>IFERROR(VLOOKUP($B101,MMWR_TRAD_AGG_STATE_PEN[],O$1,0),"ERROR")</f>
        <v>11</v>
      </c>
      <c r="P101" s="114">
        <f t="shared" ref="P101:P127" si="15">IFERROR(O101/N101,"0%")</f>
        <v>0.57894736842105265</v>
      </c>
      <c r="Q101" s="115">
        <f>IFERROR(VLOOKUP($B101,MMWR_TRAD_AGG_STATE_PEN[],Q$1,0),"ERROR")</f>
        <v>194</v>
      </c>
      <c r="R101" s="115">
        <f>IFERROR(VLOOKUP($B101,MMWR_TRAD_AGG_STATE_PEN[],R$1,0),"ERROR")</f>
        <v>35</v>
      </c>
      <c r="S101" s="115">
        <f>IFERROR(VLOOKUP($B101,MMWR_APP_STATE_PEN[],S$1,0),"ERROR")</f>
        <v>98</v>
      </c>
      <c r="T101" s="28"/>
    </row>
    <row r="102" spans="1:20" s="123" customFormat="1" x14ac:dyDescent="0.2">
      <c r="A102" s="28"/>
      <c r="B102" s="127" t="s">
        <v>394</v>
      </c>
      <c r="C102" s="109">
        <f>IFERROR(VLOOKUP($B102,MMWR_TRAD_AGG_STATE_PEN[],C$1,0),"ERROR")</f>
        <v>258</v>
      </c>
      <c r="D102" s="110">
        <f>IFERROR(VLOOKUP($B102,MMWR_TRAD_AGG_STATE_PEN[],D$1,0),"ERROR")</f>
        <v>63.569767441899998</v>
      </c>
      <c r="E102" s="111">
        <f>IFERROR(VLOOKUP($B102,MMWR_TRAD_AGG_STATE_PEN[],E$1,0),"ERROR")</f>
        <v>451</v>
      </c>
      <c r="F102" s="112">
        <f>IFERROR(VLOOKUP($B102,MMWR_TRAD_AGG_STATE_PEN[],F$1,0),"ERROR")</f>
        <v>22</v>
      </c>
      <c r="G102" s="113">
        <f t="shared" si="12"/>
        <v>4.878048780487805E-2</v>
      </c>
      <c r="H102" s="111">
        <f>IFERROR(VLOOKUP($B102,MMWR_TRAD_AGG_STATE_PEN[],H$1,0),"ERROR")</f>
        <v>399</v>
      </c>
      <c r="I102" s="112">
        <f>IFERROR(VLOOKUP($B102,MMWR_TRAD_AGG_STATE_PEN[],I$1,0),"ERROR")</f>
        <v>23</v>
      </c>
      <c r="J102" s="114">
        <f t="shared" si="13"/>
        <v>5.764411027568922E-2</v>
      </c>
      <c r="K102" s="111">
        <f>IFERROR(VLOOKUP($B102,MMWR_TRAD_AGG_STATE_PEN[],K$1,0),"ERROR")</f>
        <v>1</v>
      </c>
      <c r="L102" s="112">
        <f>IFERROR(VLOOKUP($B102,MMWR_TRAD_AGG_STATE_PEN[],L$1,0),"ERROR")</f>
        <v>1</v>
      </c>
      <c r="M102" s="114">
        <f t="shared" si="14"/>
        <v>1</v>
      </c>
      <c r="N102" s="111">
        <f>IFERROR(VLOOKUP($B102,MMWR_TRAD_AGG_STATE_PEN[],N$1,0),"ERROR")</f>
        <v>24</v>
      </c>
      <c r="O102" s="112">
        <f>IFERROR(VLOOKUP($B102,MMWR_TRAD_AGG_STATE_PEN[],O$1,0),"ERROR")</f>
        <v>3</v>
      </c>
      <c r="P102" s="114">
        <f t="shared" si="15"/>
        <v>0.125</v>
      </c>
      <c r="Q102" s="115">
        <f>IFERROR(VLOOKUP($B102,MMWR_TRAD_AGG_STATE_PEN[],Q$1,0),"ERROR")</f>
        <v>79</v>
      </c>
      <c r="R102" s="115">
        <f>IFERROR(VLOOKUP($B102,MMWR_TRAD_AGG_STATE_PEN[],R$1,0),"ERROR")</f>
        <v>71</v>
      </c>
      <c r="S102" s="115">
        <f>IFERROR(VLOOKUP($B102,MMWR_APP_STATE_PEN[],S$1,0),"ERROR")</f>
        <v>187</v>
      </c>
      <c r="T102" s="28"/>
    </row>
    <row r="103" spans="1:20" s="123" customFormat="1" x14ac:dyDescent="0.2">
      <c r="A103" s="28"/>
      <c r="B103" s="127" t="s">
        <v>396</v>
      </c>
      <c r="C103" s="109">
        <f>IFERROR(VLOOKUP($B103,MMWR_TRAD_AGG_STATE_PEN[],C$1,0),"ERROR")</f>
        <v>145</v>
      </c>
      <c r="D103" s="110">
        <f>IFERROR(VLOOKUP($B103,MMWR_TRAD_AGG_STATE_PEN[],D$1,0),"ERROR")</f>
        <v>69.365517241399999</v>
      </c>
      <c r="E103" s="111">
        <f>IFERROR(VLOOKUP($B103,MMWR_TRAD_AGG_STATE_PEN[],E$1,0),"ERROR")</f>
        <v>278</v>
      </c>
      <c r="F103" s="112">
        <f>IFERROR(VLOOKUP($B103,MMWR_TRAD_AGG_STATE_PEN[],F$1,0),"ERROR")</f>
        <v>10</v>
      </c>
      <c r="G103" s="113">
        <f t="shared" si="12"/>
        <v>3.5971223021582732E-2</v>
      </c>
      <c r="H103" s="111">
        <f>IFERROR(VLOOKUP($B103,MMWR_TRAD_AGG_STATE_PEN[],H$1,0),"ERROR")</f>
        <v>241</v>
      </c>
      <c r="I103" s="112">
        <f>IFERROR(VLOOKUP($B103,MMWR_TRAD_AGG_STATE_PEN[],I$1,0),"ERROR")</f>
        <v>25</v>
      </c>
      <c r="J103" s="114">
        <f t="shared" si="13"/>
        <v>0.1037344398340249</v>
      </c>
      <c r="K103" s="111">
        <f>IFERROR(VLOOKUP($B103,MMWR_TRAD_AGG_STATE_PEN[],K$1,0),"ERROR")</f>
        <v>3</v>
      </c>
      <c r="L103" s="112">
        <f>IFERROR(VLOOKUP($B103,MMWR_TRAD_AGG_STATE_PEN[],L$1,0),"ERROR")</f>
        <v>3</v>
      </c>
      <c r="M103" s="114">
        <f t="shared" si="14"/>
        <v>1</v>
      </c>
      <c r="N103" s="111">
        <f>IFERROR(VLOOKUP($B103,MMWR_TRAD_AGG_STATE_PEN[],N$1,0),"ERROR")</f>
        <v>33</v>
      </c>
      <c r="O103" s="112">
        <f>IFERROR(VLOOKUP($B103,MMWR_TRAD_AGG_STATE_PEN[],O$1,0),"ERROR")</f>
        <v>4</v>
      </c>
      <c r="P103" s="114">
        <f t="shared" si="15"/>
        <v>0.12121212121212122</v>
      </c>
      <c r="Q103" s="115">
        <f>IFERROR(VLOOKUP($B103,MMWR_TRAD_AGG_STATE_PEN[],Q$1,0),"ERROR")</f>
        <v>84</v>
      </c>
      <c r="R103" s="115">
        <f>IFERROR(VLOOKUP($B103,MMWR_TRAD_AGG_STATE_PEN[],R$1,0),"ERROR")</f>
        <v>27</v>
      </c>
      <c r="S103" s="115">
        <f>IFERROR(VLOOKUP($B103,MMWR_APP_STATE_PEN[],S$1,0),"ERROR")</f>
        <v>112</v>
      </c>
      <c r="T103" s="28"/>
    </row>
    <row r="104" spans="1:20" s="123" customFormat="1" x14ac:dyDescent="0.2">
      <c r="A104" s="28"/>
      <c r="B104" s="127" t="s">
        <v>425</v>
      </c>
      <c r="C104" s="109">
        <f>IFERROR(VLOOKUP($B104,MMWR_TRAD_AGG_STATE_PEN[],C$1,0),"ERROR")</f>
        <v>18</v>
      </c>
      <c r="D104" s="110">
        <f>IFERROR(VLOOKUP($B104,MMWR_TRAD_AGG_STATE_PEN[],D$1,0),"ERROR")</f>
        <v>44.166666666700003</v>
      </c>
      <c r="E104" s="111">
        <f>IFERROR(VLOOKUP($B104,MMWR_TRAD_AGG_STATE_PEN[],E$1,0),"ERROR")</f>
        <v>70</v>
      </c>
      <c r="F104" s="112">
        <f>IFERROR(VLOOKUP($B104,MMWR_TRAD_AGG_STATE_PEN[],F$1,0),"ERROR")</f>
        <v>2</v>
      </c>
      <c r="G104" s="113">
        <f t="shared" si="12"/>
        <v>2.8571428571428571E-2</v>
      </c>
      <c r="H104" s="111">
        <f>IFERROR(VLOOKUP($B104,MMWR_TRAD_AGG_STATE_PEN[],H$1,0),"ERROR")</f>
        <v>35</v>
      </c>
      <c r="I104" s="112">
        <f>IFERROR(VLOOKUP($B104,MMWR_TRAD_AGG_STATE_PEN[],I$1,0),"ERROR")</f>
        <v>2</v>
      </c>
      <c r="J104" s="114">
        <f t="shared" si="13"/>
        <v>5.7142857142857141E-2</v>
      </c>
      <c r="K104" s="111">
        <f>IFERROR(VLOOKUP($B104,MMWR_TRAD_AGG_STATE_PEN[],K$1,0),"ERROR")</f>
        <v>0</v>
      </c>
      <c r="L104" s="112">
        <f>IFERROR(VLOOKUP($B104,MMWR_TRAD_AGG_STATE_PEN[],L$1,0),"ERROR")</f>
        <v>0</v>
      </c>
      <c r="M104" s="114" t="str">
        <f t="shared" si="14"/>
        <v>0%</v>
      </c>
      <c r="N104" s="111">
        <f>IFERROR(VLOOKUP($B104,MMWR_TRAD_AGG_STATE_PEN[],N$1,0),"ERROR")</f>
        <v>2</v>
      </c>
      <c r="O104" s="112">
        <f>IFERROR(VLOOKUP($B104,MMWR_TRAD_AGG_STATE_PEN[],O$1,0),"ERROR")</f>
        <v>1</v>
      </c>
      <c r="P104" s="114">
        <f t="shared" si="15"/>
        <v>0.5</v>
      </c>
      <c r="Q104" s="115">
        <f>IFERROR(VLOOKUP($B104,MMWR_TRAD_AGG_STATE_PEN[],Q$1,0),"ERROR")</f>
        <v>66</v>
      </c>
      <c r="R104" s="115">
        <f>IFERROR(VLOOKUP($B104,MMWR_TRAD_AGG_STATE_PEN[],R$1,0),"ERROR")</f>
        <v>12</v>
      </c>
      <c r="S104" s="115">
        <f>IFERROR(VLOOKUP($B104,MMWR_APP_STATE_PEN[],S$1,0),"ERROR")</f>
        <v>5</v>
      </c>
      <c r="T104" s="28"/>
    </row>
    <row r="105" spans="1:20" s="123" customFormat="1" x14ac:dyDescent="0.2">
      <c r="A105" s="28"/>
      <c r="B105" s="127" t="s">
        <v>419</v>
      </c>
      <c r="C105" s="109">
        <f>IFERROR(VLOOKUP($B105,MMWR_TRAD_AGG_STATE_PEN[],C$1,0),"ERROR")</f>
        <v>79</v>
      </c>
      <c r="D105" s="110">
        <f>IFERROR(VLOOKUP($B105,MMWR_TRAD_AGG_STATE_PEN[],D$1,0),"ERROR")</f>
        <v>37.924050632899998</v>
      </c>
      <c r="E105" s="111">
        <f>IFERROR(VLOOKUP($B105,MMWR_TRAD_AGG_STATE_PEN[],E$1,0),"ERROR")</f>
        <v>277</v>
      </c>
      <c r="F105" s="112">
        <f>IFERROR(VLOOKUP($B105,MMWR_TRAD_AGG_STATE_PEN[],F$1,0),"ERROR")</f>
        <v>5</v>
      </c>
      <c r="G105" s="113">
        <f t="shared" si="12"/>
        <v>1.8050541516245487E-2</v>
      </c>
      <c r="H105" s="111">
        <f>IFERROR(VLOOKUP($B105,MMWR_TRAD_AGG_STATE_PEN[],H$1,0),"ERROR")</f>
        <v>142</v>
      </c>
      <c r="I105" s="112">
        <f>IFERROR(VLOOKUP($B105,MMWR_TRAD_AGG_STATE_PEN[],I$1,0),"ERROR")</f>
        <v>6</v>
      </c>
      <c r="J105" s="114">
        <f t="shared" si="13"/>
        <v>4.2253521126760563E-2</v>
      </c>
      <c r="K105" s="111">
        <f>IFERROR(VLOOKUP($B105,MMWR_TRAD_AGG_STATE_PEN[],K$1,0),"ERROR")</f>
        <v>2</v>
      </c>
      <c r="L105" s="112">
        <f>IFERROR(VLOOKUP($B105,MMWR_TRAD_AGG_STATE_PEN[],L$1,0),"ERROR")</f>
        <v>2</v>
      </c>
      <c r="M105" s="114">
        <f t="shared" si="14"/>
        <v>1</v>
      </c>
      <c r="N105" s="111">
        <f>IFERROR(VLOOKUP($B105,MMWR_TRAD_AGG_STATE_PEN[],N$1,0),"ERROR")</f>
        <v>15</v>
      </c>
      <c r="O105" s="112">
        <f>IFERROR(VLOOKUP($B105,MMWR_TRAD_AGG_STATE_PEN[],O$1,0),"ERROR")</f>
        <v>9</v>
      </c>
      <c r="P105" s="114">
        <f t="shared" si="15"/>
        <v>0.6</v>
      </c>
      <c r="Q105" s="115">
        <f>IFERROR(VLOOKUP($B105,MMWR_TRAD_AGG_STATE_PEN[],Q$1,0),"ERROR")</f>
        <v>345</v>
      </c>
      <c r="R105" s="115">
        <f>IFERROR(VLOOKUP($B105,MMWR_TRAD_AGG_STATE_PEN[],R$1,0),"ERROR")</f>
        <v>54</v>
      </c>
      <c r="S105" s="115">
        <f>IFERROR(VLOOKUP($B105,MMWR_APP_STATE_PEN[],S$1,0),"ERROR")</f>
        <v>83</v>
      </c>
      <c r="T105" s="28"/>
    </row>
    <row r="106" spans="1:20" s="123" customFormat="1" x14ac:dyDescent="0.2">
      <c r="A106" s="28"/>
      <c r="B106" s="127" t="s">
        <v>417</v>
      </c>
      <c r="C106" s="109">
        <f>IFERROR(VLOOKUP($B106,MMWR_TRAD_AGG_STATE_PEN[],C$1,0),"ERROR")</f>
        <v>411</v>
      </c>
      <c r="D106" s="110">
        <f>IFERROR(VLOOKUP($B106,MMWR_TRAD_AGG_STATE_PEN[],D$1,0),"ERROR")</f>
        <v>45.9464720195</v>
      </c>
      <c r="E106" s="111">
        <f>IFERROR(VLOOKUP($B106,MMWR_TRAD_AGG_STATE_PEN[],E$1,0),"ERROR")</f>
        <v>1402</v>
      </c>
      <c r="F106" s="112">
        <f>IFERROR(VLOOKUP($B106,MMWR_TRAD_AGG_STATE_PEN[],F$1,0),"ERROR")</f>
        <v>36</v>
      </c>
      <c r="G106" s="113">
        <f t="shared" si="12"/>
        <v>2.5677603423680456E-2</v>
      </c>
      <c r="H106" s="111">
        <f>IFERROR(VLOOKUP($B106,MMWR_TRAD_AGG_STATE_PEN[],H$1,0),"ERROR")</f>
        <v>836</v>
      </c>
      <c r="I106" s="112">
        <f>IFERROR(VLOOKUP($B106,MMWR_TRAD_AGG_STATE_PEN[],I$1,0),"ERROR")</f>
        <v>59</v>
      </c>
      <c r="J106" s="114">
        <f t="shared" si="13"/>
        <v>7.0574162679425831E-2</v>
      </c>
      <c r="K106" s="111">
        <f>IFERROR(VLOOKUP($B106,MMWR_TRAD_AGG_STATE_PEN[],K$1,0),"ERROR")</f>
        <v>8</v>
      </c>
      <c r="L106" s="112">
        <f>IFERROR(VLOOKUP($B106,MMWR_TRAD_AGG_STATE_PEN[],L$1,0),"ERROR")</f>
        <v>8</v>
      </c>
      <c r="M106" s="114">
        <f t="shared" si="14"/>
        <v>1</v>
      </c>
      <c r="N106" s="111">
        <f>IFERROR(VLOOKUP($B106,MMWR_TRAD_AGG_STATE_PEN[],N$1,0),"ERROR")</f>
        <v>50</v>
      </c>
      <c r="O106" s="112">
        <f>IFERROR(VLOOKUP($B106,MMWR_TRAD_AGG_STATE_PEN[],O$1,0),"ERROR")</f>
        <v>30</v>
      </c>
      <c r="P106" s="114">
        <f t="shared" si="15"/>
        <v>0.6</v>
      </c>
      <c r="Q106" s="115">
        <f>IFERROR(VLOOKUP($B106,MMWR_TRAD_AGG_STATE_PEN[],Q$1,0),"ERROR")</f>
        <v>838</v>
      </c>
      <c r="R106" s="115">
        <f>IFERROR(VLOOKUP($B106,MMWR_TRAD_AGG_STATE_PEN[],R$1,0),"ERROR")</f>
        <v>259</v>
      </c>
      <c r="S106" s="115">
        <f>IFERROR(VLOOKUP($B106,MMWR_APP_STATE_PEN[],S$1,0),"ERROR")</f>
        <v>711</v>
      </c>
      <c r="T106" s="28"/>
    </row>
    <row r="107" spans="1:20" s="123" customFormat="1" x14ac:dyDescent="0.2">
      <c r="A107" s="28"/>
      <c r="B107" s="127" t="s">
        <v>413</v>
      </c>
      <c r="C107" s="109">
        <f>IFERROR(VLOOKUP($B107,MMWR_TRAD_AGG_STATE_PEN[],C$1,0),"ERROR")</f>
        <v>33</v>
      </c>
      <c r="D107" s="110">
        <f>IFERROR(VLOOKUP($B107,MMWR_TRAD_AGG_STATE_PEN[],D$1,0),"ERROR")</f>
        <v>44.090909090899999</v>
      </c>
      <c r="E107" s="111">
        <f>IFERROR(VLOOKUP($B107,MMWR_TRAD_AGG_STATE_PEN[],E$1,0),"ERROR")</f>
        <v>183</v>
      </c>
      <c r="F107" s="112">
        <f>IFERROR(VLOOKUP($B107,MMWR_TRAD_AGG_STATE_PEN[],F$1,0),"ERROR")</f>
        <v>3</v>
      </c>
      <c r="G107" s="113">
        <f t="shared" si="12"/>
        <v>1.6393442622950821E-2</v>
      </c>
      <c r="H107" s="111">
        <f>IFERROR(VLOOKUP($B107,MMWR_TRAD_AGG_STATE_PEN[],H$1,0),"ERROR")</f>
        <v>57</v>
      </c>
      <c r="I107" s="112">
        <f>IFERROR(VLOOKUP($B107,MMWR_TRAD_AGG_STATE_PEN[],I$1,0),"ERROR")</f>
        <v>1</v>
      </c>
      <c r="J107" s="114">
        <f t="shared" si="13"/>
        <v>1.7543859649122806E-2</v>
      </c>
      <c r="K107" s="111">
        <f>IFERROR(VLOOKUP($B107,MMWR_TRAD_AGG_STATE_PEN[],K$1,0),"ERROR")</f>
        <v>0</v>
      </c>
      <c r="L107" s="112">
        <f>IFERROR(VLOOKUP($B107,MMWR_TRAD_AGG_STATE_PEN[],L$1,0),"ERROR")</f>
        <v>0</v>
      </c>
      <c r="M107" s="114" t="str">
        <f t="shared" si="14"/>
        <v>0%</v>
      </c>
      <c r="N107" s="111">
        <f>IFERROR(VLOOKUP($B107,MMWR_TRAD_AGG_STATE_PEN[],N$1,0),"ERROR")</f>
        <v>4</v>
      </c>
      <c r="O107" s="112">
        <f>IFERROR(VLOOKUP($B107,MMWR_TRAD_AGG_STATE_PEN[],O$1,0),"ERROR")</f>
        <v>2</v>
      </c>
      <c r="P107" s="114">
        <f t="shared" si="15"/>
        <v>0.5</v>
      </c>
      <c r="Q107" s="115">
        <f>IFERROR(VLOOKUP($B107,MMWR_TRAD_AGG_STATE_PEN[],Q$1,0),"ERROR")</f>
        <v>86</v>
      </c>
      <c r="R107" s="115">
        <f>IFERROR(VLOOKUP($B107,MMWR_TRAD_AGG_STATE_PEN[],R$1,0),"ERROR")</f>
        <v>16</v>
      </c>
      <c r="S107" s="115">
        <f>IFERROR(VLOOKUP($B107,MMWR_APP_STATE_PEN[],S$1,0),"ERROR")</f>
        <v>20</v>
      </c>
      <c r="T107" s="28"/>
    </row>
    <row r="108" spans="1:20" s="123" customFormat="1" x14ac:dyDescent="0.2">
      <c r="A108" s="28"/>
      <c r="B108" s="127" t="s">
        <v>428</v>
      </c>
      <c r="C108" s="109">
        <f>IFERROR(VLOOKUP($B108,MMWR_TRAD_AGG_STATE_PEN[],C$1,0),"ERROR")</f>
        <v>10</v>
      </c>
      <c r="D108" s="110">
        <f>IFERROR(VLOOKUP($B108,MMWR_TRAD_AGG_STATE_PEN[],D$1,0),"ERROR")</f>
        <v>24.9</v>
      </c>
      <c r="E108" s="111">
        <f>IFERROR(VLOOKUP($B108,MMWR_TRAD_AGG_STATE_PEN[],E$1,0),"ERROR")</f>
        <v>26</v>
      </c>
      <c r="F108" s="112">
        <f>IFERROR(VLOOKUP($B108,MMWR_TRAD_AGG_STATE_PEN[],F$1,0),"ERROR")</f>
        <v>1</v>
      </c>
      <c r="G108" s="113">
        <f t="shared" si="12"/>
        <v>3.8461538461538464E-2</v>
      </c>
      <c r="H108" s="111">
        <f>IFERROR(VLOOKUP($B108,MMWR_TRAD_AGG_STATE_PEN[],H$1,0),"ERROR")</f>
        <v>16</v>
      </c>
      <c r="I108" s="112">
        <f>IFERROR(VLOOKUP($B108,MMWR_TRAD_AGG_STATE_PEN[],I$1,0),"ERROR")</f>
        <v>2</v>
      </c>
      <c r="J108" s="114">
        <f t="shared" si="13"/>
        <v>0.125</v>
      </c>
      <c r="K108" s="111">
        <f>IFERROR(VLOOKUP($B108,MMWR_TRAD_AGG_STATE_PEN[],K$1,0),"ERROR")</f>
        <v>0</v>
      </c>
      <c r="L108" s="112">
        <f>IFERROR(VLOOKUP($B108,MMWR_TRAD_AGG_STATE_PEN[],L$1,0),"ERROR")</f>
        <v>0</v>
      </c>
      <c r="M108" s="114" t="str">
        <f t="shared" si="14"/>
        <v>0%</v>
      </c>
      <c r="N108" s="111">
        <f>IFERROR(VLOOKUP($B108,MMWR_TRAD_AGG_STATE_PEN[],N$1,0),"ERROR")</f>
        <v>0</v>
      </c>
      <c r="O108" s="112">
        <f>IFERROR(VLOOKUP($B108,MMWR_TRAD_AGG_STATE_PEN[],O$1,0),"ERROR")</f>
        <v>0</v>
      </c>
      <c r="P108" s="114" t="str">
        <f t="shared" si="15"/>
        <v>0%</v>
      </c>
      <c r="Q108" s="115">
        <f>IFERROR(VLOOKUP($B108,MMWR_TRAD_AGG_STATE_PEN[],Q$1,0),"ERROR")</f>
        <v>40</v>
      </c>
      <c r="R108" s="115">
        <f>IFERROR(VLOOKUP($B108,MMWR_TRAD_AGG_STATE_PEN[],R$1,0),"ERROR")</f>
        <v>3</v>
      </c>
      <c r="S108" s="115">
        <f>IFERROR(VLOOKUP($B108,MMWR_APP_STATE_PEN[],S$1,0),"ERROR")</f>
        <v>4</v>
      </c>
      <c r="T108" s="28"/>
    </row>
    <row r="109" spans="1:20" s="123" customFormat="1" x14ac:dyDescent="0.2">
      <c r="A109" s="28"/>
      <c r="B109" s="126" t="s">
        <v>411</v>
      </c>
      <c r="C109" s="102">
        <f>IFERROR(VLOOKUP($B109,MMWR_TRAD_AGG_ST_DISTRICT_PEN[],C$1,0),"ERROR")</f>
        <v>921</v>
      </c>
      <c r="D109" s="103">
        <f>IFERROR(VLOOKUP($B109,MMWR_TRAD_AGG_ST_DISTRICT_PEN[],D$1,0),"ERROR")</f>
        <v>50.425624321400001</v>
      </c>
      <c r="E109" s="102">
        <f>IFERROR(VLOOKUP($B109,MMWR_TRAD_AGG_ST_DISTRICT_PEN[],E$1,0),"ERROR")</f>
        <v>3684</v>
      </c>
      <c r="F109" s="102">
        <f>IFERROR(VLOOKUP($B109,MMWR_TRAD_AGG_ST_DISTRICT_PEN[],F$1,0),"ERROR")</f>
        <v>128</v>
      </c>
      <c r="G109" s="104">
        <f t="shared" si="12"/>
        <v>3.4744842562432141E-2</v>
      </c>
      <c r="H109" s="102">
        <f>IFERROR(VLOOKUP($B109,MMWR_TRAD_AGG_ST_DISTRICT_PEN[],H$1,0),"ERROR")</f>
        <v>1638</v>
      </c>
      <c r="I109" s="102">
        <f>IFERROR(VLOOKUP($B109,MMWR_TRAD_AGG_ST_DISTRICT_PEN[],I$1,0),"ERROR")</f>
        <v>99</v>
      </c>
      <c r="J109" s="104">
        <f t="shared" si="13"/>
        <v>6.043956043956044E-2</v>
      </c>
      <c r="K109" s="102">
        <f>IFERROR(VLOOKUP($B109,MMWR_TRAD_AGG_ST_DISTRICT_PEN[],K$1,0),"ERROR")</f>
        <v>18</v>
      </c>
      <c r="L109" s="102">
        <f>IFERROR(VLOOKUP($B109,MMWR_TRAD_AGG_ST_DISTRICT_PEN[],L$1,0),"ERROR")</f>
        <v>17</v>
      </c>
      <c r="M109" s="104">
        <f t="shared" si="14"/>
        <v>0.94444444444444442</v>
      </c>
      <c r="N109" s="102">
        <f>IFERROR(VLOOKUP($B109,MMWR_TRAD_AGG_ST_DISTRICT_PEN[],N$1,0),"ERROR")</f>
        <v>109</v>
      </c>
      <c r="O109" s="102">
        <f>IFERROR(VLOOKUP($B109,MMWR_TRAD_AGG_ST_DISTRICT_PEN[],O$1,0),"ERROR")</f>
        <v>50</v>
      </c>
      <c r="P109" s="104">
        <f t="shared" si="15"/>
        <v>0.45871559633027525</v>
      </c>
      <c r="Q109" s="102">
        <f>IFERROR(VLOOKUP($B109,MMWR_TRAD_AGG_ST_DISTRICT_PEN[],Q$1,0),"ERROR")</f>
        <v>1827</v>
      </c>
      <c r="R109" s="106">
        <f>IFERROR(VLOOKUP($B109,MMWR_TRAD_AGG_ST_DISTRICT_PEN[],R$1,0),"ERROR")</f>
        <v>477</v>
      </c>
      <c r="S109" s="106">
        <f>IFERROR(VLOOKUP($B109,MMWR_APP_STATE_PEN[],S$1,0),"ERROR")</f>
        <v>706</v>
      </c>
      <c r="T109" s="28"/>
    </row>
    <row r="110" spans="1:20" s="123" customFormat="1" x14ac:dyDescent="0.2">
      <c r="A110" s="28"/>
      <c r="B110" s="127" t="s">
        <v>431</v>
      </c>
      <c r="C110" s="109">
        <f>IFERROR(VLOOKUP($B110,MMWR_TRAD_AGG_STATE_PEN[],C$1,0),"ERROR")</f>
        <v>9</v>
      </c>
      <c r="D110" s="110">
        <f>IFERROR(VLOOKUP($B110,MMWR_TRAD_AGG_STATE_PEN[],D$1,0),"ERROR")</f>
        <v>43.555555555600002</v>
      </c>
      <c r="E110" s="111">
        <f>IFERROR(VLOOKUP($B110,MMWR_TRAD_AGG_STATE_PEN[],E$1,0),"ERROR")</f>
        <v>11</v>
      </c>
      <c r="F110" s="112">
        <f>IFERROR(VLOOKUP($B110,MMWR_TRAD_AGG_STATE_PEN[],F$1,0),"ERROR")</f>
        <v>0</v>
      </c>
      <c r="G110" s="113">
        <f t="shared" si="12"/>
        <v>0</v>
      </c>
      <c r="H110" s="111">
        <f>IFERROR(VLOOKUP($B110,MMWR_TRAD_AGG_STATE_PEN[],H$1,0),"ERROR")</f>
        <v>14</v>
      </c>
      <c r="I110" s="112">
        <f>IFERROR(VLOOKUP($B110,MMWR_TRAD_AGG_STATE_PEN[],I$1,0),"ERROR")</f>
        <v>1</v>
      </c>
      <c r="J110" s="114">
        <f t="shared" si="13"/>
        <v>7.1428571428571425E-2</v>
      </c>
      <c r="K110" s="111">
        <f>IFERROR(VLOOKUP($B110,MMWR_TRAD_AGG_STATE_PEN[],K$1,0),"ERROR")</f>
        <v>0</v>
      </c>
      <c r="L110" s="112">
        <f>IFERROR(VLOOKUP($B110,MMWR_TRAD_AGG_STATE_PEN[],L$1,0),"ERROR")</f>
        <v>0</v>
      </c>
      <c r="M110" s="114" t="str">
        <f t="shared" si="14"/>
        <v>0%</v>
      </c>
      <c r="N110" s="111">
        <f>IFERROR(VLOOKUP($B110,MMWR_TRAD_AGG_STATE_PEN[],N$1,0),"ERROR")</f>
        <v>0</v>
      </c>
      <c r="O110" s="112">
        <f>IFERROR(VLOOKUP($B110,MMWR_TRAD_AGG_STATE_PEN[],O$1,0),"ERROR")</f>
        <v>0</v>
      </c>
      <c r="P110" s="114" t="str">
        <f t="shared" si="15"/>
        <v>0%</v>
      </c>
      <c r="Q110" s="115">
        <f>IFERROR(VLOOKUP($B110,MMWR_TRAD_AGG_STATE_PEN[],Q$1,0),"ERROR")</f>
        <v>8</v>
      </c>
      <c r="R110" s="115">
        <f>IFERROR(VLOOKUP($B110,MMWR_TRAD_AGG_STATE_PEN[],R$1,0),"ERROR")</f>
        <v>3</v>
      </c>
      <c r="S110" s="115">
        <f>IFERROR(VLOOKUP($B110,MMWR_APP_STATE_PEN[],S$1,0),"ERROR")</f>
        <v>3</v>
      </c>
      <c r="T110" s="28"/>
    </row>
    <row r="111" spans="1:20" s="123" customFormat="1" x14ac:dyDescent="0.2">
      <c r="A111" s="28"/>
      <c r="B111" s="127" t="s">
        <v>433</v>
      </c>
      <c r="C111" s="109">
        <f>IFERROR(VLOOKUP($B111,MMWR_TRAD_AGG_STATE_PEN[],C$1,0),"ERROR")</f>
        <v>107</v>
      </c>
      <c r="D111" s="110">
        <f>IFERROR(VLOOKUP($B111,MMWR_TRAD_AGG_STATE_PEN[],D$1,0),"ERROR")</f>
        <v>59.028037383200001</v>
      </c>
      <c r="E111" s="111">
        <f>IFERROR(VLOOKUP($B111,MMWR_TRAD_AGG_STATE_PEN[],E$1,0),"ERROR")</f>
        <v>445</v>
      </c>
      <c r="F111" s="112">
        <f>IFERROR(VLOOKUP($B111,MMWR_TRAD_AGG_STATE_PEN[],F$1,0),"ERROR")</f>
        <v>14</v>
      </c>
      <c r="G111" s="113">
        <f t="shared" si="12"/>
        <v>3.1460674157303373E-2</v>
      </c>
      <c r="H111" s="111">
        <f>IFERROR(VLOOKUP($B111,MMWR_TRAD_AGG_STATE_PEN[],H$1,0),"ERROR")</f>
        <v>186</v>
      </c>
      <c r="I111" s="112">
        <f>IFERROR(VLOOKUP($B111,MMWR_TRAD_AGG_STATE_PEN[],I$1,0),"ERROR")</f>
        <v>15</v>
      </c>
      <c r="J111" s="114">
        <f t="shared" si="13"/>
        <v>8.0645161290322578E-2</v>
      </c>
      <c r="K111" s="111">
        <f>IFERROR(VLOOKUP($B111,MMWR_TRAD_AGG_STATE_PEN[],K$1,0),"ERROR")</f>
        <v>3</v>
      </c>
      <c r="L111" s="112">
        <f>IFERROR(VLOOKUP($B111,MMWR_TRAD_AGG_STATE_PEN[],L$1,0),"ERROR")</f>
        <v>3</v>
      </c>
      <c r="M111" s="114">
        <f t="shared" si="14"/>
        <v>1</v>
      </c>
      <c r="N111" s="111">
        <f>IFERROR(VLOOKUP($B111,MMWR_TRAD_AGG_STATE_PEN[],N$1,0),"ERROR")</f>
        <v>13</v>
      </c>
      <c r="O111" s="112">
        <f>IFERROR(VLOOKUP($B111,MMWR_TRAD_AGG_STATE_PEN[],O$1,0),"ERROR")</f>
        <v>6</v>
      </c>
      <c r="P111" s="114">
        <f t="shared" si="15"/>
        <v>0.46153846153846156</v>
      </c>
      <c r="Q111" s="115">
        <f>IFERROR(VLOOKUP($B111,MMWR_TRAD_AGG_STATE_PEN[],Q$1,0),"ERROR")</f>
        <v>234</v>
      </c>
      <c r="R111" s="115">
        <f>IFERROR(VLOOKUP($B111,MMWR_TRAD_AGG_STATE_PEN[],R$1,0),"ERROR")</f>
        <v>52</v>
      </c>
      <c r="S111" s="115">
        <f>IFERROR(VLOOKUP($B111,MMWR_APP_STATE_PEN[],S$1,0),"ERROR")</f>
        <v>164</v>
      </c>
      <c r="T111" s="28"/>
    </row>
    <row r="112" spans="1:20" s="123" customFormat="1" x14ac:dyDescent="0.2">
      <c r="A112" s="28"/>
      <c r="B112" s="127" t="s">
        <v>414</v>
      </c>
      <c r="C112" s="109">
        <f>IFERROR(VLOOKUP($B112,MMWR_TRAD_AGG_STATE_PEN[],C$1,0),"ERROR")</f>
        <v>489</v>
      </c>
      <c r="D112" s="110">
        <f>IFERROR(VLOOKUP($B112,MMWR_TRAD_AGG_STATE_PEN[],D$1,0),"ERROR")</f>
        <v>51.100204499</v>
      </c>
      <c r="E112" s="111">
        <f>IFERROR(VLOOKUP($B112,MMWR_TRAD_AGG_STATE_PEN[],E$1,0),"ERROR")</f>
        <v>2061</v>
      </c>
      <c r="F112" s="112">
        <f>IFERROR(VLOOKUP($B112,MMWR_TRAD_AGG_STATE_PEN[],F$1,0),"ERROR")</f>
        <v>73</v>
      </c>
      <c r="G112" s="113">
        <f t="shared" si="12"/>
        <v>3.5419699175157693E-2</v>
      </c>
      <c r="H112" s="111">
        <f>IFERROR(VLOOKUP($B112,MMWR_TRAD_AGG_STATE_PEN[],H$1,0),"ERROR")</f>
        <v>831</v>
      </c>
      <c r="I112" s="112">
        <f>IFERROR(VLOOKUP($B112,MMWR_TRAD_AGG_STATE_PEN[],I$1,0),"ERROR")</f>
        <v>40</v>
      </c>
      <c r="J112" s="114">
        <f t="shared" si="13"/>
        <v>4.8134777376654635E-2</v>
      </c>
      <c r="K112" s="111">
        <f>IFERROR(VLOOKUP($B112,MMWR_TRAD_AGG_STATE_PEN[],K$1,0),"ERROR")</f>
        <v>11</v>
      </c>
      <c r="L112" s="112">
        <f>IFERROR(VLOOKUP($B112,MMWR_TRAD_AGG_STATE_PEN[],L$1,0),"ERROR")</f>
        <v>10</v>
      </c>
      <c r="M112" s="114">
        <f t="shared" si="14"/>
        <v>0.90909090909090906</v>
      </c>
      <c r="N112" s="111">
        <f>IFERROR(VLOOKUP($B112,MMWR_TRAD_AGG_STATE_PEN[],N$1,0),"ERROR")</f>
        <v>62</v>
      </c>
      <c r="O112" s="112">
        <f>IFERROR(VLOOKUP($B112,MMWR_TRAD_AGG_STATE_PEN[],O$1,0),"ERROR")</f>
        <v>30</v>
      </c>
      <c r="P112" s="114">
        <f t="shared" si="15"/>
        <v>0.4838709677419355</v>
      </c>
      <c r="Q112" s="115">
        <f>IFERROR(VLOOKUP($B112,MMWR_TRAD_AGG_STATE_PEN[],Q$1,0),"ERROR")</f>
        <v>815</v>
      </c>
      <c r="R112" s="115">
        <f>IFERROR(VLOOKUP($B112,MMWR_TRAD_AGG_STATE_PEN[],R$1,0),"ERROR")</f>
        <v>263</v>
      </c>
      <c r="S112" s="115">
        <f>IFERROR(VLOOKUP($B112,MMWR_APP_STATE_PEN[],S$1,0),"ERROR")</f>
        <v>355</v>
      </c>
      <c r="T112" s="28"/>
    </row>
    <row r="113" spans="1:20" s="123" customFormat="1" x14ac:dyDescent="0.2">
      <c r="A113" s="28"/>
      <c r="B113" s="127" t="s">
        <v>435</v>
      </c>
      <c r="C113" s="109">
        <f>IFERROR(VLOOKUP($B113,MMWR_TRAD_AGG_STATE_PEN[],C$1,0),"ERROR")</f>
        <v>11</v>
      </c>
      <c r="D113" s="110">
        <f>IFERROR(VLOOKUP($B113,MMWR_TRAD_AGG_STATE_PEN[],D$1,0),"ERROR")</f>
        <v>61.272727272700003</v>
      </c>
      <c r="E113" s="111">
        <f>IFERROR(VLOOKUP($B113,MMWR_TRAD_AGG_STATE_PEN[],E$1,0),"ERROR")</f>
        <v>29</v>
      </c>
      <c r="F113" s="112">
        <f>IFERROR(VLOOKUP($B113,MMWR_TRAD_AGG_STATE_PEN[],F$1,0),"ERROR")</f>
        <v>3</v>
      </c>
      <c r="G113" s="113">
        <f t="shared" si="12"/>
        <v>0.10344827586206896</v>
      </c>
      <c r="H113" s="111">
        <f>IFERROR(VLOOKUP($B113,MMWR_TRAD_AGG_STATE_PEN[],H$1,0),"ERROR")</f>
        <v>14</v>
      </c>
      <c r="I113" s="112">
        <f>IFERROR(VLOOKUP($B113,MMWR_TRAD_AGG_STATE_PEN[],I$1,0),"ERROR")</f>
        <v>1</v>
      </c>
      <c r="J113" s="114">
        <f t="shared" si="13"/>
        <v>7.1428571428571425E-2</v>
      </c>
      <c r="K113" s="111">
        <f>IFERROR(VLOOKUP($B113,MMWR_TRAD_AGG_STATE_PEN[],K$1,0),"ERROR")</f>
        <v>2</v>
      </c>
      <c r="L113" s="112">
        <f>IFERROR(VLOOKUP($B113,MMWR_TRAD_AGG_STATE_PEN[],L$1,0),"ERROR")</f>
        <v>2</v>
      </c>
      <c r="M113" s="114">
        <f t="shared" si="14"/>
        <v>1</v>
      </c>
      <c r="N113" s="111">
        <f>IFERROR(VLOOKUP($B113,MMWR_TRAD_AGG_STATE_PEN[],N$1,0),"ERROR")</f>
        <v>0</v>
      </c>
      <c r="O113" s="112">
        <f>IFERROR(VLOOKUP($B113,MMWR_TRAD_AGG_STATE_PEN[],O$1,0),"ERROR")</f>
        <v>0</v>
      </c>
      <c r="P113" s="114" t="str">
        <f t="shared" si="15"/>
        <v>0%</v>
      </c>
      <c r="Q113" s="115">
        <f>IFERROR(VLOOKUP($B113,MMWR_TRAD_AGG_STATE_PEN[],Q$1,0),"ERROR")</f>
        <v>32</v>
      </c>
      <c r="R113" s="115">
        <f>IFERROR(VLOOKUP($B113,MMWR_TRAD_AGG_STATE_PEN[],R$1,0),"ERROR")</f>
        <v>4</v>
      </c>
      <c r="S113" s="115">
        <f>IFERROR(VLOOKUP($B113,MMWR_APP_STATE_PEN[],S$1,0),"ERROR")</f>
        <v>11</v>
      </c>
      <c r="T113" s="28"/>
    </row>
    <row r="114" spans="1:20" s="123" customFormat="1" x14ac:dyDescent="0.2">
      <c r="A114" s="28"/>
      <c r="B114" s="127" t="s">
        <v>415</v>
      </c>
      <c r="C114" s="109">
        <f>IFERROR(VLOOKUP($B114,MMWR_TRAD_AGG_STATE_PEN[],C$1,0),"ERROR")</f>
        <v>21</v>
      </c>
      <c r="D114" s="110">
        <f>IFERROR(VLOOKUP($B114,MMWR_TRAD_AGG_STATE_PEN[],D$1,0),"ERROR")</f>
        <v>42.857142857100001</v>
      </c>
      <c r="E114" s="111">
        <f>IFERROR(VLOOKUP($B114,MMWR_TRAD_AGG_STATE_PEN[],E$1,0),"ERROR")</f>
        <v>97</v>
      </c>
      <c r="F114" s="112">
        <f>IFERROR(VLOOKUP($B114,MMWR_TRAD_AGG_STATE_PEN[],F$1,0),"ERROR")</f>
        <v>2</v>
      </c>
      <c r="G114" s="113">
        <f t="shared" si="12"/>
        <v>2.0618556701030927E-2</v>
      </c>
      <c r="H114" s="111">
        <f>IFERROR(VLOOKUP($B114,MMWR_TRAD_AGG_STATE_PEN[],H$1,0),"ERROR")</f>
        <v>43</v>
      </c>
      <c r="I114" s="112">
        <f>IFERROR(VLOOKUP($B114,MMWR_TRAD_AGG_STATE_PEN[],I$1,0),"ERROR")</f>
        <v>0</v>
      </c>
      <c r="J114" s="114">
        <f t="shared" si="13"/>
        <v>0</v>
      </c>
      <c r="K114" s="111">
        <f>IFERROR(VLOOKUP($B114,MMWR_TRAD_AGG_STATE_PEN[],K$1,0),"ERROR")</f>
        <v>1</v>
      </c>
      <c r="L114" s="112">
        <f>IFERROR(VLOOKUP($B114,MMWR_TRAD_AGG_STATE_PEN[],L$1,0),"ERROR")</f>
        <v>1</v>
      </c>
      <c r="M114" s="114">
        <f t="shared" si="14"/>
        <v>1</v>
      </c>
      <c r="N114" s="111">
        <f>IFERROR(VLOOKUP($B114,MMWR_TRAD_AGG_STATE_PEN[],N$1,0),"ERROR")</f>
        <v>2</v>
      </c>
      <c r="O114" s="112">
        <f>IFERROR(VLOOKUP($B114,MMWR_TRAD_AGG_STATE_PEN[],O$1,0),"ERROR")</f>
        <v>0</v>
      </c>
      <c r="P114" s="114">
        <f t="shared" si="15"/>
        <v>0</v>
      </c>
      <c r="Q114" s="115">
        <f>IFERROR(VLOOKUP($B114,MMWR_TRAD_AGG_STATE_PEN[],Q$1,0),"ERROR")</f>
        <v>75</v>
      </c>
      <c r="R114" s="115">
        <f>IFERROR(VLOOKUP($B114,MMWR_TRAD_AGG_STATE_PEN[],R$1,0),"ERROR")</f>
        <v>6</v>
      </c>
      <c r="S114" s="115">
        <f>IFERROR(VLOOKUP($B114,MMWR_APP_STATE_PEN[],S$1,0),"ERROR")</f>
        <v>9</v>
      </c>
      <c r="T114" s="28"/>
    </row>
    <row r="115" spans="1:20" s="123" customFormat="1" x14ac:dyDescent="0.2">
      <c r="A115" s="28"/>
      <c r="B115" s="127" t="s">
        <v>420</v>
      </c>
      <c r="C115" s="109">
        <f>IFERROR(VLOOKUP($B115,MMWR_TRAD_AGG_STATE_PEN[],C$1,0),"ERROR")</f>
        <v>48</v>
      </c>
      <c r="D115" s="110">
        <f>IFERROR(VLOOKUP($B115,MMWR_TRAD_AGG_STATE_PEN[],D$1,0),"ERROR")</f>
        <v>62.791666666700003</v>
      </c>
      <c r="E115" s="111">
        <f>IFERROR(VLOOKUP($B115,MMWR_TRAD_AGG_STATE_PEN[],E$1,0),"ERROR")</f>
        <v>188</v>
      </c>
      <c r="F115" s="112">
        <f>IFERROR(VLOOKUP($B115,MMWR_TRAD_AGG_STATE_PEN[],F$1,0),"ERROR")</f>
        <v>5</v>
      </c>
      <c r="G115" s="113">
        <f t="shared" si="12"/>
        <v>2.6595744680851064E-2</v>
      </c>
      <c r="H115" s="111">
        <f>IFERROR(VLOOKUP($B115,MMWR_TRAD_AGG_STATE_PEN[],H$1,0),"ERROR")</f>
        <v>90</v>
      </c>
      <c r="I115" s="112">
        <f>IFERROR(VLOOKUP($B115,MMWR_TRAD_AGG_STATE_PEN[],I$1,0),"ERROR")</f>
        <v>8</v>
      </c>
      <c r="J115" s="114">
        <f t="shared" si="13"/>
        <v>8.8888888888888892E-2</v>
      </c>
      <c r="K115" s="111">
        <f>IFERROR(VLOOKUP($B115,MMWR_TRAD_AGG_STATE_PEN[],K$1,0),"ERROR")</f>
        <v>0</v>
      </c>
      <c r="L115" s="112">
        <f>IFERROR(VLOOKUP($B115,MMWR_TRAD_AGG_STATE_PEN[],L$1,0),"ERROR")</f>
        <v>0</v>
      </c>
      <c r="M115" s="114" t="str">
        <f t="shared" si="14"/>
        <v>0%</v>
      </c>
      <c r="N115" s="111">
        <f>IFERROR(VLOOKUP($B115,MMWR_TRAD_AGG_STATE_PEN[],N$1,0),"ERROR")</f>
        <v>4</v>
      </c>
      <c r="O115" s="112">
        <f>IFERROR(VLOOKUP($B115,MMWR_TRAD_AGG_STATE_PEN[],O$1,0),"ERROR")</f>
        <v>3</v>
      </c>
      <c r="P115" s="114">
        <f t="shared" si="15"/>
        <v>0.75</v>
      </c>
      <c r="Q115" s="115">
        <f>IFERROR(VLOOKUP($B115,MMWR_TRAD_AGG_STATE_PEN[],Q$1,0),"ERROR")</f>
        <v>95</v>
      </c>
      <c r="R115" s="115">
        <f>IFERROR(VLOOKUP($B115,MMWR_TRAD_AGG_STATE_PEN[],R$1,0),"ERROR")</f>
        <v>29</v>
      </c>
      <c r="S115" s="115">
        <f>IFERROR(VLOOKUP($B115,MMWR_APP_STATE_PEN[],S$1,0),"ERROR")</f>
        <v>28</v>
      </c>
      <c r="T115" s="28"/>
    </row>
    <row r="116" spans="1:20" s="123" customFormat="1" x14ac:dyDescent="0.2">
      <c r="A116" s="28"/>
      <c r="B116" s="127" t="s">
        <v>412</v>
      </c>
      <c r="C116" s="109">
        <f>IFERROR(VLOOKUP($B116,MMWR_TRAD_AGG_STATE_PEN[],C$1,0),"ERROR")</f>
        <v>37</v>
      </c>
      <c r="D116" s="110">
        <f>IFERROR(VLOOKUP($B116,MMWR_TRAD_AGG_STATE_PEN[],D$1,0),"ERROR")</f>
        <v>47.621621621599999</v>
      </c>
      <c r="E116" s="111">
        <f>IFERROR(VLOOKUP($B116,MMWR_TRAD_AGG_STATE_PEN[],E$1,0),"ERROR")</f>
        <v>128</v>
      </c>
      <c r="F116" s="112">
        <f>IFERROR(VLOOKUP($B116,MMWR_TRAD_AGG_STATE_PEN[],F$1,0),"ERROR")</f>
        <v>1</v>
      </c>
      <c r="G116" s="113">
        <f t="shared" si="12"/>
        <v>7.8125E-3</v>
      </c>
      <c r="H116" s="111">
        <f>IFERROR(VLOOKUP($B116,MMWR_TRAD_AGG_STATE_PEN[],H$1,0),"ERROR")</f>
        <v>67</v>
      </c>
      <c r="I116" s="112">
        <f>IFERROR(VLOOKUP($B116,MMWR_TRAD_AGG_STATE_PEN[],I$1,0),"ERROR")</f>
        <v>7</v>
      </c>
      <c r="J116" s="114">
        <f t="shared" si="13"/>
        <v>0.1044776119402985</v>
      </c>
      <c r="K116" s="111">
        <f>IFERROR(VLOOKUP($B116,MMWR_TRAD_AGG_STATE_PEN[],K$1,0),"ERROR")</f>
        <v>0</v>
      </c>
      <c r="L116" s="112">
        <f>IFERROR(VLOOKUP($B116,MMWR_TRAD_AGG_STATE_PEN[],L$1,0),"ERROR")</f>
        <v>0</v>
      </c>
      <c r="M116" s="114" t="str">
        <f t="shared" si="14"/>
        <v>0%</v>
      </c>
      <c r="N116" s="111">
        <f>IFERROR(VLOOKUP($B116,MMWR_TRAD_AGG_STATE_PEN[],N$1,0),"ERROR")</f>
        <v>6</v>
      </c>
      <c r="O116" s="112">
        <f>IFERROR(VLOOKUP($B116,MMWR_TRAD_AGG_STATE_PEN[],O$1,0),"ERROR")</f>
        <v>2</v>
      </c>
      <c r="P116" s="114">
        <f t="shared" si="15"/>
        <v>0.33333333333333331</v>
      </c>
      <c r="Q116" s="115">
        <f>IFERROR(VLOOKUP($B116,MMWR_TRAD_AGG_STATE_PEN[],Q$1,0),"ERROR")</f>
        <v>144</v>
      </c>
      <c r="R116" s="115">
        <f>IFERROR(VLOOKUP($B116,MMWR_TRAD_AGG_STATE_PEN[],R$1,0),"ERROR")</f>
        <v>23</v>
      </c>
      <c r="S116" s="115">
        <f>IFERROR(VLOOKUP($B116,MMWR_APP_STATE_PEN[],S$1,0),"ERROR")</f>
        <v>33</v>
      </c>
      <c r="T116" s="28"/>
    </row>
    <row r="117" spans="1:20" s="123" customFormat="1" x14ac:dyDescent="0.2">
      <c r="A117" s="28"/>
      <c r="B117" s="127" t="s">
        <v>416</v>
      </c>
      <c r="C117" s="109">
        <f>IFERROR(VLOOKUP($B117,MMWR_TRAD_AGG_STATE_PEN[],C$1,0),"ERROR")</f>
        <v>78</v>
      </c>
      <c r="D117" s="110">
        <f>IFERROR(VLOOKUP($B117,MMWR_TRAD_AGG_STATE_PEN[],D$1,0),"ERROR")</f>
        <v>41.089743589699999</v>
      </c>
      <c r="E117" s="111">
        <f>IFERROR(VLOOKUP($B117,MMWR_TRAD_AGG_STATE_PEN[],E$1,0),"ERROR")</f>
        <v>280</v>
      </c>
      <c r="F117" s="112">
        <f>IFERROR(VLOOKUP($B117,MMWR_TRAD_AGG_STATE_PEN[],F$1,0),"ERROR")</f>
        <v>13</v>
      </c>
      <c r="G117" s="113">
        <f t="shared" si="12"/>
        <v>4.642857142857143E-2</v>
      </c>
      <c r="H117" s="111">
        <f>IFERROR(VLOOKUP($B117,MMWR_TRAD_AGG_STATE_PEN[],H$1,0),"ERROR")</f>
        <v>137</v>
      </c>
      <c r="I117" s="112">
        <f>IFERROR(VLOOKUP($B117,MMWR_TRAD_AGG_STATE_PEN[],I$1,0),"ERROR")</f>
        <v>4</v>
      </c>
      <c r="J117" s="114">
        <f t="shared" si="13"/>
        <v>2.9197080291970802E-2</v>
      </c>
      <c r="K117" s="111">
        <f>IFERROR(VLOOKUP($B117,MMWR_TRAD_AGG_STATE_PEN[],K$1,0),"ERROR")</f>
        <v>1</v>
      </c>
      <c r="L117" s="112">
        <f>IFERROR(VLOOKUP($B117,MMWR_TRAD_AGG_STATE_PEN[],L$1,0),"ERROR")</f>
        <v>1</v>
      </c>
      <c r="M117" s="114">
        <f t="shared" si="14"/>
        <v>1</v>
      </c>
      <c r="N117" s="111">
        <f>IFERROR(VLOOKUP($B117,MMWR_TRAD_AGG_STATE_PEN[],N$1,0),"ERROR")</f>
        <v>7</v>
      </c>
      <c r="O117" s="112">
        <f>IFERROR(VLOOKUP($B117,MMWR_TRAD_AGG_STATE_PEN[],O$1,0),"ERROR")</f>
        <v>6</v>
      </c>
      <c r="P117" s="114">
        <f t="shared" si="15"/>
        <v>0.8571428571428571</v>
      </c>
      <c r="Q117" s="115">
        <f>IFERROR(VLOOKUP($B117,MMWR_TRAD_AGG_STATE_PEN[],Q$1,0),"ERROR")</f>
        <v>184</v>
      </c>
      <c r="R117" s="115">
        <f>IFERROR(VLOOKUP($B117,MMWR_TRAD_AGG_STATE_PEN[],R$1,0),"ERROR")</f>
        <v>33</v>
      </c>
      <c r="S117" s="115">
        <f>IFERROR(VLOOKUP($B117,MMWR_APP_STATE_PEN[],S$1,0),"ERROR")</f>
        <v>36</v>
      </c>
      <c r="T117" s="28"/>
    </row>
    <row r="118" spans="1:20" s="123" customFormat="1" x14ac:dyDescent="0.2">
      <c r="A118" s="28"/>
      <c r="B118" s="127" t="s">
        <v>83</v>
      </c>
      <c r="C118" s="109">
        <f>IFERROR(VLOOKUP($B118,MMWR_TRAD_AGG_STATE_PEN[],C$1,0),"ERROR")</f>
        <v>121</v>
      </c>
      <c r="D118" s="110">
        <f>IFERROR(VLOOKUP($B118,MMWR_TRAD_AGG_STATE_PEN[],D$1,0),"ERROR")</f>
        <v>42.900826446300002</v>
      </c>
      <c r="E118" s="111">
        <f>IFERROR(VLOOKUP($B118,MMWR_TRAD_AGG_STATE_PEN[],E$1,0),"ERROR")</f>
        <v>445</v>
      </c>
      <c r="F118" s="112">
        <f>IFERROR(VLOOKUP($B118,MMWR_TRAD_AGG_STATE_PEN[],F$1,0),"ERROR")</f>
        <v>17</v>
      </c>
      <c r="G118" s="113">
        <f t="shared" si="12"/>
        <v>3.8202247191011236E-2</v>
      </c>
      <c r="H118" s="111">
        <f>IFERROR(VLOOKUP($B118,MMWR_TRAD_AGG_STATE_PEN[],H$1,0),"ERROR")</f>
        <v>256</v>
      </c>
      <c r="I118" s="112">
        <f>IFERROR(VLOOKUP($B118,MMWR_TRAD_AGG_STATE_PEN[],I$1,0),"ERROR")</f>
        <v>23</v>
      </c>
      <c r="J118" s="114">
        <f t="shared" si="13"/>
        <v>8.984375E-2</v>
      </c>
      <c r="K118" s="111">
        <f>IFERROR(VLOOKUP($B118,MMWR_TRAD_AGG_STATE_PEN[],K$1,0),"ERROR")</f>
        <v>0</v>
      </c>
      <c r="L118" s="112">
        <f>IFERROR(VLOOKUP($B118,MMWR_TRAD_AGG_STATE_PEN[],L$1,0),"ERROR")</f>
        <v>0</v>
      </c>
      <c r="M118" s="114" t="str">
        <f t="shared" si="14"/>
        <v>0%</v>
      </c>
      <c r="N118" s="111">
        <f>IFERROR(VLOOKUP($B118,MMWR_TRAD_AGG_STATE_PEN[],N$1,0),"ERROR")</f>
        <v>15</v>
      </c>
      <c r="O118" s="112">
        <f>IFERROR(VLOOKUP($B118,MMWR_TRAD_AGG_STATE_PEN[],O$1,0),"ERROR")</f>
        <v>3</v>
      </c>
      <c r="P118" s="114">
        <f t="shared" si="15"/>
        <v>0.2</v>
      </c>
      <c r="Q118" s="115">
        <f>IFERROR(VLOOKUP($B118,MMWR_TRAD_AGG_STATE_PEN[],Q$1,0),"ERROR")</f>
        <v>240</v>
      </c>
      <c r="R118" s="115">
        <f>IFERROR(VLOOKUP($B118,MMWR_TRAD_AGG_STATE_PEN[],R$1,0),"ERROR")</f>
        <v>64</v>
      </c>
      <c r="S118" s="115">
        <f>IFERROR(VLOOKUP($B118,MMWR_APP_STATE_PEN[],S$1,0),"ERROR")</f>
        <v>67</v>
      </c>
      <c r="T118" s="28"/>
    </row>
    <row r="119" spans="1:20" s="123" customFormat="1" x14ac:dyDescent="0.2">
      <c r="A119" s="28"/>
      <c r="B119" s="126" t="s">
        <v>387</v>
      </c>
      <c r="C119" s="102">
        <f>IFERROR(VLOOKUP($B119,MMWR_TRAD_AGG_ST_DISTRICT_PEN[],C$1,0),"ERROR")</f>
        <v>6234</v>
      </c>
      <c r="D119" s="103">
        <f>IFERROR(VLOOKUP($B119,MMWR_TRAD_AGG_ST_DISTRICT_PEN[],D$1,0),"ERROR")</f>
        <v>108.4603785691</v>
      </c>
      <c r="E119" s="102">
        <f>IFERROR(VLOOKUP($B119,MMWR_TRAD_AGG_ST_DISTRICT_PEN[],E$1,0),"ERROR")</f>
        <v>7553</v>
      </c>
      <c r="F119" s="102">
        <f>IFERROR(VLOOKUP($B119,MMWR_TRAD_AGG_ST_DISTRICT_PEN[],F$1,0),"ERROR")</f>
        <v>1499</v>
      </c>
      <c r="G119" s="104">
        <f t="shared" si="12"/>
        <v>0.19846418641599364</v>
      </c>
      <c r="H119" s="102">
        <f>IFERROR(VLOOKUP($B119,MMWR_TRAD_AGG_ST_DISTRICT_PEN[],H$1,0),"ERROR")</f>
        <v>9272</v>
      </c>
      <c r="I119" s="102">
        <f>IFERROR(VLOOKUP($B119,MMWR_TRAD_AGG_ST_DISTRICT_PEN[],I$1,0),"ERROR")</f>
        <v>2787</v>
      </c>
      <c r="J119" s="104">
        <f t="shared" si="13"/>
        <v>0.30058239861949959</v>
      </c>
      <c r="K119" s="102">
        <f>IFERROR(VLOOKUP($B119,MMWR_TRAD_AGG_ST_DISTRICT_PEN[],K$1,0),"ERROR")</f>
        <v>193</v>
      </c>
      <c r="L119" s="102">
        <f>IFERROR(VLOOKUP($B119,MMWR_TRAD_AGG_ST_DISTRICT_PEN[],L$1,0),"ERROR")</f>
        <v>179</v>
      </c>
      <c r="M119" s="104">
        <f t="shared" si="14"/>
        <v>0.92746113989637302</v>
      </c>
      <c r="N119" s="102">
        <f>IFERROR(VLOOKUP($B119,MMWR_TRAD_AGG_ST_DISTRICT_PEN[],N$1,0),"ERROR")</f>
        <v>452</v>
      </c>
      <c r="O119" s="102">
        <f>IFERROR(VLOOKUP($B119,MMWR_TRAD_AGG_ST_DISTRICT_PEN[],O$1,0),"ERROR")</f>
        <v>162</v>
      </c>
      <c r="P119" s="104">
        <f t="shared" si="15"/>
        <v>0.3584070796460177</v>
      </c>
      <c r="Q119" s="102">
        <f>IFERROR(VLOOKUP($B119,MMWR_TRAD_AGG_ST_DISTRICT_PEN[],Q$1,0),"ERROR")</f>
        <v>913</v>
      </c>
      <c r="R119" s="106">
        <f>IFERROR(VLOOKUP($B119,MMWR_TRAD_AGG_ST_DISTRICT_PEN[],R$1,0),"ERROR")</f>
        <v>1756</v>
      </c>
      <c r="S119" s="106">
        <f>IFERROR(VLOOKUP($B119,MMWR_APP_STATE_PEN[],S$1,0),"ERROR")</f>
        <v>1504</v>
      </c>
      <c r="T119" s="28"/>
    </row>
    <row r="120" spans="1:20" s="123" customFormat="1" x14ac:dyDescent="0.2">
      <c r="A120" s="28"/>
      <c r="B120" s="127" t="s">
        <v>395</v>
      </c>
      <c r="C120" s="109">
        <f>IFERROR(VLOOKUP($B120,MMWR_TRAD_AGG_STATE_PEN[],C$1,0),"ERROR")</f>
        <v>375</v>
      </c>
      <c r="D120" s="110">
        <f>IFERROR(VLOOKUP($B120,MMWR_TRAD_AGG_STATE_PEN[],D$1,0),"ERROR")</f>
        <v>63.5946666667</v>
      </c>
      <c r="E120" s="111">
        <f>IFERROR(VLOOKUP($B120,MMWR_TRAD_AGG_STATE_PEN[],E$1,0),"ERROR")</f>
        <v>851</v>
      </c>
      <c r="F120" s="112">
        <f>IFERROR(VLOOKUP($B120,MMWR_TRAD_AGG_STATE_PEN[],F$1,0),"ERROR")</f>
        <v>47</v>
      </c>
      <c r="G120" s="113">
        <f t="shared" si="12"/>
        <v>5.5229142185663924E-2</v>
      </c>
      <c r="H120" s="111">
        <f>IFERROR(VLOOKUP($B120,MMWR_TRAD_AGG_STATE_PEN[],H$1,0),"ERROR")</f>
        <v>641</v>
      </c>
      <c r="I120" s="112">
        <f>IFERROR(VLOOKUP($B120,MMWR_TRAD_AGG_STATE_PEN[],I$1,0),"ERROR")</f>
        <v>47</v>
      </c>
      <c r="J120" s="114">
        <f t="shared" si="13"/>
        <v>7.3322932917316688E-2</v>
      </c>
      <c r="K120" s="111">
        <f>IFERROR(VLOOKUP($B120,MMWR_TRAD_AGG_STATE_PEN[],K$1,0),"ERROR")</f>
        <v>5</v>
      </c>
      <c r="L120" s="112">
        <f>IFERROR(VLOOKUP($B120,MMWR_TRAD_AGG_STATE_PEN[],L$1,0),"ERROR")</f>
        <v>4</v>
      </c>
      <c r="M120" s="114">
        <f t="shared" si="14"/>
        <v>0.8</v>
      </c>
      <c r="N120" s="111">
        <f>IFERROR(VLOOKUP($B120,MMWR_TRAD_AGG_STATE_PEN[],N$1,0),"ERROR")</f>
        <v>51</v>
      </c>
      <c r="O120" s="112">
        <f>IFERROR(VLOOKUP($B120,MMWR_TRAD_AGG_STATE_PEN[],O$1,0),"ERROR")</f>
        <v>9</v>
      </c>
      <c r="P120" s="114">
        <f t="shared" si="15"/>
        <v>0.17647058823529413</v>
      </c>
      <c r="Q120" s="115">
        <f>IFERROR(VLOOKUP($B120,MMWR_TRAD_AGG_STATE_PEN[],Q$1,0),"ERROR")</f>
        <v>138</v>
      </c>
      <c r="R120" s="115">
        <f>IFERROR(VLOOKUP($B120,MMWR_TRAD_AGG_STATE_PEN[],R$1,0),"ERROR")</f>
        <v>103</v>
      </c>
      <c r="S120" s="115">
        <f>IFERROR(VLOOKUP($B120,MMWR_APP_STATE_PEN[],S$1,0),"ERROR")</f>
        <v>183</v>
      </c>
      <c r="T120" s="28"/>
    </row>
    <row r="121" spans="1:20" s="123" customFormat="1" x14ac:dyDescent="0.2">
      <c r="A121" s="28"/>
      <c r="B121" s="127" t="s">
        <v>432</v>
      </c>
      <c r="C121" s="109">
        <f>IFERROR(VLOOKUP($B121,MMWR_TRAD_AGG_STATE_PEN[],C$1,0),"ERROR")</f>
        <v>2371</v>
      </c>
      <c r="D121" s="110">
        <f>IFERROR(VLOOKUP($B121,MMWR_TRAD_AGG_STATE_PEN[],D$1,0),"ERROR")</f>
        <v>113.41248418390001</v>
      </c>
      <c r="E121" s="111">
        <f>IFERROR(VLOOKUP($B121,MMWR_TRAD_AGG_STATE_PEN[],E$1,0),"ERROR")</f>
        <v>2901</v>
      </c>
      <c r="F121" s="112">
        <f>IFERROR(VLOOKUP($B121,MMWR_TRAD_AGG_STATE_PEN[],F$1,0),"ERROR")</f>
        <v>725</v>
      </c>
      <c r="G121" s="113">
        <f t="shared" si="12"/>
        <v>0.24991382281971733</v>
      </c>
      <c r="H121" s="111">
        <f>IFERROR(VLOOKUP($B121,MMWR_TRAD_AGG_STATE_PEN[],H$1,0),"ERROR")</f>
        <v>3363</v>
      </c>
      <c r="I121" s="112">
        <f>IFERROR(VLOOKUP($B121,MMWR_TRAD_AGG_STATE_PEN[],I$1,0),"ERROR")</f>
        <v>1150</v>
      </c>
      <c r="J121" s="114">
        <f t="shared" si="13"/>
        <v>0.34195658638120724</v>
      </c>
      <c r="K121" s="111">
        <f>IFERROR(VLOOKUP($B121,MMWR_TRAD_AGG_STATE_PEN[],K$1,0),"ERROR")</f>
        <v>90</v>
      </c>
      <c r="L121" s="112">
        <f>IFERROR(VLOOKUP($B121,MMWR_TRAD_AGG_STATE_PEN[],L$1,0),"ERROR")</f>
        <v>85</v>
      </c>
      <c r="M121" s="114">
        <f t="shared" si="14"/>
        <v>0.94444444444444442</v>
      </c>
      <c r="N121" s="111">
        <f>IFERROR(VLOOKUP($B121,MMWR_TRAD_AGG_STATE_PEN[],N$1,0),"ERROR")</f>
        <v>156</v>
      </c>
      <c r="O121" s="112">
        <f>IFERROR(VLOOKUP($B121,MMWR_TRAD_AGG_STATE_PEN[],O$1,0),"ERROR")</f>
        <v>63</v>
      </c>
      <c r="P121" s="114">
        <f t="shared" si="15"/>
        <v>0.40384615384615385</v>
      </c>
      <c r="Q121" s="115">
        <f>IFERROR(VLOOKUP($B121,MMWR_TRAD_AGG_STATE_PEN[],Q$1,0),"ERROR")</f>
        <v>307</v>
      </c>
      <c r="R121" s="115">
        <f>IFERROR(VLOOKUP($B121,MMWR_TRAD_AGG_STATE_PEN[],R$1,0),"ERROR")</f>
        <v>696</v>
      </c>
      <c r="S121" s="115">
        <f>IFERROR(VLOOKUP($B121,MMWR_APP_STATE_PEN[],S$1,0),"ERROR")</f>
        <v>480</v>
      </c>
      <c r="T121" s="28"/>
    </row>
    <row r="122" spans="1:20" s="123" customFormat="1" x14ac:dyDescent="0.2">
      <c r="A122" s="28"/>
      <c r="B122" s="127" t="s">
        <v>388</v>
      </c>
      <c r="C122" s="109">
        <f>IFERROR(VLOOKUP($B122,MMWR_TRAD_AGG_STATE_PEN[],C$1,0),"ERROR")</f>
        <v>1196</v>
      </c>
      <c r="D122" s="110">
        <f>IFERROR(VLOOKUP($B122,MMWR_TRAD_AGG_STATE_PEN[],D$1,0),"ERROR")</f>
        <v>120.4849498328</v>
      </c>
      <c r="E122" s="111">
        <f>IFERROR(VLOOKUP($B122,MMWR_TRAD_AGG_STATE_PEN[],E$1,0),"ERROR")</f>
        <v>1315</v>
      </c>
      <c r="F122" s="112">
        <f>IFERROR(VLOOKUP($B122,MMWR_TRAD_AGG_STATE_PEN[],F$1,0),"ERROR")</f>
        <v>331</v>
      </c>
      <c r="G122" s="113">
        <f t="shared" si="12"/>
        <v>0.25171102661596956</v>
      </c>
      <c r="H122" s="111">
        <f>IFERROR(VLOOKUP($B122,MMWR_TRAD_AGG_STATE_PEN[],H$1,0),"ERROR")</f>
        <v>1694</v>
      </c>
      <c r="I122" s="112">
        <f>IFERROR(VLOOKUP($B122,MMWR_TRAD_AGG_STATE_PEN[],I$1,0),"ERROR")</f>
        <v>598</v>
      </c>
      <c r="J122" s="114">
        <f t="shared" si="13"/>
        <v>0.35301062573789849</v>
      </c>
      <c r="K122" s="111">
        <f>IFERROR(VLOOKUP($B122,MMWR_TRAD_AGG_STATE_PEN[],K$1,0),"ERROR")</f>
        <v>54</v>
      </c>
      <c r="L122" s="112">
        <f>IFERROR(VLOOKUP($B122,MMWR_TRAD_AGG_STATE_PEN[],L$1,0),"ERROR")</f>
        <v>51</v>
      </c>
      <c r="M122" s="114">
        <f t="shared" si="14"/>
        <v>0.94444444444444442</v>
      </c>
      <c r="N122" s="111">
        <f>IFERROR(VLOOKUP($B122,MMWR_TRAD_AGG_STATE_PEN[],N$1,0),"ERROR")</f>
        <v>85</v>
      </c>
      <c r="O122" s="112">
        <f>IFERROR(VLOOKUP($B122,MMWR_TRAD_AGG_STATE_PEN[],O$1,0),"ERROR")</f>
        <v>40</v>
      </c>
      <c r="P122" s="114">
        <f t="shared" si="15"/>
        <v>0.47058823529411764</v>
      </c>
      <c r="Q122" s="115">
        <f>IFERROR(VLOOKUP($B122,MMWR_TRAD_AGG_STATE_PEN[],Q$1,0),"ERROR")</f>
        <v>118</v>
      </c>
      <c r="R122" s="115">
        <f>IFERROR(VLOOKUP($B122,MMWR_TRAD_AGG_STATE_PEN[],R$1,0),"ERROR")</f>
        <v>452</v>
      </c>
      <c r="S122" s="115">
        <f>IFERROR(VLOOKUP($B122,MMWR_APP_STATE_PEN[],S$1,0),"ERROR")</f>
        <v>282</v>
      </c>
      <c r="T122" s="28"/>
    </row>
    <row r="123" spans="1:20" s="123" customFormat="1" x14ac:dyDescent="0.2">
      <c r="A123" s="28"/>
      <c r="B123" s="127" t="s">
        <v>400</v>
      </c>
      <c r="C123" s="109">
        <f>IFERROR(VLOOKUP($B123,MMWR_TRAD_AGG_STATE_PEN[],C$1,0),"ERROR")</f>
        <v>165</v>
      </c>
      <c r="D123" s="110">
        <f>IFERROR(VLOOKUP($B123,MMWR_TRAD_AGG_STATE_PEN[],D$1,0),"ERROR")</f>
        <v>63.739393939400003</v>
      </c>
      <c r="E123" s="111">
        <f>IFERROR(VLOOKUP($B123,MMWR_TRAD_AGG_STATE_PEN[],E$1,0),"ERROR")</f>
        <v>412</v>
      </c>
      <c r="F123" s="112">
        <f>IFERROR(VLOOKUP($B123,MMWR_TRAD_AGG_STATE_PEN[],F$1,0),"ERROR")</f>
        <v>33</v>
      </c>
      <c r="G123" s="113">
        <f t="shared" si="12"/>
        <v>8.0097087378640783E-2</v>
      </c>
      <c r="H123" s="111">
        <f>IFERROR(VLOOKUP($B123,MMWR_TRAD_AGG_STATE_PEN[],H$1,0),"ERROR")</f>
        <v>294</v>
      </c>
      <c r="I123" s="112">
        <f>IFERROR(VLOOKUP($B123,MMWR_TRAD_AGG_STATE_PEN[],I$1,0),"ERROR")</f>
        <v>35</v>
      </c>
      <c r="J123" s="114">
        <f t="shared" si="13"/>
        <v>0.11904761904761904</v>
      </c>
      <c r="K123" s="111">
        <f>IFERROR(VLOOKUP($B123,MMWR_TRAD_AGG_STATE_PEN[],K$1,0),"ERROR")</f>
        <v>2</v>
      </c>
      <c r="L123" s="112">
        <f>IFERROR(VLOOKUP($B123,MMWR_TRAD_AGG_STATE_PEN[],L$1,0),"ERROR")</f>
        <v>1</v>
      </c>
      <c r="M123" s="114">
        <f t="shared" si="14"/>
        <v>0.5</v>
      </c>
      <c r="N123" s="111">
        <f>IFERROR(VLOOKUP($B123,MMWR_TRAD_AGG_STATE_PEN[],N$1,0),"ERROR")</f>
        <v>48</v>
      </c>
      <c r="O123" s="112">
        <f>IFERROR(VLOOKUP($B123,MMWR_TRAD_AGG_STATE_PEN[],O$1,0),"ERROR")</f>
        <v>4</v>
      </c>
      <c r="P123" s="114">
        <f t="shared" si="15"/>
        <v>8.3333333333333329E-2</v>
      </c>
      <c r="Q123" s="115">
        <f>IFERROR(VLOOKUP($B123,MMWR_TRAD_AGG_STATE_PEN[],Q$1,0),"ERROR")</f>
        <v>65</v>
      </c>
      <c r="R123" s="115">
        <f>IFERROR(VLOOKUP($B123,MMWR_TRAD_AGG_STATE_PEN[],R$1,0),"ERROR")</f>
        <v>66</v>
      </c>
      <c r="S123" s="115">
        <f>IFERROR(VLOOKUP($B123,MMWR_APP_STATE_PEN[],S$1,0),"ERROR")</f>
        <v>97</v>
      </c>
      <c r="T123" s="28"/>
    </row>
    <row r="124" spans="1:20" s="123" customFormat="1" x14ac:dyDescent="0.2">
      <c r="A124" s="28"/>
      <c r="B124" s="127" t="s">
        <v>434</v>
      </c>
      <c r="C124" s="109">
        <f>IFERROR(VLOOKUP($B124,MMWR_TRAD_AGG_STATE_PEN[],C$1,0),"ERROR")</f>
        <v>979</v>
      </c>
      <c r="D124" s="110">
        <f>IFERROR(VLOOKUP($B124,MMWR_TRAD_AGG_STATE_PEN[],D$1,0),"ERROR")</f>
        <v>121.52911133809999</v>
      </c>
      <c r="E124" s="111">
        <f>IFERROR(VLOOKUP($B124,MMWR_TRAD_AGG_STATE_PEN[],E$1,0),"ERROR")</f>
        <v>491</v>
      </c>
      <c r="F124" s="112">
        <f>IFERROR(VLOOKUP($B124,MMWR_TRAD_AGG_STATE_PEN[],F$1,0),"ERROR")</f>
        <v>114</v>
      </c>
      <c r="G124" s="113">
        <f t="shared" si="12"/>
        <v>0.23217922606924643</v>
      </c>
      <c r="H124" s="111">
        <f>IFERROR(VLOOKUP($B124,MMWR_TRAD_AGG_STATE_PEN[],H$1,0),"ERROR")</f>
        <v>1555</v>
      </c>
      <c r="I124" s="112">
        <f>IFERROR(VLOOKUP($B124,MMWR_TRAD_AGG_STATE_PEN[],I$1,0),"ERROR")</f>
        <v>532</v>
      </c>
      <c r="J124" s="114">
        <f t="shared" si="13"/>
        <v>0.34212218649517684</v>
      </c>
      <c r="K124" s="111">
        <f>IFERROR(VLOOKUP($B124,MMWR_TRAD_AGG_STATE_PEN[],K$1,0),"ERROR")</f>
        <v>23</v>
      </c>
      <c r="L124" s="112">
        <f>IFERROR(VLOOKUP($B124,MMWR_TRAD_AGG_STATE_PEN[],L$1,0),"ERROR")</f>
        <v>21</v>
      </c>
      <c r="M124" s="114">
        <f t="shared" si="14"/>
        <v>0.91304347826086951</v>
      </c>
      <c r="N124" s="111">
        <f>IFERROR(VLOOKUP($B124,MMWR_TRAD_AGG_STATE_PEN[],N$1,0),"ERROR")</f>
        <v>24</v>
      </c>
      <c r="O124" s="112">
        <f>IFERROR(VLOOKUP($B124,MMWR_TRAD_AGG_STATE_PEN[],O$1,0),"ERROR")</f>
        <v>15</v>
      </c>
      <c r="P124" s="114">
        <f t="shared" si="15"/>
        <v>0.625</v>
      </c>
      <c r="Q124" s="115">
        <f>IFERROR(VLOOKUP($B124,MMWR_TRAD_AGG_STATE_PEN[],Q$1,0),"ERROR")</f>
        <v>60</v>
      </c>
      <c r="R124" s="115">
        <f>IFERROR(VLOOKUP($B124,MMWR_TRAD_AGG_STATE_PEN[],R$1,0),"ERROR")</f>
        <v>116</v>
      </c>
      <c r="S124" s="115">
        <f>IFERROR(VLOOKUP($B124,MMWR_APP_STATE_PEN[],S$1,0),"ERROR")</f>
        <v>114</v>
      </c>
      <c r="T124" s="28"/>
    </row>
    <row r="125" spans="1:20" s="123" customFormat="1" x14ac:dyDescent="0.2">
      <c r="A125" s="28"/>
      <c r="B125" s="127" t="s">
        <v>390</v>
      </c>
      <c r="C125" s="109">
        <f>IFERROR(VLOOKUP($B125,MMWR_TRAD_AGG_STATE_PEN[],C$1,0),"ERROR")</f>
        <v>856</v>
      </c>
      <c r="D125" s="110">
        <f>IFERROR(VLOOKUP($B125,MMWR_TRAD_AGG_STATE_PEN[],D$1,0),"ERROR")</f>
        <v>109.64953271029999</v>
      </c>
      <c r="E125" s="111">
        <f>IFERROR(VLOOKUP($B125,MMWR_TRAD_AGG_STATE_PEN[],E$1,0),"ERROR")</f>
        <v>833</v>
      </c>
      <c r="F125" s="112">
        <f>IFERROR(VLOOKUP($B125,MMWR_TRAD_AGG_STATE_PEN[],F$1,0),"ERROR")</f>
        <v>213</v>
      </c>
      <c r="G125" s="113">
        <f t="shared" si="12"/>
        <v>0.25570228091236497</v>
      </c>
      <c r="H125" s="111">
        <f>IFERROR(VLOOKUP($B125,MMWR_TRAD_AGG_STATE_PEN[],H$1,0),"ERROR")</f>
        <v>1212</v>
      </c>
      <c r="I125" s="112">
        <f>IFERROR(VLOOKUP($B125,MMWR_TRAD_AGG_STATE_PEN[],I$1,0),"ERROR")</f>
        <v>375</v>
      </c>
      <c r="J125" s="114">
        <f t="shared" si="13"/>
        <v>0.3094059405940594</v>
      </c>
      <c r="K125" s="111">
        <f>IFERROR(VLOOKUP($B125,MMWR_TRAD_AGG_STATE_PEN[],K$1,0),"ERROR")</f>
        <v>16</v>
      </c>
      <c r="L125" s="112">
        <f>IFERROR(VLOOKUP($B125,MMWR_TRAD_AGG_STATE_PEN[],L$1,0),"ERROR")</f>
        <v>14</v>
      </c>
      <c r="M125" s="114">
        <f t="shared" si="14"/>
        <v>0.875</v>
      </c>
      <c r="N125" s="111">
        <f>IFERROR(VLOOKUP($B125,MMWR_TRAD_AGG_STATE_PEN[],N$1,0),"ERROR")</f>
        <v>40</v>
      </c>
      <c r="O125" s="112">
        <f>IFERROR(VLOOKUP($B125,MMWR_TRAD_AGG_STATE_PEN[],O$1,0),"ERROR")</f>
        <v>16</v>
      </c>
      <c r="P125" s="114">
        <f t="shared" si="15"/>
        <v>0.4</v>
      </c>
      <c r="Q125" s="115">
        <f>IFERROR(VLOOKUP($B125,MMWR_TRAD_AGG_STATE_PEN[],Q$1,0),"ERROR")</f>
        <v>105</v>
      </c>
      <c r="R125" s="115">
        <f>IFERROR(VLOOKUP($B125,MMWR_TRAD_AGG_STATE_PEN[],R$1,0),"ERROR")</f>
        <v>265</v>
      </c>
      <c r="S125" s="115">
        <f>IFERROR(VLOOKUP($B125,MMWR_APP_STATE_PEN[],S$1,0),"ERROR")</f>
        <v>146</v>
      </c>
      <c r="T125" s="28"/>
    </row>
    <row r="126" spans="1:20" s="123" customFormat="1" x14ac:dyDescent="0.2">
      <c r="A126" s="28"/>
      <c r="B126" s="127" t="s">
        <v>391</v>
      </c>
      <c r="C126" s="109">
        <f>IFERROR(VLOOKUP($B126,MMWR_TRAD_AGG_STATE_PEN[],C$1,0),"ERROR")</f>
        <v>292</v>
      </c>
      <c r="D126" s="110">
        <f>IFERROR(VLOOKUP($B126,MMWR_TRAD_AGG_STATE_PEN[],D$1,0),"ERROR")</f>
        <v>54.585616438400002</v>
      </c>
      <c r="E126" s="111">
        <f>IFERROR(VLOOKUP($B126,MMWR_TRAD_AGG_STATE_PEN[],E$1,0),"ERROR")</f>
        <v>750</v>
      </c>
      <c r="F126" s="112">
        <f>IFERROR(VLOOKUP($B126,MMWR_TRAD_AGG_STATE_PEN[],F$1,0),"ERROR")</f>
        <v>36</v>
      </c>
      <c r="G126" s="113">
        <f t="shared" si="12"/>
        <v>4.8000000000000001E-2</v>
      </c>
      <c r="H126" s="111">
        <f>IFERROR(VLOOKUP($B126,MMWR_TRAD_AGG_STATE_PEN[],H$1,0),"ERROR")</f>
        <v>513</v>
      </c>
      <c r="I126" s="112">
        <f>IFERROR(VLOOKUP($B126,MMWR_TRAD_AGG_STATE_PEN[],I$1,0),"ERROR")</f>
        <v>50</v>
      </c>
      <c r="J126" s="114">
        <f t="shared" si="13"/>
        <v>9.7465886939571145E-2</v>
      </c>
      <c r="K126" s="111">
        <f>IFERROR(VLOOKUP($B126,MMWR_TRAD_AGG_STATE_PEN[],K$1,0),"ERROR")</f>
        <v>3</v>
      </c>
      <c r="L126" s="112">
        <f>IFERROR(VLOOKUP($B126,MMWR_TRAD_AGG_STATE_PEN[],L$1,0),"ERROR")</f>
        <v>3</v>
      </c>
      <c r="M126" s="114">
        <f t="shared" si="14"/>
        <v>1</v>
      </c>
      <c r="N126" s="111">
        <f>IFERROR(VLOOKUP($B126,MMWR_TRAD_AGG_STATE_PEN[],N$1,0),"ERROR")</f>
        <v>48</v>
      </c>
      <c r="O126" s="112">
        <f>IFERROR(VLOOKUP($B126,MMWR_TRAD_AGG_STATE_PEN[],O$1,0),"ERROR")</f>
        <v>15</v>
      </c>
      <c r="P126" s="114">
        <f t="shared" si="15"/>
        <v>0.3125</v>
      </c>
      <c r="Q126" s="115">
        <f>IFERROR(VLOOKUP($B126,MMWR_TRAD_AGG_STATE_PEN[],Q$1,0),"ERROR")</f>
        <v>120</v>
      </c>
      <c r="R126" s="115">
        <f>IFERROR(VLOOKUP($B126,MMWR_TRAD_AGG_STATE_PEN[],R$1,0),"ERROR")</f>
        <v>58</v>
      </c>
      <c r="S126" s="115">
        <f>IFERROR(VLOOKUP($B126,MMWR_APP_STATE_PEN[],S$1,0),"ERROR")</f>
        <v>202</v>
      </c>
      <c r="T126" s="28"/>
    </row>
    <row r="127" spans="1:20" s="123" customFormat="1" x14ac:dyDescent="0.2">
      <c r="A127" s="28"/>
      <c r="B127" s="128" t="s">
        <v>8</v>
      </c>
      <c r="C127" s="102">
        <f>IFERROR(VLOOKUP($B127,MMWR_TRAD_AGG_ST_DISTRICT_PEN[],C$1,0),"ERROR")</f>
        <v>150</v>
      </c>
      <c r="D127" s="103">
        <f>IFERROR(VLOOKUP($B127,MMWR_TRAD_AGG_ST_DISTRICT_PEN[],D$1,0),"ERROR")</f>
        <v>109.64</v>
      </c>
      <c r="E127" s="102">
        <f>IFERROR(VLOOKUP($B127,MMWR_TRAD_AGG_ST_DISTRICT_PEN[],E$1,0),"ERROR")</f>
        <v>169</v>
      </c>
      <c r="F127" s="102">
        <f>IFERROR(VLOOKUP($B127,MMWR_TRAD_AGG_ST_DISTRICT_PEN[],F$1,0),"ERROR")</f>
        <v>69</v>
      </c>
      <c r="G127" s="104">
        <f t="shared" si="12"/>
        <v>0.40828402366863903</v>
      </c>
      <c r="H127" s="102">
        <f>IFERROR(VLOOKUP($B127,MMWR_TRAD_AGG_ST_DISTRICT_PEN[],H$1,0),"ERROR")</f>
        <v>305</v>
      </c>
      <c r="I127" s="102">
        <f>IFERROR(VLOOKUP($B127,MMWR_TRAD_AGG_ST_DISTRICT_PEN[],I$1,0),"ERROR")</f>
        <v>156</v>
      </c>
      <c r="J127" s="104">
        <f t="shared" si="13"/>
        <v>0.51147540983606554</v>
      </c>
      <c r="K127" s="102">
        <f>IFERROR(VLOOKUP($B127,MMWR_TRAD_AGG_ST_DISTRICT_PEN[],K$1,0),"ERROR")</f>
        <v>16</v>
      </c>
      <c r="L127" s="102">
        <f>IFERROR(VLOOKUP($B127,MMWR_TRAD_AGG_ST_DISTRICT_PEN[],L$1,0),"ERROR")</f>
        <v>13</v>
      </c>
      <c r="M127" s="104">
        <f t="shared" si="14"/>
        <v>0.8125</v>
      </c>
      <c r="N127" s="102">
        <f>IFERROR(VLOOKUP($B127,MMWR_TRAD_AGG_ST_DISTRICT_PEN[],N$1,0),"ERROR")</f>
        <v>16</v>
      </c>
      <c r="O127" s="102">
        <f>IFERROR(VLOOKUP($B127,MMWR_TRAD_AGG_ST_DISTRICT_PEN[],O$1,0),"ERROR")</f>
        <v>11</v>
      </c>
      <c r="P127" s="104">
        <f t="shared" si="15"/>
        <v>0.6875</v>
      </c>
      <c r="Q127" s="102">
        <f>IFERROR(VLOOKUP($B127,MMWR_TRAD_AGG_ST_DISTRICT_PEN[],Q$1,0),"ERROR")</f>
        <v>45</v>
      </c>
      <c r="R127" s="106">
        <f>IFERROR(VLOOKUP($B127,MMWR_TRAD_AGG_ST_DISTRICT_PEN[],R$1,0),"ERROR")</f>
        <v>14</v>
      </c>
      <c r="S127" s="106">
        <f>IFERROR(VLOOKUP($B127,MMWR_APP_STATE_PEN[],S$1,0),"ERROR")</f>
        <v>10</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66:S66"/>
    <mergeCell ref="C67:D67"/>
    <mergeCell ref="E67:G67"/>
    <mergeCell ref="H67:J67"/>
    <mergeCell ref="K67:M67"/>
    <mergeCell ref="N67:P67"/>
    <mergeCell ref="C5:S5"/>
    <mergeCell ref="C2:S2"/>
    <mergeCell ref="C3:D3"/>
    <mergeCell ref="E3:G3"/>
    <mergeCell ref="H3:J3"/>
    <mergeCell ref="K3:M3"/>
    <mergeCell ref="N3:P3"/>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55" zoomScaleNormal="55" workbookViewId="0"/>
  </sheetViews>
  <sheetFormatPr defaultRowHeight="12.75" x14ac:dyDescent="0.2"/>
  <cols>
    <col min="2" max="2" width="36.28515625" customWidth="1"/>
    <col min="3" max="3" width="7.42578125" customWidth="1"/>
    <col min="4" max="4" width="10.85546875" customWidth="1"/>
    <col min="6" max="6" width="36" customWidth="1"/>
    <col min="7" max="7" width="10.5703125" customWidth="1"/>
    <col min="8" max="8" width="12.5703125" customWidth="1"/>
    <col min="9" max="9" width="8.42578125" customWidth="1"/>
    <col min="10" max="10" width="12.140625" customWidth="1"/>
    <col min="11" max="11" width="7.140625" customWidth="1"/>
    <col min="12" max="12" width="10.85546875" customWidth="1"/>
    <col min="13" max="13" width="13.140625" customWidth="1"/>
    <col min="14" max="14" width="17" customWidth="1"/>
    <col min="15" max="15" width="6.5703125" customWidth="1"/>
    <col min="16" max="16" width="10.28515625" customWidth="1"/>
    <col min="17" max="18" width="6.85546875" customWidth="1"/>
    <col min="20" max="20" width="33.85546875" customWidth="1"/>
    <col min="21" max="21" width="10.5703125" customWidth="1"/>
    <col min="22" max="22" width="12.5703125" customWidth="1"/>
    <col min="23" max="23" width="8.42578125" customWidth="1"/>
    <col min="24" max="24" width="10" customWidth="1"/>
    <col min="25" max="25" width="7.140625" customWidth="1"/>
    <col min="26" max="26" width="10.85546875" customWidth="1"/>
    <col min="27" max="27" width="13.140625" customWidth="1"/>
    <col min="28" max="28" width="12.140625" customWidth="1"/>
    <col min="29" max="29" width="6.5703125" customWidth="1"/>
    <col min="30" max="30" width="10.28515625" customWidth="1"/>
    <col min="31" max="32" width="6.85546875" customWidth="1"/>
    <col min="34" max="34" width="40.140625" customWidth="1"/>
    <col min="35" max="35" width="10.5703125" customWidth="1"/>
    <col min="36" max="36" width="12.5703125" customWidth="1"/>
    <col min="37" max="37" width="8.42578125" customWidth="1"/>
    <col min="38" max="38" width="12.140625" customWidth="1"/>
    <col min="39" max="39" width="7.140625" customWidth="1"/>
    <col min="40" max="40" width="10.85546875" customWidth="1"/>
    <col min="41" max="41" width="13.140625" customWidth="1"/>
    <col min="42" max="42" width="17" customWidth="1"/>
    <col min="43" max="43" width="6.5703125" customWidth="1"/>
    <col min="44" max="44" width="10.28515625" customWidth="1"/>
    <col min="45" max="46" width="6.85546875" customWidth="1"/>
    <col min="48" max="48" width="38" customWidth="1"/>
    <col min="49" max="49" width="10.5703125" customWidth="1"/>
    <col min="50" max="50" width="12.5703125" customWidth="1"/>
    <col min="51" max="51" width="8.42578125" customWidth="1"/>
    <col min="52" max="52" width="10" customWidth="1"/>
    <col min="53" max="53" width="7.140625" customWidth="1"/>
    <col min="54" max="54" width="10.85546875" customWidth="1"/>
    <col min="55" max="55" width="13.140625" customWidth="1"/>
    <col min="56" max="56" width="12.140625" customWidth="1"/>
    <col min="57" max="57" width="6.5703125" customWidth="1"/>
    <col min="58" max="58" width="10.28515625" customWidth="1"/>
    <col min="59" max="60" width="6.85546875" customWidth="1"/>
    <col min="62" max="62" width="34.7109375" bestFit="1" customWidth="1"/>
    <col min="63" max="63" width="14.7109375" bestFit="1" customWidth="1"/>
    <col min="64" max="64" width="20.85546875" bestFit="1" customWidth="1"/>
    <col min="65" max="65" width="25.28515625" bestFit="1" customWidth="1"/>
    <col min="66" max="66" width="12.85546875" bestFit="1" customWidth="1"/>
    <col min="67" max="67" width="30.5703125" bestFit="1" customWidth="1"/>
    <col min="68" max="68" width="29.7109375" bestFit="1" customWidth="1"/>
    <col min="69" max="69" width="20.140625" bestFit="1" customWidth="1"/>
    <col min="70" max="70" width="19.42578125" bestFit="1" customWidth="1"/>
    <col min="71" max="71" width="20.7109375" bestFit="1" customWidth="1"/>
    <col min="72" max="72" width="25.140625" bestFit="1" customWidth="1"/>
    <col min="73" max="73" width="12.5703125" bestFit="1" customWidth="1"/>
    <col min="74" max="74" width="30.28515625" bestFit="1" customWidth="1"/>
    <col min="75" max="75" width="29.42578125" bestFit="1" customWidth="1"/>
    <col min="76" max="76" width="19.85546875" bestFit="1" customWidth="1"/>
    <col min="77" max="77" width="19.140625" bestFit="1" customWidth="1"/>
    <col min="78" max="78" width="8" customWidth="1"/>
    <col min="79" max="79" width="44.85546875" customWidth="1"/>
    <col min="80" max="80" width="26.42578125" customWidth="1"/>
    <col min="81" max="81" width="22.7109375" customWidth="1"/>
    <col min="82" max="82" width="23.5703125" customWidth="1"/>
    <col min="83" max="83" width="28" customWidth="1"/>
    <col min="84" max="84" width="15.42578125" customWidth="1"/>
    <col min="85" max="85" width="33.140625" customWidth="1"/>
    <col min="86" max="86" width="32.28515625" customWidth="1"/>
    <col min="87" max="87" width="22.42578125" customWidth="1"/>
    <col min="88" max="88" width="21.7109375" customWidth="1"/>
    <col min="89" max="89" width="6.28515625" customWidth="1"/>
    <col min="90" max="90" width="45.5703125" customWidth="1"/>
    <col min="91" max="91" width="26.42578125" customWidth="1"/>
    <col min="92" max="92" width="23.28515625" customWidth="1"/>
    <col min="93" max="93" width="23.5703125" customWidth="1"/>
    <col min="94" max="94" width="28" customWidth="1"/>
    <col min="95" max="95" width="15.42578125" customWidth="1"/>
    <col min="96" max="96" width="33.140625" customWidth="1"/>
    <col min="97" max="97" width="32.28515625" customWidth="1"/>
    <col min="98" max="98" width="22.42578125" customWidth="1"/>
    <col min="99" max="99" width="21.7109375" customWidth="1"/>
    <col min="100" max="100" width="10.28515625" customWidth="1"/>
    <col min="101" max="101" width="44.85546875" customWidth="1"/>
    <col min="102" max="102" width="26.42578125" customWidth="1"/>
    <col min="103" max="103" width="22.7109375" customWidth="1"/>
    <col min="104" max="104" width="23.5703125" customWidth="1"/>
    <col min="105" max="105" width="28" customWidth="1"/>
    <col min="106" max="106" width="15.42578125" customWidth="1"/>
    <col min="107" max="107" width="33.140625" customWidth="1"/>
    <col min="108" max="108" width="32.28515625" customWidth="1"/>
    <col min="109" max="109" width="22.42578125" customWidth="1"/>
    <col min="110" max="110" width="21.7109375" customWidth="1"/>
    <col min="111" max="111" width="7.140625" customWidth="1"/>
    <col min="112" max="112" width="45.140625" customWidth="1"/>
    <col min="113" max="113" width="26.42578125" customWidth="1"/>
    <col min="114" max="114" width="23" customWidth="1"/>
    <col min="115" max="115" width="23.5703125" customWidth="1"/>
    <col min="116" max="116" width="28" customWidth="1"/>
    <col min="117" max="117" width="15.42578125" customWidth="1"/>
    <col min="118" max="118" width="33.140625" customWidth="1"/>
    <col min="119" max="119" width="32.28515625" customWidth="1"/>
    <col min="120" max="120" width="22.42578125" customWidth="1"/>
    <col min="121" max="121" width="21.7109375" customWidth="1"/>
    <col min="122" max="122" width="7.42578125" customWidth="1"/>
    <col min="123" max="123" width="10.42578125" customWidth="1"/>
    <col min="124" max="124" width="7.140625" customWidth="1"/>
    <col min="125" max="125" width="7.7109375" customWidth="1"/>
  </cols>
  <sheetData>
    <row r="2" spans="2:121" x14ac:dyDescent="0.2">
      <c r="B2" t="s">
        <v>660</v>
      </c>
      <c r="C2" t="s">
        <v>463</v>
      </c>
      <c r="D2" t="s">
        <v>465</v>
      </c>
      <c r="F2" t="s">
        <v>659</v>
      </c>
      <c r="G2" t="s">
        <v>312</v>
      </c>
      <c r="H2" t="s">
        <v>139</v>
      </c>
      <c r="I2" t="s">
        <v>220</v>
      </c>
      <c r="J2" t="s">
        <v>221</v>
      </c>
      <c r="K2" t="s">
        <v>222</v>
      </c>
      <c r="L2" t="s">
        <v>223</v>
      </c>
      <c r="M2" t="s">
        <v>224</v>
      </c>
      <c r="N2" t="s">
        <v>225</v>
      </c>
      <c r="O2" t="s">
        <v>226</v>
      </c>
      <c r="P2" t="s">
        <v>227</v>
      </c>
      <c r="Q2" t="s">
        <v>228</v>
      </c>
      <c r="R2" t="s">
        <v>229</v>
      </c>
      <c r="T2" t="s">
        <v>658</v>
      </c>
      <c r="U2" t="s">
        <v>312</v>
      </c>
      <c r="V2" t="s">
        <v>139</v>
      </c>
      <c r="W2" t="s">
        <v>220</v>
      </c>
      <c r="X2" t="s">
        <v>466</v>
      </c>
      <c r="Y2" t="s">
        <v>222</v>
      </c>
      <c r="Z2" t="s">
        <v>223</v>
      </c>
      <c r="AA2" t="s">
        <v>224</v>
      </c>
      <c r="AB2" t="s">
        <v>467</v>
      </c>
      <c r="AC2" t="s">
        <v>226</v>
      </c>
      <c r="AD2" t="s">
        <v>227</v>
      </c>
      <c r="AE2" t="s">
        <v>228</v>
      </c>
      <c r="AF2" t="s">
        <v>229</v>
      </c>
      <c r="AH2" t="s">
        <v>657</v>
      </c>
      <c r="AI2" t="s">
        <v>312</v>
      </c>
      <c r="AJ2" t="s">
        <v>139</v>
      </c>
      <c r="AK2" t="s">
        <v>220</v>
      </c>
      <c r="AL2" t="s">
        <v>221</v>
      </c>
      <c r="AM2" t="s">
        <v>222</v>
      </c>
      <c r="AN2" t="s">
        <v>223</v>
      </c>
      <c r="AO2" t="s">
        <v>224</v>
      </c>
      <c r="AP2" t="s">
        <v>225</v>
      </c>
      <c r="AQ2" t="s">
        <v>226</v>
      </c>
      <c r="AR2" t="s">
        <v>227</v>
      </c>
      <c r="AS2" t="s">
        <v>228</v>
      </c>
      <c r="AT2" t="s">
        <v>229</v>
      </c>
      <c r="AV2" t="s">
        <v>656</v>
      </c>
      <c r="AW2" t="s">
        <v>312</v>
      </c>
      <c r="AX2" t="s">
        <v>139</v>
      </c>
      <c r="AY2" t="s">
        <v>220</v>
      </c>
      <c r="AZ2" t="s">
        <v>466</v>
      </c>
      <c r="BA2" t="s">
        <v>222</v>
      </c>
      <c r="BB2" t="s">
        <v>223</v>
      </c>
      <c r="BC2" t="s">
        <v>224</v>
      </c>
      <c r="BD2" t="s">
        <v>467</v>
      </c>
      <c r="BE2" t="s">
        <v>226</v>
      </c>
      <c r="BF2" t="s">
        <v>227</v>
      </c>
      <c r="BG2" t="s">
        <v>228</v>
      </c>
      <c r="BH2" t="s">
        <v>229</v>
      </c>
      <c r="BJ2" t="s">
        <v>718</v>
      </c>
      <c r="BK2" t="s">
        <v>737</v>
      </c>
      <c r="BL2" t="s">
        <v>706</v>
      </c>
      <c r="BM2" t="s">
        <v>707</v>
      </c>
      <c r="BN2" t="s">
        <v>708</v>
      </c>
      <c r="BO2" t="s">
        <v>709</v>
      </c>
      <c r="BP2" t="s">
        <v>710</v>
      </c>
      <c r="BQ2" t="s">
        <v>719</v>
      </c>
      <c r="BR2" t="s">
        <v>720</v>
      </c>
      <c r="BS2" t="s">
        <v>711</v>
      </c>
      <c r="BT2" t="s">
        <v>712</v>
      </c>
      <c r="BU2" t="s">
        <v>713</v>
      </c>
      <c r="BV2" t="s">
        <v>714</v>
      </c>
      <c r="BW2" t="s">
        <v>715</v>
      </c>
      <c r="BX2" t="s">
        <v>716</v>
      </c>
      <c r="BY2" t="s">
        <v>717</v>
      </c>
      <c r="CA2" t="s">
        <v>1038</v>
      </c>
      <c r="CB2" t="s">
        <v>742</v>
      </c>
      <c r="CC2" t="s">
        <v>743</v>
      </c>
      <c r="CD2" t="s">
        <v>721</v>
      </c>
      <c r="CE2" t="s">
        <v>722</v>
      </c>
      <c r="CF2" t="s">
        <v>723</v>
      </c>
      <c r="CG2" t="s">
        <v>724</v>
      </c>
      <c r="CH2" t="s">
        <v>725</v>
      </c>
      <c r="CI2" t="s">
        <v>726</v>
      </c>
      <c r="CJ2" t="s">
        <v>727</v>
      </c>
      <c r="CL2" t="s">
        <v>1039</v>
      </c>
      <c r="CM2" t="s">
        <v>742</v>
      </c>
      <c r="CN2" t="s">
        <v>743</v>
      </c>
      <c r="CO2" t="s">
        <v>721</v>
      </c>
      <c r="CP2" t="s">
        <v>722</v>
      </c>
      <c r="CQ2" t="s">
        <v>723</v>
      </c>
      <c r="CR2" t="s">
        <v>724</v>
      </c>
      <c r="CS2" t="s">
        <v>725</v>
      </c>
      <c r="CT2" t="s">
        <v>726</v>
      </c>
      <c r="CU2" t="s">
        <v>727</v>
      </c>
      <c r="CW2" t="s">
        <v>1040</v>
      </c>
      <c r="CX2" t="s">
        <v>742</v>
      </c>
      <c r="CY2" t="s">
        <v>743</v>
      </c>
      <c r="CZ2" t="s">
        <v>721</v>
      </c>
      <c r="DA2" t="s">
        <v>722</v>
      </c>
      <c r="DB2" t="s">
        <v>723</v>
      </c>
      <c r="DC2" t="s">
        <v>724</v>
      </c>
      <c r="DD2" t="s">
        <v>725</v>
      </c>
      <c r="DE2" t="s">
        <v>726</v>
      </c>
      <c r="DF2" t="s">
        <v>727</v>
      </c>
      <c r="DH2" t="s">
        <v>1041</v>
      </c>
      <c r="DI2" t="s">
        <v>742</v>
      </c>
      <c r="DJ2" t="s">
        <v>743</v>
      </c>
      <c r="DK2" t="s">
        <v>721</v>
      </c>
      <c r="DL2" t="s">
        <v>722</v>
      </c>
      <c r="DM2" t="s">
        <v>723</v>
      </c>
      <c r="DN2" t="s">
        <v>724</v>
      </c>
      <c r="DO2" t="s">
        <v>725</v>
      </c>
      <c r="DP2" t="s">
        <v>726</v>
      </c>
      <c r="DQ2" t="s">
        <v>727</v>
      </c>
    </row>
    <row r="3" spans="2:121" x14ac:dyDescent="0.2">
      <c r="C3">
        <v>370498</v>
      </c>
      <c r="D3">
        <v>283708</v>
      </c>
      <c r="F3" t="s">
        <v>34</v>
      </c>
      <c r="G3">
        <v>1193</v>
      </c>
      <c r="H3">
        <v>131.6177703269</v>
      </c>
      <c r="I3">
        <v>3220</v>
      </c>
      <c r="J3">
        <v>665</v>
      </c>
      <c r="K3">
        <v>1733</v>
      </c>
      <c r="L3">
        <v>614</v>
      </c>
      <c r="M3">
        <v>212</v>
      </c>
      <c r="N3">
        <v>107</v>
      </c>
      <c r="O3">
        <v>371</v>
      </c>
      <c r="P3">
        <v>190</v>
      </c>
      <c r="Q3">
        <v>0</v>
      </c>
      <c r="R3">
        <v>9</v>
      </c>
      <c r="T3" t="s">
        <v>215</v>
      </c>
      <c r="U3">
        <v>3066</v>
      </c>
      <c r="V3">
        <v>60.368558382300002</v>
      </c>
      <c r="W3">
        <v>8000</v>
      </c>
      <c r="X3">
        <v>505</v>
      </c>
      <c r="Y3">
        <v>5263</v>
      </c>
      <c r="Z3">
        <v>311</v>
      </c>
      <c r="AA3">
        <v>6</v>
      </c>
      <c r="AB3">
        <v>6</v>
      </c>
      <c r="AC3">
        <v>404</v>
      </c>
      <c r="AD3">
        <v>64</v>
      </c>
      <c r="AE3">
        <v>1134</v>
      </c>
      <c r="AF3">
        <v>727</v>
      </c>
      <c r="AH3" t="s">
        <v>395</v>
      </c>
      <c r="AI3">
        <v>14777</v>
      </c>
      <c r="AJ3">
        <v>392.18393449280001</v>
      </c>
      <c r="AK3">
        <v>8272</v>
      </c>
      <c r="AL3">
        <v>1378</v>
      </c>
      <c r="AM3">
        <v>18325</v>
      </c>
      <c r="AN3">
        <v>12712</v>
      </c>
      <c r="AO3">
        <v>4266</v>
      </c>
      <c r="AP3">
        <v>3845</v>
      </c>
      <c r="AQ3">
        <v>2904</v>
      </c>
      <c r="AR3">
        <v>1804</v>
      </c>
      <c r="AS3">
        <v>309</v>
      </c>
      <c r="AT3">
        <v>344</v>
      </c>
      <c r="AV3" t="s">
        <v>420</v>
      </c>
      <c r="AW3">
        <v>48</v>
      </c>
      <c r="AX3">
        <v>62.791666666700003</v>
      </c>
      <c r="AY3">
        <v>188</v>
      </c>
      <c r="AZ3">
        <v>5</v>
      </c>
      <c r="BA3">
        <v>90</v>
      </c>
      <c r="BB3">
        <v>8</v>
      </c>
      <c r="BC3">
        <v>0</v>
      </c>
      <c r="BE3">
        <v>4</v>
      </c>
      <c r="BF3">
        <v>3</v>
      </c>
      <c r="BG3">
        <v>95</v>
      </c>
      <c r="BH3">
        <v>29</v>
      </c>
      <c r="BJ3" t="s">
        <v>735</v>
      </c>
      <c r="BK3" t="s">
        <v>738</v>
      </c>
      <c r="BL3">
        <v>324485</v>
      </c>
      <c r="BM3">
        <v>69820</v>
      </c>
      <c r="BN3">
        <v>95.181805014099993</v>
      </c>
      <c r="BO3">
        <v>86025</v>
      </c>
      <c r="BP3">
        <v>86025</v>
      </c>
      <c r="BQ3">
        <v>137.7918628306</v>
      </c>
      <c r="BR3">
        <v>137.7918628306</v>
      </c>
      <c r="BS3">
        <v>324485</v>
      </c>
      <c r="BT3">
        <v>69820</v>
      </c>
      <c r="BU3">
        <v>95.181805014099993</v>
      </c>
      <c r="BV3">
        <v>86025</v>
      </c>
      <c r="BW3">
        <v>86025</v>
      </c>
      <c r="BX3">
        <v>137.7918628306</v>
      </c>
      <c r="BY3">
        <v>137.7918628306</v>
      </c>
      <c r="CA3" t="s">
        <v>1044</v>
      </c>
      <c r="CB3" t="s">
        <v>738</v>
      </c>
      <c r="CC3" t="s">
        <v>924</v>
      </c>
      <c r="CD3">
        <v>11053</v>
      </c>
      <c r="CE3">
        <v>1132</v>
      </c>
      <c r="CF3">
        <v>76.560481317300003</v>
      </c>
      <c r="CG3">
        <v>1576</v>
      </c>
      <c r="CH3">
        <v>1576</v>
      </c>
      <c r="CI3">
        <v>129.00761421319999</v>
      </c>
      <c r="CJ3">
        <v>129.00761421319999</v>
      </c>
      <c r="CL3" t="s">
        <v>1044</v>
      </c>
      <c r="CM3" t="s">
        <v>738</v>
      </c>
      <c r="CN3" t="s">
        <v>924</v>
      </c>
      <c r="CO3">
        <v>11053</v>
      </c>
      <c r="CP3">
        <v>1132</v>
      </c>
      <c r="CQ3">
        <v>76.560481317300003</v>
      </c>
      <c r="CR3">
        <v>1576</v>
      </c>
      <c r="CS3">
        <v>1576</v>
      </c>
      <c r="CT3">
        <v>129.00761421319999</v>
      </c>
      <c r="CU3">
        <v>129.00761421319999</v>
      </c>
      <c r="CW3" t="s">
        <v>1044</v>
      </c>
      <c r="CX3" t="s">
        <v>738</v>
      </c>
      <c r="CY3" t="s">
        <v>924</v>
      </c>
      <c r="CZ3">
        <v>11053</v>
      </c>
      <c r="DA3">
        <v>1132</v>
      </c>
      <c r="DB3">
        <v>76.560481317300003</v>
      </c>
      <c r="DC3">
        <v>1576</v>
      </c>
      <c r="DD3">
        <v>1576</v>
      </c>
      <c r="DE3">
        <v>129.00761421319999</v>
      </c>
      <c r="DF3">
        <v>129.00761421319999</v>
      </c>
      <c r="DH3" t="s">
        <v>1044</v>
      </c>
      <c r="DI3" t="s">
        <v>738</v>
      </c>
      <c r="DJ3" t="s">
        <v>924</v>
      </c>
      <c r="DK3">
        <v>11053</v>
      </c>
      <c r="DL3">
        <v>1132</v>
      </c>
      <c r="DM3">
        <v>76.560481317300003</v>
      </c>
      <c r="DN3">
        <v>1576</v>
      </c>
      <c r="DO3">
        <v>1576</v>
      </c>
      <c r="DP3">
        <v>129.00761421319999</v>
      </c>
      <c r="DQ3">
        <v>129.00761421319999</v>
      </c>
    </row>
    <row r="4" spans="2:121" x14ac:dyDescent="0.2">
      <c r="B4" t="s">
        <v>101</v>
      </c>
      <c r="C4">
        <v>122704</v>
      </c>
      <c r="D4">
        <v>97232</v>
      </c>
      <c r="F4" t="s">
        <v>80</v>
      </c>
      <c r="G4">
        <v>16177</v>
      </c>
      <c r="H4">
        <v>285.53260802369999</v>
      </c>
      <c r="I4">
        <v>23062</v>
      </c>
      <c r="J4">
        <v>5787</v>
      </c>
      <c r="K4">
        <v>19691</v>
      </c>
      <c r="L4">
        <v>12239</v>
      </c>
      <c r="M4">
        <v>2525</v>
      </c>
      <c r="N4">
        <v>1693</v>
      </c>
      <c r="O4">
        <v>9924</v>
      </c>
      <c r="P4">
        <v>5626</v>
      </c>
      <c r="Q4">
        <v>12</v>
      </c>
      <c r="R4">
        <v>240</v>
      </c>
      <c r="T4" t="s">
        <v>230</v>
      </c>
      <c r="U4">
        <v>0</v>
      </c>
      <c r="W4">
        <v>215</v>
      </c>
      <c r="X4">
        <v>77</v>
      </c>
      <c r="Y4">
        <v>473</v>
      </c>
      <c r="Z4">
        <v>335</v>
      </c>
      <c r="AA4">
        <v>232</v>
      </c>
      <c r="AB4">
        <v>227</v>
      </c>
      <c r="AC4">
        <v>205</v>
      </c>
      <c r="AD4">
        <v>154</v>
      </c>
      <c r="AE4">
        <v>21</v>
      </c>
      <c r="AF4">
        <v>0</v>
      </c>
      <c r="AH4" t="s">
        <v>431</v>
      </c>
      <c r="AI4">
        <v>1960</v>
      </c>
      <c r="AJ4">
        <v>427.86173469390002</v>
      </c>
      <c r="AK4">
        <v>1102</v>
      </c>
      <c r="AL4">
        <v>167</v>
      </c>
      <c r="AM4">
        <v>2853</v>
      </c>
      <c r="AN4">
        <v>1832</v>
      </c>
      <c r="AO4">
        <v>1515</v>
      </c>
      <c r="AP4">
        <v>1410</v>
      </c>
      <c r="AQ4">
        <v>418</v>
      </c>
      <c r="AR4">
        <v>181</v>
      </c>
      <c r="AS4">
        <v>3</v>
      </c>
      <c r="AT4">
        <v>2</v>
      </c>
      <c r="AV4" t="s">
        <v>434</v>
      </c>
      <c r="AW4">
        <v>979</v>
      </c>
      <c r="AX4">
        <v>121.52911133809999</v>
      </c>
      <c r="AY4">
        <v>491</v>
      </c>
      <c r="AZ4">
        <v>114</v>
      </c>
      <c r="BA4">
        <v>1555</v>
      </c>
      <c r="BB4">
        <v>532</v>
      </c>
      <c r="BC4">
        <v>23</v>
      </c>
      <c r="BD4">
        <v>21</v>
      </c>
      <c r="BE4">
        <v>24</v>
      </c>
      <c r="BF4">
        <v>15</v>
      </c>
      <c r="BG4">
        <v>60</v>
      </c>
      <c r="BH4">
        <v>116</v>
      </c>
      <c r="BJ4" t="s">
        <v>644</v>
      </c>
      <c r="BK4" t="s">
        <v>392</v>
      </c>
      <c r="BL4">
        <v>851</v>
      </c>
      <c r="BM4">
        <v>147</v>
      </c>
      <c r="BN4">
        <v>81.028202115200003</v>
      </c>
      <c r="BO4">
        <v>197</v>
      </c>
      <c r="BP4">
        <v>197</v>
      </c>
      <c r="BQ4">
        <v>129.26903553299999</v>
      </c>
      <c r="BR4">
        <v>129.26903553299999</v>
      </c>
      <c r="BS4">
        <v>975</v>
      </c>
      <c r="BT4">
        <v>179</v>
      </c>
      <c r="BU4">
        <v>86.307692307699995</v>
      </c>
      <c r="BV4">
        <v>223</v>
      </c>
      <c r="BW4">
        <v>223</v>
      </c>
      <c r="BX4">
        <v>133.67713004480001</v>
      </c>
      <c r="BY4">
        <v>133.67713004480001</v>
      </c>
      <c r="CA4" t="s">
        <v>1043</v>
      </c>
      <c r="CB4" t="s">
        <v>738</v>
      </c>
      <c r="CC4" t="s">
        <v>924</v>
      </c>
      <c r="CD4">
        <v>324485</v>
      </c>
      <c r="CE4">
        <v>69820</v>
      </c>
      <c r="CF4">
        <v>95.181805014099993</v>
      </c>
      <c r="CG4">
        <v>86025</v>
      </c>
      <c r="CH4">
        <v>86025</v>
      </c>
      <c r="CI4">
        <v>137.7918628306</v>
      </c>
      <c r="CJ4">
        <v>137.7918628306</v>
      </c>
      <c r="CL4" t="s">
        <v>1043</v>
      </c>
      <c r="CM4" t="s">
        <v>738</v>
      </c>
      <c r="CN4" t="s">
        <v>924</v>
      </c>
      <c r="CO4">
        <v>324485</v>
      </c>
      <c r="CP4">
        <v>69820</v>
      </c>
      <c r="CQ4">
        <v>95.181805014099993</v>
      </c>
      <c r="CR4">
        <v>86025</v>
      </c>
      <c r="CS4">
        <v>86025</v>
      </c>
      <c r="CT4">
        <v>137.7918628306</v>
      </c>
      <c r="CU4">
        <v>137.7918628306</v>
      </c>
      <c r="CW4" t="s">
        <v>1043</v>
      </c>
      <c r="CX4" t="s">
        <v>738</v>
      </c>
      <c r="CY4" t="s">
        <v>924</v>
      </c>
      <c r="CZ4">
        <v>324485</v>
      </c>
      <c r="DA4">
        <v>69820</v>
      </c>
      <c r="DB4">
        <v>95.181805014099993</v>
      </c>
      <c r="DC4">
        <v>86025</v>
      </c>
      <c r="DD4">
        <v>86025</v>
      </c>
      <c r="DE4">
        <v>137.7918628306</v>
      </c>
      <c r="DF4">
        <v>137.7918628306</v>
      </c>
      <c r="DH4" t="s">
        <v>1043</v>
      </c>
      <c r="DI4" t="s">
        <v>738</v>
      </c>
      <c r="DJ4" t="s">
        <v>924</v>
      </c>
      <c r="DK4">
        <v>324485</v>
      </c>
      <c r="DL4">
        <v>69820</v>
      </c>
      <c r="DM4">
        <v>95.181805014099993</v>
      </c>
      <c r="DN4">
        <v>86025</v>
      </c>
      <c r="DO4">
        <v>86025</v>
      </c>
      <c r="DP4">
        <v>137.7918628306</v>
      </c>
      <c r="DQ4">
        <v>137.7918628306</v>
      </c>
    </row>
    <row r="5" spans="2:121" x14ac:dyDescent="0.2">
      <c r="B5" t="s">
        <v>113</v>
      </c>
      <c r="C5">
        <v>80540</v>
      </c>
      <c r="D5">
        <v>56119</v>
      </c>
      <c r="F5" t="s">
        <v>54</v>
      </c>
      <c r="G5">
        <v>4966</v>
      </c>
      <c r="H5">
        <v>339.03262182840001</v>
      </c>
      <c r="I5">
        <v>3494</v>
      </c>
      <c r="J5">
        <v>524</v>
      </c>
      <c r="K5">
        <v>8697</v>
      </c>
      <c r="L5">
        <v>4379</v>
      </c>
      <c r="M5">
        <v>3736</v>
      </c>
      <c r="N5">
        <v>3583</v>
      </c>
      <c r="O5">
        <v>1021</v>
      </c>
      <c r="P5">
        <v>418</v>
      </c>
      <c r="Q5">
        <v>1</v>
      </c>
      <c r="R5">
        <v>150</v>
      </c>
      <c r="T5" t="s">
        <v>216</v>
      </c>
      <c r="U5">
        <v>12316</v>
      </c>
      <c r="V5">
        <v>116.42042871060001</v>
      </c>
      <c r="W5">
        <v>13768</v>
      </c>
      <c r="X5">
        <v>3495</v>
      </c>
      <c r="Y5">
        <v>17550</v>
      </c>
      <c r="Z5">
        <v>6018</v>
      </c>
      <c r="AA5">
        <v>391</v>
      </c>
      <c r="AB5">
        <v>374</v>
      </c>
      <c r="AC5">
        <v>786</v>
      </c>
      <c r="AD5">
        <v>275</v>
      </c>
      <c r="AE5">
        <v>1446</v>
      </c>
      <c r="AF5">
        <v>3878</v>
      </c>
      <c r="AH5" t="s">
        <v>433</v>
      </c>
      <c r="AI5">
        <v>6781</v>
      </c>
      <c r="AJ5">
        <v>299.2344786905</v>
      </c>
      <c r="AK5">
        <v>6273</v>
      </c>
      <c r="AL5">
        <v>1138</v>
      </c>
      <c r="AM5">
        <v>9352</v>
      </c>
      <c r="AN5">
        <v>5322</v>
      </c>
      <c r="AO5">
        <v>716</v>
      </c>
      <c r="AP5">
        <v>541</v>
      </c>
      <c r="AQ5">
        <v>3099</v>
      </c>
      <c r="AR5">
        <v>2262</v>
      </c>
      <c r="AS5">
        <v>6</v>
      </c>
      <c r="AT5">
        <v>76</v>
      </c>
      <c r="AV5" t="s">
        <v>427</v>
      </c>
      <c r="AW5">
        <v>14</v>
      </c>
      <c r="AX5">
        <v>44.142857142899999</v>
      </c>
      <c r="AY5">
        <v>45</v>
      </c>
      <c r="AZ5">
        <v>3</v>
      </c>
      <c r="BA5">
        <v>30</v>
      </c>
      <c r="BC5">
        <v>0</v>
      </c>
      <c r="BE5">
        <v>0</v>
      </c>
      <c r="BG5">
        <v>72</v>
      </c>
      <c r="BH5">
        <v>8</v>
      </c>
      <c r="BJ5" t="s">
        <v>392</v>
      </c>
      <c r="BK5" t="s">
        <v>392</v>
      </c>
      <c r="BL5">
        <v>64093</v>
      </c>
      <c r="BM5">
        <v>13408</v>
      </c>
      <c r="BN5">
        <v>95.271449300200004</v>
      </c>
      <c r="BO5">
        <v>17222</v>
      </c>
      <c r="BP5">
        <v>17222</v>
      </c>
      <c r="BQ5">
        <v>144.81976541629999</v>
      </c>
      <c r="BR5">
        <v>144.81976541629999</v>
      </c>
      <c r="BS5">
        <v>65052</v>
      </c>
      <c r="BT5">
        <v>13698</v>
      </c>
      <c r="BU5">
        <v>95.155583225699999</v>
      </c>
      <c r="BV5">
        <v>16901</v>
      </c>
      <c r="BW5">
        <v>16901</v>
      </c>
      <c r="BX5">
        <v>144.24105082540001</v>
      </c>
      <c r="BY5">
        <v>144.24105082540001</v>
      </c>
      <c r="CA5" t="s">
        <v>1045</v>
      </c>
      <c r="CB5" t="s">
        <v>738</v>
      </c>
      <c r="CC5" t="s">
        <v>924</v>
      </c>
      <c r="CD5">
        <v>22626</v>
      </c>
      <c r="CE5">
        <v>1815</v>
      </c>
      <c r="CF5">
        <v>62.445239989400001</v>
      </c>
      <c r="CG5">
        <v>11866</v>
      </c>
      <c r="CH5">
        <v>11866</v>
      </c>
      <c r="CI5">
        <v>68.022501264100001</v>
      </c>
      <c r="CJ5">
        <v>68.022501264100001</v>
      </c>
      <c r="CL5" t="s">
        <v>1045</v>
      </c>
      <c r="CM5" t="s">
        <v>738</v>
      </c>
      <c r="CN5" t="s">
        <v>924</v>
      </c>
      <c r="CO5">
        <v>22626</v>
      </c>
      <c r="CP5">
        <v>1815</v>
      </c>
      <c r="CQ5">
        <v>62.445239989400001</v>
      </c>
      <c r="CR5">
        <v>11866</v>
      </c>
      <c r="CS5">
        <v>11866</v>
      </c>
      <c r="CT5">
        <v>68.022501264100001</v>
      </c>
      <c r="CU5">
        <v>68.022501264100001</v>
      </c>
      <c r="CW5" t="s">
        <v>1045</v>
      </c>
      <c r="CX5" t="s">
        <v>738</v>
      </c>
      <c r="CY5" t="s">
        <v>924</v>
      </c>
      <c r="CZ5">
        <v>22626</v>
      </c>
      <c r="DA5">
        <v>1815</v>
      </c>
      <c r="DB5">
        <v>62.445239989400001</v>
      </c>
      <c r="DC5">
        <v>11866</v>
      </c>
      <c r="DD5">
        <v>11866</v>
      </c>
      <c r="DE5">
        <v>68.022501264100001</v>
      </c>
      <c r="DF5">
        <v>68.022501264100001</v>
      </c>
      <c r="DH5" t="s">
        <v>1045</v>
      </c>
      <c r="DI5" t="s">
        <v>738</v>
      </c>
      <c r="DJ5" t="s">
        <v>924</v>
      </c>
      <c r="DK5">
        <v>22626</v>
      </c>
      <c r="DL5">
        <v>1815</v>
      </c>
      <c r="DM5">
        <v>62.445239989400001</v>
      </c>
      <c r="DN5">
        <v>11866</v>
      </c>
      <c r="DO5">
        <v>11866</v>
      </c>
      <c r="DP5">
        <v>68.022501264100001</v>
      </c>
      <c r="DQ5">
        <v>68.022501264100001</v>
      </c>
    </row>
    <row r="6" spans="2:121" x14ac:dyDescent="0.2">
      <c r="B6" t="s">
        <v>93</v>
      </c>
      <c r="C6">
        <v>6992</v>
      </c>
      <c r="D6">
        <v>1118</v>
      </c>
      <c r="F6" t="s">
        <v>187</v>
      </c>
      <c r="G6">
        <v>646</v>
      </c>
      <c r="H6">
        <v>192.4334365325</v>
      </c>
      <c r="I6">
        <v>727</v>
      </c>
      <c r="J6">
        <v>79</v>
      </c>
      <c r="K6">
        <v>1021</v>
      </c>
      <c r="L6">
        <v>426</v>
      </c>
      <c r="M6">
        <v>300</v>
      </c>
      <c r="N6">
        <v>162</v>
      </c>
      <c r="O6">
        <v>98</v>
      </c>
      <c r="P6">
        <v>34</v>
      </c>
      <c r="Q6">
        <v>0</v>
      </c>
      <c r="R6">
        <v>1</v>
      </c>
      <c r="T6" t="s">
        <v>218</v>
      </c>
      <c r="U6">
        <v>1649</v>
      </c>
      <c r="V6">
        <v>36.380230442699997</v>
      </c>
      <c r="W6">
        <v>7139</v>
      </c>
      <c r="X6">
        <v>204</v>
      </c>
      <c r="Y6">
        <v>2936</v>
      </c>
      <c r="Z6">
        <v>30</v>
      </c>
      <c r="AA6">
        <v>29</v>
      </c>
      <c r="AB6">
        <v>4</v>
      </c>
      <c r="AC6">
        <v>117</v>
      </c>
      <c r="AD6">
        <v>34</v>
      </c>
      <c r="AE6">
        <v>4349</v>
      </c>
      <c r="AF6">
        <v>957</v>
      </c>
      <c r="AH6" t="s">
        <v>418</v>
      </c>
      <c r="AI6">
        <v>5470</v>
      </c>
      <c r="AJ6">
        <v>347.77349177330001</v>
      </c>
      <c r="AK6">
        <v>3757</v>
      </c>
      <c r="AL6">
        <v>568</v>
      </c>
      <c r="AM6">
        <v>7259</v>
      </c>
      <c r="AN6">
        <v>4725</v>
      </c>
      <c r="AO6">
        <v>1758</v>
      </c>
      <c r="AP6">
        <v>1646</v>
      </c>
      <c r="AQ6">
        <v>1617</v>
      </c>
      <c r="AR6">
        <v>635</v>
      </c>
      <c r="AS6">
        <v>247</v>
      </c>
      <c r="AT6">
        <v>148</v>
      </c>
      <c r="AV6" t="s">
        <v>407</v>
      </c>
      <c r="AW6">
        <v>27</v>
      </c>
      <c r="AX6">
        <v>80.925925925900003</v>
      </c>
      <c r="AY6">
        <v>87</v>
      </c>
      <c r="AZ6">
        <v>4</v>
      </c>
      <c r="BA6">
        <v>56</v>
      </c>
      <c r="BB6">
        <v>5</v>
      </c>
      <c r="BC6">
        <v>0</v>
      </c>
      <c r="BE6">
        <v>4</v>
      </c>
      <c r="BF6">
        <v>2</v>
      </c>
      <c r="BG6">
        <v>134</v>
      </c>
      <c r="BH6">
        <v>8</v>
      </c>
      <c r="BJ6" t="s">
        <v>591</v>
      </c>
      <c r="BK6" t="s">
        <v>392</v>
      </c>
      <c r="BL6">
        <v>6530</v>
      </c>
      <c r="BM6">
        <v>1789</v>
      </c>
      <c r="BN6">
        <v>107.5269525268</v>
      </c>
      <c r="BO6">
        <v>1541</v>
      </c>
      <c r="BP6">
        <v>1541</v>
      </c>
      <c r="BQ6">
        <v>144.02855288769999</v>
      </c>
      <c r="BR6">
        <v>144.02855288769999</v>
      </c>
      <c r="BS6">
        <v>6548</v>
      </c>
      <c r="BT6">
        <v>1804</v>
      </c>
      <c r="BU6">
        <v>105.27596212580001</v>
      </c>
      <c r="BV6">
        <v>1526</v>
      </c>
      <c r="BW6">
        <v>1526</v>
      </c>
      <c r="BX6">
        <v>138.25229357800001</v>
      </c>
      <c r="BY6">
        <v>138.25229357800001</v>
      </c>
      <c r="CA6" t="s">
        <v>1046</v>
      </c>
      <c r="CB6" t="s">
        <v>738</v>
      </c>
      <c r="CC6" t="s">
        <v>924</v>
      </c>
      <c r="CD6">
        <v>9976</v>
      </c>
      <c r="CE6">
        <v>1288</v>
      </c>
      <c r="CF6">
        <v>74.850541299100001</v>
      </c>
      <c r="CG6">
        <v>1398</v>
      </c>
      <c r="CH6">
        <v>1398</v>
      </c>
      <c r="CI6">
        <v>132.9949928469</v>
      </c>
      <c r="CJ6">
        <v>132.9949928469</v>
      </c>
      <c r="CL6" t="s">
        <v>1046</v>
      </c>
      <c r="CM6" t="s">
        <v>738</v>
      </c>
      <c r="CN6" t="s">
        <v>924</v>
      </c>
      <c r="CO6">
        <v>9976</v>
      </c>
      <c r="CP6">
        <v>1288</v>
      </c>
      <c r="CQ6">
        <v>74.850541299100001</v>
      </c>
      <c r="CR6">
        <v>1398</v>
      </c>
      <c r="CS6">
        <v>1398</v>
      </c>
      <c r="CT6">
        <v>132.9949928469</v>
      </c>
      <c r="CU6">
        <v>132.9949928469</v>
      </c>
      <c r="CW6" t="s">
        <v>1046</v>
      </c>
      <c r="CX6" t="s">
        <v>738</v>
      </c>
      <c r="CY6" t="s">
        <v>924</v>
      </c>
      <c r="CZ6">
        <v>9976</v>
      </c>
      <c r="DA6">
        <v>1288</v>
      </c>
      <c r="DB6">
        <v>74.850541299100001</v>
      </c>
      <c r="DC6">
        <v>1398</v>
      </c>
      <c r="DD6">
        <v>1398</v>
      </c>
      <c r="DE6">
        <v>132.9949928469</v>
      </c>
      <c r="DF6">
        <v>132.9949928469</v>
      </c>
      <c r="DH6" t="s">
        <v>1046</v>
      </c>
      <c r="DI6" t="s">
        <v>738</v>
      </c>
      <c r="DJ6" t="s">
        <v>924</v>
      </c>
      <c r="DK6">
        <v>9976</v>
      </c>
      <c r="DL6">
        <v>1288</v>
      </c>
      <c r="DM6">
        <v>74.850541299100001</v>
      </c>
      <c r="DN6">
        <v>1398</v>
      </c>
      <c r="DO6">
        <v>1398</v>
      </c>
      <c r="DP6">
        <v>132.9949928469</v>
      </c>
      <c r="DQ6">
        <v>132.9949928469</v>
      </c>
    </row>
    <row r="7" spans="2:121" x14ac:dyDescent="0.2">
      <c r="B7" t="s">
        <v>94</v>
      </c>
      <c r="C7">
        <v>280</v>
      </c>
      <c r="D7">
        <v>59</v>
      </c>
      <c r="F7" t="s">
        <v>61</v>
      </c>
      <c r="G7">
        <v>5705</v>
      </c>
      <c r="H7">
        <v>224.54934268189999</v>
      </c>
      <c r="I7">
        <v>9921</v>
      </c>
      <c r="J7">
        <v>2098</v>
      </c>
      <c r="K7">
        <v>9271</v>
      </c>
      <c r="L7">
        <v>4762</v>
      </c>
      <c r="M7">
        <v>1955</v>
      </c>
      <c r="N7">
        <v>1761</v>
      </c>
      <c r="O7">
        <v>1371</v>
      </c>
      <c r="P7">
        <v>1025</v>
      </c>
      <c r="Q7">
        <v>5</v>
      </c>
      <c r="R7">
        <v>229</v>
      </c>
      <c r="T7" t="s">
        <v>469</v>
      </c>
      <c r="U7">
        <v>17031</v>
      </c>
      <c r="V7">
        <v>98.579942457900003</v>
      </c>
      <c r="W7">
        <v>29122</v>
      </c>
      <c r="X7">
        <v>4281</v>
      </c>
      <c r="Y7">
        <v>26222</v>
      </c>
      <c r="Z7">
        <v>6694</v>
      </c>
      <c r="AA7">
        <v>658</v>
      </c>
      <c r="AB7">
        <v>611</v>
      </c>
      <c r="AC7">
        <v>1512</v>
      </c>
      <c r="AD7">
        <v>527</v>
      </c>
      <c r="AE7">
        <v>6950</v>
      </c>
      <c r="AF7">
        <v>5562</v>
      </c>
      <c r="AH7" t="s">
        <v>414</v>
      </c>
      <c r="AI7">
        <v>30590</v>
      </c>
      <c r="AJ7">
        <v>368.47080745340003</v>
      </c>
      <c r="AK7">
        <v>31689</v>
      </c>
      <c r="AL7">
        <v>6268</v>
      </c>
      <c r="AM7">
        <v>44567</v>
      </c>
      <c r="AN7">
        <v>29130</v>
      </c>
      <c r="AO7">
        <v>7400</v>
      </c>
      <c r="AP7">
        <v>6624</v>
      </c>
      <c r="AQ7">
        <v>11229</v>
      </c>
      <c r="AR7">
        <v>7444</v>
      </c>
      <c r="AS7">
        <v>46</v>
      </c>
      <c r="AT7">
        <v>131</v>
      </c>
      <c r="AV7" t="s">
        <v>395</v>
      </c>
      <c r="AW7">
        <v>375</v>
      </c>
      <c r="AX7">
        <v>63.5946666667</v>
      </c>
      <c r="AY7">
        <v>851</v>
      </c>
      <c r="AZ7">
        <v>47</v>
      </c>
      <c r="BA7">
        <v>641</v>
      </c>
      <c r="BB7">
        <v>47</v>
      </c>
      <c r="BC7">
        <v>5</v>
      </c>
      <c r="BD7">
        <v>4</v>
      </c>
      <c r="BE7">
        <v>51</v>
      </c>
      <c r="BF7">
        <v>9</v>
      </c>
      <c r="BG7">
        <v>138</v>
      </c>
      <c r="BH7">
        <v>103</v>
      </c>
      <c r="BJ7" t="s">
        <v>638</v>
      </c>
      <c r="BK7" t="s">
        <v>392</v>
      </c>
      <c r="BL7">
        <v>738</v>
      </c>
      <c r="BM7">
        <v>79</v>
      </c>
      <c r="BN7">
        <v>62.842818428199998</v>
      </c>
      <c r="BO7">
        <v>431</v>
      </c>
      <c r="BP7">
        <v>431</v>
      </c>
      <c r="BQ7">
        <v>89.371229698400001</v>
      </c>
      <c r="BR7">
        <v>89.371229698400001</v>
      </c>
      <c r="BS7">
        <v>1350</v>
      </c>
      <c r="BT7">
        <v>365</v>
      </c>
      <c r="BU7">
        <v>105.6614814815</v>
      </c>
      <c r="BV7">
        <v>522</v>
      </c>
      <c r="BW7">
        <v>522</v>
      </c>
      <c r="BX7">
        <v>115.55747126439999</v>
      </c>
      <c r="BY7">
        <v>115.55747126439999</v>
      </c>
      <c r="CA7" t="s">
        <v>418</v>
      </c>
      <c r="CB7" t="s">
        <v>774</v>
      </c>
      <c r="CC7" t="s">
        <v>1001</v>
      </c>
      <c r="CD7">
        <v>3897</v>
      </c>
      <c r="CE7">
        <v>555</v>
      </c>
      <c r="CF7">
        <v>80.858352578899996</v>
      </c>
      <c r="CG7">
        <v>1093</v>
      </c>
      <c r="CH7">
        <v>1093</v>
      </c>
      <c r="CI7">
        <v>116.56084172</v>
      </c>
      <c r="CJ7">
        <v>116.56084172</v>
      </c>
      <c r="CL7" t="s">
        <v>418</v>
      </c>
      <c r="CM7" t="s">
        <v>755</v>
      </c>
      <c r="CN7" t="s">
        <v>754</v>
      </c>
      <c r="CO7">
        <v>302</v>
      </c>
      <c r="CP7">
        <v>16</v>
      </c>
      <c r="CQ7">
        <v>53.966887417199999</v>
      </c>
      <c r="CR7">
        <v>131</v>
      </c>
      <c r="CS7">
        <v>131</v>
      </c>
      <c r="CT7">
        <v>57.274809160300002</v>
      </c>
      <c r="CU7">
        <v>57.274809160300002</v>
      </c>
      <c r="CW7" t="s">
        <v>418</v>
      </c>
      <c r="CX7" t="s">
        <v>765</v>
      </c>
      <c r="CY7" t="s">
        <v>764</v>
      </c>
      <c r="CZ7">
        <v>50</v>
      </c>
      <c r="DA7">
        <v>5</v>
      </c>
      <c r="DB7">
        <v>71.08</v>
      </c>
      <c r="DC7">
        <v>6</v>
      </c>
      <c r="DD7">
        <v>6</v>
      </c>
      <c r="DE7">
        <v>131.1666666667</v>
      </c>
      <c r="DF7">
        <v>131.1666666667</v>
      </c>
      <c r="DH7" t="s">
        <v>418</v>
      </c>
      <c r="DI7" t="s">
        <v>745</v>
      </c>
      <c r="DJ7" t="s">
        <v>744</v>
      </c>
      <c r="DK7">
        <v>31</v>
      </c>
      <c r="DL7">
        <v>2</v>
      </c>
      <c r="DM7">
        <v>68.935483871000002</v>
      </c>
      <c r="DN7">
        <v>13</v>
      </c>
      <c r="DO7">
        <v>13</v>
      </c>
      <c r="DP7">
        <v>139.23076923080001</v>
      </c>
      <c r="DQ7">
        <v>139.23076923080001</v>
      </c>
    </row>
    <row r="8" spans="2:121" x14ac:dyDescent="0.2">
      <c r="B8" t="s">
        <v>103</v>
      </c>
      <c r="C8">
        <v>263</v>
      </c>
      <c r="D8">
        <v>164</v>
      </c>
      <c r="F8" t="s">
        <v>27</v>
      </c>
      <c r="G8">
        <v>1620</v>
      </c>
      <c r="H8">
        <v>108.225308642</v>
      </c>
      <c r="I8">
        <v>6543</v>
      </c>
      <c r="J8">
        <v>1066</v>
      </c>
      <c r="K8">
        <v>8830</v>
      </c>
      <c r="L8">
        <v>2809</v>
      </c>
      <c r="M8">
        <v>967</v>
      </c>
      <c r="N8">
        <v>500</v>
      </c>
      <c r="O8">
        <v>810</v>
      </c>
      <c r="P8">
        <v>389</v>
      </c>
      <c r="Q8">
        <v>0</v>
      </c>
      <c r="R8">
        <v>63</v>
      </c>
      <c r="AH8" t="s">
        <v>410</v>
      </c>
      <c r="AI8">
        <v>8088</v>
      </c>
      <c r="AJ8">
        <v>403.05848170130002</v>
      </c>
      <c r="AK8">
        <v>7125</v>
      </c>
      <c r="AL8">
        <v>1855</v>
      </c>
      <c r="AM8">
        <v>10963</v>
      </c>
      <c r="AN8">
        <v>7696</v>
      </c>
      <c r="AO8">
        <v>2002</v>
      </c>
      <c r="AP8">
        <v>1751</v>
      </c>
      <c r="AQ8">
        <v>2896</v>
      </c>
      <c r="AR8">
        <v>1775</v>
      </c>
      <c r="AS8">
        <v>11</v>
      </c>
      <c r="AT8">
        <v>66</v>
      </c>
      <c r="AV8" t="s">
        <v>416</v>
      </c>
      <c r="AW8">
        <v>78</v>
      </c>
      <c r="AX8">
        <v>41.089743589699999</v>
      </c>
      <c r="AY8">
        <v>280</v>
      </c>
      <c r="AZ8">
        <v>13</v>
      </c>
      <c r="BA8">
        <v>137</v>
      </c>
      <c r="BB8">
        <v>4</v>
      </c>
      <c r="BC8">
        <v>1</v>
      </c>
      <c r="BD8">
        <v>1</v>
      </c>
      <c r="BE8">
        <v>7</v>
      </c>
      <c r="BF8">
        <v>6</v>
      </c>
      <c r="BG8">
        <v>184</v>
      </c>
      <c r="BH8">
        <v>33</v>
      </c>
      <c r="BJ8" t="s">
        <v>626</v>
      </c>
      <c r="BK8" t="s">
        <v>392</v>
      </c>
      <c r="BL8">
        <v>16490</v>
      </c>
      <c r="BM8">
        <v>4123</v>
      </c>
      <c r="BN8">
        <v>105.0440873257</v>
      </c>
      <c r="BO8">
        <v>5135</v>
      </c>
      <c r="BP8">
        <v>5135</v>
      </c>
      <c r="BQ8">
        <v>148.51684518010001</v>
      </c>
      <c r="BR8">
        <v>148.51684518010001</v>
      </c>
      <c r="BS8">
        <v>12090</v>
      </c>
      <c r="BT8">
        <v>2444</v>
      </c>
      <c r="BU8">
        <v>90.533829611200005</v>
      </c>
      <c r="BV8">
        <v>3060</v>
      </c>
      <c r="BW8">
        <v>3060</v>
      </c>
      <c r="BX8">
        <v>143.02843137249999</v>
      </c>
      <c r="BY8">
        <v>143.02843137249999</v>
      </c>
      <c r="CA8" t="s">
        <v>410</v>
      </c>
      <c r="CB8" t="s">
        <v>774</v>
      </c>
      <c r="CC8" t="s">
        <v>1002</v>
      </c>
      <c r="CD8">
        <v>6701</v>
      </c>
      <c r="CE8">
        <v>1801</v>
      </c>
      <c r="CF8">
        <v>106.0790926727</v>
      </c>
      <c r="CG8">
        <v>1727</v>
      </c>
      <c r="CH8">
        <v>1727</v>
      </c>
      <c r="CI8">
        <v>135.33236826870001</v>
      </c>
      <c r="CJ8">
        <v>135.33236826870001</v>
      </c>
      <c r="CL8" t="s">
        <v>410</v>
      </c>
      <c r="CM8" t="s">
        <v>755</v>
      </c>
      <c r="CN8" t="s">
        <v>756</v>
      </c>
      <c r="CO8">
        <v>287</v>
      </c>
      <c r="CP8">
        <v>20</v>
      </c>
      <c r="CQ8">
        <v>55.595818815299999</v>
      </c>
      <c r="CR8">
        <v>167</v>
      </c>
      <c r="CS8">
        <v>167</v>
      </c>
      <c r="CT8">
        <v>59.233532934099998</v>
      </c>
      <c r="CU8">
        <v>59.233532934099998</v>
      </c>
      <c r="CW8" t="s">
        <v>410</v>
      </c>
      <c r="CX8" t="s">
        <v>765</v>
      </c>
      <c r="CY8" t="s">
        <v>766</v>
      </c>
      <c r="CZ8">
        <v>258</v>
      </c>
      <c r="DA8">
        <v>33</v>
      </c>
      <c r="DB8">
        <v>71.906976744199994</v>
      </c>
      <c r="DC8">
        <v>43</v>
      </c>
      <c r="DD8">
        <v>43</v>
      </c>
      <c r="DE8">
        <v>126.32558139530001</v>
      </c>
      <c r="DF8">
        <v>126.32558139530001</v>
      </c>
      <c r="DH8" t="s">
        <v>410</v>
      </c>
      <c r="DI8" t="s">
        <v>745</v>
      </c>
      <c r="DJ8" t="s">
        <v>746</v>
      </c>
      <c r="DK8">
        <v>416</v>
      </c>
      <c r="DL8">
        <v>22</v>
      </c>
      <c r="DM8">
        <v>64.237980769200007</v>
      </c>
      <c r="DN8">
        <v>61</v>
      </c>
      <c r="DO8">
        <v>61</v>
      </c>
      <c r="DP8">
        <v>116.4754098361</v>
      </c>
      <c r="DQ8">
        <v>116.4754098361</v>
      </c>
    </row>
    <row r="9" spans="2:121" x14ac:dyDescent="0.2">
      <c r="B9" t="s">
        <v>95</v>
      </c>
      <c r="C9">
        <v>9</v>
      </c>
      <c r="D9">
        <v>6</v>
      </c>
      <c r="F9" t="s">
        <v>62</v>
      </c>
      <c r="G9">
        <v>5422</v>
      </c>
      <c r="H9">
        <v>395.15621541870001</v>
      </c>
      <c r="I9">
        <v>5913</v>
      </c>
      <c r="J9">
        <v>983</v>
      </c>
      <c r="K9">
        <v>6710</v>
      </c>
      <c r="L9">
        <v>4718</v>
      </c>
      <c r="M9">
        <v>538</v>
      </c>
      <c r="N9">
        <v>460</v>
      </c>
      <c r="O9">
        <v>968</v>
      </c>
      <c r="P9">
        <v>469</v>
      </c>
      <c r="Q9">
        <v>2</v>
      </c>
      <c r="R9">
        <v>250</v>
      </c>
      <c r="AH9" t="s">
        <v>380</v>
      </c>
      <c r="AI9">
        <v>1727</v>
      </c>
      <c r="AJ9">
        <v>285.76838448180001</v>
      </c>
      <c r="AK9">
        <v>1842</v>
      </c>
      <c r="AL9">
        <v>319</v>
      </c>
      <c r="AM9">
        <v>3439</v>
      </c>
      <c r="AN9">
        <v>2123</v>
      </c>
      <c r="AO9">
        <v>389</v>
      </c>
      <c r="AP9">
        <v>285</v>
      </c>
      <c r="AQ9">
        <v>817</v>
      </c>
      <c r="AR9">
        <v>571</v>
      </c>
      <c r="AS9">
        <v>252</v>
      </c>
      <c r="AT9">
        <v>2</v>
      </c>
      <c r="AV9" t="s">
        <v>424</v>
      </c>
      <c r="AW9">
        <v>34</v>
      </c>
      <c r="AX9">
        <v>103.0882352941</v>
      </c>
      <c r="AY9">
        <v>28</v>
      </c>
      <c r="AZ9">
        <v>7</v>
      </c>
      <c r="BA9">
        <v>40</v>
      </c>
      <c r="BB9">
        <v>11</v>
      </c>
      <c r="BC9">
        <v>1</v>
      </c>
      <c r="BD9">
        <v>1</v>
      </c>
      <c r="BE9">
        <v>1</v>
      </c>
      <c r="BF9">
        <v>1</v>
      </c>
      <c r="BG9">
        <v>5</v>
      </c>
      <c r="BH9">
        <v>7</v>
      </c>
      <c r="BJ9" t="s">
        <v>562</v>
      </c>
      <c r="BK9" t="s">
        <v>392</v>
      </c>
      <c r="BL9">
        <v>4071</v>
      </c>
      <c r="BM9">
        <v>943</v>
      </c>
      <c r="BN9">
        <v>102.7806435765</v>
      </c>
      <c r="BO9">
        <v>706</v>
      </c>
      <c r="BP9">
        <v>706</v>
      </c>
      <c r="BQ9">
        <v>161.95042492920001</v>
      </c>
      <c r="BR9">
        <v>161.95042492920001</v>
      </c>
      <c r="BS9">
        <v>4753</v>
      </c>
      <c r="BT9">
        <v>1506</v>
      </c>
      <c r="BU9">
        <v>120.9640227225</v>
      </c>
      <c r="BV9">
        <v>1218</v>
      </c>
      <c r="BW9">
        <v>1218</v>
      </c>
      <c r="BX9">
        <v>141.88669950740001</v>
      </c>
      <c r="BY9">
        <v>141.88669950740001</v>
      </c>
      <c r="CA9" t="s">
        <v>394</v>
      </c>
      <c r="CB9" t="s">
        <v>774</v>
      </c>
      <c r="CC9" t="s">
        <v>1003</v>
      </c>
      <c r="CD9">
        <v>5977</v>
      </c>
      <c r="CE9">
        <v>1018</v>
      </c>
      <c r="CF9">
        <v>85.932742178400005</v>
      </c>
      <c r="CG9">
        <v>1898</v>
      </c>
      <c r="CH9">
        <v>1898</v>
      </c>
      <c r="CI9">
        <v>131.6786090622</v>
      </c>
      <c r="CJ9">
        <v>131.6786090622</v>
      </c>
      <c r="CL9" t="s">
        <v>394</v>
      </c>
      <c r="CM9" t="s">
        <v>755</v>
      </c>
      <c r="CN9" t="s">
        <v>757</v>
      </c>
      <c r="CO9">
        <v>416</v>
      </c>
      <c r="CP9">
        <v>33</v>
      </c>
      <c r="CQ9">
        <v>56.555288461499998</v>
      </c>
      <c r="CR9">
        <v>205</v>
      </c>
      <c r="CS9">
        <v>205</v>
      </c>
      <c r="CT9">
        <v>60.926829268299997</v>
      </c>
      <c r="CU9">
        <v>60.926829268299997</v>
      </c>
      <c r="CW9" t="s">
        <v>394</v>
      </c>
      <c r="CX9" t="s">
        <v>765</v>
      </c>
      <c r="CY9" t="s">
        <v>767</v>
      </c>
      <c r="CZ9">
        <v>79</v>
      </c>
      <c r="DA9">
        <v>7</v>
      </c>
      <c r="DB9">
        <v>72.860759493700002</v>
      </c>
      <c r="DC9">
        <v>9</v>
      </c>
      <c r="DD9">
        <v>9</v>
      </c>
      <c r="DE9">
        <v>113.44444444440001</v>
      </c>
      <c r="DF9">
        <v>113.44444444440001</v>
      </c>
      <c r="DH9" t="s">
        <v>394</v>
      </c>
      <c r="DI9" t="s">
        <v>745</v>
      </c>
      <c r="DJ9" t="s">
        <v>747</v>
      </c>
      <c r="DK9">
        <v>162</v>
      </c>
      <c r="DL9">
        <v>6</v>
      </c>
      <c r="DM9">
        <v>58.888888888899999</v>
      </c>
      <c r="DN9">
        <v>21</v>
      </c>
      <c r="DO9">
        <v>21</v>
      </c>
      <c r="DP9">
        <v>93.761904761899999</v>
      </c>
      <c r="DQ9">
        <v>93.761904761899999</v>
      </c>
    </row>
    <row r="10" spans="2:121" x14ac:dyDescent="0.2">
      <c r="B10" t="s">
        <v>320</v>
      </c>
      <c r="C10">
        <v>2</v>
      </c>
      <c r="F10" t="s">
        <v>24</v>
      </c>
      <c r="G10">
        <v>1883</v>
      </c>
      <c r="H10">
        <v>164.790228359</v>
      </c>
      <c r="I10">
        <v>4227</v>
      </c>
      <c r="J10">
        <v>939</v>
      </c>
      <c r="K10">
        <v>2773</v>
      </c>
      <c r="L10">
        <v>1181</v>
      </c>
      <c r="M10">
        <v>243</v>
      </c>
      <c r="N10">
        <v>71</v>
      </c>
      <c r="O10">
        <v>316</v>
      </c>
      <c r="P10">
        <v>202</v>
      </c>
      <c r="Q10">
        <v>0</v>
      </c>
      <c r="R10">
        <v>1</v>
      </c>
      <c r="AH10" t="s">
        <v>430</v>
      </c>
      <c r="AI10">
        <v>971</v>
      </c>
      <c r="AJ10">
        <v>395.71987641610002</v>
      </c>
      <c r="AK10">
        <v>942</v>
      </c>
      <c r="AL10">
        <v>240</v>
      </c>
      <c r="AM10">
        <v>1245</v>
      </c>
      <c r="AN10">
        <v>729</v>
      </c>
      <c r="AO10">
        <v>110</v>
      </c>
      <c r="AP10">
        <v>90</v>
      </c>
      <c r="AQ10">
        <v>283</v>
      </c>
      <c r="AR10">
        <v>186</v>
      </c>
      <c r="AS10">
        <v>66</v>
      </c>
      <c r="AT10">
        <v>1</v>
      </c>
      <c r="AV10" t="s">
        <v>378</v>
      </c>
      <c r="AW10">
        <v>353</v>
      </c>
      <c r="AX10">
        <v>112.8243626062</v>
      </c>
      <c r="AY10">
        <v>514</v>
      </c>
      <c r="AZ10">
        <v>118</v>
      </c>
      <c r="BA10">
        <v>516</v>
      </c>
      <c r="BB10">
        <v>181</v>
      </c>
      <c r="BC10">
        <v>11</v>
      </c>
      <c r="BD10">
        <v>11</v>
      </c>
      <c r="BE10">
        <v>33</v>
      </c>
      <c r="BF10">
        <v>8</v>
      </c>
      <c r="BG10">
        <v>42</v>
      </c>
      <c r="BH10">
        <v>156</v>
      </c>
      <c r="BJ10" t="s">
        <v>614</v>
      </c>
      <c r="BK10" t="s">
        <v>392</v>
      </c>
      <c r="BL10">
        <v>3831</v>
      </c>
      <c r="BM10">
        <v>530</v>
      </c>
      <c r="BN10">
        <v>79.860871834999998</v>
      </c>
      <c r="BO10">
        <v>1071</v>
      </c>
      <c r="BP10">
        <v>1071</v>
      </c>
      <c r="BQ10">
        <v>118.2306255836</v>
      </c>
      <c r="BR10">
        <v>118.2306255836</v>
      </c>
      <c r="BS10">
        <v>4576</v>
      </c>
      <c r="BT10">
        <v>886</v>
      </c>
      <c r="BU10">
        <v>91.019886363599994</v>
      </c>
      <c r="BV10">
        <v>1239</v>
      </c>
      <c r="BW10">
        <v>1239</v>
      </c>
      <c r="BX10">
        <v>127.4866828087</v>
      </c>
      <c r="BY10">
        <v>127.4866828087</v>
      </c>
      <c r="CA10" t="s">
        <v>396</v>
      </c>
      <c r="CB10" t="s">
        <v>774</v>
      </c>
      <c r="CC10" t="s">
        <v>1004</v>
      </c>
      <c r="CD10">
        <v>4243</v>
      </c>
      <c r="CE10">
        <v>978</v>
      </c>
      <c r="CF10">
        <v>102.2512373321</v>
      </c>
      <c r="CG10">
        <v>803</v>
      </c>
      <c r="CH10">
        <v>803</v>
      </c>
      <c r="CI10">
        <v>155.09339975090001</v>
      </c>
      <c r="CJ10">
        <v>155.09339975090001</v>
      </c>
      <c r="CL10" t="s">
        <v>396</v>
      </c>
      <c r="CM10" t="s">
        <v>755</v>
      </c>
      <c r="CN10" t="s">
        <v>758</v>
      </c>
      <c r="CO10">
        <v>328</v>
      </c>
      <c r="CP10">
        <v>30</v>
      </c>
      <c r="CQ10">
        <v>59.463414634099998</v>
      </c>
      <c r="CR10">
        <v>137</v>
      </c>
      <c r="CS10">
        <v>137</v>
      </c>
      <c r="CT10">
        <v>68.131386861300001</v>
      </c>
      <c r="CU10">
        <v>68.131386861300001</v>
      </c>
      <c r="CW10" t="s">
        <v>396</v>
      </c>
      <c r="CX10" t="s">
        <v>765</v>
      </c>
      <c r="CY10" t="s">
        <v>768</v>
      </c>
      <c r="CZ10">
        <v>85</v>
      </c>
      <c r="DA10">
        <v>17</v>
      </c>
      <c r="DB10">
        <v>91.952941176500005</v>
      </c>
      <c r="DC10">
        <v>9</v>
      </c>
      <c r="DD10">
        <v>9</v>
      </c>
      <c r="DE10">
        <v>136.44444444440001</v>
      </c>
      <c r="DF10">
        <v>136.44444444440001</v>
      </c>
      <c r="DH10" t="s">
        <v>396</v>
      </c>
      <c r="DI10" t="s">
        <v>745</v>
      </c>
      <c r="DJ10" t="s">
        <v>748</v>
      </c>
      <c r="DK10">
        <v>77</v>
      </c>
      <c r="DL10">
        <v>9</v>
      </c>
      <c r="DM10">
        <v>83.181818181799997</v>
      </c>
      <c r="DN10">
        <v>10</v>
      </c>
      <c r="DO10">
        <v>10</v>
      </c>
      <c r="DP10">
        <v>142.69999999999999</v>
      </c>
      <c r="DQ10">
        <v>142.69999999999999</v>
      </c>
    </row>
    <row r="11" spans="2:121" x14ac:dyDescent="0.2">
      <c r="B11" t="s">
        <v>117</v>
      </c>
      <c r="C11">
        <v>6781</v>
      </c>
      <c r="D11">
        <v>217</v>
      </c>
      <c r="F11" t="s">
        <v>60</v>
      </c>
      <c r="G11">
        <v>13330</v>
      </c>
      <c r="H11">
        <v>382.2961740435</v>
      </c>
      <c r="I11">
        <v>7737</v>
      </c>
      <c r="J11">
        <v>1216</v>
      </c>
      <c r="K11">
        <v>14948</v>
      </c>
      <c r="L11">
        <v>10706</v>
      </c>
      <c r="M11">
        <v>4154</v>
      </c>
      <c r="N11">
        <v>3795</v>
      </c>
      <c r="O11">
        <v>1759</v>
      </c>
      <c r="P11">
        <v>1281</v>
      </c>
      <c r="Q11">
        <v>0</v>
      </c>
      <c r="R11">
        <v>340</v>
      </c>
      <c r="AH11" t="s">
        <v>421</v>
      </c>
      <c r="AI11">
        <v>510</v>
      </c>
      <c r="AJ11">
        <v>488.08235294119999</v>
      </c>
      <c r="AK11">
        <v>474</v>
      </c>
      <c r="AL11">
        <v>97</v>
      </c>
      <c r="AM11">
        <v>698</v>
      </c>
      <c r="AN11">
        <v>500</v>
      </c>
      <c r="AO11">
        <v>147</v>
      </c>
      <c r="AP11">
        <v>127</v>
      </c>
      <c r="AQ11">
        <v>312</v>
      </c>
      <c r="AR11">
        <v>234</v>
      </c>
      <c r="AS11">
        <v>26</v>
      </c>
      <c r="AT11">
        <v>0</v>
      </c>
      <c r="AV11" t="s">
        <v>432</v>
      </c>
      <c r="AW11">
        <v>2371</v>
      </c>
      <c r="AX11">
        <v>113.41248418390001</v>
      </c>
      <c r="AY11">
        <v>2901</v>
      </c>
      <c r="AZ11">
        <v>725</v>
      </c>
      <c r="BA11">
        <v>3363</v>
      </c>
      <c r="BB11">
        <v>1150</v>
      </c>
      <c r="BC11">
        <v>90</v>
      </c>
      <c r="BD11">
        <v>85</v>
      </c>
      <c r="BE11">
        <v>156</v>
      </c>
      <c r="BF11">
        <v>63</v>
      </c>
      <c r="BG11">
        <v>307</v>
      </c>
      <c r="BH11">
        <v>696</v>
      </c>
      <c r="BJ11" t="s">
        <v>616</v>
      </c>
      <c r="BK11" t="s">
        <v>392</v>
      </c>
      <c r="BL11">
        <v>6295</v>
      </c>
      <c r="BM11">
        <v>1046</v>
      </c>
      <c r="BN11">
        <v>92.6918189039</v>
      </c>
      <c r="BO11">
        <v>1784</v>
      </c>
      <c r="BP11">
        <v>1784</v>
      </c>
      <c r="BQ11">
        <v>175.57735426010001</v>
      </c>
      <c r="BR11">
        <v>175.57735426010001</v>
      </c>
      <c r="BS11">
        <v>8637</v>
      </c>
      <c r="BT11">
        <v>1888</v>
      </c>
      <c r="BU11">
        <v>102.4756281116</v>
      </c>
      <c r="BV11">
        <v>2941</v>
      </c>
      <c r="BW11">
        <v>2941</v>
      </c>
      <c r="BX11">
        <v>164.65215912950001</v>
      </c>
      <c r="BY11">
        <v>164.65215912950001</v>
      </c>
      <c r="CA11" t="s">
        <v>425</v>
      </c>
      <c r="CB11" t="s">
        <v>774</v>
      </c>
      <c r="CC11" t="s">
        <v>1005</v>
      </c>
      <c r="CD11">
        <v>776</v>
      </c>
      <c r="CE11">
        <v>101</v>
      </c>
      <c r="CF11">
        <v>70.090206185599996</v>
      </c>
      <c r="CG11">
        <v>456</v>
      </c>
      <c r="CH11">
        <v>456</v>
      </c>
      <c r="CI11">
        <v>88.875</v>
      </c>
      <c r="CJ11">
        <v>88.875</v>
      </c>
      <c r="CL11" t="s">
        <v>425</v>
      </c>
      <c r="CM11" t="s">
        <v>755</v>
      </c>
      <c r="CN11" t="s">
        <v>759</v>
      </c>
      <c r="CO11">
        <v>86</v>
      </c>
      <c r="CP11">
        <v>4</v>
      </c>
      <c r="CQ11">
        <v>51.406976744200001</v>
      </c>
      <c r="CR11">
        <v>54</v>
      </c>
      <c r="CS11">
        <v>54</v>
      </c>
      <c r="CT11">
        <v>47.388888888899999</v>
      </c>
      <c r="CU11">
        <v>47.388888888899999</v>
      </c>
      <c r="CW11" t="s">
        <v>425</v>
      </c>
      <c r="CX11" t="s">
        <v>765</v>
      </c>
      <c r="CY11" t="s">
        <v>769</v>
      </c>
      <c r="CZ11">
        <v>21</v>
      </c>
      <c r="DA11">
        <v>2</v>
      </c>
      <c r="DB11">
        <v>65.571428571400006</v>
      </c>
      <c r="DC11">
        <v>5</v>
      </c>
      <c r="DD11">
        <v>5</v>
      </c>
      <c r="DE11">
        <v>111.4</v>
      </c>
      <c r="DF11">
        <v>111.4</v>
      </c>
      <c r="DH11" t="s">
        <v>425</v>
      </c>
      <c r="DI11" t="s">
        <v>745</v>
      </c>
      <c r="DJ11" t="s">
        <v>749</v>
      </c>
      <c r="DK11">
        <v>20</v>
      </c>
      <c r="DL11">
        <v>0</v>
      </c>
      <c r="DM11">
        <v>51</v>
      </c>
      <c r="DN11">
        <v>3</v>
      </c>
      <c r="DO11">
        <v>3</v>
      </c>
      <c r="DP11">
        <v>101.6666666667</v>
      </c>
      <c r="DQ11">
        <v>101.6666666667</v>
      </c>
    </row>
    <row r="12" spans="2:121" x14ac:dyDescent="0.2">
      <c r="B12" t="s">
        <v>100</v>
      </c>
      <c r="C12">
        <v>225</v>
      </c>
      <c r="D12">
        <v>112</v>
      </c>
      <c r="F12" t="s">
        <v>36</v>
      </c>
      <c r="G12">
        <v>8026</v>
      </c>
      <c r="H12">
        <v>650.02915524549996</v>
      </c>
      <c r="I12">
        <v>4974</v>
      </c>
      <c r="J12">
        <v>1039</v>
      </c>
      <c r="K12">
        <v>9383</v>
      </c>
      <c r="L12">
        <v>7489</v>
      </c>
      <c r="M12">
        <v>940</v>
      </c>
      <c r="N12">
        <v>801</v>
      </c>
      <c r="O12">
        <v>5903</v>
      </c>
      <c r="P12">
        <v>4953</v>
      </c>
      <c r="Q12">
        <v>22</v>
      </c>
      <c r="R12">
        <v>3</v>
      </c>
      <c r="T12" t="s">
        <v>655</v>
      </c>
      <c r="U12" t="s">
        <v>312</v>
      </c>
      <c r="V12" t="s">
        <v>139</v>
      </c>
      <c r="W12" t="s">
        <v>220</v>
      </c>
      <c r="X12" t="s">
        <v>221</v>
      </c>
      <c r="Y12" t="s">
        <v>222</v>
      </c>
      <c r="Z12" t="s">
        <v>223</v>
      </c>
      <c r="AA12" t="s">
        <v>224</v>
      </c>
      <c r="AB12" t="s">
        <v>225</v>
      </c>
      <c r="AC12" t="s">
        <v>226</v>
      </c>
      <c r="AD12" t="s">
        <v>227</v>
      </c>
      <c r="AE12" t="s">
        <v>228</v>
      </c>
      <c r="AF12" t="s">
        <v>229</v>
      </c>
      <c r="AH12" t="s">
        <v>432</v>
      </c>
      <c r="AI12">
        <v>21648</v>
      </c>
      <c r="AJ12">
        <v>314.86372875090001</v>
      </c>
      <c r="AK12">
        <v>24998</v>
      </c>
      <c r="AL12">
        <v>6138</v>
      </c>
      <c r="AM12">
        <v>29741</v>
      </c>
      <c r="AN12">
        <v>18710</v>
      </c>
      <c r="AO12">
        <v>3949</v>
      </c>
      <c r="AP12">
        <v>2905</v>
      </c>
      <c r="AQ12">
        <v>12956</v>
      </c>
      <c r="AR12">
        <v>7097</v>
      </c>
      <c r="AS12">
        <v>1845</v>
      </c>
      <c r="AT12">
        <v>251</v>
      </c>
      <c r="AV12" t="s">
        <v>394</v>
      </c>
      <c r="AW12">
        <v>258</v>
      </c>
      <c r="AX12">
        <v>63.569767441899998</v>
      </c>
      <c r="AY12">
        <v>451</v>
      </c>
      <c r="AZ12">
        <v>22</v>
      </c>
      <c r="BA12">
        <v>399</v>
      </c>
      <c r="BB12">
        <v>23</v>
      </c>
      <c r="BC12">
        <v>1</v>
      </c>
      <c r="BD12">
        <v>1</v>
      </c>
      <c r="BE12">
        <v>24</v>
      </c>
      <c r="BF12">
        <v>3</v>
      </c>
      <c r="BG12">
        <v>79</v>
      </c>
      <c r="BH12">
        <v>71</v>
      </c>
      <c r="BJ12" t="s">
        <v>558</v>
      </c>
      <c r="BK12" t="s">
        <v>392</v>
      </c>
      <c r="BL12">
        <v>5808</v>
      </c>
      <c r="BM12">
        <v>976</v>
      </c>
      <c r="BN12">
        <v>84.670971074400001</v>
      </c>
      <c r="BO12">
        <v>1790</v>
      </c>
      <c r="BP12">
        <v>1790</v>
      </c>
      <c r="BQ12">
        <v>134.01955307259999</v>
      </c>
      <c r="BR12">
        <v>134.01955307259999</v>
      </c>
      <c r="BS12">
        <v>5110</v>
      </c>
      <c r="BT12">
        <v>585</v>
      </c>
      <c r="BU12">
        <v>71.352250489200003</v>
      </c>
      <c r="BV12">
        <v>1224</v>
      </c>
      <c r="BW12">
        <v>1224</v>
      </c>
      <c r="BX12">
        <v>128.7312091503</v>
      </c>
      <c r="BY12">
        <v>128.7312091503</v>
      </c>
      <c r="CA12" t="s">
        <v>419</v>
      </c>
      <c r="CB12" t="s">
        <v>774</v>
      </c>
      <c r="CC12" t="s">
        <v>1006</v>
      </c>
      <c r="CD12">
        <v>6311</v>
      </c>
      <c r="CE12">
        <v>992</v>
      </c>
      <c r="CF12">
        <v>80.0503882111</v>
      </c>
      <c r="CG12">
        <v>1803</v>
      </c>
      <c r="CH12">
        <v>1803</v>
      </c>
      <c r="CI12">
        <v>120.0526899612</v>
      </c>
      <c r="CJ12">
        <v>120.0526899612</v>
      </c>
      <c r="CL12" t="s">
        <v>419</v>
      </c>
      <c r="CM12" t="s">
        <v>755</v>
      </c>
      <c r="CN12" t="s">
        <v>760</v>
      </c>
      <c r="CO12">
        <v>437</v>
      </c>
      <c r="CP12">
        <v>34</v>
      </c>
      <c r="CQ12">
        <v>58.036613272300002</v>
      </c>
      <c r="CR12">
        <v>246</v>
      </c>
      <c r="CS12">
        <v>246</v>
      </c>
      <c r="CT12">
        <v>56.9715447154</v>
      </c>
      <c r="CU12">
        <v>56.9715447154</v>
      </c>
      <c r="CW12" t="s">
        <v>419</v>
      </c>
      <c r="CX12" t="s">
        <v>765</v>
      </c>
      <c r="CY12" t="s">
        <v>770</v>
      </c>
      <c r="CZ12">
        <v>126</v>
      </c>
      <c r="DA12">
        <v>14</v>
      </c>
      <c r="DB12">
        <v>71.253968254</v>
      </c>
      <c r="DC12">
        <v>18</v>
      </c>
      <c r="DD12">
        <v>18</v>
      </c>
      <c r="DE12">
        <v>127.44444444440001</v>
      </c>
      <c r="DF12">
        <v>127.44444444440001</v>
      </c>
      <c r="DH12" t="s">
        <v>419</v>
      </c>
      <c r="DI12" t="s">
        <v>745</v>
      </c>
      <c r="DJ12" t="s">
        <v>750</v>
      </c>
      <c r="DK12">
        <v>182</v>
      </c>
      <c r="DL12">
        <v>10</v>
      </c>
      <c r="DM12">
        <v>69.335164835200004</v>
      </c>
      <c r="DN12">
        <v>28</v>
      </c>
      <c r="DO12">
        <v>28</v>
      </c>
      <c r="DP12">
        <v>119.1428571429</v>
      </c>
      <c r="DQ12">
        <v>119.1428571429</v>
      </c>
    </row>
    <row r="13" spans="2:121" x14ac:dyDescent="0.2">
      <c r="B13" t="s">
        <v>127</v>
      </c>
      <c r="C13">
        <v>632</v>
      </c>
      <c r="D13">
        <v>327</v>
      </c>
      <c r="F13" t="s">
        <v>37</v>
      </c>
      <c r="G13">
        <v>252</v>
      </c>
      <c r="H13">
        <v>65.642857142899999</v>
      </c>
      <c r="I13">
        <v>1389</v>
      </c>
      <c r="J13">
        <v>289</v>
      </c>
      <c r="K13">
        <v>419</v>
      </c>
      <c r="L13">
        <v>77</v>
      </c>
      <c r="M13">
        <v>71</v>
      </c>
      <c r="N13">
        <v>20</v>
      </c>
      <c r="O13">
        <v>121</v>
      </c>
      <c r="P13">
        <v>44</v>
      </c>
      <c r="Q13">
        <v>0</v>
      </c>
      <c r="R13">
        <v>8</v>
      </c>
      <c r="T13" t="s">
        <v>392</v>
      </c>
      <c r="U13">
        <v>58775</v>
      </c>
      <c r="V13">
        <v>328.80450871969998</v>
      </c>
      <c r="W13">
        <v>65401</v>
      </c>
      <c r="X13">
        <v>13949</v>
      </c>
      <c r="Y13">
        <v>91834</v>
      </c>
      <c r="Z13">
        <v>52444</v>
      </c>
      <c r="AA13">
        <v>13923</v>
      </c>
      <c r="AB13">
        <v>11605</v>
      </c>
      <c r="AC13">
        <v>13996</v>
      </c>
      <c r="AD13">
        <v>7898</v>
      </c>
      <c r="AE13">
        <v>42</v>
      </c>
      <c r="AF13">
        <v>1124</v>
      </c>
      <c r="AH13" t="s">
        <v>388</v>
      </c>
      <c r="AI13">
        <v>17060</v>
      </c>
      <c r="AJ13">
        <v>359.50814771400002</v>
      </c>
      <c r="AK13">
        <v>18592</v>
      </c>
      <c r="AL13">
        <v>3774</v>
      </c>
      <c r="AM13">
        <v>25001</v>
      </c>
      <c r="AN13">
        <v>16422</v>
      </c>
      <c r="AO13">
        <v>5406</v>
      </c>
      <c r="AP13">
        <v>4749</v>
      </c>
      <c r="AQ13">
        <v>13381</v>
      </c>
      <c r="AR13">
        <v>8396</v>
      </c>
      <c r="AS13">
        <v>881</v>
      </c>
      <c r="AT13">
        <v>16</v>
      </c>
      <c r="AV13" t="s">
        <v>415</v>
      </c>
      <c r="AW13">
        <v>21</v>
      </c>
      <c r="AX13">
        <v>42.857142857100001</v>
      </c>
      <c r="AY13">
        <v>97</v>
      </c>
      <c r="AZ13">
        <v>2</v>
      </c>
      <c r="BA13">
        <v>43</v>
      </c>
      <c r="BC13">
        <v>1</v>
      </c>
      <c r="BD13">
        <v>1</v>
      </c>
      <c r="BE13">
        <v>2</v>
      </c>
      <c r="BG13">
        <v>75</v>
      </c>
      <c r="BH13">
        <v>6</v>
      </c>
      <c r="BJ13" t="s">
        <v>595</v>
      </c>
      <c r="BK13" t="s">
        <v>392</v>
      </c>
      <c r="BL13">
        <v>2111</v>
      </c>
      <c r="BM13">
        <v>395</v>
      </c>
      <c r="BN13">
        <v>96.603031738499993</v>
      </c>
      <c r="BO13">
        <v>400</v>
      </c>
      <c r="BP13">
        <v>400</v>
      </c>
      <c r="BQ13">
        <v>150.71250000000001</v>
      </c>
      <c r="BR13">
        <v>150.71250000000001</v>
      </c>
      <c r="BS13">
        <v>3968</v>
      </c>
      <c r="BT13">
        <v>959</v>
      </c>
      <c r="BU13">
        <v>113.34501008060001</v>
      </c>
      <c r="BV13">
        <v>939</v>
      </c>
      <c r="BW13">
        <v>939</v>
      </c>
      <c r="BX13">
        <v>175.8477103301</v>
      </c>
      <c r="BY13">
        <v>175.8477103301</v>
      </c>
      <c r="CA13" t="s">
        <v>417</v>
      </c>
      <c r="CB13" t="s">
        <v>774</v>
      </c>
      <c r="CC13" t="s">
        <v>1007</v>
      </c>
      <c r="CD13">
        <v>34927</v>
      </c>
      <c r="CE13">
        <v>7606</v>
      </c>
      <c r="CF13">
        <v>96.060268560099999</v>
      </c>
      <c r="CG13">
        <v>9972</v>
      </c>
      <c r="CH13">
        <v>9972</v>
      </c>
      <c r="CI13">
        <v>139.18852787809999</v>
      </c>
      <c r="CJ13">
        <v>139.18852787809999</v>
      </c>
      <c r="CL13" t="s">
        <v>417</v>
      </c>
      <c r="CM13" t="s">
        <v>755</v>
      </c>
      <c r="CN13" t="s">
        <v>761</v>
      </c>
      <c r="CO13">
        <v>1616</v>
      </c>
      <c r="CP13">
        <v>110</v>
      </c>
      <c r="CQ13">
        <v>56.753712871300003</v>
      </c>
      <c r="CR13">
        <v>1056</v>
      </c>
      <c r="CS13">
        <v>1056</v>
      </c>
      <c r="CT13">
        <v>63.123106060600001</v>
      </c>
      <c r="CU13">
        <v>63.123106060600001</v>
      </c>
      <c r="CW13" t="s">
        <v>417</v>
      </c>
      <c r="CX13" t="s">
        <v>765</v>
      </c>
      <c r="CY13" t="s">
        <v>771</v>
      </c>
      <c r="CZ13">
        <v>1118</v>
      </c>
      <c r="DA13">
        <v>115</v>
      </c>
      <c r="DB13">
        <v>68.896243291600001</v>
      </c>
      <c r="DC13">
        <v>166</v>
      </c>
      <c r="DD13">
        <v>166</v>
      </c>
      <c r="DE13">
        <v>135.0542168675</v>
      </c>
      <c r="DF13">
        <v>135.0542168675</v>
      </c>
      <c r="DH13" t="s">
        <v>417</v>
      </c>
      <c r="DI13" t="s">
        <v>745</v>
      </c>
      <c r="DJ13" t="s">
        <v>751</v>
      </c>
      <c r="DK13">
        <v>1048</v>
      </c>
      <c r="DL13">
        <v>101</v>
      </c>
      <c r="DM13">
        <v>75.847328244300002</v>
      </c>
      <c r="DN13">
        <v>197</v>
      </c>
      <c r="DO13">
        <v>197</v>
      </c>
      <c r="DP13">
        <v>124.614213198</v>
      </c>
      <c r="DQ13">
        <v>124.614213198</v>
      </c>
    </row>
    <row r="14" spans="2:121" x14ac:dyDescent="0.2">
      <c r="B14" t="s">
        <v>124</v>
      </c>
      <c r="C14">
        <v>25</v>
      </c>
      <c r="D14">
        <v>9</v>
      </c>
      <c r="F14" t="s">
        <v>41</v>
      </c>
      <c r="G14">
        <v>6857</v>
      </c>
      <c r="H14">
        <v>493.12483593410002</v>
      </c>
      <c r="I14">
        <v>8403</v>
      </c>
      <c r="J14">
        <v>1955</v>
      </c>
      <c r="K14">
        <v>9237</v>
      </c>
      <c r="L14">
        <v>6704</v>
      </c>
      <c r="M14">
        <v>1212</v>
      </c>
      <c r="N14">
        <v>1120</v>
      </c>
      <c r="O14">
        <v>4708</v>
      </c>
      <c r="P14">
        <v>2246</v>
      </c>
      <c r="Q14">
        <v>4</v>
      </c>
      <c r="R14">
        <v>335</v>
      </c>
      <c r="T14" t="s">
        <v>397</v>
      </c>
      <c r="U14">
        <v>43064</v>
      </c>
      <c r="V14">
        <v>355.60869868100002</v>
      </c>
      <c r="W14">
        <v>57848</v>
      </c>
      <c r="X14">
        <v>11511</v>
      </c>
      <c r="Y14">
        <v>73078</v>
      </c>
      <c r="Z14">
        <v>37099</v>
      </c>
      <c r="AA14">
        <v>9298</v>
      </c>
      <c r="AB14">
        <v>7608</v>
      </c>
      <c r="AC14">
        <v>17623</v>
      </c>
      <c r="AD14">
        <v>12118</v>
      </c>
      <c r="AE14">
        <v>4547</v>
      </c>
      <c r="AF14">
        <v>1048</v>
      </c>
      <c r="AH14" t="s">
        <v>435</v>
      </c>
      <c r="AI14">
        <v>1715</v>
      </c>
      <c r="AJ14">
        <v>295.1510204082</v>
      </c>
      <c r="AK14">
        <v>1979</v>
      </c>
      <c r="AL14">
        <v>385</v>
      </c>
      <c r="AM14">
        <v>2425</v>
      </c>
      <c r="AN14">
        <v>1479</v>
      </c>
      <c r="AO14">
        <v>347</v>
      </c>
      <c r="AP14">
        <v>282</v>
      </c>
      <c r="AQ14">
        <v>345</v>
      </c>
      <c r="AR14">
        <v>179</v>
      </c>
      <c r="AS14">
        <v>4</v>
      </c>
      <c r="AT14">
        <v>2</v>
      </c>
      <c r="AV14" t="s">
        <v>400</v>
      </c>
      <c r="AW14">
        <v>165</v>
      </c>
      <c r="AX14">
        <v>63.739393939400003</v>
      </c>
      <c r="AY14">
        <v>412</v>
      </c>
      <c r="AZ14">
        <v>33</v>
      </c>
      <c r="BA14">
        <v>294</v>
      </c>
      <c r="BB14">
        <v>35</v>
      </c>
      <c r="BC14">
        <v>2</v>
      </c>
      <c r="BD14">
        <v>1</v>
      </c>
      <c r="BE14">
        <v>48</v>
      </c>
      <c r="BF14">
        <v>4</v>
      </c>
      <c r="BG14">
        <v>65</v>
      </c>
      <c r="BH14">
        <v>66</v>
      </c>
      <c r="BJ14" t="s">
        <v>612</v>
      </c>
      <c r="BK14" t="s">
        <v>392</v>
      </c>
      <c r="BL14">
        <v>17368</v>
      </c>
      <c r="BM14">
        <v>3380</v>
      </c>
      <c r="BN14">
        <v>89.418010133600006</v>
      </c>
      <c r="BO14">
        <v>4167</v>
      </c>
      <c r="BP14">
        <v>4167</v>
      </c>
      <c r="BQ14">
        <v>141.8639308855</v>
      </c>
      <c r="BR14">
        <v>141.8639308855</v>
      </c>
      <c r="BS14">
        <v>17045</v>
      </c>
      <c r="BT14">
        <v>3082</v>
      </c>
      <c r="BU14">
        <v>87.326078028699996</v>
      </c>
      <c r="BV14">
        <v>4009</v>
      </c>
      <c r="BW14">
        <v>4009</v>
      </c>
      <c r="BX14">
        <v>140.02070341730001</v>
      </c>
      <c r="BY14">
        <v>140.02070341730001</v>
      </c>
      <c r="CA14" t="s">
        <v>413</v>
      </c>
      <c r="CB14" t="s">
        <v>774</v>
      </c>
      <c r="CC14" t="s">
        <v>1008</v>
      </c>
      <c r="CD14">
        <v>1853</v>
      </c>
      <c r="CE14">
        <v>365</v>
      </c>
      <c r="CF14">
        <v>96.991365353500001</v>
      </c>
      <c r="CG14">
        <v>362</v>
      </c>
      <c r="CH14">
        <v>362</v>
      </c>
      <c r="CI14">
        <v>147.6629834254</v>
      </c>
      <c r="CJ14">
        <v>147.6629834254</v>
      </c>
      <c r="CL14" t="s">
        <v>413</v>
      </c>
      <c r="CM14" t="s">
        <v>755</v>
      </c>
      <c r="CN14" t="s">
        <v>762</v>
      </c>
      <c r="CO14">
        <v>173</v>
      </c>
      <c r="CP14">
        <v>11</v>
      </c>
      <c r="CQ14">
        <v>57.531791907500001</v>
      </c>
      <c r="CR14">
        <v>75</v>
      </c>
      <c r="CS14">
        <v>75</v>
      </c>
      <c r="CT14">
        <v>51.973333333299998</v>
      </c>
      <c r="CU14">
        <v>51.973333333299998</v>
      </c>
      <c r="CW14" t="s">
        <v>413</v>
      </c>
      <c r="CX14" t="s">
        <v>765</v>
      </c>
      <c r="CY14" t="s">
        <v>772</v>
      </c>
      <c r="CZ14">
        <v>63</v>
      </c>
      <c r="DA14">
        <v>15</v>
      </c>
      <c r="DB14">
        <v>97.190476190499993</v>
      </c>
      <c r="DC14">
        <v>9</v>
      </c>
      <c r="DD14">
        <v>9</v>
      </c>
      <c r="DE14">
        <v>96.111111111100001</v>
      </c>
      <c r="DF14">
        <v>96.111111111100001</v>
      </c>
      <c r="DH14" t="s">
        <v>413</v>
      </c>
      <c r="DI14" t="s">
        <v>745</v>
      </c>
      <c r="DJ14" t="s">
        <v>752</v>
      </c>
      <c r="DK14">
        <v>64</v>
      </c>
      <c r="DL14">
        <v>3</v>
      </c>
      <c r="DM14">
        <v>73.5625</v>
      </c>
      <c r="DN14">
        <v>13</v>
      </c>
      <c r="DO14">
        <v>13</v>
      </c>
      <c r="DP14">
        <v>110.69230769230001</v>
      </c>
      <c r="DQ14">
        <v>110.69230769230001</v>
      </c>
    </row>
    <row r="15" spans="2:121" x14ac:dyDescent="0.2">
      <c r="B15" t="s">
        <v>134</v>
      </c>
      <c r="C15">
        <v>1062</v>
      </c>
      <c r="D15">
        <v>231</v>
      </c>
      <c r="F15" t="s">
        <v>39</v>
      </c>
      <c r="G15">
        <v>431</v>
      </c>
      <c r="H15">
        <v>269.78654292340002</v>
      </c>
      <c r="I15">
        <v>821</v>
      </c>
      <c r="J15">
        <v>147</v>
      </c>
      <c r="K15">
        <v>710</v>
      </c>
      <c r="L15">
        <v>336</v>
      </c>
      <c r="M15">
        <v>21</v>
      </c>
      <c r="N15">
        <v>9</v>
      </c>
      <c r="O15">
        <v>124</v>
      </c>
      <c r="P15">
        <v>27</v>
      </c>
      <c r="Q15">
        <v>2</v>
      </c>
      <c r="R15">
        <v>6</v>
      </c>
      <c r="T15" t="s">
        <v>376</v>
      </c>
      <c r="U15">
        <v>108651</v>
      </c>
      <c r="V15">
        <v>442.5160559958</v>
      </c>
      <c r="W15">
        <v>79590</v>
      </c>
      <c r="X15">
        <v>17965</v>
      </c>
      <c r="Y15">
        <v>140203</v>
      </c>
      <c r="Z15">
        <v>101336</v>
      </c>
      <c r="AA15">
        <v>23613</v>
      </c>
      <c r="AB15">
        <v>19985</v>
      </c>
      <c r="AC15">
        <v>30184</v>
      </c>
      <c r="AD15">
        <v>24350</v>
      </c>
      <c r="AE15">
        <v>10940</v>
      </c>
      <c r="AF15">
        <v>50</v>
      </c>
      <c r="AH15" t="s">
        <v>415</v>
      </c>
      <c r="AI15">
        <v>840</v>
      </c>
      <c r="AJ15">
        <v>276.99047619049998</v>
      </c>
      <c r="AK15">
        <v>1508</v>
      </c>
      <c r="AL15">
        <v>306</v>
      </c>
      <c r="AM15">
        <v>1256</v>
      </c>
      <c r="AN15">
        <v>622</v>
      </c>
      <c r="AO15">
        <v>195</v>
      </c>
      <c r="AP15">
        <v>121</v>
      </c>
      <c r="AQ15">
        <v>324</v>
      </c>
      <c r="AR15">
        <v>147</v>
      </c>
      <c r="AS15">
        <v>1</v>
      </c>
      <c r="AT15">
        <v>8</v>
      </c>
      <c r="AV15" t="s">
        <v>419</v>
      </c>
      <c r="AW15">
        <v>79</v>
      </c>
      <c r="AX15">
        <v>37.924050632899998</v>
      </c>
      <c r="AY15">
        <v>277</v>
      </c>
      <c r="AZ15">
        <v>5</v>
      </c>
      <c r="BA15">
        <v>142</v>
      </c>
      <c r="BB15">
        <v>6</v>
      </c>
      <c r="BC15">
        <v>2</v>
      </c>
      <c r="BD15">
        <v>2</v>
      </c>
      <c r="BE15">
        <v>15</v>
      </c>
      <c r="BF15">
        <v>9</v>
      </c>
      <c r="BG15">
        <v>345</v>
      </c>
      <c r="BH15">
        <v>54</v>
      </c>
      <c r="BJ15" t="s">
        <v>574</v>
      </c>
      <c r="BK15" t="s">
        <v>397</v>
      </c>
      <c r="BL15">
        <v>6857</v>
      </c>
      <c r="BM15">
        <v>1821</v>
      </c>
      <c r="BN15">
        <v>105.34154878229999</v>
      </c>
      <c r="BO15">
        <v>1472</v>
      </c>
      <c r="BP15">
        <v>1472</v>
      </c>
      <c r="BQ15">
        <v>164.35122282610001</v>
      </c>
      <c r="BR15">
        <v>164.35122282610001</v>
      </c>
      <c r="BS15">
        <v>4644</v>
      </c>
      <c r="BT15">
        <v>841</v>
      </c>
      <c r="BU15">
        <v>89.323212747599996</v>
      </c>
      <c r="BV15">
        <v>870</v>
      </c>
      <c r="BW15">
        <v>870</v>
      </c>
      <c r="BX15">
        <v>146.091954023</v>
      </c>
      <c r="BY15">
        <v>146.091954023</v>
      </c>
      <c r="CA15" t="s">
        <v>428</v>
      </c>
      <c r="CB15" t="s">
        <v>774</v>
      </c>
      <c r="CC15" t="s">
        <v>1009</v>
      </c>
      <c r="CD15">
        <v>887</v>
      </c>
      <c r="CE15">
        <v>167</v>
      </c>
      <c r="CF15">
        <v>86.632468996599997</v>
      </c>
      <c r="CG15">
        <v>200</v>
      </c>
      <c r="CH15">
        <v>200</v>
      </c>
      <c r="CI15">
        <v>128.75</v>
      </c>
      <c r="CJ15">
        <v>128.75</v>
      </c>
      <c r="CL15" t="s">
        <v>428</v>
      </c>
      <c r="CM15" t="s">
        <v>755</v>
      </c>
      <c r="CN15" t="s">
        <v>763</v>
      </c>
      <c r="CO15">
        <v>27</v>
      </c>
      <c r="CP15">
        <v>2</v>
      </c>
      <c r="CQ15">
        <v>59.629629629599997</v>
      </c>
      <c r="CR15">
        <v>18</v>
      </c>
      <c r="CS15">
        <v>18</v>
      </c>
      <c r="CT15">
        <v>53.5</v>
      </c>
      <c r="CU15">
        <v>53.5</v>
      </c>
      <c r="CW15" t="s">
        <v>428</v>
      </c>
      <c r="CX15" t="s">
        <v>765</v>
      </c>
      <c r="CY15" t="s">
        <v>773</v>
      </c>
      <c r="CZ15">
        <v>20</v>
      </c>
      <c r="DA15">
        <v>4</v>
      </c>
      <c r="DB15">
        <v>96.4</v>
      </c>
      <c r="DC15">
        <v>3</v>
      </c>
      <c r="DD15">
        <v>3</v>
      </c>
      <c r="DE15">
        <v>121.6666666667</v>
      </c>
      <c r="DF15">
        <v>121.6666666667</v>
      </c>
      <c r="DH15" t="s">
        <v>428</v>
      </c>
      <c r="DI15" t="s">
        <v>745</v>
      </c>
      <c r="DJ15" t="s">
        <v>753</v>
      </c>
      <c r="DK15">
        <v>15</v>
      </c>
      <c r="DL15">
        <v>2</v>
      </c>
      <c r="DM15">
        <v>82.333333333300004</v>
      </c>
      <c r="DN15">
        <v>5</v>
      </c>
      <c r="DO15">
        <v>5</v>
      </c>
      <c r="DP15">
        <v>111.2</v>
      </c>
      <c r="DQ15">
        <v>111.2</v>
      </c>
    </row>
    <row r="16" spans="2:121" x14ac:dyDescent="0.2">
      <c r="B16" t="s">
        <v>983</v>
      </c>
      <c r="C16">
        <v>4</v>
      </c>
      <c r="D16">
        <v>3</v>
      </c>
      <c r="F16" t="s">
        <v>64</v>
      </c>
      <c r="G16">
        <v>918</v>
      </c>
      <c r="H16">
        <v>99.920479302800004</v>
      </c>
      <c r="I16">
        <v>2520</v>
      </c>
      <c r="J16">
        <v>560</v>
      </c>
      <c r="K16">
        <v>1676</v>
      </c>
      <c r="L16">
        <v>346</v>
      </c>
      <c r="M16">
        <v>611</v>
      </c>
      <c r="N16">
        <v>575</v>
      </c>
      <c r="O16">
        <v>2079</v>
      </c>
      <c r="P16">
        <v>1156</v>
      </c>
      <c r="Q16">
        <v>0</v>
      </c>
      <c r="R16">
        <v>0</v>
      </c>
      <c r="T16" t="s">
        <v>8</v>
      </c>
      <c r="U16">
        <v>53</v>
      </c>
      <c r="V16">
        <v>889.90566037739995</v>
      </c>
      <c r="W16">
        <v>2</v>
      </c>
      <c r="Y16">
        <v>54</v>
      </c>
      <c r="Z16">
        <v>54</v>
      </c>
      <c r="AA16">
        <v>2</v>
      </c>
      <c r="AB16">
        <v>1</v>
      </c>
      <c r="AC16">
        <v>27246</v>
      </c>
      <c r="AD16">
        <v>9591</v>
      </c>
      <c r="AE16">
        <v>0</v>
      </c>
      <c r="AF16">
        <v>1</v>
      </c>
      <c r="AH16" t="s">
        <v>401</v>
      </c>
      <c r="AI16">
        <v>7730</v>
      </c>
      <c r="AJ16">
        <v>485.19573091849998</v>
      </c>
      <c r="AK16">
        <v>7586</v>
      </c>
      <c r="AL16">
        <v>1903</v>
      </c>
      <c r="AM16">
        <v>10258</v>
      </c>
      <c r="AN16">
        <v>7131</v>
      </c>
      <c r="AO16">
        <v>1457</v>
      </c>
      <c r="AP16">
        <v>1366</v>
      </c>
      <c r="AQ16">
        <v>2949</v>
      </c>
      <c r="AR16">
        <v>1971</v>
      </c>
      <c r="AS16">
        <v>515</v>
      </c>
      <c r="AT16">
        <v>203</v>
      </c>
      <c r="AV16" t="s">
        <v>382</v>
      </c>
      <c r="AW16">
        <v>1450</v>
      </c>
      <c r="AX16">
        <v>115.7351724138</v>
      </c>
      <c r="AY16">
        <v>2099</v>
      </c>
      <c r="AZ16">
        <v>533</v>
      </c>
      <c r="BA16">
        <v>2154</v>
      </c>
      <c r="BB16">
        <v>732</v>
      </c>
      <c r="BC16">
        <v>47</v>
      </c>
      <c r="BD16">
        <v>43</v>
      </c>
      <c r="BE16">
        <v>109</v>
      </c>
      <c r="BF16">
        <v>22</v>
      </c>
      <c r="BG16">
        <v>118</v>
      </c>
      <c r="BH16">
        <v>422</v>
      </c>
      <c r="BJ16" t="s">
        <v>566</v>
      </c>
      <c r="BK16" t="s">
        <v>397</v>
      </c>
      <c r="BL16">
        <v>8628</v>
      </c>
      <c r="BM16">
        <v>1986</v>
      </c>
      <c r="BN16">
        <v>97.278627723699998</v>
      </c>
      <c r="BO16">
        <v>2226</v>
      </c>
      <c r="BP16">
        <v>2226</v>
      </c>
      <c r="BQ16">
        <v>130.5413297394</v>
      </c>
      <c r="BR16">
        <v>130.5413297394</v>
      </c>
      <c r="BS16">
        <v>9811</v>
      </c>
      <c r="BT16">
        <v>2639</v>
      </c>
      <c r="BU16">
        <v>109.0720619713</v>
      </c>
      <c r="BV16">
        <v>2640</v>
      </c>
      <c r="BW16">
        <v>2640</v>
      </c>
      <c r="BX16">
        <v>146.0446969697</v>
      </c>
      <c r="BY16">
        <v>146.0446969697</v>
      </c>
      <c r="CA16" t="s">
        <v>392</v>
      </c>
      <c r="CB16" t="s">
        <v>774</v>
      </c>
      <c r="CD16">
        <v>65572</v>
      </c>
      <c r="CE16">
        <v>13583</v>
      </c>
      <c r="CF16">
        <v>93.708686634499998</v>
      </c>
      <c r="CG16">
        <v>18314</v>
      </c>
      <c r="CH16">
        <v>18314</v>
      </c>
      <c r="CI16">
        <v>134.3103636562</v>
      </c>
      <c r="CJ16">
        <v>134.3103636562</v>
      </c>
      <c r="CL16" t="s">
        <v>392</v>
      </c>
      <c r="CM16" t="s">
        <v>755</v>
      </c>
      <c r="CO16">
        <v>3672</v>
      </c>
      <c r="CP16">
        <v>260</v>
      </c>
      <c r="CQ16">
        <v>56.738834422700002</v>
      </c>
      <c r="CR16">
        <v>2089</v>
      </c>
      <c r="CS16">
        <v>2089</v>
      </c>
      <c r="CT16">
        <v>60.943992340800001</v>
      </c>
      <c r="CU16">
        <v>60.943992340800001</v>
      </c>
      <c r="CW16" t="s">
        <v>392</v>
      </c>
      <c r="CX16" t="s">
        <v>765</v>
      </c>
      <c r="CZ16">
        <v>1820</v>
      </c>
      <c r="DA16">
        <v>212</v>
      </c>
      <c r="DB16">
        <v>72.038461538500002</v>
      </c>
      <c r="DC16">
        <v>268</v>
      </c>
      <c r="DD16">
        <v>268</v>
      </c>
      <c r="DE16">
        <v>130.47761194029999</v>
      </c>
      <c r="DF16">
        <v>130.47761194029999</v>
      </c>
      <c r="DH16" t="s">
        <v>392</v>
      </c>
      <c r="DI16" t="s">
        <v>745</v>
      </c>
      <c r="DK16">
        <v>2015</v>
      </c>
      <c r="DL16">
        <v>155</v>
      </c>
      <c r="DM16">
        <v>71.4019851117</v>
      </c>
      <c r="DN16">
        <v>351</v>
      </c>
      <c r="DO16">
        <v>351</v>
      </c>
      <c r="DP16">
        <v>121.0712250712</v>
      </c>
      <c r="DQ16">
        <v>121.0712250712</v>
      </c>
    </row>
    <row r="17" spans="2:121" x14ac:dyDescent="0.2">
      <c r="B17" t="s">
        <v>125</v>
      </c>
      <c r="C17">
        <v>104</v>
      </c>
      <c r="D17">
        <v>76</v>
      </c>
      <c r="F17" t="s">
        <v>86</v>
      </c>
      <c r="G17">
        <v>19235</v>
      </c>
      <c r="H17">
        <v>365.38986223030003</v>
      </c>
      <c r="I17">
        <v>20815</v>
      </c>
      <c r="J17">
        <v>4960</v>
      </c>
      <c r="K17">
        <v>30857</v>
      </c>
      <c r="L17">
        <v>17762</v>
      </c>
      <c r="M17">
        <v>5698</v>
      </c>
      <c r="N17">
        <v>4838</v>
      </c>
      <c r="O17">
        <v>3929</v>
      </c>
      <c r="P17">
        <v>3414</v>
      </c>
      <c r="Q17">
        <v>0</v>
      </c>
      <c r="R17">
        <v>14</v>
      </c>
      <c r="T17" t="s">
        <v>411</v>
      </c>
      <c r="U17">
        <v>60233</v>
      </c>
      <c r="V17">
        <v>370.73692162100002</v>
      </c>
      <c r="W17">
        <v>61676</v>
      </c>
      <c r="X17">
        <v>12640</v>
      </c>
      <c r="Y17">
        <v>85119</v>
      </c>
      <c r="Z17">
        <v>54844</v>
      </c>
      <c r="AA17">
        <v>18129</v>
      </c>
      <c r="AB17">
        <v>16158</v>
      </c>
      <c r="AC17">
        <v>19236</v>
      </c>
      <c r="AD17">
        <v>14106</v>
      </c>
      <c r="AE17">
        <v>310</v>
      </c>
      <c r="AF17">
        <v>662</v>
      </c>
      <c r="AH17" t="s">
        <v>399</v>
      </c>
      <c r="AI17">
        <v>8001</v>
      </c>
      <c r="AJ17">
        <v>583.23534558179995</v>
      </c>
      <c r="AK17">
        <v>5390</v>
      </c>
      <c r="AL17">
        <v>850</v>
      </c>
      <c r="AM17">
        <v>11840</v>
      </c>
      <c r="AN17">
        <v>7690</v>
      </c>
      <c r="AO17">
        <v>1226</v>
      </c>
      <c r="AP17">
        <v>1030</v>
      </c>
      <c r="AQ17">
        <v>2246</v>
      </c>
      <c r="AR17">
        <v>1673</v>
      </c>
      <c r="AS17">
        <v>372</v>
      </c>
      <c r="AT17">
        <v>188</v>
      </c>
      <c r="AV17" t="s">
        <v>406</v>
      </c>
      <c r="AW17">
        <v>78</v>
      </c>
      <c r="AX17">
        <v>45.615384615399996</v>
      </c>
      <c r="AY17">
        <v>315</v>
      </c>
      <c r="AZ17">
        <v>8</v>
      </c>
      <c r="BA17">
        <v>131</v>
      </c>
      <c r="BB17">
        <v>3</v>
      </c>
      <c r="BC17">
        <v>0</v>
      </c>
      <c r="BE17">
        <v>7</v>
      </c>
      <c r="BF17">
        <v>1</v>
      </c>
      <c r="BG17">
        <v>187</v>
      </c>
      <c r="BH17">
        <v>26</v>
      </c>
      <c r="BJ17" t="s">
        <v>583</v>
      </c>
      <c r="BK17" t="s">
        <v>397</v>
      </c>
      <c r="BL17">
        <v>2162</v>
      </c>
      <c r="BM17">
        <v>397</v>
      </c>
      <c r="BN17">
        <v>81.178075855700001</v>
      </c>
      <c r="BO17">
        <v>896</v>
      </c>
      <c r="BP17">
        <v>896</v>
      </c>
      <c r="BQ17">
        <v>108.67857142859999</v>
      </c>
      <c r="BR17">
        <v>108.67857142859999</v>
      </c>
      <c r="BS17">
        <v>2907</v>
      </c>
      <c r="BT17">
        <v>735</v>
      </c>
      <c r="BU17">
        <v>101.388372893</v>
      </c>
      <c r="BV17">
        <v>1057</v>
      </c>
      <c r="BW17">
        <v>1057</v>
      </c>
      <c r="BX17">
        <v>123.9687795648</v>
      </c>
      <c r="BY17">
        <v>123.9687795648</v>
      </c>
      <c r="CA17" t="s">
        <v>401</v>
      </c>
      <c r="CB17" t="s">
        <v>814</v>
      </c>
      <c r="CC17" t="s">
        <v>1010</v>
      </c>
      <c r="CD17">
        <v>7049</v>
      </c>
      <c r="CE17">
        <v>1843</v>
      </c>
      <c r="CF17">
        <v>104.89658107530001</v>
      </c>
      <c r="CG17">
        <v>1593</v>
      </c>
      <c r="CH17">
        <v>1593</v>
      </c>
      <c r="CI17">
        <v>160.41242937850001</v>
      </c>
      <c r="CJ17">
        <v>160.41242937850001</v>
      </c>
      <c r="CL17" t="s">
        <v>401</v>
      </c>
      <c r="CM17" t="s">
        <v>789</v>
      </c>
      <c r="CN17" t="s">
        <v>788</v>
      </c>
      <c r="CO17">
        <v>757</v>
      </c>
      <c r="CP17">
        <v>53</v>
      </c>
      <c r="CQ17">
        <v>62.890356671100001</v>
      </c>
      <c r="CR17">
        <v>369</v>
      </c>
      <c r="CS17">
        <v>369</v>
      </c>
      <c r="CT17">
        <v>63.186991869899998</v>
      </c>
      <c r="CU17">
        <v>63.186991869899998</v>
      </c>
      <c r="CW17" t="s">
        <v>401</v>
      </c>
      <c r="CX17" t="s">
        <v>802</v>
      </c>
      <c r="CY17" t="s">
        <v>801</v>
      </c>
      <c r="CZ17">
        <v>239</v>
      </c>
      <c r="DA17">
        <v>29</v>
      </c>
      <c r="DB17">
        <v>74.8242677824</v>
      </c>
      <c r="DC17">
        <v>23</v>
      </c>
      <c r="DD17">
        <v>23</v>
      </c>
      <c r="DE17">
        <v>139.4347826087</v>
      </c>
      <c r="DF17">
        <v>139.4347826087</v>
      </c>
      <c r="DH17" t="s">
        <v>401</v>
      </c>
      <c r="DI17" t="s">
        <v>776</v>
      </c>
      <c r="DJ17" t="s">
        <v>775</v>
      </c>
      <c r="DK17">
        <v>172</v>
      </c>
      <c r="DL17">
        <v>19</v>
      </c>
      <c r="DM17">
        <v>77.069767441899998</v>
      </c>
      <c r="DN17">
        <v>34</v>
      </c>
      <c r="DO17">
        <v>34</v>
      </c>
      <c r="DP17">
        <v>102.3529411765</v>
      </c>
      <c r="DQ17">
        <v>102.3529411765</v>
      </c>
    </row>
    <row r="18" spans="2:121" x14ac:dyDescent="0.2">
      <c r="B18" t="s">
        <v>97</v>
      </c>
      <c r="C18">
        <v>30</v>
      </c>
      <c r="D18">
        <v>6</v>
      </c>
      <c r="F18" t="s">
        <v>73</v>
      </c>
      <c r="G18">
        <v>8141</v>
      </c>
      <c r="H18">
        <v>247.90676821029999</v>
      </c>
      <c r="I18">
        <v>2059</v>
      </c>
      <c r="J18">
        <v>400</v>
      </c>
      <c r="K18">
        <v>17508</v>
      </c>
      <c r="L18">
        <v>7880</v>
      </c>
      <c r="M18">
        <v>1037</v>
      </c>
      <c r="N18">
        <v>728</v>
      </c>
      <c r="O18">
        <v>153</v>
      </c>
      <c r="P18">
        <v>93</v>
      </c>
      <c r="Q18">
        <v>0</v>
      </c>
      <c r="R18">
        <v>4</v>
      </c>
      <c r="T18" t="s">
        <v>387</v>
      </c>
      <c r="U18">
        <v>70496</v>
      </c>
      <c r="V18">
        <v>339.68798229689997</v>
      </c>
      <c r="W18">
        <v>75319</v>
      </c>
      <c r="X18">
        <v>16841</v>
      </c>
      <c r="Y18">
        <v>100589</v>
      </c>
      <c r="Z18">
        <v>64149</v>
      </c>
      <c r="AA18">
        <v>19451</v>
      </c>
      <c r="AB18">
        <v>17196</v>
      </c>
      <c r="AC18">
        <v>28472</v>
      </c>
      <c r="AD18">
        <v>17866</v>
      </c>
      <c r="AE18">
        <v>146</v>
      </c>
      <c r="AF18">
        <v>1088</v>
      </c>
      <c r="AH18" t="s">
        <v>406</v>
      </c>
      <c r="AI18">
        <v>1465</v>
      </c>
      <c r="AJ18">
        <v>195.1549488055</v>
      </c>
      <c r="AK18">
        <v>2306</v>
      </c>
      <c r="AL18">
        <v>430</v>
      </c>
      <c r="AM18">
        <v>2823</v>
      </c>
      <c r="AN18">
        <v>1159</v>
      </c>
      <c r="AO18">
        <v>268</v>
      </c>
      <c r="AP18">
        <v>215</v>
      </c>
      <c r="AQ18">
        <v>1258</v>
      </c>
      <c r="AR18">
        <v>991</v>
      </c>
      <c r="AS18">
        <v>1</v>
      </c>
      <c r="AT18">
        <v>10</v>
      </c>
      <c r="AV18" t="s">
        <v>435</v>
      </c>
      <c r="AW18">
        <v>11</v>
      </c>
      <c r="AX18">
        <v>61.272727272700003</v>
      </c>
      <c r="AY18">
        <v>29</v>
      </c>
      <c r="AZ18">
        <v>3</v>
      </c>
      <c r="BA18">
        <v>14</v>
      </c>
      <c r="BB18">
        <v>1</v>
      </c>
      <c r="BC18">
        <v>2</v>
      </c>
      <c r="BD18">
        <v>2</v>
      </c>
      <c r="BE18">
        <v>0</v>
      </c>
      <c r="BG18">
        <v>32</v>
      </c>
      <c r="BH18">
        <v>4</v>
      </c>
      <c r="BJ18" t="s">
        <v>576</v>
      </c>
      <c r="BK18" t="s">
        <v>397</v>
      </c>
      <c r="BL18">
        <v>7597</v>
      </c>
      <c r="BM18">
        <v>1851</v>
      </c>
      <c r="BN18">
        <v>97.830854284599994</v>
      </c>
      <c r="BO18">
        <v>1640</v>
      </c>
      <c r="BP18">
        <v>1640</v>
      </c>
      <c r="BQ18">
        <v>148.98170731709999</v>
      </c>
      <c r="BR18">
        <v>148.98170731709999</v>
      </c>
      <c r="BS18">
        <v>7694</v>
      </c>
      <c r="BT18">
        <v>1812</v>
      </c>
      <c r="BU18">
        <v>96.729139589300004</v>
      </c>
      <c r="BV18">
        <v>1617</v>
      </c>
      <c r="BW18">
        <v>1617</v>
      </c>
      <c r="BX18">
        <v>139.49659863950001</v>
      </c>
      <c r="BY18">
        <v>139.49659863950001</v>
      </c>
      <c r="CA18" t="s">
        <v>399</v>
      </c>
      <c r="CB18" t="s">
        <v>814</v>
      </c>
      <c r="CC18" t="s">
        <v>1011</v>
      </c>
      <c r="CD18">
        <v>5132</v>
      </c>
      <c r="CE18">
        <v>798</v>
      </c>
      <c r="CF18">
        <v>85.0319563523</v>
      </c>
      <c r="CG18">
        <v>1459</v>
      </c>
      <c r="CH18">
        <v>1459</v>
      </c>
      <c r="CI18">
        <v>127.8882796436</v>
      </c>
      <c r="CJ18">
        <v>127.8882796436</v>
      </c>
      <c r="CL18" t="s">
        <v>399</v>
      </c>
      <c r="CM18" t="s">
        <v>789</v>
      </c>
      <c r="CN18" t="s">
        <v>790</v>
      </c>
      <c r="CO18">
        <v>455</v>
      </c>
      <c r="CP18">
        <v>31</v>
      </c>
      <c r="CQ18">
        <v>58.951648351599999</v>
      </c>
      <c r="CR18">
        <v>235</v>
      </c>
      <c r="CS18">
        <v>235</v>
      </c>
      <c r="CT18">
        <v>66.970212766000003</v>
      </c>
      <c r="CU18">
        <v>66.970212766000003</v>
      </c>
      <c r="CW18" t="s">
        <v>399</v>
      </c>
      <c r="CX18" t="s">
        <v>802</v>
      </c>
      <c r="CY18" t="s">
        <v>803</v>
      </c>
      <c r="CZ18">
        <v>109</v>
      </c>
      <c r="DA18">
        <v>15</v>
      </c>
      <c r="DB18">
        <v>69.091743119300006</v>
      </c>
      <c r="DC18">
        <v>19</v>
      </c>
      <c r="DD18">
        <v>19</v>
      </c>
      <c r="DE18">
        <v>147.7894736842</v>
      </c>
      <c r="DF18">
        <v>147.7894736842</v>
      </c>
      <c r="DH18" t="s">
        <v>399</v>
      </c>
      <c r="DI18" t="s">
        <v>776</v>
      </c>
      <c r="DJ18" t="s">
        <v>777</v>
      </c>
      <c r="DK18">
        <v>88</v>
      </c>
      <c r="DL18">
        <v>16</v>
      </c>
      <c r="DM18">
        <v>81.431818181799997</v>
      </c>
      <c r="DN18">
        <v>16</v>
      </c>
      <c r="DO18">
        <v>16</v>
      </c>
      <c r="DP18">
        <v>147.0625</v>
      </c>
      <c r="DQ18">
        <v>147.0625</v>
      </c>
    </row>
    <row r="19" spans="2:121" x14ac:dyDescent="0.2">
      <c r="B19" t="s">
        <v>129</v>
      </c>
      <c r="C19">
        <v>42</v>
      </c>
      <c r="D19">
        <v>32</v>
      </c>
      <c r="F19" t="s">
        <v>71</v>
      </c>
      <c r="G19">
        <v>3711</v>
      </c>
      <c r="H19">
        <v>502.56292104549999</v>
      </c>
      <c r="I19">
        <v>3514</v>
      </c>
      <c r="J19">
        <v>838</v>
      </c>
      <c r="K19">
        <v>4246</v>
      </c>
      <c r="L19">
        <v>3089</v>
      </c>
      <c r="M19">
        <v>337</v>
      </c>
      <c r="N19">
        <v>298</v>
      </c>
      <c r="O19">
        <v>1000</v>
      </c>
      <c r="P19">
        <v>640</v>
      </c>
      <c r="Q19">
        <v>0</v>
      </c>
      <c r="R19">
        <v>110</v>
      </c>
      <c r="T19" t="s">
        <v>468</v>
      </c>
      <c r="U19">
        <v>341272</v>
      </c>
      <c r="V19">
        <v>378.12547176449999</v>
      </c>
      <c r="W19">
        <v>339836</v>
      </c>
      <c r="X19">
        <v>72906</v>
      </c>
      <c r="Y19">
        <v>490877</v>
      </c>
      <c r="Z19">
        <v>309926</v>
      </c>
      <c r="AA19">
        <v>84416</v>
      </c>
      <c r="AB19">
        <v>72553</v>
      </c>
      <c r="AC19">
        <v>136757</v>
      </c>
      <c r="AD19">
        <v>85929</v>
      </c>
      <c r="AE19">
        <v>15985</v>
      </c>
      <c r="AF19">
        <v>3973</v>
      </c>
      <c r="AH19" t="s">
        <v>429</v>
      </c>
      <c r="AI19">
        <v>2021</v>
      </c>
      <c r="AJ19">
        <v>236.98169223159999</v>
      </c>
      <c r="AK19">
        <v>2964</v>
      </c>
      <c r="AL19">
        <v>588</v>
      </c>
      <c r="AM19">
        <v>3453</v>
      </c>
      <c r="AN19">
        <v>1443</v>
      </c>
      <c r="AO19">
        <v>514</v>
      </c>
      <c r="AP19">
        <v>288</v>
      </c>
      <c r="AQ19">
        <v>461</v>
      </c>
      <c r="AR19">
        <v>210</v>
      </c>
      <c r="AS19">
        <v>6</v>
      </c>
      <c r="AT19">
        <v>14</v>
      </c>
      <c r="AV19" t="s">
        <v>8</v>
      </c>
      <c r="AW19">
        <v>150</v>
      </c>
      <c r="AX19">
        <v>109.64</v>
      </c>
      <c r="AY19">
        <v>169</v>
      </c>
      <c r="AZ19">
        <v>69</v>
      </c>
      <c r="BA19">
        <v>305</v>
      </c>
      <c r="BB19">
        <v>156</v>
      </c>
      <c r="BC19">
        <v>16</v>
      </c>
      <c r="BD19">
        <v>13</v>
      </c>
      <c r="BE19">
        <v>16</v>
      </c>
      <c r="BF19">
        <v>11</v>
      </c>
      <c r="BG19">
        <v>45</v>
      </c>
      <c r="BH19">
        <v>14</v>
      </c>
      <c r="BJ19" t="s">
        <v>640</v>
      </c>
      <c r="BK19" t="s">
        <v>397</v>
      </c>
      <c r="BL19">
        <v>828</v>
      </c>
      <c r="BM19">
        <v>167</v>
      </c>
      <c r="BN19">
        <v>82.055555555599994</v>
      </c>
      <c r="BO19">
        <v>313</v>
      </c>
      <c r="BP19">
        <v>313</v>
      </c>
      <c r="BQ19">
        <v>103.0990415335</v>
      </c>
      <c r="BR19">
        <v>103.0990415335</v>
      </c>
      <c r="BS19">
        <v>1178</v>
      </c>
      <c r="BT19">
        <v>321</v>
      </c>
      <c r="BU19">
        <v>106.7699490662</v>
      </c>
      <c r="BV19">
        <v>424</v>
      </c>
      <c r="BW19">
        <v>424</v>
      </c>
      <c r="BX19">
        <v>165.58490566040001</v>
      </c>
      <c r="BY19">
        <v>165.58490566040001</v>
      </c>
      <c r="CA19" t="s">
        <v>406</v>
      </c>
      <c r="CB19" t="s">
        <v>814</v>
      </c>
      <c r="CC19" t="s">
        <v>1012</v>
      </c>
      <c r="CD19">
        <v>2224</v>
      </c>
      <c r="CE19">
        <v>416</v>
      </c>
      <c r="CF19">
        <v>82.539118705000007</v>
      </c>
      <c r="CG19">
        <v>930</v>
      </c>
      <c r="CH19">
        <v>930</v>
      </c>
      <c r="CI19">
        <v>108.3860215054</v>
      </c>
      <c r="CJ19">
        <v>108.3860215054</v>
      </c>
      <c r="CL19" t="s">
        <v>406</v>
      </c>
      <c r="CM19" t="s">
        <v>789</v>
      </c>
      <c r="CN19" t="s">
        <v>791</v>
      </c>
      <c r="CO19">
        <v>235</v>
      </c>
      <c r="CP19">
        <v>12</v>
      </c>
      <c r="CQ19">
        <v>49.753191489400002</v>
      </c>
      <c r="CR19">
        <v>149</v>
      </c>
      <c r="CS19">
        <v>149</v>
      </c>
      <c r="CT19">
        <v>61.302013422800002</v>
      </c>
      <c r="CU19">
        <v>61.302013422800002</v>
      </c>
      <c r="CW19" t="s">
        <v>406</v>
      </c>
      <c r="CX19" t="s">
        <v>802</v>
      </c>
      <c r="CY19" t="s">
        <v>804</v>
      </c>
      <c r="CZ19">
        <v>52</v>
      </c>
      <c r="DA19">
        <v>9</v>
      </c>
      <c r="DB19">
        <v>73.692307692300005</v>
      </c>
      <c r="DC19">
        <v>7</v>
      </c>
      <c r="DD19">
        <v>7</v>
      </c>
      <c r="DE19">
        <v>127</v>
      </c>
      <c r="DF19">
        <v>127</v>
      </c>
      <c r="DH19" t="s">
        <v>406</v>
      </c>
      <c r="DI19" t="s">
        <v>776</v>
      </c>
      <c r="DJ19" t="s">
        <v>778</v>
      </c>
      <c r="DK19">
        <v>40</v>
      </c>
      <c r="DL19">
        <v>5</v>
      </c>
      <c r="DM19">
        <v>72.099999999999994</v>
      </c>
      <c r="DN19">
        <v>10</v>
      </c>
      <c r="DO19">
        <v>10</v>
      </c>
      <c r="DP19">
        <v>141.19999999999999</v>
      </c>
      <c r="DQ19">
        <v>141.19999999999999</v>
      </c>
    </row>
    <row r="20" spans="2:121" x14ac:dyDescent="0.2">
      <c r="B20" t="s">
        <v>122</v>
      </c>
      <c r="C20">
        <v>10170</v>
      </c>
      <c r="D20">
        <v>2905</v>
      </c>
      <c r="F20" t="s">
        <v>77</v>
      </c>
      <c r="G20">
        <v>255</v>
      </c>
      <c r="H20">
        <v>98.713725490200005</v>
      </c>
      <c r="I20">
        <v>821</v>
      </c>
      <c r="J20">
        <v>165</v>
      </c>
      <c r="K20">
        <v>518</v>
      </c>
      <c r="L20">
        <v>98</v>
      </c>
      <c r="M20">
        <v>350</v>
      </c>
      <c r="N20">
        <v>171</v>
      </c>
      <c r="O20">
        <v>32</v>
      </c>
      <c r="P20">
        <v>16</v>
      </c>
      <c r="Q20">
        <v>0</v>
      </c>
      <c r="R20">
        <v>0</v>
      </c>
      <c r="AH20" t="s">
        <v>400</v>
      </c>
      <c r="AI20">
        <v>7238</v>
      </c>
      <c r="AJ20">
        <v>535.25241779500004</v>
      </c>
      <c r="AK20">
        <v>4279</v>
      </c>
      <c r="AL20">
        <v>864</v>
      </c>
      <c r="AM20">
        <v>10640</v>
      </c>
      <c r="AN20">
        <v>7157</v>
      </c>
      <c r="AO20">
        <v>2610</v>
      </c>
      <c r="AP20">
        <v>2497</v>
      </c>
      <c r="AQ20">
        <v>944</v>
      </c>
      <c r="AR20">
        <v>497</v>
      </c>
      <c r="AS20">
        <v>350</v>
      </c>
      <c r="AT20">
        <v>135</v>
      </c>
      <c r="AV20" t="s">
        <v>389</v>
      </c>
      <c r="AW20">
        <v>1175</v>
      </c>
      <c r="AX20">
        <v>119.4646808511</v>
      </c>
      <c r="AY20">
        <v>1126</v>
      </c>
      <c r="AZ20">
        <v>279</v>
      </c>
      <c r="BA20">
        <v>1697</v>
      </c>
      <c r="BB20">
        <v>573</v>
      </c>
      <c r="BC20">
        <v>58</v>
      </c>
      <c r="BD20">
        <v>56</v>
      </c>
      <c r="BE20">
        <v>109</v>
      </c>
      <c r="BF20">
        <v>37</v>
      </c>
      <c r="BG20">
        <v>227</v>
      </c>
      <c r="BH20">
        <v>415</v>
      </c>
      <c r="BJ20" t="s">
        <v>568</v>
      </c>
      <c r="BK20" t="s">
        <v>397</v>
      </c>
      <c r="BL20">
        <v>4993</v>
      </c>
      <c r="BM20">
        <v>803</v>
      </c>
      <c r="BN20">
        <v>85.404766673300003</v>
      </c>
      <c r="BO20">
        <v>1416</v>
      </c>
      <c r="BP20">
        <v>1416</v>
      </c>
      <c r="BQ20">
        <v>131.61511299439999</v>
      </c>
      <c r="BR20">
        <v>131.61511299439999</v>
      </c>
      <c r="BS20">
        <v>5644</v>
      </c>
      <c r="BT20">
        <v>1120</v>
      </c>
      <c r="BU20">
        <v>93.733876683199995</v>
      </c>
      <c r="BV20">
        <v>1500</v>
      </c>
      <c r="BW20">
        <v>1500</v>
      </c>
      <c r="BX20">
        <v>135.69133333330001</v>
      </c>
      <c r="BY20">
        <v>135.69133333330001</v>
      </c>
      <c r="CA20" t="s">
        <v>429</v>
      </c>
      <c r="CB20" t="s">
        <v>814</v>
      </c>
      <c r="CC20" t="s">
        <v>1013</v>
      </c>
      <c r="CD20">
        <v>2887</v>
      </c>
      <c r="CE20">
        <v>570</v>
      </c>
      <c r="CF20">
        <v>88.192587461000002</v>
      </c>
      <c r="CG20">
        <v>738</v>
      </c>
      <c r="CH20">
        <v>738</v>
      </c>
      <c r="CI20">
        <v>135.97018970190001</v>
      </c>
      <c r="CJ20">
        <v>135.97018970190001</v>
      </c>
      <c r="CL20" t="s">
        <v>429</v>
      </c>
      <c r="CM20" t="s">
        <v>789</v>
      </c>
      <c r="CN20" t="s">
        <v>792</v>
      </c>
      <c r="CO20">
        <v>212</v>
      </c>
      <c r="CP20">
        <v>14</v>
      </c>
      <c r="CQ20">
        <v>60.792452830199998</v>
      </c>
      <c r="CR20">
        <v>144</v>
      </c>
      <c r="CS20">
        <v>144</v>
      </c>
      <c r="CT20">
        <v>69.1875</v>
      </c>
      <c r="CU20">
        <v>69.1875</v>
      </c>
      <c r="CW20" t="s">
        <v>429</v>
      </c>
      <c r="CX20" t="s">
        <v>802</v>
      </c>
      <c r="CY20" t="s">
        <v>805</v>
      </c>
      <c r="CZ20">
        <v>71</v>
      </c>
      <c r="DA20">
        <v>5</v>
      </c>
      <c r="DB20">
        <v>53.985915493</v>
      </c>
      <c r="DC20">
        <v>15</v>
      </c>
      <c r="DD20">
        <v>15</v>
      </c>
      <c r="DE20">
        <v>107.0666666667</v>
      </c>
      <c r="DF20">
        <v>107.0666666667</v>
      </c>
      <c r="DH20" t="s">
        <v>429</v>
      </c>
      <c r="DI20" t="s">
        <v>776</v>
      </c>
      <c r="DJ20" t="s">
        <v>779</v>
      </c>
      <c r="DK20">
        <v>156</v>
      </c>
      <c r="DL20">
        <v>8</v>
      </c>
      <c r="DM20">
        <v>64.416666666699996</v>
      </c>
      <c r="DN20">
        <v>19</v>
      </c>
      <c r="DO20">
        <v>19</v>
      </c>
      <c r="DP20">
        <v>109.94736842109999</v>
      </c>
      <c r="DQ20">
        <v>109.94736842109999</v>
      </c>
    </row>
    <row r="21" spans="2:121" x14ac:dyDescent="0.2">
      <c r="B21" t="s">
        <v>321</v>
      </c>
      <c r="C21">
        <v>5</v>
      </c>
      <c r="D21">
        <v>4</v>
      </c>
      <c r="F21" t="s">
        <v>8</v>
      </c>
      <c r="G21">
        <v>53</v>
      </c>
      <c r="H21">
        <v>889.90566037739995</v>
      </c>
      <c r="I21">
        <v>2</v>
      </c>
      <c r="K21">
        <v>54</v>
      </c>
      <c r="L21">
        <v>54</v>
      </c>
      <c r="M21">
        <v>2</v>
      </c>
      <c r="N21">
        <v>1</v>
      </c>
      <c r="O21">
        <v>27246</v>
      </c>
      <c r="P21">
        <v>9591</v>
      </c>
      <c r="Q21">
        <v>0</v>
      </c>
      <c r="R21">
        <v>1</v>
      </c>
      <c r="AH21" t="s">
        <v>394</v>
      </c>
      <c r="AI21">
        <v>6448</v>
      </c>
      <c r="AJ21">
        <v>402.03830645160002</v>
      </c>
      <c r="AK21">
        <v>6111</v>
      </c>
      <c r="AL21">
        <v>1059</v>
      </c>
      <c r="AM21">
        <v>9103</v>
      </c>
      <c r="AN21">
        <v>5999</v>
      </c>
      <c r="AO21">
        <v>980</v>
      </c>
      <c r="AP21">
        <v>853</v>
      </c>
      <c r="AQ21">
        <v>1604</v>
      </c>
      <c r="AR21">
        <v>754</v>
      </c>
      <c r="AS21">
        <v>197</v>
      </c>
      <c r="AT21">
        <v>247</v>
      </c>
      <c r="AV21" t="s">
        <v>383</v>
      </c>
      <c r="AW21">
        <v>347</v>
      </c>
      <c r="AX21">
        <v>112.1902017291</v>
      </c>
      <c r="AY21">
        <v>497</v>
      </c>
      <c r="AZ21">
        <v>133</v>
      </c>
      <c r="BA21">
        <v>494</v>
      </c>
      <c r="BB21">
        <v>176</v>
      </c>
      <c r="BC21">
        <v>22</v>
      </c>
      <c r="BD21">
        <v>19</v>
      </c>
      <c r="BE21">
        <v>35</v>
      </c>
      <c r="BF21">
        <v>15</v>
      </c>
      <c r="BG21">
        <v>59</v>
      </c>
      <c r="BH21">
        <v>158</v>
      </c>
      <c r="BJ21" t="s">
        <v>585</v>
      </c>
      <c r="BK21" t="s">
        <v>397</v>
      </c>
      <c r="BL21">
        <v>2080</v>
      </c>
      <c r="BM21">
        <v>241</v>
      </c>
      <c r="BN21">
        <v>71.052403846199994</v>
      </c>
      <c r="BO21">
        <v>481</v>
      </c>
      <c r="BP21">
        <v>481</v>
      </c>
      <c r="BQ21">
        <v>115.3264033264</v>
      </c>
      <c r="BR21">
        <v>115.3264033264</v>
      </c>
      <c r="BS21">
        <v>6172</v>
      </c>
      <c r="BT21">
        <v>1407</v>
      </c>
      <c r="BU21">
        <v>98.703823720000003</v>
      </c>
      <c r="BV21">
        <v>1480</v>
      </c>
      <c r="BW21">
        <v>1480</v>
      </c>
      <c r="BX21">
        <v>148.6966216216</v>
      </c>
      <c r="BY21">
        <v>148.6966216216</v>
      </c>
      <c r="CA21" t="s">
        <v>402</v>
      </c>
      <c r="CB21" t="s">
        <v>814</v>
      </c>
      <c r="CC21" t="s">
        <v>1014</v>
      </c>
      <c r="CD21">
        <v>7625</v>
      </c>
      <c r="CE21">
        <v>1815</v>
      </c>
      <c r="CF21">
        <v>98.4066885246</v>
      </c>
      <c r="CG21">
        <v>1721</v>
      </c>
      <c r="CH21">
        <v>1721</v>
      </c>
      <c r="CI21">
        <v>149.7495642069</v>
      </c>
      <c r="CJ21">
        <v>149.7495642069</v>
      </c>
      <c r="CL21" t="s">
        <v>402</v>
      </c>
      <c r="CM21" t="s">
        <v>789</v>
      </c>
      <c r="CN21" t="s">
        <v>793</v>
      </c>
      <c r="CO21">
        <v>804</v>
      </c>
      <c r="CP21">
        <v>47</v>
      </c>
      <c r="CQ21">
        <v>59.349502487599999</v>
      </c>
      <c r="CR21">
        <v>402</v>
      </c>
      <c r="CS21">
        <v>402</v>
      </c>
      <c r="CT21">
        <v>66.310945273599998</v>
      </c>
      <c r="CU21">
        <v>66.310945273599998</v>
      </c>
      <c r="CW21" t="s">
        <v>402</v>
      </c>
      <c r="CX21" t="s">
        <v>802</v>
      </c>
      <c r="CY21" t="s">
        <v>806</v>
      </c>
      <c r="CZ21">
        <v>186</v>
      </c>
      <c r="DA21">
        <v>26</v>
      </c>
      <c r="DB21">
        <v>71.467741935500001</v>
      </c>
      <c r="DC21">
        <v>18</v>
      </c>
      <c r="DD21">
        <v>18</v>
      </c>
      <c r="DE21">
        <v>145.2777777778</v>
      </c>
      <c r="DF21">
        <v>145.2777777778</v>
      </c>
      <c r="DH21" t="s">
        <v>402</v>
      </c>
      <c r="DI21" t="s">
        <v>776</v>
      </c>
      <c r="DJ21" t="s">
        <v>780</v>
      </c>
      <c r="DK21">
        <v>118</v>
      </c>
      <c r="DL21">
        <v>14</v>
      </c>
      <c r="DM21">
        <v>75.4491525424</v>
      </c>
      <c r="DN21">
        <v>28</v>
      </c>
      <c r="DO21">
        <v>28</v>
      </c>
      <c r="DP21">
        <v>129.92857142860001</v>
      </c>
      <c r="DQ21">
        <v>129.92857142860001</v>
      </c>
    </row>
    <row r="22" spans="2:121" x14ac:dyDescent="0.2">
      <c r="B22" t="s">
        <v>115</v>
      </c>
      <c r="C22">
        <v>15031</v>
      </c>
      <c r="D22">
        <v>12876</v>
      </c>
      <c r="F22" t="s">
        <v>47</v>
      </c>
      <c r="G22">
        <v>1488</v>
      </c>
      <c r="H22">
        <v>264.94220430109999</v>
      </c>
      <c r="I22">
        <v>1763</v>
      </c>
      <c r="J22">
        <v>308</v>
      </c>
      <c r="K22">
        <v>3178</v>
      </c>
      <c r="L22">
        <v>1983</v>
      </c>
      <c r="M22">
        <v>354</v>
      </c>
      <c r="N22">
        <v>255</v>
      </c>
      <c r="O22">
        <v>676</v>
      </c>
      <c r="P22">
        <v>527</v>
      </c>
      <c r="Q22">
        <v>0</v>
      </c>
      <c r="R22">
        <v>2</v>
      </c>
      <c r="AH22" t="s">
        <v>423</v>
      </c>
      <c r="AI22">
        <v>1519</v>
      </c>
      <c r="AJ22">
        <v>280.70375246869997</v>
      </c>
      <c r="AK22">
        <v>1150</v>
      </c>
      <c r="AL22">
        <v>184</v>
      </c>
      <c r="AM22">
        <v>2127</v>
      </c>
      <c r="AN22">
        <v>1313</v>
      </c>
      <c r="AO22">
        <v>942</v>
      </c>
      <c r="AP22">
        <v>791</v>
      </c>
      <c r="AQ22">
        <v>319</v>
      </c>
      <c r="AR22">
        <v>176</v>
      </c>
      <c r="AS22">
        <v>308</v>
      </c>
      <c r="AT22">
        <v>2</v>
      </c>
      <c r="AV22" t="s">
        <v>429</v>
      </c>
      <c r="AW22">
        <v>61</v>
      </c>
      <c r="AX22">
        <v>42.196721311499999</v>
      </c>
      <c r="AY22">
        <v>247</v>
      </c>
      <c r="AZ22">
        <v>7</v>
      </c>
      <c r="BA22">
        <v>116</v>
      </c>
      <c r="BB22">
        <v>4</v>
      </c>
      <c r="BC22">
        <v>1</v>
      </c>
      <c r="BD22">
        <v>1</v>
      </c>
      <c r="BE22">
        <v>7</v>
      </c>
      <c r="BF22">
        <v>2</v>
      </c>
      <c r="BG22">
        <v>98</v>
      </c>
      <c r="BH22">
        <v>36</v>
      </c>
      <c r="BJ22" t="s">
        <v>397</v>
      </c>
      <c r="BK22" t="s">
        <v>397</v>
      </c>
      <c r="BL22">
        <v>53711</v>
      </c>
      <c r="BM22">
        <v>11016</v>
      </c>
      <c r="BN22">
        <v>90.764238238000004</v>
      </c>
      <c r="BO22">
        <v>14031</v>
      </c>
      <c r="BP22">
        <v>14031</v>
      </c>
      <c r="BQ22">
        <v>131.86843418149999</v>
      </c>
      <c r="BR22">
        <v>131.86843418149999</v>
      </c>
      <c r="BS22">
        <v>61173</v>
      </c>
      <c r="BT22">
        <v>14799</v>
      </c>
      <c r="BU22">
        <v>99.767168522099993</v>
      </c>
      <c r="BV22">
        <v>16538</v>
      </c>
      <c r="BW22">
        <v>16538</v>
      </c>
      <c r="BX22">
        <v>141.19615431130001</v>
      </c>
      <c r="BY22">
        <v>141.19615431130001</v>
      </c>
      <c r="CA22" t="s">
        <v>408</v>
      </c>
      <c r="CB22" t="s">
        <v>814</v>
      </c>
      <c r="CC22" t="s">
        <v>1015</v>
      </c>
      <c r="CD22">
        <v>5240</v>
      </c>
      <c r="CE22">
        <v>1035</v>
      </c>
      <c r="CF22">
        <v>85.584160305300003</v>
      </c>
      <c r="CG22">
        <v>1833</v>
      </c>
      <c r="CH22">
        <v>1833</v>
      </c>
      <c r="CI22">
        <v>113.6372067649</v>
      </c>
      <c r="CJ22">
        <v>113.6372067649</v>
      </c>
      <c r="CL22" t="s">
        <v>408</v>
      </c>
      <c r="CM22" t="s">
        <v>789</v>
      </c>
      <c r="CN22" t="s">
        <v>794</v>
      </c>
      <c r="CO22">
        <v>302</v>
      </c>
      <c r="CP22">
        <v>16</v>
      </c>
      <c r="CQ22">
        <v>50.516556291400001</v>
      </c>
      <c r="CR22">
        <v>177</v>
      </c>
      <c r="CS22">
        <v>177</v>
      </c>
      <c r="CT22">
        <v>53.4237288136</v>
      </c>
      <c r="CU22">
        <v>53.4237288136</v>
      </c>
      <c r="CW22" t="s">
        <v>408</v>
      </c>
      <c r="CX22" t="s">
        <v>802</v>
      </c>
      <c r="CY22" t="s">
        <v>807</v>
      </c>
      <c r="CZ22">
        <v>81</v>
      </c>
      <c r="DA22">
        <v>9</v>
      </c>
      <c r="DB22">
        <v>66.8641975309</v>
      </c>
      <c r="DC22">
        <v>13</v>
      </c>
      <c r="DD22">
        <v>13</v>
      </c>
      <c r="DE22">
        <v>111</v>
      </c>
      <c r="DF22">
        <v>111</v>
      </c>
      <c r="DH22" t="s">
        <v>408</v>
      </c>
      <c r="DI22" t="s">
        <v>776</v>
      </c>
      <c r="DJ22" t="s">
        <v>781</v>
      </c>
      <c r="DK22">
        <v>42</v>
      </c>
      <c r="DL22">
        <v>5</v>
      </c>
      <c r="DM22">
        <v>93.714285714300004</v>
      </c>
      <c r="DN22">
        <v>3</v>
      </c>
      <c r="DO22">
        <v>3</v>
      </c>
      <c r="DP22">
        <v>74.333333333300004</v>
      </c>
      <c r="DQ22">
        <v>74.333333333300004</v>
      </c>
    </row>
    <row r="23" spans="2:121" x14ac:dyDescent="0.2">
      <c r="B23" t="s">
        <v>116</v>
      </c>
      <c r="C23">
        <v>1558</v>
      </c>
      <c r="D23">
        <v>534</v>
      </c>
      <c r="F23" t="s">
        <v>46</v>
      </c>
      <c r="G23">
        <v>134</v>
      </c>
      <c r="H23">
        <v>76.305970149299995</v>
      </c>
      <c r="I23">
        <v>802</v>
      </c>
      <c r="J23">
        <v>167</v>
      </c>
      <c r="K23">
        <v>291</v>
      </c>
      <c r="L23">
        <v>29</v>
      </c>
      <c r="M23">
        <v>62</v>
      </c>
      <c r="N23">
        <v>22</v>
      </c>
      <c r="O23">
        <v>64</v>
      </c>
      <c r="P23">
        <v>26</v>
      </c>
      <c r="Q23">
        <v>0</v>
      </c>
      <c r="R23">
        <v>0</v>
      </c>
      <c r="AH23" t="s">
        <v>383</v>
      </c>
      <c r="AI23">
        <v>8947</v>
      </c>
      <c r="AJ23">
        <v>562.52486867109997</v>
      </c>
      <c r="AK23">
        <v>5906</v>
      </c>
      <c r="AL23">
        <v>1204</v>
      </c>
      <c r="AM23">
        <v>11656</v>
      </c>
      <c r="AN23">
        <v>8492</v>
      </c>
      <c r="AO23">
        <v>2073</v>
      </c>
      <c r="AP23">
        <v>1821</v>
      </c>
      <c r="AQ23">
        <v>6563</v>
      </c>
      <c r="AR23">
        <v>5280</v>
      </c>
      <c r="AS23">
        <v>395</v>
      </c>
      <c r="AT23">
        <v>4</v>
      </c>
      <c r="AV23" t="s">
        <v>404</v>
      </c>
      <c r="AW23">
        <v>275</v>
      </c>
      <c r="AX23">
        <v>57.232727272699996</v>
      </c>
      <c r="AY23">
        <v>676</v>
      </c>
      <c r="AZ23">
        <v>42</v>
      </c>
      <c r="BA23">
        <v>493</v>
      </c>
      <c r="BB23">
        <v>36</v>
      </c>
      <c r="BC23">
        <v>1</v>
      </c>
      <c r="BD23">
        <v>1</v>
      </c>
      <c r="BE23">
        <v>26</v>
      </c>
      <c r="BF23">
        <v>10</v>
      </c>
      <c r="BG23">
        <v>117</v>
      </c>
      <c r="BH23">
        <v>47</v>
      </c>
      <c r="BJ23" t="s">
        <v>578</v>
      </c>
      <c r="BK23" t="s">
        <v>397</v>
      </c>
      <c r="BL23">
        <v>4063</v>
      </c>
      <c r="BM23">
        <v>751</v>
      </c>
      <c r="BN23">
        <v>86.409795717500003</v>
      </c>
      <c r="BO23">
        <v>1005</v>
      </c>
      <c r="BP23">
        <v>1005</v>
      </c>
      <c r="BQ23">
        <v>120.160199005</v>
      </c>
      <c r="BR23">
        <v>120.160199005</v>
      </c>
      <c r="BS23">
        <v>5009</v>
      </c>
      <c r="BT23">
        <v>1691</v>
      </c>
      <c r="BU23">
        <v>110.5068876023</v>
      </c>
      <c r="BV23">
        <v>1306</v>
      </c>
      <c r="BW23">
        <v>1306</v>
      </c>
      <c r="BX23">
        <v>142.29785604899999</v>
      </c>
      <c r="BY23">
        <v>142.29785604899999</v>
      </c>
      <c r="CA23" t="s">
        <v>404</v>
      </c>
      <c r="CB23" t="s">
        <v>814</v>
      </c>
      <c r="CC23" t="s">
        <v>1016</v>
      </c>
      <c r="CD23">
        <v>5654</v>
      </c>
      <c r="CE23">
        <v>858</v>
      </c>
      <c r="CF23">
        <v>79.556597099399994</v>
      </c>
      <c r="CG23">
        <v>1612</v>
      </c>
      <c r="CH23">
        <v>1612</v>
      </c>
      <c r="CI23">
        <v>124.20347394540001</v>
      </c>
      <c r="CJ23">
        <v>124.20347394540001</v>
      </c>
      <c r="CL23" t="s">
        <v>404</v>
      </c>
      <c r="CM23" t="s">
        <v>789</v>
      </c>
      <c r="CN23" t="s">
        <v>795</v>
      </c>
      <c r="CO23">
        <v>552</v>
      </c>
      <c r="CP23">
        <v>51</v>
      </c>
      <c r="CQ23">
        <v>64.643115941999994</v>
      </c>
      <c r="CR23">
        <v>269</v>
      </c>
      <c r="CS23">
        <v>269</v>
      </c>
      <c r="CT23">
        <v>61.070631970299999</v>
      </c>
      <c r="CU23">
        <v>61.070631970299999</v>
      </c>
      <c r="CW23" t="s">
        <v>404</v>
      </c>
      <c r="CX23" t="s">
        <v>802</v>
      </c>
      <c r="CY23" t="s">
        <v>808</v>
      </c>
      <c r="CZ23">
        <v>182</v>
      </c>
      <c r="DA23">
        <v>15</v>
      </c>
      <c r="DB23">
        <v>72.989010988999993</v>
      </c>
      <c r="DC23">
        <v>28</v>
      </c>
      <c r="DD23">
        <v>28</v>
      </c>
      <c r="DE23">
        <v>112</v>
      </c>
      <c r="DF23">
        <v>112</v>
      </c>
      <c r="DH23" t="s">
        <v>404</v>
      </c>
      <c r="DI23" t="s">
        <v>776</v>
      </c>
      <c r="DJ23" t="s">
        <v>782</v>
      </c>
      <c r="DK23">
        <v>161</v>
      </c>
      <c r="DL23">
        <v>11</v>
      </c>
      <c r="DM23">
        <v>68.254658385100001</v>
      </c>
      <c r="DN23">
        <v>21</v>
      </c>
      <c r="DO23">
        <v>21</v>
      </c>
      <c r="DP23">
        <v>126.5238095238</v>
      </c>
      <c r="DQ23">
        <v>126.5238095238</v>
      </c>
    </row>
    <row r="24" spans="2:121" x14ac:dyDescent="0.2">
      <c r="B24" t="s">
        <v>110</v>
      </c>
      <c r="C24">
        <v>45</v>
      </c>
      <c r="D24">
        <v>44</v>
      </c>
      <c r="F24" t="s">
        <v>38</v>
      </c>
      <c r="G24">
        <v>4198</v>
      </c>
      <c r="H24">
        <v>576.24988089570002</v>
      </c>
      <c r="I24">
        <v>3482</v>
      </c>
      <c r="J24">
        <v>856</v>
      </c>
      <c r="K24">
        <v>5558</v>
      </c>
      <c r="L24">
        <v>4297</v>
      </c>
      <c r="M24">
        <v>2076</v>
      </c>
      <c r="N24">
        <v>1860</v>
      </c>
      <c r="O24">
        <v>865</v>
      </c>
      <c r="P24">
        <v>750</v>
      </c>
      <c r="Q24">
        <v>1</v>
      </c>
      <c r="R24">
        <v>1</v>
      </c>
      <c r="T24" t="s">
        <v>654</v>
      </c>
      <c r="U24" t="s">
        <v>312</v>
      </c>
      <c r="V24" t="s">
        <v>139</v>
      </c>
      <c r="W24" t="s">
        <v>220</v>
      </c>
      <c r="X24" t="s">
        <v>221</v>
      </c>
      <c r="Y24" t="s">
        <v>222</v>
      </c>
      <c r="Z24" t="s">
        <v>223</v>
      </c>
      <c r="AA24" t="s">
        <v>224</v>
      </c>
      <c r="AB24" t="s">
        <v>225</v>
      </c>
      <c r="AC24" t="s">
        <v>226</v>
      </c>
      <c r="AD24" t="s">
        <v>227</v>
      </c>
      <c r="AE24" t="s">
        <v>228</v>
      </c>
      <c r="AF24" t="s">
        <v>229</v>
      </c>
      <c r="AH24" t="s">
        <v>378</v>
      </c>
      <c r="AI24">
        <v>4859</v>
      </c>
      <c r="AJ24">
        <v>511.4754064622</v>
      </c>
      <c r="AK24">
        <v>4431</v>
      </c>
      <c r="AL24">
        <v>1070</v>
      </c>
      <c r="AM24">
        <v>7381</v>
      </c>
      <c r="AN24">
        <v>4883</v>
      </c>
      <c r="AO24">
        <v>2587</v>
      </c>
      <c r="AP24">
        <v>2204</v>
      </c>
      <c r="AQ24">
        <v>1364</v>
      </c>
      <c r="AR24">
        <v>1050</v>
      </c>
      <c r="AS24">
        <v>674</v>
      </c>
      <c r="AT24">
        <v>6</v>
      </c>
      <c r="AV24" t="s">
        <v>410</v>
      </c>
      <c r="AW24">
        <v>68</v>
      </c>
      <c r="AX24">
        <v>47.794117647100002</v>
      </c>
      <c r="AY24">
        <v>236</v>
      </c>
      <c r="AZ24">
        <v>7</v>
      </c>
      <c r="BA24">
        <v>132</v>
      </c>
      <c r="BB24">
        <v>12</v>
      </c>
      <c r="BC24">
        <v>3</v>
      </c>
      <c r="BD24">
        <v>3</v>
      </c>
      <c r="BE24">
        <v>19</v>
      </c>
      <c r="BF24">
        <v>11</v>
      </c>
      <c r="BG24">
        <v>194</v>
      </c>
      <c r="BH24">
        <v>35</v>
      </c>
      <c r="BJ24" t="s">
        <v>642</v>
      </c>
      <c r="BK24" t="s">
        <v>397</v>
      </c>
      <c r="BL24">
        <v>879</v>
      </c>
      <c r="BM24">
        <v>166</v>
      </c>
      <c r="BN24">
        <v>80.376564277599996</v>
      </c>
      <c r="BO24">
        <v>266</v>
      </c>
      <c r="BP24">
        <v>266</v>
      </c>
      <c r="BQ24">
        <v>111.954887218</v>
      </c>
      <c r="BR24">
        <v>111.954887218</v>
      </c>
      <c r="BS24">
        <v>1419</v>
      </c>
      <c r="BT24">
        <v>505</v>
      </c>
      <c r="BU24">
        <v>120.7223396758</v>
      </c>
      <c r="BV24">
        <v>523</v>
      </c>
      <c r="BW24">
        <v>523</v>
      </c>
      <c r="BX24">
        <v>140.74187380500001</v>
      </c>
      <c r="BY24">
        <v>140.74187380500001</v>
      </c>
      <c r="CA24" t="s">
        <v>407</v>
      </c>
      <c r="CB24" t="s">
        <v>814</v>
      </c>
      <c r="CC24" t="s">
        <v>1017</v>
      </c>
      <c r="CD24">
        <v>2110</v>
      </c>
      <c r="CE24">
        <v>247</v>
      </c>
      <c r="CF24">
        <v>71.138862559200007</v>
      </c>
      <c r="CG24">
        <v>505</v>
      </c>
      <c r="CH24">
        <v>505</v>
      </c>
      <c r="CI24">
        <v>113.8336633663</v>
      </c>
      <c r="CJ24">
        <v>113.8336633663</v>
      </c>
      <c r="CL24" t="s">
        <v>407</v>
      </c>
      <c r="CM24" t="s">
        <v>789</v>
      </c>
      <c r="CN24" t="s">
        <v>796</v>
      </c>
      <c r="CO24">
        <v>95</v>
      </c>
      <c r="CP24">
        <v>10</v>
      </c>
      <c r="CQ24">
        <v>62.105263157899998</v>
      </c>
      <c r="CR24">
        <v>50</v>
      </c>
      <c r="CS24">
        <v>50</v>
      </c>
      <c r="CT24">
        <v>68.14</v>
      </c>
      <c r="CU24">
        <v>68.14</v>
      </c>
      <c r="CW24" t="s">
        <v>407</v>
      </c>
      <c r="CX24" t="s">
        <v>802</v>
      </c>
      <c r="CY24" t="s">
        <v>809</v>
      </c>
      <c r="CZ24">
        <v>44</v>
      </c>
      <c r="DA24">
        <v>2</v>
      </c>
      <c r="DB24">
        <v>62.522727272700003</v>
      </c>
      <c r="DC24">
        <v>5</v>
      </c>
      <c r="DD24">
        <v>5</v>
      </c>
      <c r="DE24">
        <v>85.4</v>
      </c>
      <c r="DF24">
        <v>85.4</v>
      </c>
      <c r="DH24" t="s">
        <v>407</v>
      </c>
      <c r="DI24" t="s">
        <v>776</v>
      </c>
      <c r="DJ24" t="s">
        <v>783</v>
      </c>
      <c r="DK24">
        <v>84</v>
      </c>
      <c r="DL24">
        <v>1</v>
      </c>
      <c r="DM24">
        <v>57.5</v>
      </c>
      <c r="DN24">
        <v>11</v>
      </c>
      <c r="DO24">
        <v>11</v>
      </c>
      <c r="DP24">
        <v>108.54545454549999</v>
      </c>
      <c r="DQ24">
        <v>108.54545454549999</v>
      </c>
    </row>
    <row r="25" spans="2:121" x14ac:dyDescent="0.2">
      <c r="B25" t="s">
        <v>108</v>
      </c>
      <c r="C25">
        <v>57</v>
      </c>
      <c r="D25">
        <v>43</v>
      </c>
      <c r="F25" t="s">
        <v>42</v>
      </c>
      <c r="G25">
        <v>11133</v>
      </c>
      <c r="H25">
        <v>297.48136171739998</v>
      </c>
      <c r="I25">
        <v>9156</v>
      </c>
      <c r="J25">
        <v>2297</v>
      </c>
      <c r="K25">
        <v>20895</v>
      </c>
      <c r="L25">
        <v>12115</v>
      </c>
      <c r="M25">
        <v>2757</v>
      </c>
      <c r="N25">
        <v>2512</v>
      </c>
      <c r="O25">
        <v>1395</v>
      </c>
      <c r="P25">
        <v>1044</v>
      </c>
      <c r="Q25">
        <v>1</v>
      </c>
      <c r="R25">
        <v>50</v>
      </c>
      <c r="T25" t="s">
        <v>392</v>
      </c>
      <c r="U25">
        <v>64463</v>
      </c>
      <c r="V25">
        <v>366.09121511559999</v>
      </c>
      <c r="W25">
        <v>68282</v>
      </c>
      <c r="X25">
        <v>14050</v>
      </c>
      <c r="Y25">
        <v>91492</v>
      </c>
      <c r="Z25">
        <v>56687</v>
      </c>
      <c r="AA25">
        <v>12853</v>
      </c>
      <c r="AB25">
        <v>10687</v>
      </c>
      <c r="AC25">
        <v>20362</v>
      </c>
      <c r="AD25">
        <v>10439</v>
      </c>
      <c r="AE25">
        <v>757</v>
      </c>
      <c r="AF25">
        <v>1083</v>
      </c>
      <c r="AH25" t="s">
        <v>402</v>
      </c>
      <c r="AI25">
        <v>4089</v>
      </c>
      <c r="AJ25">
        <v>258.74052335530001</v>
      </c>
      <c r="AK25">
        <v>7747</v>
      </c>
      <c r="AL25">
        <v>1861</v>
      </c>
      <c r="AM25">
        <v>8061</v>
      </c>
      <c r="AN25">
        <v>3833</v>
      </c>
      <c r="AO25">
        <v>1017</v>
      </c>
      <c r="AP25">
        <v>825</v>
      </c>
      <c r="AQ25">
        <v>1390</v>
      </c>
      <c r="AR25">
        <v>717</v>
      </c>
      <c r="AS25">
        <v>545</v>
      </c>
      <c r="AT25">
        <v>197</v>
      </c>
      <c r="AV25" t="s">
        <v>414</v>
      </c>
      <c r="AW25">
        <v>489</v>
      </c>
      <c r="AX25">
        <v>51.100204499</v>
      </c>
      <c r="AY25">
        <v>2061</v>
      </c>
      <c r="AZ25">
        <v>73</v>
      </c>
      <c r="BA25">
        <v>831</v>
      </c>
      <c r="BB25">
        <v>40</v>
      </c>
      <c r="BC25">
        <v>11</v>
      </c>
      <c r="BD25">
        <v>10</v>
      </c>
      <c r="BE25">
        <v>62</v>
      </c>
      <c r="BF25">
        <v>30</v>
      </c>
      <c r="BG25">
        <v>815</v>
      </c>
      <c r="BH25">
        <v>263</v>
      </c>
      <c r="BJ25" t="s">
        <v>581</v>
      </c>
      <c r="BK25" t="s">
        <v>397</v>
      </c>
      <c r="BL25">
        <v>5485</v>
      </c>
      <c r="BM25">
        <v>792</v>
      </c>
      <c r="BN25">
        <v>77.519234275299993</v>
      </c>
      <c r="BO25">
        <v>1475</v>
      </c>
      <c r="BP25">
        <v>1475</v>
      </c>
      <c r="BQ25">
        <v>124.72949152539999</v>
      </c>
      <c r="BR25">
        <v>124.72949152539999</v>
      </c>
      <c r="BS25">
        <v>5775</v>
      </c>
      <c r="BT25">
        <v>937</v>
      </c>
      <c r="BU25">
        <v>79.7896103896</v>
      </c>
      <c r="BV25">
        <v>1962</v>
      </c>
      <c r="BW25">
        <v>1962</v>
      </c>
      <c r="BX25">
        <v>126.41845056069999</v>
      </c>
      <c r="BY25">
        <v>126.41845056069999</v>
      </c>
      <c r="CA25" t="s">
        <v>426</v>
      </c>
      <c r="CB25" t="s">
        <v>814</v>
      </c>
      <c r="CC25" t="s">
        <v>1018</v>
      </c>
      <c r="CD25">
        <v>607</v>
      </c>
      <c r="CE25">
        <v>104</v>
      </c>
      <c r="CF25">
        <v>77.294892915999995</v>
      </c>
      <c r="CG25">
        <v>237</v>
      </c>
      <c r="CH25">
        <v>237</v>
      </c>
      <c r="CI25">
        <v>100.2616033755</v>
      </c>
      <c r="CJ25">
        <v>100.2616033755</v>
      </c>
      <c r="CL25" t="s">
        <v>426</v>
      </c>
      <c r="CM25" t="s">
        <v>789</v>
      </c>
      <c r="CN25" t="s">
        <v>797</v>
      </c>
      <c r="CO25">
        <v>27</v>
      </c>
      <c r="CP25">
        <v>1</v>
      </c>
      <c r="CQ25">
        <v>61.037037036999997</v>
      </c>
      <c r="CR25">
        <v>23</v>
      </c>
      <c r="CS25">
        <v>23</v>
      </c>
      <c r="CT25">
        <v>51.565217391300003</v>
      </c>
      <c r="CU25">
        <v>51.565217391300003</v>
      </c>
      <c r="CW25" t="s">
        <v>426</v>
      </c>
      <c r="CX25" t="s">
        <v>802</v>
      </c>
      <c r="CY25" t="s">
        <v>810</v>
      </c>
      <c r="CZ25">
        <v>19</v>
      </c>
      <c r="DA25">
        <v>3</v>
      </c>
      <c r="DB25">
        <v>73.368421052599999</v>
      </c>
      <c r="DC25">
        <v>4</v>
      </c>
      <c r="DD25">
        <v>4</v>
      </c>
      <c r="DE25">
        <v>46</v>
      </c>
      <c r="DF25">
        <v>46</v>
      </c>
      <c r="DH25" t="s">
        <v>426</v>
      </c>
      <c r="DI25" t="s">
        <v>776</v>
      </c>
      <c r="DJ25" t="s">
        <v>784</v>
      </c>
      <c r="DK25">
        <v>5</v>
      </c>
      <c r="DL25">
        <v>0</v>
      </c>
      <c r="DM25">
        <v>47.4</v>
      </c>
      <c r="DN25">
        <v>3</v>
      </c>
      <c r="DO25">
        <v>3</v>
      </c>
      <c r="DP25">
        <v>117.3333333333</v>
      </c>
      <c r="DQ25">
        <v>117.3333333333</v>
      </c>
    </row>
    <row r="26" spans="2:121" x14ac:dyDescent="0.2">
      <c r="B26" t="s">
        <v>91</v>
      </c>
      <c r="C26">
        <v>83271</v>
      </c>
      <c r="D26">
        <v>20864</v>
      </c>
      <c r="F26" t="s">
        <v>82</v>
      </c>
      <c r="G26">
        <v>12918</v>
      </c>
      <c r="H26">
        <v>312.23982040560003</v>
      </c>
      <c r="I26">
        <v>17962</v>
      </c>
      <c r="J26">
        <v>3448</v>
      </c>
      <c r="K26">
        <v>15495</v>
      </c>
      <c r="L26">
        <v>8942</v>
      </c>
      <c r="M26">
        <v>1714</v>
      </c>
      <c r="N26">
        <v>1359</v>
      </c>
      <c r="O26">
        <v>3528</v>
      </c>
      <c r="P26">
        <v>1444</v>
      </c>
      <c r="Q26">
        <v>2</v>
      </c>
      <c r="R26">
        <v>189</v>
      </c>
      <c r="T26" t="s">
        <v>397</v>
      </c>
      <c r="U26">
        <v>45726</v>
      </c>
      <c r="V26">
        <v>390.00039364909998</v>
      </c>
      <c r="W26">
        <v>53871</v>
      </c>
      <c r="X26">
        <v>10902</v>
      </c>
      <c r="Y26">
        <v>71918</v>
      </c>
      <c r="Z26">
        <v>41305</v>
      </c>
      <c r="AA26">
        <v>9872</v>
      </c>
      <c r="AB26">
        <v>8252</v>
      </c>
      <c r="AC26">
        <v>22404</v>
      </c>
      <c r="AD26">
        <v>13940</v>
      </c>
      <c r="AE26">
        <v>2807</v>
      </c>
      <c r="AF26">
        <v>1063</v>
      </c>
      <c r="AH26" t="s">
        <v>408</v>
      </c>
      <c r="AI26">
        <v>1333</v>
      </c>
      <c r="AJ26">
        <v>199.45536384100001</v>
      </c>
      <c r="AK26">
        <v>5150</v>
      </c>
      <c r="AL26">
        <v>1043</v>
      </c>
      <c r="AM26">
        <v>3743</v>
      </c>
      <c r="AN26">
        <v>1117</v>
      </c>
      <c r="AO26">
        <v>338</v>
      </c>
      <c r="AP26">
        <v>239</v>
      </c>
      <c r="AQ26">
        <v>1021</v>
      </c>
      <c r="AR26">
        <v>564</v>
      </c>
      <c r="AS26">
        <v>4</v>
      </c>
      <c r="AT26">
        <v>4</v>
      </c>
      <c r="AV26" t="s">
        <v>83</v>
      </c>
      <c r="AW26">
        <v>121</v>
      </c>
      <c r="AX26">
        <v>42.900826446300002</v>
      </c>
      <c r="AY26">
        <v>445</v>
      </c>
      <c r="AZ26">
        <v>17</v>
      </c>
      <c r="BA26">
        <v>256</v>
      </c>
      <c r="BB26">
        <v>23</v>
      </c>
      <c r="BC26">
        <v>0</v>
      </c>
      <c r="BE26">
        <v>15</v>
      </c>
      <c r="BF26">
        <v>3</v>
      </c>
      <c r="BG26">
        <v>240</v>
      </c>
      <c r="BH26">
        <v>64</v>
      </c>
      <c r="BJ26" t="s">
        <v>587</v>
      </c>
      <c r="BK26" t="s">
        <v>397</v>
      </c>
      <c r="BL26">
        <v>7193</v>
      </c>
      <c r="BM26">
        <v>1435</v>
      </c>
      <c r="BN26">
        <v>89.435840400399996</v>
      </c>
      <c r="BO26">
        <v>2159</v>
      </c>
      <c r="BP26">
        <v>2159</v>
      </c>
      <c r="BQ26">
        <v>123.7031032886</v>
      </c>
      <c r="BR26">
        <v>123.7031032886</v>
      </c>
      <c r="BS26">
        <v>8426</v>
      </c>
      <c r="BT26">
        <v>2181</v>
      </c>
      <c r="BU26">
        <v>105.9588179445</v>
      </c>
      <c r="BV26">
        <v>2583</v>
      </c>
      <c r="BW26">
        <v>2583</v>
      </c>
      <c r="BX26">
        <v>144.63917924890001</v>
      </c>
      <c r="BY26">
        <v>144.63917924890001</v>
      </c>
      <c r="CA26" t="s">
        <v>398</v>
      </c>
      <c r="CB26" t="s">
        <v>814</v>
      </c>
      <c r="CC26" t="s">
        <v>1019</v>
      </c>
      <c r="CD26">
        <v>8776</v>
      </c>
      <c r="CE26">
        <v>1985</v>
      </c>
      <c r="CF26">
        <v>96.380355515000005</v>
      </c>
      <c r="CG26">
        <v>2299</v>
      </c>
      <c r="CH26">
        <v>2299</v>
      </c>
      <c r="CI26">
        <v>129.15224010439999</v>
      </c>
      <c r="CJ26">
        <v>129.15224010439999</v>
      </c>
      <c r="CL26" t="s">
        <v>398</v>
      </c>
      <c r="CM26" t="s">
        <v>789</v>
      </c>
      <c r="CN26" t="s">
        <v>798</v>
      </c>
      <c r="CO26">
        <v>945</v>
      </c>
      <c r="CP26">
        <v>71</v>
      </c>
      <c r="CQ26">
        <v>59.118518518499997</v>
      </c>
      <c r="CR26">
        <v>426</v>
      </c>
      <c r="CS26">
        <v>426</v>
      </c>
      <c r="CT26">
        <v>62.969483568100003</v>
      </c>
      <c r="CU26">
        <v>62.969483568100003</v>
      </c>
      <c r="CW26" t="s">
        <v>398</v>
      </c>
      <c r="CX26" t="s">
        <v>802</v>
      </c>
      <c r="CY26" t="s">
        <v>811</v>
      </c>
      <c r="CZ26">
        <v>249</v>
      </c>
      <c r="DA26">
        <v>23</v>
      </c>
      <c r="DB26">
        <v>69.682730923700007</v>
      </c>
      <c r="DC26">
        <v>32</v>
      </c>
      <c r="DD26">
        <v>32</v>
      </c>
      <c r="DE26">
        <v>135.5625</v>
      </c>
      <c r="DF26">
        <v>135.5625</v>
      </c>
      <c r="DH26" t="s">
        <v>398</v>
      </c>
      <c r="DI26" t="s">
        <v>776</v>
      </c>
      <c r="DJ26" t="s">
        <v>785</v>
      </c>
      <c r="DK26">
        <v>156</v>
      </c>
      <c r="DL26">
        <v>19</v>
      </c>
      <c r="DM26">
        <v>86.910256410299993</v>
      </c>
      <c r="DN26">
        <v>30</v>
      </c>
      <c r="DO26">
        <v>30</v>
      </c>
      <c r="DP26">
        <v>133.26666666669999</v>
      </c>
      <c r="DQ26">
        <v>133.26666666669999</v>
      </c>
    </row>
    <row r="27" spans="2:121" x14ac:dyDescent="0.2">
      <c r="B27" t="s">
        <v>112</v>
      </c>
      <c r="C27">
        <v>32123</v>
      </c>
      <c r="D27">
        <v>10508</v>
      </c>
      <c r="F27" t="s">
        <v>58</v>
      </c>
      <c r="G27">
        <v>757</v>
      </c>
      <c r="H27">
        <v>162.036988111</v>
      </c>
      <c r="I27">
        <v>804</v>
      </c>
      <c r="J27">
        <v>207</v>
      </c>
      <c r="K27">
        <v>882</v>
      </c>
      <c r="L27">
        <v>389</v>
      </c>
      <c r="M27">
        <v>88</v>
      </c>
      <c r="N27">
        <v>70</v>
      </c>
      <c r="O27">
        <v>701</v>
      </c>
      <c r="P27">
        <v>364</v>
      </c>
      <c r="Q27">
        <v>304</v>
      </c>
      <c r="R27">
        <v>136</v>
      </c>
      <c r="T27" t="s">
        <v>376</v>
      </c>
      <c r="U27">
        <v>74617</v>
      </c>
      <c r="V27">
        <v>404.4174785907</v>
      </c>
      <c r="W27">
        <v>73851</v>
      </c>
      <c r="X27">
        <v>16598</v>
      </c>
      <c r="Y27">
        <v>105356</v>
      </c>
      <c r="Z27">
        <v>67928</v>
      </c>
      <c r="AA27">
        <v>22229</v>
      </c>
      <c r="AB27">
        <v>19021</v>
      </c>
      <c r="AC27">
        <v>31888</v>
      </c>
      <c r="AD27">
        <v>23149</v>
      </c>
      <c r="AE27">
        <v>7350</v>
      </c>
      <c r="AF27">
        <v>112</v>
      </c>
      <c r="AH27" t="s">
        <v>396</v>
      </c>
      <c r="AI27">
        <v>5025</v>
      </c>
      <c r="AJ27">
        <v>382.26228855720001</v>
      </c>
      <c r="AK27">
        <v>4463</v>
      </c>
      <c r="AL27">
        <v>1014</v>
      </c>
      <c r="AM27">
        <v>7485</v>
      </c>
      <c r="AN27">
        <v>4951</v>
      </c>
      <c r="AO27">
        <v>1140</v>
      </c>
      <c r="AP27">
        <v>1007</v>
      </c>
      <c r="AQ27">
        <v>2308</v>
      </c>
      <c r="AR27">
        <v>1401</v>
      </c>
      <c r="AS27">
        <v>261</v>
      </c>
      <c r="AT27">
        <v>144</v>
      </c>
      <c r="AV27" t="s">
        <v>381</v>
      </c>
      <c r="AW27">
        <v>447</v>
      </c>
      <c r="AX27">
        <v>105.1006711409</v>
      </c>
      <c r="AY27">
        <v>643</v>
      </c>
      <c r="AZ27">
        <v>148</v>
      </c>
      <c r="BA27">
        <v>606</v>
      </c>
      <c r="BB27">
        <v>195</v>
      </c>
      <c r="BC27">
        <v>13</v>
      </c>
      <c r="BD27">
        <v>13</v>
      </c>
      <c r="BE27">
        <v>35</v>
      </c>
      <c r="BF27">
        <v>14</v>
      </c>
      <c r="BG27">
        <v>61</v>
      </c>
      <c r="BH27">
        <v>195</v>
      </c>
      <c r="BJ27" t="s">
        <v>646</v>
      </c>
      <c r="BK27" t="s">
        <v>397</v>
      </c>
      <c r="BL27">
        <v>2946</v>
      </c>
      <c r="BM27">
        <v>606</v>
      </c>
      <c r="BN27">
        <v>89.0247793618</v>
      </c>
      <c r="BO27">
        <v>682</v>
      </c>
      <c r="BP27">
        <v>682</v>
      </c>
      <c r="BQ27">
        <v>147.1099706745</v>
      </c>
      <c r="BR27">
        <v>147.1099706745</v>
      </c>
      <c r="BS27">
        <v>2494</v>
      </c>
      <c r="BT27">
        <v>610</v>
      </c>
      <c r="BU27">
        <v>94.918604651199999</v>
      </c>
      <c r="BV27">
        <v>576</v>
      </c>
      <c r="BW27">
        <v>576</v>
      </c>
      <c r="BX27">
        <v>157.8854166667</v>
      </c>
      <c r="BY27">
        <v>157.8854166667</v>
      </c>
      <c r="CA27" t="s">
        <v>427</v>
      </c>
      <c r="CB27" t="s">
        <v>814</v>
      </c>
      <c r="CC27" t="s">
        <v>1020</v>
      </c>
      <c r="CD27">
        <v>912</v>
      </c>
      <c r="CE27">
        <v>164</v>
      </c>
      <c r="CF27">
        <v>79.922149122799993</v>
      </c>
      <c r="CG27">
        <v>292</v>
      </c>
      <c r="CH27">
        <v>292</v>
      </c>
      <c r="CI27">
        <v>113.74657534249999</v>
      </c>
      <c r="CJ27">
        <v>113.74657534249999</v>
      </c>
      <c r="CL27" t="s">
        <v>427</v>
      </c>
      <c r="CM27" t="s">
        <v>789</v>
      </c>
      <c r="CN27" t="s">
        <v>799</v>
      </c>
      <c r="CO27">
        <v>52</v>
      </c>
      <c r="CP27">
        <v>5</v>
      </c>
      <c r="CQ27">
        <v>61.442307692299998</v>
      </c>
      <c r="CR27">
        <v>38</v>
      </c>
      <c r="CS27">
        <v>38</v>
      </c>
      <c r="CT27">
        <v>65.736842105299999</v>
      </c>
      <c r="CU27">
        <v>65.736842105299999</v>
      </c>
      <c r="CW27" t="s">
        <v>427</v>
      </c>
      <c r="CX27" t="s">
        <v>802</v>
      </c>
      <c r="CY27" t="s">
        <v>812</v>
      </c>
      <c r="CZ27">
        <v>14</v>
      </c>
      <c r="DA27">
        <v>2</v>
      </c>
      <c r="DB27">
        <v>61.357142857100001</v>
      </c>
      <c r="DC27">
        <v>1</v>
      </c>
      <c r="DD27">
        <v>1</v>
      </c>
      <c r="DE27">
        <v>247</v>
      </c>
      <c r="DF27">
        <v>247</v>
      </c>
      <c r="DH27" t="s">
        <v>427</v>
      </c>
      <c r="DI27" t="s">
        <v>776</v>
      </c>
      <c r="DJ27" t="s">
        <v>786</v>
      </c>
      <c r="DK27">
        <v>14</v>
      </c>
      <c r="DL27">
        <v>2</v>
      </c>
      <c r="DM27">
        <v>93.928571428599994</v>
      </c>
      <c r="DN27">
        <v>2</v>
      </c>
      <c r="DO27">
        <v>2</v>
      </c>
      <c r="DP27">
        <v>108.5</v>
      </c>
      <c r="DQ27">
        <v>108.5</v>
      </c>
    </row>
    <row r="28" spans="2:121" x14ac:dyDescent="0.2">
      <c r="B28" t="s">
        <v>99</v>
      </c>
      <c r="C28">
        <v>134126</v>
      </c>
      <c r="D28">
        <v>59258</v>
      </c>
      <c r="F28" t="s">
        <v>72</v>
      </c>
      <c r="G28">
        <v>14754</v>
      </c>
      <c r="H28">
        <v>468.94415073879998</v>
      </c>
      <c r="I28">
        <v>12516</v>
      </c>
      <c r="J28">
        <v>2148</v>
      </c>
      <c r="K28">
        <v>16738</v>
      </c>
      <c r="L28">
        <v>11949</v>
      </c>
      <c r="M28">
        <v>5453</v>
      </c>
      <c r="N28">
        <v>5130</v>
      </c>
      <c r="O28">
        <v>4587</v>
      </c>
      <c r="P28">
        <v>3757</v>
      </c>
      <c r="Q28">
        <v>7</v>
      </c>
      <c r="R28">
        <v>10</v>
      </c>
      <c r="T28" t="s">
        <v>8</v>
      </c>
      <c r="U28">
        <v>4352</v>
      </c>
      <c r="V28">
        <v>388.19416360290001</v>
      </c>
      <c r="W28">
        <v>3882</v>
      </c>
      <c r="X28">
        <v>1615</v>
      </c>
      <c r="Y28">
        <v>5618</v>
      </c>
      <c r="Z28">
        <v>3914</v>
      </c>
      <c r="AA28">
        <v>621</v>
      </c>
      <c r="AB28">
        <v>531</v>
      </c>
      <c r="AC28">
        <v>1322</v>
      </c>
      <c r="AD28">
        <v>826</v>
      </c>
      <c r="AE28">
        <v>361</v>
      </c>
      <c r="AF28">
        <v>133</v>
      </c>
      <c r="AH28" t="s">
        <v>404</v>
      </c>
      <c r="AI28">
        <v>6187</v>
      </c>
      <c r="AJ28">
        <v>279.04687247449999</v>
      </c>
      <c r="AK28">
        <v>6060</v>
      </c>
      <c r="AL28">
        <v>908</v>
      </c>
      <c r="AM28">
        <v>8877</v>
      </c>
      <c r="AN28">
        <v>5720</v>
      </c>
      <c r="AO28">
        <v>2090</v>
      </c>
      <c r="AP28">
        <v>1908</v>
      </c>
      <c r="AQ28">
        <v>6599</v>
      </c>
      <c r="AR28">
        <v>4712</v>
      </c>
      <c r="AS28">
        <v>515</v>
      </c>
      <c r="AT28">
        <v>92</v>
      </c>
      <c r="AV28" t="s">
        <v>425</v>
      </c>
      <c r="AW28">
        <v>18</v>
      </c>
      <c r="AX28">
        <v>44.166666666700003</v>
      </c>
      <c r="AY28">
        <v>70</v>
      </c>
      <c r="AZ28">
        <v>2</v>
      </c>
      <c r="BA28">
        <v>35</v>
      </c>
      <c r="BB28">
        <v>2</v>
      </c>
      <c r="BC28">
        <v>0</v>
      </c>
      <c r="BE28">
        <v>2</v>
      </c>
      <c r="BF28">
        <v>1</v>
      </c>
      <c r="BG28">
        <v>66</v>
      </c>
      <c r="BH28">
        <v>12</v>
      </c>
      <c r="BJ28" t="s">
        <v>540</v>
      </c>
      <c r="BK28" t="s">
        <v>376</v>
      </c>
      <c r="BL28">
        <v>4818</v>
      </c>
      <c r="BM28">
        <v>1032</v>
      </c>
      <c r="BN28">
        <v>96.309672063099995</v>
      </c>
      <c r="BO28">
        <v>1374</v>
      </c>
      <c r="BP28">
        <v>1374</v>
      </c>
      <c r="BQ28">
        <v>144.30786026199999</v>
      </c>
      <c r="BR28">
        <v>144.30786026199999</v>
      </c>
      <c r="BS28">
        <v>3263</v>
      </c>
      <c r="BT28">
        <v>531</v>
      </c>
      <c r="BU28">
        <v>72.435488813999996</v>
      </c>
      <c r="BV28">
        <v>814</v>
      </c>
      <c r="BW28">
        <v>814</v>
      </c>
      <c r="BX28">
        <v>129.35626535630001</v>
      </c>
      <c r="BY28">
        <v>129.35626535630001</v>
      </c>
      <c r="CA28" t="s">
        <v>403</v>
      </c>
      <c r="CB28" t="s">
        <v>814</v>
      </c>
      <c r="CC28" t="s">
        <v>1021</v>
      </c>
      <c r="CD28">
        <v>3897</v>
      </c>
      <c r="CE28">
        <v>725</v>
      </c>
      <c r="CF28">
        <v>86.248652809899994</v>
      </c>
      <c r="CG28">
        <v>983</v>
      </c>
      <c r="CH28">
        <v>983</v>
      </c>
      <c r="CI28">
        <v>117.32248219740001</v>
      </c>
      <c r="CJ28">
        <v>117.32248219740001</v>
      </c>
      <c r="CL28" t="s">
        <v>403</v>
      </c>
      <c r="CM28" t="s">
        <v>789</v>
      </c>
      <c r="CN28" t="s">
        <v>800</v>
      </c>
      <c r="CO28">
        <v>307</v>
      </c>
      <c r="CP28">
        <v>15</v>
      </c>
      <c r="CQ28">
        <v>49.833876221499999</v>
      </c>
      <c r="CR28">
        <v>169</v>
      </c>
      <c r="CS28">
        <v>169</v>
      </c>
      <c r="CT28">
        <v>52.822485207100002</v>
      </c>
      <c r="CU28">
        <v>52.822485207100002</v>
      </c>
      <c r="CW28" t="s">
        <v>403</v>
      </c>
      <c r="CX28" t="s">
        <v>802</v>
      </c>
      <c r="CY28" t="s">
        <v>813</v>
      </c>
      <c r="CZ28">
        <v>88</v>
      </c>
      <c r="DA28">
        <v>10</v>
      </c>
      <c r="DB28">
        <v>72.295454545499993</v>
      </c>
      <c r="DC28">
        <v>20</v>
      </c>
      <c r="DD28">
        <v>20</v>
      </c>
      <c r="DE28">
        <v>127.65</v>
      </c>
      <c r="DF28">
        <v>127.65</v>
      </c>
      <c r="DH28" t="s">
        <v>403</v>
      </c>
      <c r="DI28" t="s">
        <v>776</v>
      </c>
      <c r="DJ28" t="s">
        <v>787</v>
      </c>
      <c r="DK28">
        <v>46</v>
      </c>
      <c r="DL28">
        <v>5</v>
      </c>
      <c r="DM28">
        <v>82.956521739099998</v>
      </c>
      <c r="DN28">
        <v>13</v>
      </c>
      <c r="DO28">
        <v>13</v>
      </c>
      <c r="DP28">
        <v>115.9230769231</v>
      </c>
      <c r="DQ28">
        <v>115.9230769231</v>
      </c>
    </row>
    <row r="29" spans="2:121" x14ac:dyDescent="0.2">
      <c r="B29" t="s">
        <v>20</v>
      </c>
      <c r="C29">
        <v>296</v>
      </c>
      <c r="D29">
        <v>176</v>
      </c>
      <c r="F29" t="s">
        <v>44</v>
      </c>
      <c r="G29">
        <v>1140</v>
      </c>
      <c r="H29">
        <v>133.7350877193</v>
      </c>
      <c r="I29">
        <v>2110</v>
      </c>
      <c r="J29">
        <v>390</v>
      </c>
      <c r="K29">
        <v>1993</v>
      </c>
      <c r="L29">
        <v>784</v>
      </c>
      <c r="M29">
        <v>191</v>
      </c>
      <c r="N29">
        <v>141</v>
      </c>
      <c r="O29">
        <v>1094</v>
      </c>
      <c r="P29">
        <v>943</v>
      </c>
      <c r="Q29">
        <v>0</v>
      </c>
      <c r="R29">
        <v>9</v>
      </c>
      <c r="T29" t="s">
        <v>411</v>
      </c>
      <c r="U29">
        <v>70038</v>
      </c>
      <c r="V29">
        <v>374.06230903220001</v>
      </c>
      <c r="W29">
        <v>61000</v>
      </c>
      <c r="X29">
        <v>12519</v>
      </c>
      <c r="Y29">
        <v>100320</v>
      </c>
      <c r="Z29">
        <v>64497</v>
      </c>
      <c r="AA29">
        <v>17489</v>
      </c>
      <c r="AB29">
        <v>15468</v>
      </c>
      <c r="AC29">
        <v>24639</v>
      </c>
      <c r="AD29">
        <v>16249</v>
      </c>
      <c r="AE29">
        <v>87</v>
      </c>
      <c r="AF29">
        <v>549</v>
      </c>
      <c r="AH29" t="s">
        <v>425</v>
      </c>
      <c r="AI29">
        <v>965</v>
      </c>
      <c r="AJ29">
        <v>257.0549222798</v>
      </c>
      <c r="AK29">
        <v>813</v>
      </c>
      <c r="AL29">
        <v>102</v>
      </c>
      <c r="AM29">
        <v>1668</v>
      </c>
      <c r="AN29">
        <v>765</v>
      </c>
      <c r="AO29">
        <v>382</v>
      </c>
      <c r="AP29">
        <v>233</v>
      </c>
      <c r="AQ29">
        <v>226</v>
      </c>
      <c r="AR29">
        <v>93</v>
      </c>
      <c r="AS29">
        <v>2</v>
      </c>
      <c r="AT29">
        <v>3</v>
      </c>
      <c r="AV29" t="s">
        <v>388</v>
      </c>
      <c r="AW29">
        <v>1196</v>
      </c>
      <c r="AX29">
        <v>120.4849498328</v>
      </c>
      <c r="AY29">
        <v>1315</v>
      </c>
      <c r="AZ29">
        <v>331</v>
      </c>
      <c r="BA29">
        <v>1694</v>
      </c>
      <c r="BB29">
        <v>598</v>
      </c>
      <c r="BC29">
        <v>54</v>
      </c>
      <c r="BD29">
        <v>51</v>
      </c>
      <c r="BE29">
        <v>85</v>
      </c>
      <c r="BF29">
        <v>40</v>
      </c>
      <c r="BG29">
        <v>118</v>
      </c>
      <c r="BH29">
        <v>452</v>
      </c>
      <c r="BJ29" t="s">
        <v>519</v>
      </c>
      <c r="BK29" t="s">
        <v>376</v>
      </c>
      <c r="BL29">
        <v>3648</v>
      </c>
      <c r="BM29">
        <v>855</v>
      </c>
      <c r="BN29">
        <v>96.444627193000002</v>
      </c>
      <c r="BO29">
        <v>977</v>
      </c>
      <c r="BP29">
        <v>977</v>
      </c>
      <c r="BQ29">
        <v>122.7062436029</v>
      </c>
      <c r="BR29">
        <v>122.7062436029</v>
      </c>
      <c r="BS29">
        <v>3279</v>
      </c>
      <c r="BT29">
        <v>673</v>
      </c>
      <c r="BU29">
        <v>86.888380603800002</v>
      </c>
      <c r="BV29">
        <v>895</v>
      </c>
      <c r="BW29">
        <v>895</v>
      </c>
      <c r="BX29">
        <v>113.17094972069999</v>
      </c>
      <c r="BY29">
        <v>113.17094972069999</v>
      </c>
      <c r="CA29" t="s">
        <v>397</v>
      </c>
      <c r="CB29" t="s">
        <v>814</v>
      </c>
      <c r="CD29">
        <v>52113</v>
      </c>
      <c r="CE29">
        <v>10560</v>
      </c>
      <c r="CF29">
        <v>90.466083318900004</v>
      </c>
      <c r="CG29">
        <v>14202</v>
      </c>
      <c r="CH29">
        <v>14202</v>
      </c>
      <c r="CI29">
        <v>129.29263484020001</v>
      </c>
      <c r="CJ29">
        <v>129.29263484020001</v>
      </c>
      <c r="CL29" t="s">
        <v>397</v>
      </c>
      <c r="CM29" t="s">
        <v>789</v>
      </c>
      <c r="CO29">
        <v>4743</v>
      </c>
      <c r="CP29">
        <v>326</v>
      </c>
      <c r="CQ29">
        <v>58.944971537000001</v>
      </c>
      <c r="CR29">
        <v>2451</v>
      </c>
      <c r="CS29">
        <v>2451</v>
      </c>
      <c r="CT29">
        <v>62.641778865799999</v>
      </c>
      <c r="CU29">
        <v>62.641778865799999</v>
      </c>
      <c r="CW29" t="s">
        <v>397</v>
      </c>
      <c r="CX29" t="s">
        <v>802</v>
      </c>
      <c r="CZ29">
        <v>1334</v>
      </c>
      <c r="DA29">
        <v>148</v>
      </c>
      <c r="DB29">
        <v>70.3065967016</v>
      </c>
      <c r="DC29">
        <v>185</v>
      </c>
      <c r="DD29">
        <v>185</v>
      </c>
      <c r="DE29">
        <v>126.77297297299999</v>
      </c>
      <c r="DF29">
        <v>126.77297297299999</v>
      </c>
      <c r="DH29" t="s">
        <v>397</v>
      </c>
      <c r="DI29" t="s">
        <v>776</v>
      </c>
      <c r="DK29">
        <v>1082</v>
      </c>
      <c r="DL29">
        <v>105</v>
      </c>
      <c r="DM29">
        <v>74.804990757900001</v>
      </c>
      <c r="DN29">
        <v>190</v>
      </c>
      <c r="DO29">
        <v>190</v>
      </c>
      <c r="DP29">
        <v>121.68421052630001</v>
      </c>
      <c r="DQ29">
        <v>121.68421052630001</v>
      </c>
    </row>
    <row r="30" spans="2:121" x14ac:dyDescent="0.2">
      <c r="B30" t="s">
        <v>96</v>
      </c>
      <c r="C30">
        <v>157</v>
      </c>
      <c r="D30">
        <v>129</v>
      </c>
      <c r="F30" t="s">
        <v>48</v>
      </c>
      <c r="G30">
        <v>1807</v>
      </c>
      <c r="H30">
        <v>242.44327614829999</v>
      </c>
      <c r="I30">
        <v>2480</v>
      </c>
      <c r="J30">
        <v>526</v>
      </c>
      <c r="K30">
        <v>2328</v>
      </c>
      <c r="L30">
        <v>1472</v>
      </c>
      <c r="M30">
        <v>392</v>
      </c>
      <c r="N30">
        <v>309</v>
      </c>
      <c r="O30">
        <v>139</v>
      </c>
      <c r="P30">
        <v>76</v>
      </c>
      <c r="Q30">
        <v>0</v>
      </c>
      <c r="R30">
        <v>0</v>
      </c>
      <c r="T30" t="s">
        <v>387</v>
      </c>
      <c r="U30">
        <v>82076</v>
      </c>
      <c r="V30">
        <v>359.99225108439998</v>
      </c>
      <c r="W30">
        <v>78950</v>
      </c>
      <c r="X30">
        <v>17222</v>
      </c>
      <c r="Y30">
        <v>116173</v>
      </c>
      <c r="Z30">
        <v>75595</v>
      </c>
      <c r="AA30">
        <v>21352</v>
      </c>
      <c r="AB30">
        <v>18594</v>
      </c>
      <c r="AC30">
        <v>36142</v>
      </c>
      <c r="AD30">
        <v>21326</v>
      </c>
      <c r="AE30">
        <v>4623</v>
      </c>
      <c r="AF30">
        <v>1033</v>
      </c>
      <c r="AH30" t="s">
        <v>407</v>
      </c>
      <c r="AI30">
        <v>1368</v>
      </c>
      <c r="AJ30">
        <v>213.94005847950001</v>
      </c>
      <c r="AK30">
        <v>2131</v>
      </c>
      <c r="AL30">
        <v>257</v>
      </c>
      <c r="AM30">
        <v>2346</v>
      </c>
      <c r="AN30">
        <v>929</v>
      </c>
      <c r="AO30">
        <v>756</v>
      </c>
      <c r="AP30">
        <v>598</v>
      </c>
      <c r="AQ30">
        <v>444</v>
      </c>
      <c r="AR30">
        <v>183</v>
      </c>
      <c r="AS30">
        <v>1</v>
      </c>
      <c r="AT30">
        <v>12</v>
      </c>
      <c r="AV30" t="s">
        <v>412</v>
      </c>
      <c r="AW30">
        <v>37</v>
      </c>
      <c r="AX30">
        <v>47.621621621599999</v>
      </c>
      <c r="AY30">
        <v>128</v>
      </c>
      <c r="AZ30">
        <v>1</v>
      </c>
      <c r="BA30">
        <v>67</v>
      </c>
      <c r="BB30">
        <v>7</v>
      </c>
      <c r="BC30">
        <v>0</v>
      </c>
      <c r="BE30">
        <v>6</v>
      </c>
      <c r="BF30">
        <v>2</v>
      </c>
      <c r="BG30">
        <v>144</v>
      </c>
      <c r="BH30">
        <v>23</v>
      </c>
      <c r="BJ30" t="s">
        <v>527</v>
      </c>
      <c r="BK30" t="s">
        <v>376</v>
      </c>
      <c r="BL30">
        <v>4030</v>
      </c>
      <c r="BM30">
        <v>906</v>
      </c>
      <c r="BN30">
        <v>95.133995037199995</v>
      </c>
      <c r="BO30">
        <v>1055</v>
      </c>
      <c r="BP30">
        <v>1055</v>
      </c>
      <c r="BQ30">
        <v>161.1857819905</v>
      </c>
      <c r="BR30">
        <v>161.1857819905</v>
      </c>
      <c r="BS30">
        <v>3448</v>
      </c>
      <c r="BT30">
        <v>568</v>
      </c>
      <c r="BU30">
        <v>81.450696055700007</v>
      </c>
      <c r="BV30">
        <v>902</v>
      </c>
      <c r="BW30">
        <v>902</v>
      </c>
      <c r="BX30">
        <v>152.08647450110001</v>
      </c>
      <c r="BY30">
        <v>152.08647450110001</v>
      </c>
      <c r="CA30" t="s">
        <v>380</v>
      </c>
      <c r="CB30" t="s">
        <v>863</v>
      </c>
      <c r="CC30" t="s">
        <v>987</v>
      </c>
      <c r="CD30">
        <v>1797</v>
      </c>
      <c r="CE30">
        <v>303</v>
      </c>
      <c r="CF30">
        <v>82.410684474099995</v>
      </c>
      <c r="CG30">
        <v>618</v>
      </c>
      <c r="CH30">
        <v>618</v>
      </c>
      <c r="CI30">
        <v>106.3462783172</v>
      </c>
      <c r="CJ30">
        <v>106.3462783172</v>
      </c>
      <c r="CL30" t="s">
        <v>380</v>
      </c>
      <c r="CM30" t="s">
        <v>832</v>
      </c>
      <c r="CN30" t="s">
        <v>831</v>
      </c>
      <c r="CO30">
        <v>144</v>
      </c>
      <c r="CP30">
        <v>13</v>
      </c>
      <c r="CQ30">
        <v>68.604166666699996</v>
      </c>
      <c r="CR30">
        <v>67</v>
      </c>
      <c r="CS30">
        <v>67</v>
      </c>
      <c r="CT30">
        <v>84.582089552200003</v>
      </c>
      <c r="CU30">
        <v>84.582089552200003</v>
      </c>
      <c r="CW30" t="s">
        <v>380</v>
      </c>
      <c r="CX30" t="s">
        <v>848</v>
      </c>
      <c r="CY30" t="s">
        <v>847</v>
      </c>
      <c r="CZ30">
        <v>61</v>
      </c>
      <c r="DA30">
        <v>3</v>
      </c>
      <c r="DB30">
        <v>68.9180327869</v>
      </c>
      <c r="DC30">
        <v>8</v>
      </c>
      <c r="DD30">
        <v>8</v>
      </c>
      <c r="DE30">
        <v>110.5</v>
      </c>
      <c r="DF30">
        <v>110.5</v>
      </c>
      <c r="DH30" t="s">
        <v>380</v>
      </c>
      <c r="DI30" t="s">
        <v>816</v>
      </c>
      <c r="DJ30" t="s">
        <v>815</v>
      </c>
      <c r="DK30">
        <v>69</v>
      </c>
      <c r="DL30">
        <v>7</v>
      </c>
      <c r="DM30">
        <v>78.4492753623</v>
      </c>
      <c r="DN30">
        <v>6</v>
      </c>
      <c r="DO30">
        <v>6</v>
      </c>
      <c r="DP30">
        <v>122.8333333333</v>
      </c>
      <c r="DQ30">
        <v>122.8333333333</v>
      </c>
    </row>
    <row r="31" spans="2:121" x14ac:dyDescent="0.2">
      <c r="B31" t="s">
        <v>22</v>
      </c>
      <c r="C31">
        <v>207784</v>
      </c>
      <c r="D31">
        <v>39011</v>
      </c>
      <c r="F31" t="s">
        <v>68</v>
      </c>
      <c r="G31">
        <v>3855</v>
      </c>
      <c r="H31">
        <v>461.3520103761</v>
      </c>
      <c r="I31">
        <v>5294</v>
      </c>
      <c r="J31">
        <v>1549</v>
      </c>
      <c r="K31">
        <v>5416</v>
      </c>
      <c r="L31">
        <v>4056</v>
      </c>
      <c r="M31">
        <v>429</v>
      </c>
      <c r="N31">
        <v>350</v>
      </c>
      <c r="O31">
        <v>1053</v>
      </c>
      <c r="P31">
        <v>779</v>
      </c>
      <c r="Q31">
        <v>0</v>
      </c>
      <c r="R31">
        <v>1</v>
      </c>
      <c r="T31" t="s">
        <v>468</v>
      </c>
      <c r="U31">
        <v>341272</v>
      </c>
      <c r="V31">
        <v>378.12547176449999</v>
      </c>
      <c r="W31">
        <v>339836</v>
      </c>
      <c r="X31">
        <v>72906</v>
      </c>
      <c r="Y31">
        <v>490877</v>
      </c>
      <c r="Z31">
        <v>309926</v>
      </c>
      <c r="AA31">
        <v>84416</v>
      </c>
      <c r="AB31">
        <v>72553</v>
      </c>
      <c r="AC31">
        <v>136757</v>
      </c>
      <c r="AD31">
        <v>85929</v>
      </c>
      <c r="AE31">
        <v>15985</v>
      </c>
      <c r="AF31">
        <v>3973</v>
      </c>
      <c r="AH31" t="s">
        <v>420</v>
      </c>
      <c r="AI31">
        <v>4452</v>
      </c>
      <c r="AJ31">
        <v>464.86500449239998</v>
      </c>
      <c r="AK31">
        <v>3822</v>
      </c>
      <c r="AL31">
        <v>907</v>
      </c>
      <c r="AM31">
        <v>5610</v>
      </c>
      <c r="AN31">
        <v>3827</v>
      </c>
      <c r="AO31">
        <v>545</v>
      </c>
      <c r="AP31">
        <v>478</v>
      </c>
      <c r="AQ31">
        <v>1545</v>
      </c>
      <c r="AR31">
        <v>930</v>
      </c>
      <c r="AS31">
        <v>6</v>
      </c>
      <c r="AT31">
        <v>113</v>
      </c>
      <c r="AV31" t="s">
        <v>391</v>
      </c>
      <c r="AW31">
        <v>292</v>
      </c>
      <c r="AX31">
        <v>54.585616438400002</v>
      </c>
      <c r="AY31">
        <v>750</v>
      </c>
      <c r="AZ31">
        <v>36</v>
      </c>
      <c r="BA31">
        <v>513</v>
      </c>
      <c r="BB31">
        <v>50</v>
      </c>
      <c r="BC31">
        <v>3</v>
      </c>
      <c r="BD31">
        <v>3</v>
      </c>
      <c r="BE31">
        <v>48</v>
      </c>
      <c r="BF31">
        <v>15</v>
      </c>
      <c r="BG31">
        <v>120</v>
      </c>
      <c r="BH31">
        <v>58</v>
      </c>
      <c r="BJ31" t="s">
        <v>529</v>
      </c>
      <c r="BK31" t="s">
        <v>376</v>
      </c>
      <c r="BL31">
        <v>1774</v>
      </c>
      <c r="BM31">
        <v>298</v>
      </c>
      <c r="BN31">
        <v>82.166290868100006</v>
      </c>
      <c r="BO31">
        <v>600</v>
      </c>
      <c r="BP31">
        <v>600</v>
      </c>
      <c r="BQ31">
        <v>110.82833333329999</v>
      </c>
      <c r="BR31">
        <v>110.82833333329999</v>
      </c>
      <c r="BS31">
        <v>2247</v>
      </c>
      <c r="BT31">
        <v>432</v>
      </c>
      <c r="BU31">
        <v>95.616377392100006</v>
      </c>
      <c r="BV31">
        <v>781</v>
      </c>
      <c r="BW31">
        <v>781</v>
      </c>
      <c r="BX31">
        <v>130.23559539050001</v>
      </c>
      <c r="BY31">
        <v>130.23559539050001</v>
      </c>
      <c r="CA31" t="s">
        <v>430</v>
      </c>
      <c r="CB31" t="s">
        <v>863</v>
      </c>
      <c r="CC31" t="s">
        <v>988</v>
      </c>
      <c r="CD31">
        <v>901</v>
      </c>
      <c r="CE31">
        <v>230</v>
      </c>
      <c r="CF31">
        <v>110.4217536071</v>
      </c>
      <c r="CG31">
        <v>230</v>
      </c>
      <c r="CH31">
        <v>230</v>
      </c>
      <c r="CI31">
        <v>141.84347826090001</v>
      </c>
      <c r="CJ31">
        <v>141.84347826090001</v>
      </c>
      <c r="CL31" t="s">
        <v>430</v>
      </c>
      <c r="CM31" t="s">
        <v>832</v>
      </c>
      <c r="CN31" t="s">
        <v>833</v>
      </c>
      <c r="CO31">
        <v>51</v>
      </c>
      <c r="CP31">
        <v>3</v>
      </c>
      <c r="CQ31">
        <v>72.411764705899998</v>
      </c>
      <c r="CR31">
        <v>17</v>
      </c>
      <c r="CS31">
        <v>17</v>
      </c>
      <c r="CT31">
        <v>72.058823529400001</v>
      </c>
      <c r="CU31">
        <v>72.058823529400001</v>
      </c>
      <c r="CW31" t="s">
        <v>430</v>
      </c>
      <c r="CX31" t="s">
        <v>848</v>
      </c>
      <c r="CY31" t="s">
        <v>849</v>
      </c>
      <c r="CZ31">
        <v>21</v>
      </c>
      <c r="DA31">
        <v>4</v>
      </c>
      <c r="DB31">
        <v>73.428571428599994</v>
      </c>
      <c r="DC31">
        <v>4</v>
      </c>
      <c r="DD31">
        <v>4</v>
      </c>
      <c r="DE31">
        <v>149.5</v>
      </c>
      <c r="DF31">
        <v>149.5</v>
      </c>
      <c r="DH31" t="s">
        <v>430</v>
      </c>
      <c r="DI31" t="s">
        <v>816</v>
      </c>
      <c r="DJ31" t="s">
        <v>817</v>
      </c>
      <c r="DK31">
        <v>30</v>
      </c>
      <c r="DL31">
        <v>6</v>
      </c>
      <c r="DM31">
        <v>79.400000000000006</v>
      </c>
      <c r="DN31">
        <v>0</v>
      </c>
      <c r="DO31">
        <v>0</v>
      </c>
      <c r="DP31">
        <v>0</v>
      </c>
      <c r="DQ31">
        <v>0</v>
      </c>
    </row>
    <row r="32" spans="2:121" x14ac:dyDescent="0.2">
      <c r="B32" t="s">
        <v>120</v>
      </c>
      <c r="C32">
        <v>7743</v>
      </c>
      <c r="D32">
        <v>1182</v>
      </c>
      <c r="F32" t="s">
        <v>76</v>
      </c>
      <c r="G32">
        <v>12936</v>
      </c>
      <c r="H32">
        <v>403.84686147190001</v>
      </c>
      <c r="I32">
        <v>7673</v>
      </c>
      <c r="J32">
        <v>1343</v>
      </c>
      <c r="K32">
        <v>18075</v>
      </c>
      <c r="L32">
        <v>12815</v>
      </c>
      <c r="M32">
        <v>3914</v>
      </c>
      <c r="N32">
        <v>3612</v>
      </c>
      <c r="O32">
        <v>4426</v>
      </c>
      <c r="P32">
        <v>3918</v>
      </c>
      <c r="Q32">
        <v>2</v>
      </c>
      <c r="R32">
        <v>142</v>
      </c>
      <c r="AH32" t="s">
        <v>422</v>
      </c>
      <c r="AI32">
        <v>1654</v>
      </c>
      <c r="AJ32">
        <v>389.57134220069997</v>
      </c>
      <c r="AK32">
        <v>1311</v>
      </c>
      <c r="AL32">
        <v>287</v>
      </c>
      <c r="AM32">
        <v>2329</v>
      </c>
      <c r="AN32">
        <v>1466</v>
      </c>
      <c r="AO32">
        <v>538</v>
      </c>
      <c r="AP32">
        <v>483</v>
      </c>
      <c r="AQ32">
        <v>154</v>
      </c>
      <c r="AR32">
        <v>101</v>
      </c>
      <c r="AS32">
        <v>140</v>
      </c>
      <c r="AT32">
        <v>3</v>
      </c>
      <c r="AV32" t="s">
        <v>422</v>
      </c>
      <c r="AW32">
        <v>96</v>
      </c>
      <c r="AX32">
        <v>105.46875</v>
      </c>
      <c r="AY32">
        <v>121</v>
      </c>
      <c r="AZ32">
        <v>34</v>
      </c>
      <c r="BA32">
        <v>140</v>
      </c>
      <c r="BB32">
        <v>37</v>
      </c>
      <c r="BC32">
        <v>2</v>
      </c>
      <c r="BD32">
        <v>2</v>
      </c>
      <c r="BE32">
        <v>11</v>
      </c>
      <c r="BF32">
        <v>3</v>
      </c>
      <c r="BG32">
        <v>7</v>
      </c>
      <c r="BH32">
        <v>35</v>
      </c>
      <c r="BJ32" t="s">
        <v>544</v>
      </c>
      <c r="BK32" t="s">
        <v>376</v>
      </c>
      <c r="BL32">
        <v>2290</v>
      </c>
      <c r="BM32">
        <v>312</v>
      </c>
      <c r="BN32">
        <v>81.579912663800002</v>
      </c>
      <c r="BO32">
        <v>744</v>
      </c>
      <c r="BP32">
        <v>744</v>
      </c>
      <c r="BQ32">
        <v>116.6478494624</v>
      </c>
      <c r="BR32">
        <v>116.6478494624</v>
      </c>
      <c r="BS32">
        <v>4412</v>
      </c>
      <c r="BT32">
        <v>885</v>
      </c>
      <c r="BU32">
        <v>106.0396645512</v>
      </c>
      <c r="BV32">
        <v>1451</v>
      </c>
      <c r="BW32">
        <v>1451</v>
      </c>
      <c r="BX32">
        <v>140.90006891799999</v>
      </c>
      <c r="BY32">
        <v>140.90006891799999</v>
      </c>
      <c r="CA32" t="s">
        <v>421</v>
      </c>
      <c r="CB32" t="s">
        <v>863</v>
      </c>
      <c r="CC32" t="s">
        <v>989</v>
      </c>
      <c r="CD32">
        <v>412</v>
      </c>
      <c r="CE32">
        <v>91</v>
      </c>
      <c r="CF32">
        <v>96.504854368899998</v>
      </c>
      <c r="CG32">
        <v>130</v>
      </c>
      <c r="CH32">
        <v>130</v>
      </c>
      <c r="CI32">
        <v>161.57692307689999</v>
      </c>
      <c r="CJ32">
        <v>161.57692307689999</v>
      </c>
      <c r="CL32" t="s">
        <v>421</v>
      </c>
      <c r="CM32" t="s">
        <v>832</v>
      </c>
      <c r="CN32" t="s">
        <v>834</v>
      </c>
      <c r="CO32">
        <v>44</v>
      </c>
      <c r="CP32">
        <v>4</v>
      </c>
      <c r="CQ32">
        <v>73.522727272699996</v>
      </c>
      <c r="CR32">
        <v>33</v>
      </c>
      <c r="CS32">
        <v>33</v>
      </c>
      <c r="CT32">
        <v>79.696969697</v>
      </c>
      <c r="CU32">
        <v>79.696969697</v>
      </c>
      <c r="CW32" t="s">
        <v>421</v>
      </c>
      <c r="CX32" t="s">
        <v>848</v>
      </c>
      <c r="CY32" t="s">
        <v>850</v>
      </c>
      <c r="CZ32">
        <v>20</v>
      </c>
      <c r="DA32">
        <v>1</v>
      </c>
      <c r="DB32">
        <v>77.45</v>
      </c>
      <c r="DC32">
        <v>1</v>
      </c>
      <c r="DD32">
        <v>1</v>
      </c>
      <c r="DE32">
        <v>142</v>
      </c>
      <c r="DF32">
        <v>142</v>
      </c>
      <c r="DH32" t="s">
        <v>421</v>
      </c>
      <c r="DI32" t="s">
        <v>816</v>
      </c>
      <c r="DJ32" t="s">
        <v>818</v>
      </c>
      <c r="DK32">
        <v>30</v>
      </c>
      <c r="DL32">
        <v>2</v>
      </c>
      <c r="DM32">
        <v>76.666666666699996</v>
      </c>
      <c r="DN32">
        <v>2</v>
      </c>
      <c r="DO32">
        <v>2</v>
      </c>
      <c r="DP32">
        <v>156.5</v>
      </c>
      <c r="DQ32">
        <v>156.5</v>
      </c>
    </row>
    <row r="33" spans="2:121" x14ac:dyDescent="0.2">
      <c r="B33" t="s">
        <v>128</v>
      </c>
      <c r="C33">
        <v>568</v>
      </c>
      <c r="D33">
        <v>17</v>
      </c>
      <c r="F33" t="s">
        <v>70</v>
      </c>
      <c r="G33">
        <v>1449</v>
      </c>
      <c r="H33">
        <v>240.68184955140001</v>
      </c>
      <c r="I33">
        <v>2077</v>
      </c>
      <c r="J33">
        <v>342</v>
      </c>
      <c r="K33">
        <v>4179</v>
      </c>
      <c r="L33">
        <v>1301</v>
      </c>
      <c r="M33">
        <v>2588</v>
      </c>
      <c r="N33">
        <v>2135</v>
      </c>
      <c r="O33">
        <v>299</v>
      </c>
      <c r="P33">
        <v>106</v>
      </c>
      <c r="Q33">
        <v>0</v>
      </c>
      <c r="R33">
        <v>0</v>
      </c>
      <c r="AH33" t="s">
        <v>381</v>
      </c>
      <c r="AI33">
        <v>2585</v>
      </c>
      <c r="AJ33">
        <v>284.86382978720002</v>
      </c>
      <c r="AK33">
        <v>4076</v>
      </c>
      <c r="AL33">
        <v>997</v>
      </c>
      <c r="AM33">
        <v>4156</v>
      </c>
      <c r="AN33">
        <v>1990</v>
      </c>
      <c r="AO33">
        <v>878</v>
      </c>
      <c r="AP33">
        <v>734</v>
      </c>
      <c r="AQ33">
        <v>1997</v>
      </c>
      <c r="AR33">
        <v>1256</v>
      </c>
      <c r="AS33">
        <v>629</v>
      </c>
      <c r="AT33">
        <v>3</v>
      </c>
      <c r="AV33" t="s">
        <v>433</v>
      </c>
      <c r="AW33">
        <v>107</v>
      </c>
      <c r="AX33">
        <v>59.028037383200001</v>
      </c>
      <c r="AY33">
        <v>445</v>
      </c>
      <c r="AZ33">
        <v>14</v>
      </c>
      <c r="BA33">
        <v>186</v>
      </c>
      <c r="BB33">
        <v>15</v>
      </c>
      <c r="BC33">
        <v>3</v>
      </c>
      <c r="BD33">
        <v>3</v>
      </c>
      <c r="BE33">
        <v>13</v>
      </c>
      <c r="BF33">
        <v>6</v>
      </c>
      <c r="BG33">
        <v>234</v>
      </c>
      <c r="BH33">
        <v>52</v>
      </c>
      <c r="BJ33" t="s">
        <v>629</v>
      </c>
      <c r="BK33" t="s">
        <v>376</v>
      </c>
      <c r="BL33">
        <v>1330</v>
      </c>
      <c r="BM33">
        <v>269</v>
      </c>
      <c r="BN33">
        <v>89.229323308299996</v>
      </c>
      <c r="BO33">
        <v>302</v>
      </c>
      <c r="BP33">
        <v>302</v>
      </c>
      <c r="BQ33">
        <v>131.178807947</v>
      </c>
      <c r="BR33">
        <v>131.178807947</v>
      </c>
      <c r="BS33">
        <v>1293</v>
      </c>
      <c r="BT33">
        <v>246</v>
      </c>
      <c r="BU33">
        <v>89.482598607900002</v>
      </c>
      <c r="BV33">
        <v>303</v>
      </c>
      <c r="BW33">
        <v>303</v>
      </c>
      <c r="BX33">
        <v>150.53465346530001</v>
      </c>
      <c r="BY33">
        <v>150.53465346530001</v>
      </c>
      <c r="CA33" t="s">
        <v>423</v>
      </c>
      <c r="CB33" t="s">
        <v>863</v>
      </c>
      <c r="CC33" t="s">
        <v>990</v>
      </c>
      <c r="CD33">
        <v>1217</v>
      </c>
      <c r="CE33">
        <v>179</v>
      </c>
      <c r="CF33">
        <v>73.935907970399995</v>
      </c>
      <c r="CG33">
        <v>520</v>
      </c>
      <c r="CH33">
        <v>520</v>
      </c>
      <c r="CI33">
        <v>104.3634615385</v>
      </c>
      <c r="CJ33">
        <v>104.3634615385</v>
      </c>
      <c r="CL33" t="s">
        <v>423</v>
      </c>
      <c r="CM33" t="s">
        <v>832</v>
      </c>
      <c r="CN33" t="s">
        <v>835</v>
      </c>
      <c r="CO33">
        <v>79</v>
      </c>
      <c r="CP33">
        <v>7</v>
      </c>
      <c r="CQ33">
        <v>63.7594936709</v>
      </c>
      <c r="CR33">
        <v>41</v>
      </c>
      <c r="CS33">
        <v>41</v>
      </c>
      <c r="CT33">
        <v>61.6585365854</v>
      </c>
      <c r="CU33">
        <v>61.6585365854</v>
      </c>
      <c r="CW33" t="s">
        <v>423</v>
      </c>
      <c r="CX33" t="s">
        <v>848</v>
      </c>
      <c r="CY33" t="s">
        <v>851</v>
      </c>
      <c r="CZ33">
        <v>24</v>
      </c>
      <c r="DA33">
        <v>2</v>
      </c>
      <c r="DB33">
        <v>62.583333333299997</v>
      </c>
      <c r="DC33">
        <v>4</v>
      </c>
      <c r="DD33">
        <v>4</v>
      </c>
      <c r="DE33">
        <v>147.5</v>
      </c>
      <c r="DF33">
        <v>147.5</v>
      </c>
      <c r="DH33" t="s">
        <v>423</v>
      </c>
      <c r="DI33" t="s">
        <v>816</v>
      </c>
      <c r="DJ33" t="s">
        <v>819</v>
      </c>
      <c r="DK33">
        <v>20</v>
      </c>
      <c r="DL33">
        <v>5</v>
      </c>
      <c r="DM33">
        <v>96.5</v>
      </c>
      <c r="DN33">
        <v>2</v>
      </c>
      <c r="DO33">
        <v>2</v>
      </c>
      <c r="DP33">
        <v>146</v>
      </c>
      <c r="DQ33">
        <v>146</v>
      </c>
    </row>
    <row r="34" spans="2:121" x14ac:dyDescent="0.2">
      <c r="B34" t="s">
        <v>92</v>
      </c>
      <c r="C34">
        <v>7</v>
      </c>
      <c r="D34">
        <v>3</v>
      </c>
      <c r="F34" t="s">
        <v>40</v>
      </c>
      <c r="G34">
        <v>6383</v>
      </c>
      <c r="H34">
        <v>515.38947203509997</v>
      </c>
      <c r="I34">
        <v>6954</v>
      </c>
      <c r="J34">
        <v>1819</v>
      </c>
      <c r="K34">
        <v>7553</v>
      </c>
      <c r="L34">
        <v>5974</v>
      </c>
      <c r="M34">
        <v>1285</v>
      </c>
      <c r="N34">
        <v>1235</v>
      </c>
      <c r="O34">
        <v>1930</v>
      </c>
      <c r="P34">
        <v>1439</v>
      </c>
      <c r="Q34">
        <v>0</v>
      </c>
      <c r="R34">
        <v>206</v>
      </c>
      <c r="AH34" t="s">
        <v>412</v>
      </c>
      <c r="AI34">
        <v>1703</v>
      </c>
      <c r="AJ34">
        <v>217.59776864360001</v>
      </c>
      <c r="AK34">
        <v>2947</v>
      </c>
      <c r="AL34">
        <v>703</v>
      </c>
      <c r="AM34">
        <v>2562</v>
      </c>
      <c r="AN34">
        <v>1158</v>
      </c>
      <c r="AO34">
        <v>298</v>
      </c>
      <c r="AP34">
        <v>195</v>
      </c>
      <c r="AQ34">
        <v>651</v>
      </c>
      <c r="AR34">
        <v>300</v>
      </c>
      <c r="AS34">
        <v>2</v>
      </c>
      <c r="AT34">
        <v>10</v>
      </c>
      <c r="AV34" t="s">
        <v>402</v>
      </c>
      <c r="AW34">
        <v>394</v>
      </c>
      <c r="AX34">
        <v>55.446700507599999</v>
      </c>
      <c r="AY34">
        <v>1106</v>
      </c>
      <c r="AZ34">
        <v>67</v>
      </c>
      <c r="BA34">
        <v>615</v>
      </c>
      <c r="BB34">
        <v>39</v>
      </c>
      <c r="BC34">
        <v>2</v>
      </c>
      <c r="BD34">
        <v>2</v>
      </c>
      <c r="BE34">
        <v>43</v>
      </c>
      <c r="BF34">
        <v>8</v>
      </c>
      <c r="BG34">
        <v>124</v>
      </c>
      <c r="BH34">
        <v>72</v>
      </c>
      <c r="BJ34" t="s">
        <v>525</v>
      </c>
      <c r="BK34" t="s">
        <v>376</v>
      </c>
      <c r="BL34">
        <v>4953</v>
      </c>
      <c r="BM34">
        <v>1011</v>
      </c>
      <c r="BN34">
        <v>93.276196244700003</v>
      </c>
      <c r="BO34">
        <v>1147</v>
      </c>
      <c r="BP34">
        <v>1147</v>
      </c>
      <c r="BQ34">
        <v>138.385353095</v>
      </c>
      <c r="BR34">
        <v>138.385353095</v>
      </c>
      <c r="BS34">
        <v>4376</v>
      </c>
      <c r="BT34">
        <v>858</v>
      </c>
      <c r="BU34">
        <v>82.791819012800005</v>
      </c>
      <c r="BV34">
        <v>1002</v>
      </c>
      <c r="BW34">
        <v>1002</v>
      </c>
      <c r="BX34">
        <v>127.9321357285</v>
      </c>
      <c r="BY34">
        <v>127.9321357285</v>
      </c>
      <c r="CA34" t="s">
        <v>383</v>
      </c>
      <c r="CB34" t="s">
        <v>863</v>
      </c>
      <c r="CC34" t="s">
        <v>991</v>
      </c>
      <c r="CD34">
        <v>5372</v>
      </c>
      <c r="CE34">
        <v>1114</v>
      </c>
      <c r="CF34">
        <v>95.001116902500002</v>
      </c>
      <c r="CG34">
        <v>1595</v>
      </c>
      <c r="CH34">
        <v>1595</v>
      </c>
      <c r="CI34">
        <v>137.86457680250001</v>
      </c>
      <c r="CJ34">
        <v>137.86457680250001</v>
      </c>
      <c r="CL34" t="s">
        <v>383</v>
      </c>
      <c r="CM34" t="s">
        <v>832</v>
      </c>
      <c r="CN34" t="s">
        <v>836</v>
      </c>
      <c r="CO34">
        <v>343</v>
      </c>
      <c r="CP34">
        <v>33</v>
      </c>
      <c r="CQ34">
        <v>72.865889212799999</v>
      </c>
      <c r="CR34">
        <v>134</v>
      </c>
      <c r="CS34">
        <v>134</v>
      </c>
      <c r="CT34">
        <v>76.216417910399997</v>
      </c>
      <c r="CU34">
        <v>76.216417910399997</v>
      </c>
      <c r="CW34" t="s">
        <v>383</v>
      </c>
      <c r="CX34" t="s">
        <v>848</v>
      </c>
      <c r="CY34" t="s">
        <v>852</v>
      </c>
      <c r="CZ34">
        <v>253</v>
      </c>
      <c r="DA34">
        <v>35</v>
      </c>
      <c r="DB34">
        <v>78.861660079100005</v>
      </c>
      <c r="DC34">
        <v>38</v>
      </c>
      <c r="DD34">
        <v>38</v>
      </c>
      <c r="DE34">
        <v>133.47368421050001</v>
      </c>
      <c r="DF34">
        <v>133.47368421050001</v>
      </c>
      <c r="DH34" t="s">
        <v>383</v>
      </c>
      <c r="DI34" t="s">
        <v>816</v>
      </c>
      <c r="DJ34" t="s">
        <v>820</v>
      </c>
      <c r="DK34">
        <v>344</v>
      </c>
      <c r="DL34">
        <v>40</v>
      </c>
      <c r="DM34">
        <v>80.183139534899993</v>
      </c>
      <c r="DN34">
        <v>32</v>
      </c>
      <c r="DO34">
        <v>32</v>
      </c>
      <c r="DP34">
        <v>139.40625</v>
      </c>
      <c r="DQ34">
        <v>139.40625</v>
      </c>
    </row>
    <row r="35" spans="2:121" x14ac:dyDescent="0.2">
      <c r="B35" t="s">
        <v>105</v>
      </c>
      <c r="C35">
        <v>674</v>
      </c>
      <c r="D35">
        <v>605</v>
      </c>
      <c r="F35" t="s">
        <v>74</v>
      </c>
      <c r="G35">
        <v>7090</v>
      </c>
      <c r="H35">
        <v>333.18913963329999</v>
      </c>
      <c r="I35">
        <v>12255</v>
      </c>
      <c r="J35">
        <v>1869</v>
      </c>
      <c r="K35">
        <v>16226</v>
      </c>
      <c r="L35">
        <v>7233</v>
      </c>
      <c r="M35">
        <v>2081</v>
      </c>
      <c r="N35">
        <v>1470</v>
      </c>
      <c r="O35">
        <v>1951</v>
      </c>
      <c r="P35">
        <v>1412</v>
      </c>
      <c r="Q35">
        <v>0</v>
      </c>
      <c r="R35">
        <v>62</v>
      </c>
      <c r="AH35" t="s">
        <v>63</v>
      </c>
      <c r="AI35">
        <v>6560</v>
      </c>
      <c r="AJ35">
        <v>264.90807926830001</v>
      </c>
      <c r="AK35">
        <v>9258</v>
      </c>
      <c r="AL35">
        <v>1996</v>
      </c>
      <c r="AM35">
        <v>9782</v>
      </c>
      <c r="AN35">
        <v>5541</v>
      </c>
      <c r="AO35">
        <v>2593</v>
      </c>
      <c r="AP35">
        <v>2089</v>
      </c>
      <c r="AQ35">
        <v>1720</v>
      </c>
      <c r="AR35">
        <v>982</v>
      </c>
      <c r="AS35">
        <v>1329</v>
      </c>
      <c r="AT35">
        <v>10</v>
      </c>
      <c r="AV35" t="s">
        <v>379</v>
      </c>
      <c r="AW35">
        <v>69</v>
      </c>
      <c r="AX35">
        <v>93.463768115899995</v>
      </c>
      <c r="AY35">
        <v>139</v>
      </c>
      <c r="AZ35">
        <v>33</v>
      </c>
      <c r="BA35">
        <v>119</v>
      </c>
      <c r="BB35">
        <v>31</v>
      </c>
      <c r="BC35">
        <v>5</v>
      </c>
      <c r="BD35">
        <v>5</v>
      </c>
      <c r="BE35">
        <v>15</v>
      </c>
      <c r="BF35">
        <v>1</v>
      </c>
      <c r="BG35">
        <v>12</v>
      </c>
      <c r="BH35">
        <v>33</v>
      </c>
      <c r="BJ35" t="s">
        <v>531</v>
      </c>
      <c r="BK35" t="s">
        <v>376</v>
      </c>
      <c r="BL35">
        <v>2764</v>
      </c>
      <c r="BM35">
        <v>566</v>
      </c>
      <c r="BN35">
        <v>87.317293777100005</v>
      </c>
      <c r="BO35">
        <v>753</v>
      </c>
      <c r="BP35">
        <v>753</v>
      </c>
      <c r="BQ35">
        <v>137.74103585660001</v>
      </c>
      <c r="BR35">
        <v>137.74103585660001</v>
      </c>
      <c r="BS35">
        <v>2521</v>
      </c>
      <c r="BT35">
        <v>448</v>
      </c>
      <c r="BU35">
        <v>81.319714399000006</v>
      </c>
      <c r="BV35">
        <v>653</v>
      </c>
      <c r="BW35">
        <v>653</v>
      </c>
      <c r="BX35">
        <v>132.5359877489</v>
      </c>
      <c r="BY35">
        <v>132.5359877489</v>
      </c>
      <c r="CA35" t="s">
        <v>378</v>
      </c>
      <c r="CB35" t="s">
        <v>863</v>
      </c>
      <c r="CC35" t="s">
        <v>992</v>
      </c>
      <c r="CD35">
        <v>4373</v>
      </c>
      <c r="CE35">
        <v>1029</v>
      </c>
      <c r="CF35">
        <v>96.276469243099996</v>
      </c>
      <c r="CG35">
        <v>1187</v>
      </c>
      <c r="CH35">
        <v>1187</v>
      </c>
      <c r="CI35">
        <v>120.5442291491</v>
      </c>
      <c r="CJ35">
        <v>120.5442291491</v>
      </c>
      <c r="CL35" t="s">
        <v>378</v>
      </c>
      <c r="CM35" t="s">
        <v>832</v>
      </c>
      <c r="CN35" t="s">
        <v>837</v>
      </c>
      <c r="CO35">
        <v>314</v>
      </c>
      <c r="CP35">
        <v>22</v>
      </c>
      <c r="CQ35">
        <v>65.528662420399996</v>
      </c>
      <c r="CR35">
        <v>151</v>
      </c>
      <c r="CS35">
        <v>151</v>
      </c>
      <c r="CT35">
        <v>81.509933774800004</v>
      </c>
      <c r="CU35">
        <v>81.509933774800004</v>
      </c>
      <c r="CW35" t="s">
        <v>378</v>
      </c>
      <c r="CX35" t="s">
        <v>848</v>
      </c>
      <c r="CY35" t="s">
        <v>853</v>
      </c>
      <c r="CZ35">
        <v>105</v>
      </c>
      <c r="DA35">
        <v>17</v>
      </c>
      <c r="DB35">
        <v>80.266666666700004</v>
      </c>
      <c r="DC35">
        <v>10</v>
      </c>
      <c r="DD35">
        <v>10</v>
      </c>
      <c r="DE35">
        <v>124</v>
      </c>
      <c r="DF35">
        <v>124</v>
      </c>
      <c r="DH35" t="s">
        <v>378</v>
      </c>
      <c r="DI35" t="s">
        <v>816</v>
      </c>
      <c r="DJ35" t="s">
        <v>821</v>
      </c>
      <c r="DK35">
        <v>59</v>
      </c>
      <c r="DL35">
        <v>9</v>
      </c>
      <c r="DM35">
        <v>87.271186440700006</v>
      </c>
      <c r="DN35">
        <v>2</v>
      </c>
      <c r="DO35">
        <v>2</v>
      </c>
      <c r="DP35">
        <v>126.5</v>
      </c>
      <c r="DQ35">
        <v>126.5</v>
      </c>
    </row>
    <row r="36" spans="2:121" x14ac:dyDescent="0.2">
      <c r="B36" t="s">
        <v>98</v>
      </c>
      <c r="C36">
        <v>429</v>
      </c>
      <c r="D36">
        <v>297</v>
      </c>
      <c r="F36" t="s">
        <v>50</v>
      </c>
      <c r="G36">
        <v>2170</v>
      </c>
      <c r="H36">
        <v>234.2493087558</v>
      </c>
      <c r="I36">
        <v>2162</v>
      </c>
      <c r="J36">
        <v>308</v>
      </c>
      <c r="K36">
        <v>3380</v>
      </c>
      <c r="L36">
        <v>2000</v>
      </c>
      <c r="M36">
        <v>141</v>
      </c>
      <c r="N36">
        <v>118</v>
      </c>
      <c r="O36">
        <v>990</v>
      </c>
      <c r="P36">
        <v>727</v>
      </c>
      <c r="Q36">
        <v>1</v>
      </c>
      <c r="R36">
        <v>12</v>
      </c>
      <c r="T36" t="s">
        <v>653</v>
      </c>
      <c r="U36" t="s">
        <v>312</v>
      </c>
      <c r="V36" t="s">
        <v>139</v>
      </c>
      <c r="W36" t="s">
        <v>220</v>
      </c>
      <c r="X36" t="s">
        <v>466</v>
      </c>
      <c r="Y36" t="s">
        <v>222</v>
      </c>
      <c r="Z36" t="s">
        <v>223</v>
      </c>
      <c r="AA36" t="s">
        <v>224</v>
      </c>
      <c r="AB36" t="s">
        <v>467</v>
      </c>
      <c r="AC36" t="s">
        <v>226</v>
      </c>
      <c r="AD36" t="s">
        <v>227</v>
      </c>
      <c r="AE36" t="s">
        <v>228</v>
      </c>
      <c r="AF36" t="s">
        <v>229</v>
      </c>
      <c r="AH36" t="s">
        <v>389</v>
      </c>
      <c r="AI36">
        <v>16373</v>
      </c>
      <c r="AJ36">
        <v>324.4748671593</v>
      </c>
      <c r="AK36">
        <v>18694</v>
      </c>
      <c r="AL36">
        <v>4515</v>
      </c>
      <c r="AM36">
        <v>22672</v>
      </c>
      <c r="AN36">
        <v>14082</v>
      </c>
      <c r="AO36">
        <v>4272</v>
      </c>
      <c r="AP36">
        <v>3595</v>
      </c>
      <c r="AQ36">
        <v>5225</v>
      </c>
      <c r="AR36">
        <v>3699</v>
      </c>
      <c r="AS36">
        <v>998</v>
      </c>
      <c r="AT36">
        <v>36</v>
      </c>
      <c r="AV36" t="s">
        <v>390</v>
      </c>
      <c r="AW36">
        <v>856</v>
      </c>
      <c r="AX36">
        <v>109.64953271029999</v>
      </c>
      <c r="AY36">
        <v>833</v>
      </c>
      <c r="AZ36">
        <v>213</v>
      </c>
      <c r="BA36">
        <v>1212</v>
      </c>
      <c r="BB36">
        <v>375</v>
      </c>
      <c r="BC36">
        <v>16</v>
      </c>
      <c r="BD36">
        <v>14</v>
      </c>
      <c r="BE36">
        <v>40</v>
      </c>
      <c r="BF36">
        <v>16</v>
      </c>
      <c r="BG36">
        <v>105</v>
      </c>
      <c r="BH36">
        <v>265</v>
      </c>
      <c r="BJ36" t="s">
        <v>376</v>
      </c>
      <c r="BK36" t="s">
        <v>376</v>
      </c>
      <c r="BL36">
        <v>72507</v>
      </c>
      <c r="BM36">
        <v>16284</v>
      </c>
      <c r="BN36">
        <v>97.006040796099995</v>
      </c>
      <c r="BO36">
        <v>19098</v>
      </c>
      <c r="BP36">
        <v>19098</v>
      </c>
      <c r="BQ36">
        <v>137.48382029530001</v>
      </c>
      <c r="BR36">
        <v>137.48382029530001</v>
      </c>
      <c r="BS36">
        <v>70831</v>
      </c>
      <c r="BT36">
        <v>15367</v>
      </c>
      <c r="BU36">
        <v>94.496534003500003</v>
      </c>
      <c r="BV36">
        <v>18947</v>
      </c>
      <c r="BW36">
        <v>18947</v>
      </c>
      <c r="BX36">
        <v>136.4772787249</v>
      </c>
      <c r="BY36">
        <v>136.4772787249</v>
      </c>
      <c r="CA36" t="s">
        <v>422</v>
      </c>
      <c r="CB36" t="s">
        <v>863</v>
      </c>
      <c r="CC36" t="s">
        <v>993</v>
      </c>
      <c r="CD36">
        <v>1392</v>
      </c>
      <c r="CE36">
        <v>284</v>
      </c>
      <c r="CF36">
        <v>90.501436781600006</v>
      </c>
      <c r="CG36">
        <v>311</v>
      </c>
      <c r="CH36">
        <v>311</v>
      </c>
      <c r="CI36">
        <v>132.8424437299</v>
      </c>
      <c r="CJ36">
        <v>132.8424437299</v>
      </c>
      <c r="CL36" t="s">
        <v>422</v>
      </c>
      <c r="CM36" t="s">
        <v>832</v>
      </c>
      <c r="CN36" t="s">
        <v>838</v>
      </c>
      <c r="CO36">
        <v>69</v>
      </c>
      <c r="CP36">
        <v>11</v>
      </c>
      <c r="CQ36">
        <v>75.594202898600003</v>
      </c>
      <c r="CR36">
        <v>39</v>
      </c>
      <c r="CS36">
        <v>39</v>
      </c>
      <c r="CT36">
        <v>77.512820512800005</v>
      </c>
      <c r="CU36">
        <v>77.512820512800005</v>
      </c>
      <c r="CW36" t="s">
        <v>422</v>
      </c>
      <c r="CX36" t="s">
        <v>848</v>
      </c>
      <c r="CY36" t="s">
        <v>854</v>
      </c>
      <c r="CZ36">
        <v>26</v>
      </c>
      <c r="DA36">
        <v>3</v>
      </c>
      <c r="DB36">
        <v>66.576923076900002</v>
      </c>
      <c r="DC36">
        <v>0</v>
      </c>
      <c r="DD36">
        <v>0</v>
      </c>
      <c r="DE36">
        <v>0</v>
      </c>
      <c r="DF36">
        <v>0</v>
      </c>
      <c r="DH36" t="s">
        <v>422</v>
      </c>
      <c r="DI36" t="s">
        <v>816</v>
      </c>
      <c r="DJ36" t="s">
        <v>822</v>
      </c>
      <c r="DK36">
        <v>17</v>
      </c>
      <c r="DL36">
        <v>1</v>
      </c>
      <c r="DM36">
        <v>64.058823529400001</v>
      </c>
      <c r="DN36">
        <v>4</v>
      </c>
      <c r="DO36">
        <v>4</v>
      </c>
      <c r="DP36">
        <v>202</v>
      </c>
      <c r="DQ36">
        <v>202</v>
      </c>
    </row>
    <row r="37" spans="2:121" x14ac:dyDescent="0.2">
      <c r="B37" t="s">
        <v>121</v>
      </c>
      <c r="C37">
        <v>3494</v>
      </c>
      <c r="D37">
        <v>1344</v>
      </c>
      <c r="F37" t="s">
        <v>85</v>
      </c>
      <c r="G37">
        <v>716</v>
      </c>
      <c r="H37">
        <v>369.26117318439998</v>
      </c>
      <c r="I37">
        <v>790</v>
      </c>
      <c r="J37">
        <v>188</v>
      </c>
      <c r="K37">
        <v>770</v>
      </c>
      <c r="L37">
        <v>427</v>
      </c>
      <c r="M37">
        <v>2</v>
      </c>
      <c r="N37">
        <v>1</v>
      </c>
      <c r="O37">
        <v>135</v>
      </c>
      <c r="P37">
        <v>100</v>
      </c>
      <c r="Q37">
        <v>0</v>
      </c>
      <c r="R37">
        <v>0</v>
      </c>
      <c r="T37" t="s">
        <v>397</v>
      </c>
      <c r="U37">
        <v>2104</v>
      </c>
      <c r="V37">
        <v>61.923954372600001</v>
      </c>
      <c r="W37">
        <v>6072</v>
      </c>
      <c r="X37">
        <v>367</v>
      </c>
      <c r="Y37">
        <v>3565</v>
      </c>
      <c r="Z37">
        <v>260</v>
      </c>
      <c r="AA37">
        <v>29</v>
      </c>
      <c r="AB37">
        <v>16</v>
      </c>
      <c r="AC37">
        <v>239</v>
      </c>
      <c r="AD37">
        <v>68</v>
      </c>
      <c r="AE37">
        <v>1515</v>
      </c>
      <c r="AF37">
        <v>545</v>
      </c>
      <c r="AH37" t="s">
        <v>426</v>
      </c>
      <c r="AI37">
        <v>235</v>
      </c>
      <c r="AJ37">
        <v>238.73191489359999</v>
      </c>
      <c r="AK37">
        <v>608</v>
      </c>
      <c r="AL37">
        <v>107</v>
      </c>
      <c r="AM37">
        <v>430</v>
      </c>
      <c r="AN37">
        <v>147</v>
      </c>
      <c r="AO37">
        <v>69</v>
      </c>
      <c r="AP37">
        <v>44</v>
      </c>
      <c r="AQ37">
        <v>123</v>
      </c>
      <c r="AR37">
        <v>56</v>
      </c>
      <c r="AS37">
        <v>0</v>
      </c>
      <c r="AT37">
        <v>0</v>
      </c>
      <c r="AV37" t="s">
        <v>398</v>
      </c>
      <c r="AW37">
        <v>441</v>
      </c>
      <c r="AX37">
        <v>77.242630385499993</v>
      </c>
      <c r="AY37">
        <v>1293</v>
      </c>
      <c r="AZ37">
        <v>90</v>
      </c>
      <c r="BA37">
        <v>779</v>
      </c>
      <c r="BB37">
        <v>72</v>
      </c>
      <c r="BC37">
        <v>18</v>
      </c>
      <c r="BD37">
        <v>8</v>
      </c>
      <c r="BE37">
        <v>49</v>
      </c>
      <c r="BF37">
        <v>12</v>
      </c>
      <c r="BG37">
        <v>131</v>
      </c>
      <c r="BH37">
        <v>92</v>
      </c>
      <c r="BJ37" t="s">
        <v>533</v>
      </c>
      <c r="BK37" t="s">
        <v>376</v>
      </c>
      <c r="BL37">
        <v>7157</v>
      </c>
      <c r="BM37">
        <v>2315</v>
      </c>
      <c r="BN37">
        <v>123.5010479251</v>
      </c>
      <c r="BO37">
        <v>2064</v>
      </c>
      <c r="BP37">
        <v>2064</v>
      </c>
      <c r="BQ37">
        <v>163.93943798449999</v>
      </c>
      <c r="BR37">
        <v>163.93943798449999</v>
      </c>
      <c r="BS37">
        <v>7179</v>
      </c>
      <c r="BT37">
        <v>2372</v>
      </c>
      <c r="BU37">
        <v>124.4600919348</v>
      </c>
      <c r="BV37">
        <v>2104</v>
      </c>
      <c r="BW37">
        <v>2104</v>
      </c>
      <c r="BX37">
        <v>163.91159695819999</v>
      </c>
      <c r="BY37">
        <v>163.91159695819999</v>
      </c>
      <c r="CA37" t="s">
        <v>381</v>
      </c>
      <c r="CB37" t="s">
        <v>863</v>
      </c>
      <c r="CC37" t="s">
        <v>994</v>
      </c>
      <c r="CD37">
        <v>4033</v>
      </c>
      <c r="CE37">
        <v>970</v>
      </c>
      <c r="CF37">
        <v>97.918423010200001</v>
      </c>
      <c r="CG37">
        <v>1121</v>
      </c>
      <c r="CH37">
        <v>1121</v>
      </c>
      <c r="CI37">
        <v>140.71364852810001</v>
      </c>
      <c r="CJ37">
        <v>140.71364852810001</v>
      </c>
      <c r="CL37" t="s">
        <v>381</v>
      </c>
      <c r="CM37" t="s">
        <v>832</v>
      </c>
      <c r="CN37" t="s">
        <v>839</v>
      </c>
      <c r="CO37">
        <v>342</v>
      </c>
      <c r="CP37">
        <v>34</v>
      </c>
      <c r="CQ37">
        <v>73.763157894700001</v>
      </c>
      <c r="CR37">
        <v>177</v>
      </c>
      <c r="CS37">
        <v>177</v>
      </c>
      <c r="CT37">
        <v>74.214689265499999</v>
      </c>
      <c r="CU37">
        <v>74.214689265499999</v>
      </c>
      <c r="CW37" t="s">
        <v>381</v>
      </c>
      <c r="CX37" t="s">
        <v>848</v>
      </c>
      <c r="CY37" t="s">
        <v>855</v>
      </c>
      <c r="CZ37">
        <v>102</v>
      </c>
      <c r="DA37">
        <v>15</v>
      </c>
      <c r="DB37">
        <v>73.735294117600006</v>
      </c>
      <c r="DC37">
        <v>11</v>
      </c>
      <c r="DD37">
        <v>11</v>
      </c>
      <c r="DE37">
        <v>139.54545454550001</v>
      </c>
      <c r="DF37">
        <v>139.54545454550001</v>
      </c>
      <c r="DH37" t="s">
        <v>381</v>
      </c>
      <c r="DI37" t="s">
        <v>816</v>
      </c>
      <c r="DJ37" t="s">
        <v>823</v>
      </c>
      <c r="DK37">
        <v>94</v>
      </c>
      <c r="DL37">
        <v>10</v>
      </c>
      <c r="DM37">
        <v>73.074468085099994</v>
      </c>
      <c r="DN37">
        <v>8</v>
      </c>
      <c r="DO37">
        <v>8</v>
      </c>
      <c r="DP37">
        <v>107</v>
      </c>
      <c r="DQ37">
        <v>107</v>
      </c>
    </row>
    <row r="38" spans="2:121" x14ac:dyDescent="0.2">
      <c r="B38" t="s">
        <v>102</v>
      </c>
      <c r="C38">
        <v>15194</v>
      </c>
      <c r="D38">
        <v>1286</v>
      </c>
      <c r="F38" t="s">
        <v>55</v>
      </c>
      <c r="G38">
        <v>7565</v>
      </c>
      <c r="H38">
        <v>381.41057501649999</v>
      </c>
      <c r="I38">
        <v>9264</v>
      </c>
      <c r="J38">
        <v>2240</v>
      </c>
      <c r="K38">
        <v>9192</v>
      </c>
      <c r="L38">
        <v>6266</v>
      </c>
      <c r="M38">
        <v>797</v>
      </c>
      <c r="N38">
        <v>763</v>
      </c>
      <c r="O38">
        <v>4343</v>
      </c>
      <c r="P38">
        <v>3192</v>
      </c>
      <c r="Q38">
        <v>2</v>
      </c>
      <c r="R38">
        <v>30</v>
      </c>
      <c r="T38" t="s">
        <v>387</v>
      </c>
      <c r="U38">
        <v>6234</v>
      </c>
      <c r="V38">
        <v>108.4603785691</v>
      </c>
      <c r="W38">
        <v>7553</v>
      </c>
      <c r="X38">
        <v>1499</v>
      </c>
      <c r="Y38">
        <v>9272</v>
      </c>
      <c r="Z38">
        <v>2787</v>
      </c>
      <c r="AA38">
        <v>193</v>
      </c>
      <c r="AB38">
        <v>179</v>
      </c>
      <c r="AC38">
        <v>452</v>
      </c>
      <c r="AD38">
        <v>162</v>
      </c>
      <c r="AE38">
        <v>913</v>
      </c>
      <c r="AF38">
        <v>1756</v>
      </c>
      <c r="AH38" t="s">
        <v>398</v>
      </c>
      <c r="AI38">
        <v>8635</v>
      </c>
      <c r="AJ38">
        <v>463.94163288940001</v>
      </c>
      <c r="AK38">
        <v>9077</v>
      </c>
      <c r="AL38">
        <v>2040</v>
      </c>
      <c r="AM38">
        <v>12534</v>
      </c>
      <c r="AN38">
        <v>8346</v>
      </c>
      <c r="AO38">
        <v>1388</v>
      </c>
      <c r="AP38">
        <v>1273</v>
      </c>
      <c r="AQ38">
        <v>5029</v>
      </c>
      <c r="AR38">
        <v>2393</v>
      </c>
      <c r="AS38">
        <v>553</v>
      </c>
      <c r="AT38">
        <v>336</v>
      </c>
      <c r="AV38" t="s">
        <v>403</v>
      </c>
      <c r="AW38">
        <v>175</v>
      </c>
      <c r="AX38">
        <v>53.291428571399997</v>
      </c>
      <c r="AY38">
        <v>389</v>
      </c>
      <c r="AZ38">
        <v>16</v>
      </c>
      <c r="BA38">
        <v>316</v>
      </c>
      <c r="BB38">
        <v>15</v>
      </c>
      <c r="BC38">
        <v>1</v>
      </c>
      <c r="BE38">
        <v>25</v>
      </c>
      <c r="BF38">
        <v>4</v>
      </c>
      <c r="BG38">
        <v>55</v>
      </c>
      <c r="BH38">
        <v>24</v>
      </c>
      <c r="BJ38" t="s">
        <v>536</v>
      </c>
      <c r="BK38" t="s">
        <v>376</v>
      </c>
      <c r="BL38">
        <v>5109</v>
      </c>
      <c r="BM38">
        <v>1514</v>
      </c>
      <c r="BN38">
        <v>113.17498532</v>
      </c>
      <c r="BO38">
        <v>1021</v>
      </c>
      <c r="BP38">
        <v>1021</v>
      </c>
      <c r="BQ38">
        <v>170.65328109699999</v>
      </c>
      <c r="BR38">
        <v>170.65328109699999</v>
      </c>
      <c r="BS38">
        <v>5043</v>
      </c>
      <c r="BT38">
        <v>1778</v>
      </c>
      <c r="BU38">
        <v>121.8594090819</v>
      </c>
      <c r="BV38">
        <v>903</v>
      </c>
      <c r="BW38">
        <v>903</v>
      </c>
      <c r="BX38">
        <v>195.98560354369999</v>
      </c>
      <c r="BY38">
        <v>195.98560354369999</v>
      </c>
      <c r="CA38" t="s">
        <v>63</v>
      </c>
      <c r="CB38" t="s">
        <v>863</v>
      </c>
      <c r="CC38" t="s">
        <v>525</v>
      </c>
      <c r="CD38">
        <v>8938</v>
      </c>
      <c r="CE38">
        <v>1891</v>
      </c>
      <c r="CF38">
        <v>93.554374580399994</v>
      </c>
      <c r="CG38">
        <v>2301</v>
      </c>
      <c r="CH38">
        <v>2301</v>
      </c>
      <c r="CI38">
        <v>143.5880052151</v>
      </c>
      <c r="CJ38">
        <v>143.5880052151</v>
      </c>
      <c r="CL38" t="s">
        <v>63</v>
      </c>
      <c r="CM38" t="s">
        <v>832</v>
      </c>
      <c r="CN38" t="s">
        <v>840</v>
      </c>
      <c r="CO38">
        <v>887</v>
      </c>
      <c r="CP38">
        <v>83</v>
      </c>
      <c r="CQ38">
        <v>69.381059751999999</v>
      </c>
      <c r="CR38">
        <v>388</v>
      </c>
      <c r="CS38">
        <v>388</v>
      </c>
      <c r="CT38">
        <v>77.360824742299997</v>
      </c>
      <c r="CU38">
        <v>77.360824742299997</v>
      </c>
      <c r="CW38" t="s">
        <v>63</v>
      </c>
      <c r="CX38" t="s">
        <v>848</v>
      </c>
      <c r="CY38" t="s">
        <v>856</v>
      </c>
      <c r="CZ38">
        <v>270</v>
      </c>
      <c r="DA38">
        <v>33</v>
      </c>
      <c r="DB38">
        <v>69.640740740699997</v>
      </c>
      <c r="DC38">
        <v>31</v>
      </c>
      <c r="DD38">
        <v>31</v>
      </c>
      <c r="DE38">
        <v>118.1290322581</v>
      </c>
      <c r="DF38">
        <v>118.1290322581</v>
      </c>
      <c r="DH38" t="s">
        <v>63</v>
      </c>
      <c r="DI38" t="s">
        <v>816</v>
      </c>
      <c r="DJ38" t="s">
        <v>824</v>
      </c>
      <c r="DK38">
        <v>168</v>
      </c>
      <c r="DL38">
        <v>20</v>
      </c>
      <c r="DM38">
        <v>80.398809523799997</v>
      </c>
      <c r="DN38">
        <v>22</v>
      </c>
      <c r="DO38">
        <v>22</v>
      </c>
      <c r="DP38">
        <v>156.1818181818</v>
      </c>
      <c r="DQ38">
        <v>156.1818181818</v>
      </c>
    </row>
    <row r="39" spans="2:121" x14ac:dyDescent="0.2">
      <c r="B39" t="s">
        <v>130</v>
      </c>
      <c r="C39">
        <v>270</v>
      </c>
      <c r="D39">
        <v>151</v>
      </c>
      <c r="F39" t="s">
        <v>52</v>
      </c>
      <c r="G39">
        <v>4148</v>
      </c>
      <c r="H39">
        <v>376.81702025070001</v>
      </c>
      <c r="I39">
        <v>4114</v>
      </c>
      <c r="J39">
        <v>963</v>
      </c>
      <c r="K39">
        <v>6355</v>
      </c>
      <c r="L39">
        <v>4054</v>
      </c>
      <c r="M39">
        <v>1857</v>
      </c>
      <c r="N39">
        <v>1638</v>
      </c>
      <c r="O39">
        <v>2024</v>
      </c>
      <c r="P39">
        <v>1285</v>
      </c>
      <c r="Q39">
        <v>34</v>
      </c>
      <c r="R39">
        <v>171</v>
      </c>
      <c r="T39" t="s">
        <v>376</v>
      </c>
      <c r="U39">
        <v>6454</v>
      </c>
      <c r="V39">
        <v>115.5602726991</v>
      </c>
      <c r="W39">
        <v>8461</v>
      </c>
      <c r="X39">
        <v>2114</v>
      </c>
      <c r="Y39">
        <v>9345</v>
      </c>
      <c r="Z39">
        <v>3237</v>
      </c>
      <c r="AA39">
        <v>381</v>
      </c>
      <c r="AB39">
        <v>365</v>
      </c>
      <c r="AC39">
        <v>531</v>
      </c>
      <c r="AD39">
        <v>171</v>
      </c>
      <c r="AE39">
        <v>847</v>
      </c>
      <c r="AF39">
        <v>2263</v>
      </c>
      <c r="AH39" t="s">
        <v>419</v>
      </c>
      <c r="AI39">
        <v>3579</v>
      </c>
      <c r="AJ39">
        <v>489.81782620839999</v>
      </c>
      <c r="AK39">
        <v>6707</v>
      </c>
      <c r="AL39">
        <v>1044</v>
      </c>
      <c r="AM39">
        <v>6030</v>
      </c>
      <c r="AN39">
        <v>3373</v>
      </c>
      <c r="AO39">
        <v>998</v>
      </c>
      <c r="AP39">
        <v>592</v>
      </c>
      <c r="AQ39">
        <v>1545</v>
      </c>
      <c r="AR39">
        <v>578</v>
      </c>
      <c r="AS39">
        <v>4</v>
      </c>
      <c r="AT39">
        <v>63</v>
      </c>
      <c r="AV39" t="s">
        <v>421</v>
      </c>
      <c r="AW39">
        <v>48</v>
      </c>
      <c r="AX39">
        <v>122.1458333333</v>
      </c>
      <c r="AY39">
        <v>43</v>
      </c>
      <c r="AZ39">
        <v>6</v>
      </c>
      <c r="BA39">
        <v>64</v>
      </c>
      <c r="BB39">
        <v>26</v>
      </c>
      <c r="BC39">
        <v>4</v>
      </c>
      <c r="BD39">
        <v>4</v>
      </c>
      <c r="BE39">
        <v>3</v>
      </c>
      <c r="BF39">
        <v>2</v>
      </c>
      <c r="BG39">
        <v>15</v>
      </c>
      <c r="BH39">
        <v>13</v>
      </c>
      <c r="BJ39" t="s">
        <v>521</v>
      </c>
      <c r="BK39" t="s">
        <v>376</v>
      </c>
      <c r="BL39">
        <v>2208</v>
      </c>
      <c r="BM39">
        <v>343</v>
      </c>
      <c r="BN39">
        <v>76.206068840599997</v>
      </c>
      <c r="BO39">
        <v>1720</v>
      </c>
      <c r="BP39">
        <v>1720</v>
      </c>
      <c r="BQ39">
        <v>48.479069767399999</v>
      </c>
      <c r="BR39">
        <v>48.479069767399999</v>
      </c>
      <c r="BS39">
        <v>3436</v>
      </c>
      <c r="BT39">
        <v>1025</v>
      </c>
      <c r="BU39">
        <v>111.2252619325</v>
      </c>
      <c r="BV39">
        <v>2060</v>
      </c>
      <c r="BW39">
        <v>2060</v>
      </c>
      <c r="BX39">
        <v>78.013106796100004</v>
      </c>
      <c r="BY39">
        <v>78.013106796100004</v>
      </c>
      <c r="CA39" t="s">
        <v>389</v>
      </c>
      <c r="CB39" t="s">
        <v>863</v>
      </c>
      <c r="CC39" t="s">
        <v>995</v>
      </c>
      <c r="CD39">
        <v>17527</v>
      </c>
      <c r="CE39">
        <v>4215</v>
      </c>
      <c r="CF39">
        <v>100.39453414730001</v>
      </c>
      <c r="CG39">
        <v>4014</v>
      </c>
      <c r="CH39">
        <v>4014</v>
      </c>
      <c r="CI39">
        <v>150.66292974589999</v>
      </c>
      <c r="CJ39">
        <v>150.66292974589999</v>
      </c>
      <c r="CL39" t="s">
        <v>389</v>
      </c>
      <c r="CM39" t="s">
        <v>832</v>
      </c>
      <c r="CN39" t="s">
        <v>841</v>
      </c>
      <c r="CO39">
        <v>772</v>
      </c>
      <c r="CP39">
        <v>100</v>
      </c>
      <c r="CQ39">
        <v>72.721502590699998</v>
      </c>
      <c r="CR39">
        <v>377</v>
      </c>
      <c r="CS39">
        <v>377</v>
      </c>
      <c r="CT39">
        <v>82.230769230799993</v>
      </c>
      <c r="CU39">
        <v>82.230769230799993</v>
      </c>
      <c r="CW39" t="s">
        <v>389</v>
      </c>
      <c r="CX39" t="s">
        <v>848</v>
      </c>
      <c r="CY39" t="s">
        <v>857</v>
      </c>
      <c r="CZ39">
        <v>620</v>
      </c>
      <c r="DA39">
        <v>105</v>
      </c>
      <c r="DB39">
        <v>81.243548387100006</v>
      </c>
      <c r="DC39">
        <v>67</v>
      </c>
      <c r="DD39">
        <v>67</v>
      </c>
      <c r="DE39">
        <v>143.43283582090001</v>
      </c>
      <c r="DF39">
        <v>143.43283582090001</v>
      </c>
      <c r="DH39" t="s">
        <v>389</v>
      </c>
      <c r="DI39" t="s">
        <v>816</v>
      </c>
      <c r="DJ39" t="s">
        <v>825</v>
      </c>
      <c r="DK39">
        <v>1272</v>
      </c>
      <c r="DL39">
        <v>153</v>
      </c>
      <c r="DM39">
        <v>77.292452830200006</v>
      </c>
      <c r="DN39">
        <v>117</v>
      </c>
      <c r="DO39">
        <v>117</v>
      </c>
      <c r="DP39">
        <v>137.50427350429999</v>
      </c>
      <c r="DQ39">
        <v>137.50427350429999</v>
      </c>
    </row>
    <row r="40" spans="2:121" x14ac:dyDescent="0.2">
      <c r="B40" t="s">
        <v>111</v>
      </c>
      <c r="C40">
        <v>6969</v>
      </c>
      <c r="D40">
        <v>5419</v>
      </c>
      <c r="F40" t="s">
        <v>63</v>
      </c>
      <c r="G40">
        <v>3614</v>
      </c>
      <c r="H40">
        <v>264.77642501380001</v>
      </c>
      <c r="I40">
        <v>4746</v>
      </c>
      <c r="J40">
        <v>1009</v>
      </c>
      <c r="K40">
        <v>5228</v>
      </c>
      <c r="L40">
        <v>3259</v>
      </c>
      <c r="M40">
        <v>2403</v>
      </c>
      <c r="N40">
        <v>2103</v>
      </c>
      <c r="O40">
        <v>286</v>
      </c>
      <c r="P40">
        <v>209</v>
      </c>
      <c r="Q40">
        <v>0</v>
      </c>
      <c r="R40">
        <v>3</v>
      </c>
      <c r="T40" t="s">
        <v>8</v>
      </c>
      <c r="U40">
        <v>150</v>
      </c>
      <c r="V40">
        <v>109.64</v>
      </c>
      <c r="W40">
        <v>169</v>
      </c>
      <c r="X40">
        <v>69</v>
      </c>
      <c r="Y40">
        <v>305</v>
      </c>
      <c r="Z40">
        <v>156</v>
      </c>
      <c r="AA40">
        <v>16</v>
      </c>
      <c r="AB40">
        <v>13</v>
      </c>
      <c r="AC40">
        <v>16</v>
      </c>
      <c r="AD40">
        <v>11</v>
      </c>
      <c r="AE40">
        <v>45</v>
      </c>
      <c r="AF40">
        <v>14</v>
      </c>
      <c r="AH40" t="s">
        <v>416</v>
      </c>
      <c r="AI40">
        <v>8651</v>
      </c>
      <c r="AJ40">
        <v>403.93353369549999</v>
      </c>
      <c r="AK40">
        <v>4797</v>
      </c>
      <c r="AL40">
        <v>1329</v>
      </c>
      <c r="AM40">
        <v>11993</v>
      </c>
      <c r="AN40">
        <v>8224</v>
      </c>
      <c r="AO40">
        <v>3060</v>
      </c>
      <c r="AP40">
        <v>2709</v>
      </c>
      <c r="AQ40">
        <v>2053</v>
      </c>
      <c r="AR40">
        <v>854</v>
      </c>
      <c r="AS40">
        <v>5</v>
      </c>
      <c r="AT40">
        <v>71</v>
      </c>
      <c r="AV40" t="s">
        <v>418</v>
      </c>
      <c r="AW40">
        <v>146</v>
      </c>
      <c r="AX40">
        <v>66.321917808199998</v>
      </c>
      <c r="AY40">
        <v>260</v>
      </c>
      <c r="AZ40">
        <v>18</v>
      </c>
      <c r="BA40">
        <v>239</v>
      </c>
      <c r="BB40">
        <v>25</v>
      </c>
      <c r="BC40">
        <v>4</v>
      </c>
      <c r="BD40">
        <v>4</v>
      </c>
      <c r="BE40">
        <v>18</v>
      </c>
      <c r="BF40">
        <v>5</v>
      </c>
      <c r="BG40">
        <v>71</v>
      </c>
      <c r="BH40">
        <v>30</v>
      </c>
      <c r="BJ40" t="s">
        <v>542</v>
      </c>
      <c r="BK40" t="s">
        <v>376</v>
      </c>
      <c r="BL40">
        <v>11371</v>
      </c>
      <c r="BM40">
        <v>2053</v>
      </c>
      <c r="BN40">
        <v>86.362149327200001</v>
      </c>
      <c r="BO40">
        <v>2548</v>
      </c>
      <c r="BP40">
        <v>2548</v>
      </c>
      <c r="BQ40">
        <v>141.4866562009</v>
      </c>
      <c r="BR40">
        <v>141.4866562009</v>
      </c>
      <c r="BS40">
        <v>12249</v>
      </c>
      <c r="BT40">
        <v>1982</v>
      </c>
      <c r="BU40">
        <v>83.291207445500007</v>
      </c>
      <c r="BV40">
        <v>2700</v>
      </c>
      <c r="BW40">
        <v>2700</v>
      </c>
      <c r="BX40">
        <v>135.49222222220001</v>
      </c>
      <c r="BY40">
        <v>135.49222222220001</v>
      </c>
      <c r="CA40" t="s">
        <v>382</v>
      </c>
      <c r="CB40" t="s">
        <v>863</v>
      </c>
      <c r="CC40" t="s">
        <v>996</v>
      </c>
      <c r="CD40">
        <v>9032</v>
      </c>
      <c r="CE40">
        <v>2633</v>
      </c>
      <c r="CF40">
        <v>112.7368246236</v>
      </c>
      <c r="CG40">
        <v>2463</v>
      </c>
      <c r="CH40">
        <v>2463</v>
      </c>
      <c r="CI40">
        <v>156.233455136</v>
      </c>
      <c r="CJ40">
        <v>156.233455136</v>
      </c>
      <c r="CL40" t="s">
        <v>382</v>
      </c>
      <c r="CM40" t="s">
        <v>832</v>
      </c>
      <c r="CN40" t="s">
        <v>842</v>
      </c>
      <c r="CO40">
        <v>1026</v>
      </c>
      <c r="CP40">
        <v>102</v>
      </c>
      <c r="CQ40">
        <v>67.373294346999998</v>
      </c>
      <c r="CR40">
        <v>460</v>
      </c>
      <c r="CS40">
        <v>460</v>
      </c>
      <c r="CT40">
        <v>84.473913043500005</v>
      </c>
      <c r="CU40">
        <v>84.473913043500005</v>
      </c>
      <c r="CW40" t="s">
        <v>382</v>
      </c>
      <c r="CX40" t="s">
        <v>848</v>
      </c>
      <c r="CY40" t="s">
        <v>858</v>
      </c>
      <c r="CZ40">
        <v>203</v>
      </c>
      <c r="DA40">
        <v>32</v>
      </c>
      <c r="DB40">
        <v>78.369458128100007</v>
      </c>
      <c r="DC40">
        <v>29</v>
      </c>
      <c r="DD40">
        <v>29</v>
      </c>
      <c r="DE40">
        <v>132.7586206897</v>
      </c>
      <c r="DF40">
        <v>132.7586206897</v>
      </c>
      <c r="DH40" t="s">
        <v>382</v>
      </c>
      <c r="DI40" t="s">
        <v>816</v>
      </c>
      <c r="DJ40" t="s">
        <v>826</v>
      </c>
      <c r="DK40">
        <v>129</v>
      </c>
      <c r="DL40">
        <v>17</v>
      </c>
      <c r="DM40">
        <v>82.720930232599997</v>
      </c>
      <c r="DN40">
        <v>29</v>
      </c>
      <c r="DO40">
        <v>29</v>
      </c>
      <c r="DP40">
        <v>119.1379310345</v>
      </c>
      <c r="DQ40">
        <v>119.1379310345</v>
      </c>
    </row>
    <row r="41" spans="2:121" x14ac:dyDescent="0.2">
      <c r="B41" t="s">
        <v>119</v>
      </c>
      <c r="C41">
        <v>15130</v>
      </c>
      <c r="D41">
        <v>3816</v>
      </c>
      <c r="F41" t="s">
        <v>25</v>
      </c>
      <c r="G41">
        <v>13728</v>
      </c>
      <c r="H41">
        <v>348.82138694640003</v>
      </c>
      <c r="I41">
        <v>17643</v>
      </c>
      <c r="J41">
        <v>3620</v>
      </c>
      <c r="K41">
        <v>18949</v>
      </c>
      <c r="L41">
        <v>12978</v>
      </c>
      <c r="M41">
        <v>4442</v>
      </c>
      <c r="N41">
        <v>3960</v>
      </c>
      <c r="O41">
        <v>12529</v>
      </c>
      <c r="P41">
        <v>7973</v>
      </c>
      <c r="Q41">
        <v>61</v>
      </c>
      <c r="R41">
        <v>6</v>
      </c>
      <c r="T41" t="s">
        <v>392</v>
      </c>
      <c r="U41">
        <v>1168</v>
      </c>
      <c r="V41">
        <v>54.598458904099999</v>
      </c>
      <c r="W41">
        <v>3183</v>
      </c>
      <c r="X41">
        <v>104</v>
      </c>
      <c r="Y41">
        <v>2097</v>
      </c>
      <c r="Z41">
        <v>155</v>
      </c>
      <c r="AA41">
        <v>21</v>
      </c>
      <c r="AB41">
        <v>21</v>
      </c>
      <c r="AC41">
        <v>165</v>
      </c>
      <c r="AD41">
        <v>65</v>
      </c>
      <c r="AE41">
        <v>1803</v>
      </c>
      <c r="AF41">
        <v>507</v>
      </c>
      <c r="AH41" t="s">
        <v>8</v>
      </c>
      <c r="AI41">
        <v>4352</v>
      </c>
      <c r="AJ41">
        <v>388.19416360290001</v>
      </c>
      <c r="AK41">
        <v>3882</v>
      </c>
      <c r="AL41">
        <v>1615</v>
      </c>
      <c r="AM41">
        <v>5618</v>
      </c>
      <c r="AN41">
        <v>3914</v>
      </c>
      <c r="AO41">
        <v>621</v>
      </c>
      <c r="AP41">
        <v>531</v>
      </c>
      <c r="AQ41">
        <v>1322</v>
      </c>
      <c r="AR41">
        <v>826</v>
      </c>
      <c r="AS41">
        <v>361</v>
      </c>
      <c r="AT41">
        <v>133</v>
      </c>
      <c r="AV41" t="s">
        <v>417</v>
      </c>
      <c r="AW41">
        <v>411</v>
      </c>
      <c r="AX41">
        <v>45.9464720195</v>
      </c>
      <c r="AY41">
        <v>1402</v>
      </c>
      <c r="AZ41">
        <v>36</v>
      </c>
      <c r="BA41">
        <v>836</v>
      </c>
      <c r="BB41">
        <v>59</v>
      </c>
      <c r="BC41">
        <v>8</v>
      </c>
      <c r="BD41">
        <v>8</v>
      </c>
      <c r="BE41">
        <v>50</v>
      </c>
      <c r="BF41">
        <v>30</v>
      </c>
      <c r="BG41">
        <v>838</v>
      </c>
      <c r="BH41">
        <v>259</v>
      </c>
      <c r="BJ41" t="s">
        <v>634</v>
      </c>
      <c r="BK41" t="s">
        <v>376</v>
      </c>
      <c r="BL41">
        <v>1178</v>
      </c>
      <c r="BM41">
        <v>161</v>
      </c>
      <c r="BN41">
        <v>71.870967741900003</v>
      </c>
      <c r="BO41">
        <v>506</v>
      </c>
      <c r="BP41">
        <v>506</v>
      </c>
      <c r="BQ41">
        <v>108.3221343874</v>
      </c>
      <c r="BR41">
        <v>108.3221343874</v>
      </c>
      <c r="BS41">
        <v>3793</v>
      </c>
      <c r="BT41">
        <v>1028</v>
      </c>
      <c r="BU41">
        <v>111.3762193514</v>
      </c>
      <c r="BV41">
        <v>1547</v>
      </c>
      <c r="BW41">
        <v>1547</v>
      </c>
      <c r="BX41">
        <v>132.38073691010001</v>
      </c>
      <c r="BY41">
        <v>132.38073691010001</v>
      </c>
      <c r="CA41" t="s">
        <v>379</v>
      </c>
      <c r="CB41" t="s">
        <v>863</v>
      </c>
      <c r="CC41" t="s">
        <v>997</v>
      </c>
      <c r="CD41">
        <v>897</v>
      </c>
      <c r="CE41">
        <v>164</v>
      </c>
      <c r="CF41">
        <v>84.742474916399999</v>
      </c>
      <c r="CG41">
        <v>288</v>
      </c>
      <c r="CH41">
        <v>288</v>
      </c>
      <c r="CI41">
        <v>106.9409722222</v>
      </c>
      <c r="CJ41">
        <v>106.9409722222</v>
      </c>
      <c r="CL41" t="s">
        <v>379</v>
      </c>
      <c r="CM41" t="s">
        <v>832</v>
      </c>
      <c r="CN41" t="s">
        <v>843</v>
      </c>
      <c r="CO41">
        <v>91</v>
      </c>
      <c r="CP41">
        <v>9</v>
      </c>
      <c r="CQ41">
        <v>78.527472527499995</v>
      </c>
      <c r="CR41">
        <v>37</v>
      </c>
      <c r="CS41">
        <v>37</v>
      </c>
      <c r="CT41">
        <v>86.837837837799995</v>
      </c>
      <c r="CU41">
        <v>86.837837837799995</v>
      </c>
      <c r="CW41" t="s">
        <v>379</v>
      </c>
      <c r="CX41" t="s">
        <v>848</v>
      </c>
      <c r="CY41" t="s">
        <v>859</v>
      </c>
      <c r="CZ41">
        <v>14</v>
      </c>
      <c r="DA41">
        <v>2</v>
      </c>
      <c r="DB41">
        <v>97.214285714300004</v>
      </c>
      <c r="DC41">
        <v>2</v>
      </c>
      <c r="DD41">
        <v>2</v>
      </c>
      <c r="DE41">
        <v>181.5</v>
      </c>
      <c r="DF41">
        <v>181.5</v>
      </c>
      <c r="DH41" t="s">
        <v>379</v>
      </c>
      <c r="DI41" t="s">
        <v>816</v>
      </c>
      <c r="DJ41" t="s">
        <v>827</v>
      </c>
      <c r="DK41">
        <v>11</v>
      </c>
      <c r="DL41">
        <v>1</v>
      </c>
      <c r="DM41">
        <v>72.272727272699996</v>
      </c>
      <c r="DN41">
        <v>2</v>
      </c>
      <c r="DO41">
        <v>2</v>
      </c>
      <c r="DP41">
        <v>99.5</v>
      </c>
      <c r="DQ41">
        <v>99.5</v>
      </c>
    </row>
    <row r="42" spans="2:121" x14ac:dyDescent="0.2">
      <c r="B42" t="s">
        <v>118</v>
      </c>
      <c r="C42">
        <v>7211</v>
      </c>
      <c r="D42">
        <v>248</v>
      </c>
      <c r="F42" t="s">
        <v>78</v>
      </c>
      <c r="G42">
        <v>5295</v>
      </c>
      <c r="H42">
        <v>260.43814919739998</v>
      </c>
      <c r="I42">
        <v>5704</v>
      </c>
      <c r="J42">
        <v>793</v>
      </c>
      <c r="K42">
        <v>7531</v>
      </c>
      <c r="L42">
        <v>5119</v>
      </c>
      <c r="M42">
        <v>2157</v>
      </c>
      <c r="N42">
        <v>2024</v>
      </c>
      <c r="O42">
        <v>5438</v>
      </c>
      <c r="P42">
        <v>4637</v>
      </c>
      <c r="Q42">
        <v>7</v>
      </c>
      <c r="R42">
        <v>82</v>
      </c>
      <c r="T42" t="s">
        <v>411</v>
      </c>
      <c r="U42">
        <v>921</v>
      </c>
      <c r="V42">
        <v>50.425624321400001</v>
      </c>
      <c r="W42">
        <v>3684</v>
      </c>
      <c r="X42">
        <v>128</v>
      </c>
      <c r="Y42">
        <v>1638</v>
      </c>
      <c r="Z42">
        <v>99</v>
      </c>
      <c r="AA42">
        <v>18</v>
      </c>
      <c r="AB42">
        <v>17</v>
      </c>
      <c r="AC42">
        <v>109</v>
      </c>
      <c r="AD42">
        <v>50</v>
      </c>
      <c r="AE42">
        <v>1827</v>
      </c>
      <c r="AF42">
        <v>477</v>
      </c>
      <c r="AH42" t="s">
        <v>382</v>
      </c>
      <c r="AI42">
        <v>7796</v>
      </c>
      <c r="AJ42">
        <v>403.76128783989998</v>
      </c>
      <c r="AK42">
        <v>9221</v>
      </c>
      <c r="AL42">
        <v>2689</v>
      </c>
      <c r="AM42">
        <v>11945</v>
      </c>
      <c r="AN42">
        <v>8012</v>
      </c>
      <c r="AO42">
        <v>1062</v>
      </c>
      <c r="AP42">
        <v>797</v>
      </c>
      <c r="AQ42">
        <v>5799</v>
      </c>
      <c r="AR42">
        <v>4440</v>
      </c>
      <c r="AS42">
        <v>1217</v>
      </c>
      <c r="AT42">
        <v>6</v>
      </c>
      <c r="AV42" t="s">
        <v>423</v>
      </c>
      <c r="AW42">
        <v>111</v>
      </c>
      <c r="AX42">
        <v>125.7207207207</v>
      </c>
      <c r="AY42">
        <v>105</v>
      </c>
      <c r="AZ42">
        <v>18</v>
      </c>
      <c r="BA42">
        <v>161</v>
      </c>
      <c r="BB42">
        <v>68</v>
      </c>
      <c r="BC42">
        <v>4</v>
      </c>
      <c r="BD42">
        <v>3</v>
      </c>
      <c r="BE42">
        <v>9</v>
      </c>
      <c r="BF42">
        <v>2</v>
      </c>
      <c r="BG42">
        <v>30</v>
      </c>
      <c r="BH42">
        <v>25</v>
      </c>
      <c r="BJ42" t="s">
        <v>636</v>
      </c>
      <c r="BK42" t="s">
        <v>376</v>
      </c>
      <c r="BL42">
        <v>413</v>
      </c>
      <c r="BM42">
        <v>84</v>
      </c>
      <c r="BN42">
        <v>91.629539951599995</v>
      </c>
      <c r="BO42">
        <v>57</v>
      </c>
      <c r="BP42">
        <v>57</v>
      </c>
      <c r="BQ42">
        <v>114.6140350877</v>
      </c>
      <c r="BR42">
        <v>114.6140350877</v>
      </c>
      <c r="BS42">
        <v>617</v>
      </c>
      <c r="BT42">
        <v>237</v>
      </c>
      <c r="BU42">
        <v>120.4683954619</v>
      </c>
      <c r="BV42">
        <v>136</v>
      </c>
      <c r="BW42">
        <v>136</v>
      </c>
      <c r="BX42">
        <v>154.38970588239999</v>
      </c>
      <c r="BY42">
        <v>154.38970588239999</v>
      </c>
      <c r="CA42" t="s">
        <v>424</v>
      </c>
      <c r="CB42" t="s">
        <v>863</v>
      </c>
      <c r="CC42" t="s">
        <v>998</v>
      </c>
      <c r="CD42">
        <v>401</v>
      </c>
      <c r="CE42">
        <v>92</v>
      </c>
      <c r="CF42">
        <v>94.807980049899996</v>
      </c>
      <c r="CG42">
        <v>79</v>
      </c>
      <c r="CH42">
        <v>79</v>
      </c>
      <c r="CI42">
        <v>121.1898734177</v>
      </c>
      <c r="CJ42">
        <v>121.1898734177</v>
      </c>
      <c r="CL42" t="s">
        <v>424</v>
      </c>
      <c r="CM42" t="s">
        <v>832</v>
      </c>
      <c r="CN42" t="s">
        <v>844</v>
      </c>
      <c r="CO42">
        <v>21</v>
      </c>
      <c r="CP42">
        <v>2</v>
      </c>
      <c r="CQ42">
        <v>70.428571428599994</v>
      </c>
      <c r="CR42">
        <v>12</v>
      </c>
      <c r="CS42">
        <v>12</v>
      </c>
      <c r="CT42">
        <v>67.416666666699996</v>
      </c>
      <c r="CU42">
        <v>67.416666666699996</v>
      </c>
      <c r="CW42" t="s">
        <v>424</v>
      </c>
      <c r="CX42" t="s">
        <v>848</v>
      </c>
      <c r="CY42" t="s">
        <v>860</v>
      </c>
      <c r="CZ42">
        <v>7</v>
      </c>
      <c r="DA42">
        <v>0</v>
      </c>
      <c r="DB42">
        <v>69.571428571400006</v>
      </c>
      <c r="DC42">
        <v>0</v>
      </c>
      <c r="DD42">
        <v>0</v>
      </c>
      <c r="DE42">
        <v>0</v>
      </c>
      <c r="DF42">
        <v>0</v>
      </c>
      <c r="DH42" t="s">
        <v>424</v>
      </c>
      <c r="DI42" t="s">
        <v>816</v>
      </c>
      <c r="DJ42" t="s">
        <v>828</v>
      </c>
      <c r="DK42">
        <v>5</v>
      </c>
      <c r="DL42">
        <v>1</v>
      </c>
      <c r="DM42">
        <v>92.4</v>
      </c>
      <c r="DN42">
        <v>2</v>
      </c>
      <c r="DO42">
        <v>2</v>
      </c>
      <c r="DP42">
        <v>49.5</v>
      </c>
      <c r="DQ42">
        <v>49.5</v>
      </c>
    </row>
    <row r="43" spans="2:121" x14ac:dyDescent="0.2">
      <c r="B43" t="s">
        <v>133</v>
      </c>
      <c r="C43">
        <v>63654</v>
      </c>
      <c r="D43">
        <v>57590</v>
      </c>
      <c r="F43" t="s">
        <v>69</v>
      </c>
      <c r="G43">
        <v>7753</v>
      </c>
      <c r="H43">
        <v>407.18754030700001</v>
      </c>
      <c r="I43">
        <v>4512</v>
      </c>
      <c r="J43">
        <v>1321</v>
      </c>
      <c r="K43">
        <v>9824</v>
      </c>
      <c r="L43">
        <v>7313</v>
      </c>
      <c r="M43">
        <v>3188</v>
      </c>
      <c r="N43">
        <v>2891</v>
      </c>
      <c r="O43">
        <v>1561</v>
      </c>
      <c r="P43">
        <v>735</v>
      </c>
      <c r="Q43">
        <v>0</v>
      </c>
      <c r="R43">
        <v>68</v>
      </c>
      <c r="AH43" t="s">
        <v>434</v>
      </c>
      <c r="AI43">
        <v>2869</v>
      </c>
      <c r="AJ43">
        <v>337.09306378529999</v>
      </c>
      <c r="AK43">
        <v>3196</v>
      </c>
      <c r="AL43">
        <v>657</v>
      </c>
      <c r="AM43">
        <v>4789</v>
      </c>
      <c r="AN43">
        <v>3338</v>
      </c>
      <c r="AO43">
        <v>731</v>
      </c>
      <c r="AP43">
        <v>655</v>
      </c>
      <c r="AQ43">
        <v>1230</v>
      </c>
      <c r="AR43">
        <v>724</v>
      </c>
      <c r="AS43">
        <v>286</v>
      </c>
      <c r="AT43">
        <v>1</v>
      </c>
      <c r="AV43" t="s">
        <v>63</v>
      </c>
      <c r="AW43">
        <v>1136</v>
      </c>
      <c r="AX43">
        <v>115.1549295775</v>
      </c>
      <c r="AY43">
        <v>1836</v>
      </c>
      <c r="AZ43">
        <v>477</v>
      </c>
      <c r="BA43">
        <v>1695</v>
      </c>
      <c r="BB43">
        <v>621</v>
      </c>
      <c r="BC43">
        <v>43</v>
      </c>
      <c r="BD43">
        <v>41</v>
      </c>
      <c r="BE43">
        <v>80</v>
      </c>
      <c r="BF43">
        <v>33</v>
      </c>
      <c r="BG43">
        <v>112</v>
      </c>
      <c r="BH43">
        <v>348</v>
      </c>
      <c r="BJ43" t="s">
        <v>650</v>
      </c>
      <c r="BK43" t="s">
        <v>376</v>
      </c>
      <c r="BL43">
        <v>802</v>
      </c>
      <c r="BM43">
        <v>187</v>
      </c>
      <c r="BN43">
        <v>103.9289276808</v>
      </c>
      <c r="BO43">
        <v>194</v>
      </c>
      <c r="BP43">
        <v>194</v>
      </c>
      <c r="BQ43">
        <v>141.3917525773</v>
      </c>
      <c r="BR43">
        <v>141.3917525773</v>
      </c>
      <c r="BS43">
        <v>675</v>
      </c>
      <c r="BT43">
        <v>78</v>
      </c>
      <c r="BU43">
        <v>78.345185185199995</v>
      </c>
      <c r="BV43">
        <v>117</v>
      </c>
      <c r="BW43">
        <v>117</v>
      </c>
      <c r="BX43">
        <v>110.76923076920001</v>
      </c>
      <c r="BY43">
        <v>110.76923076920001</v>
      </c>
      <c r="CA43" t="s">
        <v>385</v>
      </c>
      <c r="CB43" t="s">
        <v>863</v>
      </c>
      <c r="CC43" t="s">
        <v>999</v>
      </c>
      <c r="CD43">
        <v>11154</v>
      </c>
      <c r="CE43">
        <v>2159</v>
      </c>
      <c r="CF43">
        <v>88.951945490400007</v>
      </c>
      <c r="CG43">
        <v>2741</v>
      </c>
      <c r="CH43">
        <v>2741</v>
      </c>
      <c r="CI43">
        <v>138.46114556730001</v>
      </c>
      <c r="CJ43">
        <v>138.46114556730001</v>
      </c>
      <c r="CL43" t="s">
        <v>385</v>
      </c>
      <c r="CM43" t="s">
        <v>832</v>
      </c>
      <c r="CN43" t="s">
        <v>845</v>
      </c>
      <c r="CO43">
        <v>563</v>
      </c>
      <c r="CP43">
        <v>74</v>
      </c>
      <c r="CQ43">
        <v>78.705150976900001</v>
      </c>
      <c r="CR43">
        <v>251</v>
      </c>
      <c r="CS43">
        <v>251</v>
      </c>
      <c r="CT43">
        <v>86.701195219100001</v>
      </c>
      <c r="CU43">
        <v>86.701195219100001</v>
      </c>
      <c r="CW43" t="s">
        <v>385</v>
      </c>
      <c r="CX43" t="s">
        <v>848</v>
      </c>
      <c r="CY43" t="s">
        <v>861</v>
      </c>
      <c r="CZ43">
        <v>651</v>
      </c>
      <c r="DA43">
        <v>100</v>
      </c>
      <c r="DB43">
        <v>81.669738863299997</v>
      </c>
      <c r="DC43">
        <v>83</v>
      </c>
      <c r="DD43">
        <v>83</v>
      </c>
      <c r="DE43">
        <v>167.32530120480001</v>
      </c>
      <c r="DF43">
        <v>167.32530120480001</v>
      </c>
      <c r="DH43" t="s">
        <v>385</v>
      </c>
      <c r="DI43" t="s">
        <v>816</v>
      </c>
      <c r="DJ43" t="s">
        <v>829</v>
      </c>
      <c r="DK43">
        <v>1167</v>
      </c>
      <c r="DL43">
        <v>128</v>
      </c>
      <c r="DM43">
        <v>81.143101970900005</v>
      </c>
      <c r="DN43">
        <v>122</v>
      </c>
      <c r="DO43">
        <v>122</v>
      </c>
      <c r="DP43">
        <v>147.79508196719999</v>
      </c>
      <c r="DQ43">
        <v>147.79508196719999</v>
      </c>
    </row>
    <row r="44" spans="2:121" x14ac:dyDescent="0.2">
      <c r="B44" t="s">
        <v>132</v>
      </c>
      <c r="C44">
        <v>9535</v>
      </c>
      <c r="D44">
        <v>6913</v>
      </c>
      <c r="F44" t="s">
        <v>35</v>
      </c>
      <c r="G44">
        <v>1931</v>
      </c>
      <c r="H44">
        <v>435.80321077159999</v>
      </c>
      <c r="I44">
        <v>1081</v>
      </c>
      <c r="J44">
        <v>163</v>
      </c>
      <c r="K44">
        <v>2598</v>
      </c>
      <c r="L44">
        <v>1787</v>
      </c>
      <c r="M44">
        <v>1826</v>
      </c>
      <c r="N44">
        <v>1730</v>
      </c>
      <c r="O44">
        <v>286</v>
      </c>
      <c r="P44">
        <v>107</v>
      </c>
      <c r="Q44">
        <v>0</v>
      </c>
      <c r="R44">
        <v>2</v>
      </c>
      <c r="AH44" t="s">
        <v>379</v>
      </c>
      <c r="AI44">
        <v>436</v>
      </c>
      <c r="AJ44">
        <v>232.2201834862</v>
      </c>
      <c r="AK44">
        <v>895</v>
      </c>
      <c r="AL44">
        <v>172</v>
      </c>
      <c r="AM44">
        <v>901</v>
      </c>
      <c r="AN44">
        <v>328</v>
      </c>
      <c r="AO44">
        <v>270</v>
      </c>
      <c r="AP44">
        <v>239</v>
      </c>
      <c r="AQ44">
        <v>145</v>
      </c>
      <c r="AR44">
        <v>58</v>
      </c>
      <c r="AS44">
        <v>171</v>
      </c>
      <c r="AT44">
        <v>1</v>
      </c>
      <c r="AV44" t="s">
        <v>401</v>
      </c>
      <c r="AW44">
        <v>328</v>
      </c>
      <c r="AX44">
        <v>66.618902438999996</v>
      </c>
      <c r="AY44">
        <v>882</v>
      </c>
      <c r="AZ44">
        <v>69</v>
      </c>
      <c r="BA44">
        <v>504</v>
      </c>
      <c r="BB44">
        <v>44</v>
      </c>
      <c r="BC44">
        <v>3</v>
      </c>
      <c r="BD44">
        <v>1</v>
      </c>
      <c r="BE44">
        <v>43</v>
      </c>
      <c r="BF44">
        <v>15</v>
      </c>
      <c r="BG44">
        <v>118</v>
      </c>
      <c r="BH44">
        <v>129</v>
      </c>
      <c r="BJ44" t="s">
        <v>550</v>
      </c>
      <c r="BK44" t="s">
        <v>376</v>
      </c>
      <c r="BL44">
        <v>18662</v>
      </c>
      <c r="BM44">
        <v>4378</v>
      </c>
      <c r="BN44">
        <v>99.749544529000005</v>
      </c>
      <c r="BO44">
        <v>4036</v>
      </c>
      <c r="BP44">
        <v>4036</v>
      </c>
      <c r="BQ44">
        <v>157.78790882059999</v>
      </c>
      <c r="BR44">
        <v>157.78790882059999</v>
      </c>
      <c r="BS44">
        <v>13000</v>
      </c>
      <c r="BT44">
        <v>2226</v>
      </c>
      <c r="BU44">
        <v>81.951846153800005</v>
      </c>
      <c r="BV44">
        <v>2579</v>
      </c>
      <c r="BW44">
        <v>2579</v>
      </c>
      <c r="BX44">
        <v>150.61341605269999</v>
      </c>
      <c r="BY44">
        <v>150.61341605269999</v>
      </c>
      <c r="CA44" t="s">
        <v>386</v>
      </c>
      <c r="CB44" t="s">
        <v>863</v>
      </c>
      <c r="CC44" t="s">
        <v>1000</v>
      </c>
      <c r="CD44">
        <v>2366</v>
      </c>
      <c r="CE44">
        <v>352</v>
      </c>
      <c r="CF44">
        <v>85.486897717700003</v>
      </c>
      <c r="CG44">
        <v>749</v>
      </c>
      <c r="CH44">
        <v>749</v>
      </c>
      <c r="CI44">
        <v>118.32843791720001</v>
      </c>
      <c r="CJ44">
        <v>118.32843791720001</v>
      </c>
      <c r="CL44" t="s">
        <v>386</v>
      </c>
      <c r="CM44" t="s">
        <v>832</v>
      </c>
      <c r="CN44" t="s">
        <v>846</v>
      </c>
      <c r="CO44">
        <v>175</v>
      </c>
      <c r="CP44">
        <v>22</v>
      </c>
      <c r="CQ44">
        <v>78.068571428599995</v>
      </c>
      <c r="CR44">
        <v>92</v>
      </c>
      <c r="CS44">
        <v>92</v>
      </c>
      <c r="CT44">
        <v>81.206521739099998</v>
      </c>
      <c r="CU44">
        <v>81.206521739099998</v>
      </c>
      <c r="CW44" t="s">
        <v>386</v>
      </c>
      <c r="CX44" t="s">
        <v>848</v>
      </c>
      <c r="CY44" t="s">
        <v>862</v>
      </c>
      <c r="CZ44">
        <v>23</v>
      </c>
      <c r="DA44">
        <v>1</v>
      </c>
      <c r="DB44">
        <v>65.608695652199998</v>
      </c>
      <c r="DC44">
        <v>4</v>
      </c>
      <c r="DD44">
        <v>4</v>
      </c>
      <c r="DE44">
        <v>152.75</v>
      </c>
      <c r="DF44">
        <v>152.75</v>
      </c>
      <c r="DH44" t="s">
        <v>386</v>
      </c>
      <c r="DI44" t="s">
        <v>816</v>
      </c>
      <c r="DJ44" t="s">
        <v>830</v>
      </c>
      <c r="DK44">
        <v>26</v>
      </c>
      <c r="DL44">
        <v>5</v>
      </c>
      <c r="DM44">
        <v>94</v>
      </c>
      <c r="DN44">
        <v>1</v>
      </c>
      <c r="DO44">
        <v>1</v>
      </c>
      <c r="DP44">
        <v>148</v>
      </c>
      <c r="DQ44">
        <v>148</v>
      </c>
    </row>
    <row r="45" spans="2:121" x14ac:dyDescent="0.2">
      <c r="B45" t="s">
        <v>106</v>
      </c>
      <c r="C45">
        <v>190</v>
      </c>
      <c r="D45">
        <v>188</v>
      </c>
      <c r="F45" t="s">
        <v>84</v>
      </c>
      <c r="G45">
        <v>1474</v>
      </c>
      <c r="H45">
        <v>166.65807326999999</v>
      </c>
      <c r="I45">
        <v>3015</v>
      </c>
      <c r="J45">
        <v>609</v>
      </c>
      <c r="K45">
        <v>2291</v>
      </c>
      <c r="L45">
        <v>987</v>
      </c>
      <c r="M45">
        <v>464</v>
      </c>
      <c r="N45">
        <v>203</v>
      </c>
      <c r="O45">
        <v>151</v>
      </c>
      <c r="P45">
        <v>68</v>
      </c>
      <c r="Q45">
        <v>0</v>
      </c>
      <c r="R45">
        <v>11</v>
      </c>
      <c r="AH45" t="s">
        <v>390</v>
      </c>
      <c r="AI45">
        <v>11176</v>
      </c>
      <c r="AJ45">
        <v>350.41213314240002</v>
      </c>
      <c r="AK45">
        <v>9857</v>
      </c>
      <c r="AL45">
        <v>2352</v>
      </c>
      <c r="AM45">
        <v>15916</v>
      </c>
      <c r="AN45">
        <v>10992</v>
      </c>
      <c r="AO45">
        <v>2190</v>
      </c>
      <c r="AP45">
        <v>1968</v>
      </c>
      <c r="AQ45">
        <v>2779</v>
      </c>
      <c r="AR45">
        <v>1639</v>
      </c>
      <c r="AS45">
        <v>511</v>
      </c>
      <c r="AT45">
        <v>56</v>
      </c>
      <c r="AV45" t="s">
        <v>428</v>
      </c>
      <c r="AW45">
        <v>10</v>
      </c>
      <c r="AX45">
        <v>24.9</v>
      </c>
      <c r="AY45">
        <v>26</v>
      </c>
      <c r="AZ45">
        <v>1</v>
      </c>
      <c r="BA45">
        <v>16</v>
      </c>
      <c r="BB45">
        <v>2</v>
      </c>
      <c r="BC45">
        <v>0</v>
      </c>
      <c r="BE45">
        <v>0</v>
      </c>
      <c r="BG45">
        <v>40</v>
      </c>
      <c r="BH45">
        <v>3</v>
      </c>
      <c r="BJ45" t="s">
        <v>8</v>
      </c>
      <c r="BK45" t="s">
        <v>8</v>
      </c>
      <c r="BL45">
        <v>343</v>
      </c>
      <c r="BM45">
        <v>266</v>
      </c>
      <c r="BN45">
        <v>185.30903790089999</v>
      </c>
      <c r="BO45">
        <v>149</v>
      </c>
      <c r="BP45">
        <v>149</v>
      </c>
      <c r="BQ45">
        <v>202.6241610738</v>
      </c>
      <c r="BR45">
        <v>202.6241610738</v>
      </c>
      <c r="BS45">
        <v>29</v>
      </c>
      <c r="BT45">
        <v>11</v>
      </c>
      <c r="BU45">
        <v>127</v>
      </c>
      <c r="BV45">
        <v>1</v>
      </c>
      <c r="BW45">
        <v>1</v>
      </c>
      <c r="BX45">
        <v>100</v>
      </c>
      <c r="BY45">
        <v>100</v>
      </c>
      <c r="CA45" t="s">
        <v>376</v>
      </c>
      <c r="CB45" t="s">
        <v>863</v>
      </c>
      <c r="CD45">
        <v>69812</v>
      </c>
      <c r="CE45">
        <v>15706</v>
      </c>
      <c r="CF45">
        <v>96.717971122400002</v>
      </c>
      <c r="CG45">
        <v>18347</v>
      </c>
      <c r="CH45">
        <v>18347</v>
      </c>
      <c r="CI45">
        <v>139.7578350684</v>
      </c>
      <c r="CJ45">
        <v>139.7578350684</v>
      </c>
      <c r="CL45" t="s">
        <v>376</v>
      </c>
      <c r="CM45" t="s">
        <v>832</v>
      </c>
      <c r="CO45">
        <v>4921</v>
      </c>
      <c r="CP45">
        <v>519</v>
      </c>
      <c r="CQ45">
        <v>71.380004064199994</v>
      </c>
      <c r="CR45">
        <v>2276</v>
      </c>
      <c r="CS45">
        <v>2276</v>
      </c>
      <c r="CT45">
        <v>80.782073813699995</v>
      </c>
      <c r="CU45">
        <v>80.782073813699995</v>
      </c>
      <c r="CW45" t="s">
        <v>376</v>
      </c>
      <c r="CX45" t="s">
        <v>848</v>
      </c>
      <c r="CZ45">
        <v>2400</v>
      </c>
      <c r="DA45">
        <v>353</v>
      </c>
      <c r="DB45">
        <v>78.348333333300005</v>
      </c>
      <c r="DC45">
        <v>292</v>
      </c>
      <c r="DD45">
        <v>292</v>
      </c>
      <c r="DE45">
        <v>143.9897260274</v>
      </c>
      <c r="DF45">
        <v>143.9897260274</v>
      </c>
      <c r="DH45" t="s">
        <v>376</v>
      </c>
      <c r="DI45" t="s">
        <v>816</v>
      </c>
      <c r="DK45">
        <v>3441</v>
      </c>
      <c r="DL45">
        <v>405</v>
      </c>
      <c r="DM45">
        <v>79.5129322871</v>
      </c>
      <c r="DN45">
        <v>351</v>
      </c>
      <c r="DO45">
        <v>351</v>
      </c>
      <c r="DP45">
        <v>140.10256410260001</v>
      </c>
      <c r="DQ45">
        <v>140.10256410260001</v>
      </c>
    </row>
    <row r="46" spans="2:121" x14ac:dyDescent="0.2">
      <c r="B46" t="s">
        <v>114</v>
      </c>
      <c r="C46">
        <v>536</v>
      </c>
      <c r="D46">
        <v>473</v>
      </c>
      <c r="F46" t="s">
        <v>66</v>
      </c>
      <c r="G46">
        <v>5486</v>
      </c>
      <c r="H46">
        <v>374.45041924899999</v>
      </c>
      <c r="I46">
        <v>10133</v>
      </c>
      <c r="J46">
        <v>2849</v>
      </c>
      <c r="K46">
        <v>8522</v>
      </c>
      <c r="L46">
        <v>5717</v>
      </c>
      <c r="M46">
        <v>1135</v>
      </c>
      <c r="N46">
        <v>385</v>
      </c>
      <c r="O46">
        <v>6927</v>
      </c>
      <c r="P46">
        <v>5761</v>
      </c>
      <c r="Q46">
        <v>10908</v>
      </c>
      <c r="R46">
        <v>0</v>
      </c>
      <c r="AH46" t="s">
        <v>427</v>
      </c>
      <c r="AI46">
        <v>408</v>
      </c>
      <c r="AJ46">
        <v>244.375</v>
      </c>
      <c r="AK46">
        <v>900</v>
      </c>
      <c r="AL46">
        <v>170</v>
      </c>
      <c r="AM46">
        <v>953</v>
      </c>
      <c r="AN46">
        <v>259</v>
      </c>
      <c r="AO46">
        <v>311</v>
      </c>
      <c r="AP46">
        <v>163</v>
      </c>
      <c r="AQ46">
        <v>122</v>
      </c>
      <c r="AR46">
        <v>66</v>
      </c>
      <c r="AS46">
        <v>1</v>
      </c>
      <c r="AT46">
        <v>1</v>
      </c>
      <c r="AV46" t="s">
        <v>396</v>
      </c>
      <c r="AW46">
        <v>145</v>
      </c>
      <c r="AX46">
        <v>69.365517241399999</v>
      </c>
      <c r="AY46">
        <v>278</v>
      </c>
      <c r="AZ46">
        <v>10</v>
      </c>
      <c r="BA46">
        <v>241</v>
      </c>
      <c r="BB46">
        <v>25</v>
      </c>
      <c r="BC46">
        <v>3</v>
      </c>
      <c r="BD46">
        <v>3</v>
      </c>
      <c r="BE46">
        <v>33</v>
      </c>
      <c r="BF46">
        <v>4</v>
      </c>
      <c r="BG46">
        <v>84</v>
      </c>
      <c r="BH46">
        <v>27</v>
      </c>
      <c r="BJ46" t="s">
        <v>693</v>
      </c>
      <c r="BK46" t="s">
        <v>8</v>
      </c>
      <c r="BL46">
        <v>343</v>
      </c>
      <c r="BM46">
        <v>266</v>
      </c>
      <c r="BN46">
        <v>185.30903790089999</v>
      </c>
      <c r="BO46">
        <v>149</v>
      </c>
      <c r="BP46">
        <v>149</v>
      </c>
      <c r="BQ46">
        <v>202.6241610738</v>
      </c>
      <c r="BR46">
        <v>202.6241610738</v>
      </c>
      <c r="BS46">
        <v>29</v>
      </c>
      <c r="BT46">
        <v>11</v>
      </c>
      <c r="BU46">
        <v>127</v>
      </c>
      <c r="BV46">
        <v>1</v>
      </c>
      <c r="BW46">
        <v>1</v>
      </c>
      <c r="BX46">
        <v>100</v>
      </c>
      <c r="BY46">
        <v>100</v>
      </c>
      <c r="CA46" t="s">
        <v>8</v>
      </c>
      <c r="CB46" t="s">
        <v>693</v>
      </c>
      <c r="CC46" t="s">
        <v>693</v>
      </c>
      <c r="CD46">
        <v>3490</v>
      </c>
      <c r="CE46">
        <v>1378</v>
      </c>
      <c r="CF46">
        <v>137.6699140401</v>
      </c>
      <c r="CG46">
        <v>796</v>
      </c>
      <c r="CH46">
        <v>796</v>
      </c>
      <c r="CI46">
        <v>194.8065326633</v>
      </c>
      <c r="CJ46">
        <v>194.8065326633</v>
      </c>
      <c r="CL46" t="s">
        <v>8</v>
      </c>
      <c r="CM46" t="s">
        <v>865</v>
      </c>
      <c r="CN46" t="s">
        <v>865</v>
      </c>
      <c r="CO46">
        <v>168</v>
      </c>
      <c r="CP46">
        <v>30</v>
      </c>
      <c r="CQ46">
        <v>83.857142857100001</v>
      </c>
      <c r="CR46">
        <v>76</v>
      </c>
      <c r="CS46">
        <v>76</v>
      </c>
      <c r="CT46">
        <v>85.710526315799996</v>
      </c>
      <c r="CU46">
        <v>85.710526315799996</v>
      </c>
      <c r="CW46" t="s">
        <v>8</v>
      </c>
      <c r="CX46" t="s">
        <v>866</v>
      </c>
      <c r="CY46" t="s">
        <v>866</v>
      </c>
      <c r="CZ46">
        <v>30</v>
      </c>
      <c r="DA46">
        <v>4</v>
      </c>
      <c r="DB46">
        <v>75.066666666700002</v>
      </c>
      <c r="DC46">
        <v>5</v>
      </c>
      <c r="DD46">
        <v>5</v>
      </c>
      <c r="DE46">
        <v>135.6</v>
      </c>
      <c r="DF46">
        <v>135.6</v>
      </c>
      <c r="DH46" t="s">
        <v>8</v>
      </c>
      <c r="DI46" t="s">
        <v>864</v>
      </c>
      <c r="DJ46" t="s">
        <v>864</v>
      </c>
      <c r="DK46">
        <v>59</v>
      </c>
      <c r="DL46">
        <v>5</v>
      </c>
      <c r="DM46">
        <v>73.372881355900006</v>
      </c>
      <c r="DN46">
        <v>9</v>
      </c>
      <c r="DO46">
        <v>9</v>
      </c>
      <c r="DP46">
        <v>118.2222222222</v>
      </c>
      <c r="DQ46">
        <v>118.2222222222</v>
      </c>
    </row>
    <row r="47" spans="2:121" x14ac:dyDescent="0.2">
      <c r="B47" t="s">
        <v>107</v>
      </c>
      <c r="C47">
        <v>18779</v>
      </c>
      <c r="D47">
        <v>13908</v>
      </c>
      <c r="F47" t="s">
        <v>81</v>
      </c>
      <c r="G47">
        <v>1516</v>
      </c>
      <c r="H47">
        <v>254.518469657</v>
      </c>
      <c r="I47">
        <v>1041</v>
      </c>
      <c r="J47">
        <v>157</v>
      </c>
      <c r="K47">
        <v>2233</v>
      </c>
      <c r="L47">
        <v>1351</v>
      </c>
      <c r="M47">
        <v>1005</v>
      </c>
      <c r="N47">
        <v>851</v>
      </c>
      <c r="O47">
        <v>708</v>
      </c>
      <c r="P47">
        <v>639</v>
      </c>
      <c r="Q47">
        <v>1</v>
      </c>
      <c r="R47">
        <v>0</v>
      </c>
      <c r="AH47" t="s">
        <v>391</v>
      </c>
      <c r="AI47">
        <v>7308</v>
      </c>
      <c r="AJ47">
        <v>279.77011494250002</v>
      </c>
      <c r="AK47">
        <v>9756</v>
      </c>
      <c r="AL47">
        <v>2059</v>
      </c>
      <c r="AM47">
        <v>11761</v>
      </c>
      <c r="AN47">
        <v>6264</v>
      </c>
      <c r="AO47">
        <v>2200</v>
      </c>
      <c r="AP47">
        <v>1975</v>
      </c>
      <c r="AQ47">
        <v>1948</v>
      </c>
      <c r="AR47">
        <v>1169</v>
      </c>
      <c r="AS47">
        <v>441</v>
      </c>
      <c r="AT47">
        <v>230</v>
      </c>
      <c r="AV47" t="s">
        <v>430</v>
      </c>
      <c r="AW47">
        <v>56</v>
      </c>
      <c r="AX47">
        <v>129.96428571429999</v>
      </c>
      <c r="AY47">
        <v>87</v>
      </c>
      <c r="AZ47">
        <v>19</v>
      </c>
      <c r="BA47">
        <v>79</v>
      </c>
      <c r="BB47">
        <v>39</v>
      </c>
      <c r="BC47">
        <v>5</v>
      </c>
      <c r="BD47">
        <v>4</v>
      </c>
      <c r="BE47">
        <v>5</v>
      </c>
      <c r="BF47">
        <v>2</v>
      </c>
      <c r="BG47">
        <v>7</v>
      </c>
      <c r="BH47">
        <v>25</v>
      </c>
      <c r="BJ47" t="s">
        <v>593</v>
      </c>
      <c r="BK47" t="s">
        <v>411</v>
      </c>
      <c r="BL47">
        <v>3280</v>
      </c>
      <c r="BM47">
        <v>653</v>
      </c>
      <c r="BN47">
        <v>93.075914634100002</v>
      </c>
      <c r="BO47">
        <v>614</v>
      </c>
      <c r="BP47">
        <v>614</v>
      </c>
      <c r="BQ47">
        <v>150.30781758960001</v>
      </c>
      <c r="BR47">
        <v>150.30781758960001</v>
      </c>
      <c r="BS47">
        <v>2772</v>
      </c>
      <c r="BT47">
        <v>554</v>
      </c>
      <c r="BU47">
        <v>94.980158730200003</v>
      </c>
      <c r="BV47">
        <v>576</v>
      </c>
      <c r="BW47">
        <v>576</v>
      </c>
      <c r="BX47">
        <v>146.38194444440001</v>
      </c>
      <c r="BY47">
        <v>146.38194444440001</v>
      </c>
      <c r="CA47" t="s">
        <v>8</v>
      </c>
      <c r="CB47" t="s">
        <v>693</v>
      </c>
      <c r="CC47" t="s">
        <v>693</v>
      </c>
      <c r="CD47">
        <v>3490</v>
      </c>
      <c r="CE47">
        <v>1378</v>
      </c>
      <c r="CF47">
        <v>137.6699140401</v>
      </c>
      <c r="CG47">
        <v>796</v>
      </c>
      <c r="CH47">
        <v>796</v>
      </c>
      <c r="CI47">
        <v>194.8065326633</v>
      </c>
      <c r="CJ47">
        <v>194.8065326633</v>
      </c>
      <c r="CL47" t="s">
        <v>8</v>
      </c>
      <c r="CM47" t="s">
        <v>865</v>
      </c>
      <c r="CN47" t="s">
        <v>865</v>
      </c>
      <c r="CO47">
        <v>168</v>
      </c>
      <c r="CP47">
        <v>30</v>
      </c>
      <c r="CQ47">
        <v>83.857142857100001</v>
      </c>
      <c r="CR47">
        <v>76</v>
      </c>
      <c r="CS47">
        <v>76</v>
      </c>
      <c r="CT47">
        <v>85.710526315799996</v>
      </c>
      <c r="CU47">
        <v>85.710526315799996</v>
      </c>
      <c r="CW47" t="s">
        <v>8</v>
      </c>
      <c r="CX47" t="s">
        <v>866</v>
      </c>
      <c r="CY47" t="s">
        <v>866</v>
      </c>
      <c r="CZ47">
        <v>30</v>
      </c>
      <c r="DA47">
        <v>4</v>
      </c>
      <c r="DB47">
        <v>75.066666666700002</v>
      </c>
      <c r="DC47">
        <v>5</v>
      </c>
      <c r="DD47">
        <v>5</v>
      </c>
      <c r="DE47">
        <v>135.6</v>
      </c>
      <c r="DF47">
        <v>135.6</v>
      </c>
      <c r="DH47" t="s">
        <v>8</v>
      </c>
      <c r="DI47" t="s">
        <v>864</v>
      </c>
      <c r="DJ47" t="s">
        <v>864</v>
      </c>
      <c r="DK47">
        <v>59</v>
      </c>
      <c r="DL47">
        <v>5</v>
      </c>
      <c r="DM47">
        <v>73.372881355900006</v>
      </c>
      <c r="DN47">
        <v>9</v>
      </c>
      <c r="DO47">
        <v>9</v>
      </c>
      <c r="DP47">
        <v>118.2222222222</v>
      </c>
      <c r="DQ47">
        <v>118.2222222222</v>
      </c>
    </row>
    <row r="48" spans="2:121" x14ac:dyDescent="0.2">
      <c r="B48" t="s">
        <v>21</v>
      </c>
      <c r="C48">
        <v>40605</v>
      </c>
      <c r="D48">
        <v>11240</v>
      </c>
      <c r="F48" t="s">
        <v>43</v>
      </c>
      <c r="G48">
        <v>7191</v>
      </c>
      <c r="H48">
        <v>418.69461827280003</v>
      </c>
      <c r="I48">
        <v>7467</v>
      </c>
      <c r="J48">
        <v>2236</v>
      </c>
      <c r="K48">
        <v>9234</v>
      </c>
      <c r="L48">
        <v>6969</v>
      </c>
      <c r="M48">
        <v>1959</v>
      </c>
      <c r="N48">
        <v>1736</v>
      </c>
      <c r="O48">
        <v>2418</v>
      </c>
      <c r="P48">
        <v>1607</v>
      </c>
      <c r="Q48">
        <v>0</v>
      </c>
      <c r="R48">
        <v>63</v>
      </c>
      <c r="AH48" t="s">
        <v>417</v>
      </c>
      <c r="AI48">
        <v>32270</v>
      </c>
      <c r="AJ48">
        <v>342.91837620080003</v>
      </c>
      <c r="AK48">
        <v>36449</v>
      </c>
      <c r="AL48">
        <v>7845</v>
      </c>
      <c r="AM48">
        <v>45055</v>
      </c>
      <c r="AN48">
        <v>26977</v>
      </c>
      <c r="AO48">
        <v>5002</v>
      </c>
      <c r="AP48">
        <v>4106</v>
      </c>
      <c r="AQ48">
        <v>9746</v>
      </c>
      <c r="AR48">
        <v>5045</v>
      </c>
      <c r="AS48">
        <v>30</v>
      </c>
      <c r="AT48">
        <v>404</v>
      </c>
      <c r="AV48" t="s">
        <v>426</v>
      </c>
      <c r="AW48">
        <v>10</v>
      </c>
      <c r="AX48">
        <v>41.5</v>
      </c>
      <c r="AY48">
        <v>30</v>
      </c>
      <c r="AZ48">
        <v>1</v>
      </c>
      <c r="BA48">
        <v>18</v>
      </c>
      <c r="BB48">
        <v>1</v>
      </c>
      <c r="BC48">
        <v>0</v>
      </c>
      <c r="BE48">
        <v>0</v>
      </c>
      <c r="BG48">
        <v>35</v>
      </c>
      <c r="BH48">
        <v>8</v>
      </c>
      <c r="BJ48" t="s">
        <v>652</v>
      </c>
      <c r="BK48" t="s">
        <v>411</v>
      </c>
      <c r="BL48">
        <v>1199</v>
      </c>
      <c r="BM48">
        <v>166</v>
      </c>
      <c r="BN48">
        <v>81.732276897399998</v>
      </c>
      <c r="BO48">
        <v>123</v>
      </c>
      <c r="BP48">
        <v>123</v>
      </c>
      <c r="BQ48">
        <v>129.40650406500001</v>
      </c>
      <c r="BR48">
        <v>129.40650406500001</v>
      </c>
      <c r="BS48">
        <v>1289</v>
      </c>
      <c r="BT48">
        <v>188</v>
      </c>
      <c r="BU48">
        <v>85.549262994599999</v>
      </c>
      <c r="BV48">
        <v>147</v>
      </c>
      <c r="BW48">
        <v>147</v>
      </c>
      <c r="BX48">
        <v>142.43537414970001</v>
      </c>
      <c r="BY48">
        <v>142.43537414970001</v>
      </c>
      <c r="CA48" t="s">
        <v>8</v>
      </c>
      <c r="CB48" t="s">
        <v>693</v>
      </c>
      <c r="CC48" t="s">
        <v>693</v>
      </c>
      <c r="CD48">
        <v>3490</v>
      </c>
      <c r="CE48">
        <v>1378</v>
      </c>
      <c r="CF48">
        <v>137.6699140401</v>
      </c>
      <c r="CG48">
        <v>796</v>
      </c>
      <c r="CH48">
        <v>796</v>
      </c>
      <c r="CI48">
        <v>194.8065326633</v>
      </c>
      <c r="CJ48">
        <v>194.8065326633</v>
      </c>
      <c r="CL48" t="s">
        <v>8</v>
      </c>
      <c r="CM48" t="s">
        <v>865</v>
      </c>
      <c r="CN48" t="s">
        <v>865</v>
      </c>
      <c r="CO48">
        <v>168</v>
      </c>
      <c r="CP48">
        <v>30</v>
      </c>
      <c r="CQ48">
        <v>83.857142857100001</v>
      </c>
      <c r="CR48">
        <v>76</v>
      </c>
      <c r="CS48">
        <v>76</v>
      </c>
      <c r="CT48">
        <v>85.710526315799996</v>
      </c>
      <c r="CU48">
        <v>85.710526315799996</v>
      </c>
      <c r="CW48" t="s">
        <v>8</v>
      </c>
      <c r="CX48" t="s">
        <v>866</v>
      </c>
      <c r="CY48" t="s">
        <v>866</v>
      </c>
      <c r="CZ48">
        <v>30</v>
      </c>
      <c r="DA48">
        <v>4</v>
      </c>
      <c r="DB48">
        <v>75.066666666700002</v>
      </c>
      <c r="DC48">
        <v>5</v>
      </c>
      <c r="DD48">
        <v>5</v>
      </c>
      <c r="DE48">
        <v>135.6</v>
      </c>
      <c r="DF48">
        <v>135.6</v>
      </c>
      <c r="DH48" t="s">
        <v>8</v>
      </c>
      <c r="DI48" t="s">
        <v>864</v>
      </c>
      <c r="DJ48" t="s">
        <v>864</v>
      </c>
      <c r="DK48">
        <v>59</v>
      </c>
      <c r="DL48">
        <v>5</v>
      </c>
      <c r="DM48">
        <v>73.372881355900006</v>
      </c>
      <c r="DN48">
        <v>9</v>
      </c>
      <c r="DO48">
        <v>9</v>
      </c>
      <c r="DP48">
        <v>118.2222222222</v>
      </c>
      <c r="DQ48">
        <v>118.2222222222</v>
      </c>
    </row>
    <row r="49" spans="2:121" x14ac:dyDescent="0.2">
      <c r="B49" t="s">
        <v>123</v>
      </c>
      <c r="C49">
        <v>3748</v>
      </c>
      <c r="D49">
        <v>1028</v>
      </c>
      <c r="F49" t="s">
        <v>79</v>
      </c>
      <c r="G49">
        <v>1969</v>
      </c>
      <c r="H49">
        <v>165.31488065010001</v>
      </c>
      <c r="I49">
        <v>9630</v>
      </c>
      <c r="J49">
        <v>1745</v>
      </c>
      <c r="K49">
        <v>10811</v>
      </c>
      <c r="L49">
        <v>1717</v>
      </c>
      <c r="M49">
        <v>461</v>
      </c>
      <c r="N49">
        <v>305</v>
      </c>
      <c r="O49">
        <v>1114</v>
      </c>
      <c r="P49">
        <v>690</v>
      </c>
      <c r="Q49">
        <v>24</v>
      </c>
      <c r="R49">
        <v>0</v>
      </c>
      <c r="AH49" t="s">
        <v>413</v>
      </c>
      <c r="AI49">
        <v>2058</v>
      </c>
      <c r="AJ49">
        <v>331.92905733719999</v>
      </c>
      <c r="AK49">
        <v>1962</v>
      </c>
      <c r="AL49">
        <v>392</v>
      </c>
      <c r="AM49">
        <v>2933</v>
      </c>
      <c r="AN49">
        <v>1727</v>
      </c>
      <c r="AO49">
        <v>479</v>
      </c>
      <c r="AP49">
        <v>414</v>
      </c>
      <c r="AQ49">
        <v>238</v>
      </c>
      <c r="AR49">
        <v>95</v>
      </c>
      <c r="AS49">
        <v>1</v>
      </c>
      <c r="AT49">
        <v>3</v>
      </c>
      <c r="AV49" t="s">
        <v>385</v>
      </c>
      <c r="AW49">
        <v>723</v>
      </c>
      <c r="AX49">
        <v>122</v>
      </c>
      <c r="AY49">
        <v>704</v>
      </c>
      <c r="AZ49">
        <v>177</v>
      </c>
      <c r="BA49">
        <v>1015</v>
      </c>
      <c r="BB49">
        <v>362</v>
      </c>
      <c r="BC49">
        <v>154</v>
      </c>
      <c r="BD49">
        <v>151</v>
      </c>
      <c r="BE49">
        <v>49</v>
      </c>
      <c r="BF49">
        <v>20</v>
      </c>
      <c r="BG49">
        <v>101</v>
      </c>
      <c r="BH49">
        <v>290</v>
      </c>
      <c r="BJ49" t="s">
        <v>608</v>
      </c>
      <c r="BK49" t="s">
        <v>411</v>
      </c>
      <c r="BL49">
        <v>1389</v>
      </c>
      <c r="BM49">
        <v>299</v>
      </c>
      <c r="BN49">
        <v>87.061915046799996</v>
      </c>
      <c r="BO49">
        <v>484</v>
      </c>
      <c r="BP49">
        <v>484</v>
      </c>
      <c r="BQ49">
        <v>120.34504132230001</v>
      </c>
      <c r="BR49">
        <v>120.34504132230001</v>
      </c>
      <c r="BS49">
        <v>1461</v>
      </c>
      <c r="BT49">
        <v>391</v>
      </c>
      <c r="BU49">
        <v>98.396303901400003</v>
      </c>
      <c r="BV49">
        <v>525</v>
      </c>
      <c r="BW49">
        <v>525</v>
      </c>
      <c r="BX49">
        <v>131.3352380952</v>
      </c>
      <c r="BY49">
        <v>131.3352380952</v>
      </c>
      <c r="CA49" t="s">
        <v>8</v>
      </c>
      <c r="CB49" t="s">
        <v>693</v>
      </c>
      <c r="CD49">
        <v>3490</v>
      </c>
      <c r="CE49">
        <v>1378</v>
      </c>
      <c r="CF49">
        <v>137.6699140401</v>
      </c>
      <c r="CG49">
        <v>796</v>
      </c>
      <c r="CH49">
        <v>796</v>
      </c>
      <c r="CI49">
        <v>194.8065326633</v>
      </c>
      <c r="CJ49">
        <v>194.8065326633</v>
      </c>
      <c r="CL49" t="s">
        <v>8</v>
      </c>
      <c r="CM49" t="s">
        <v>865</v>
      </c>
      <c r="CO49">
        <v>168</v>
      </c>
      <c r="CP49">
        <v>30</v>
      </c>
      <c r="CQ49">
        <v>83.857142857100001</v>
      </c>
      <c r="CR49">
        <v>76</v>
      </c>
      <c r="CS49">
        <v>76</v>
      </c>
      <c r="CT49">
        <v>85.710526315799996</v>
      </c>
      <c r="CU49">
        <v>85.710526315799996</v>
      </c>
      <c r="CW49" t="s">
        <v>8</v>
      </c>
      <c r="CX49" t="s">
        <v>866</v>
      </c>
      <c r="CZ49">
        <v>30</v>
      </c>
      <c r="DA49">
        <v>4</v>
      </c>
      <c r="DB49">
        <v>75.066666666700002</v>
      </c>
      <c r="DC49">
        <v>5</v>
      </c>
      <c r="DD49">
        <v>5</v>
      </c>
      <c r="DE49">
        <v>135.6</v>
      </c>
      <c r="DF49">
        <v>135.6</v>
      </c>
      <c r="DH49" t="s">
        <v>8</v>
      </c>
      <c r="DI49" t="s">
        <v>864</v>
      </c>
      <c r="DK49">
        <v>59</v>
      </c>
      <c r="DL49">
        <v>5</v>
      </c>
      <c r="DM49">
        <v>73.372881355900006</v>
      </c>
      <c r="DN49">
        <v>9</v>
      </c>
      <c r="DO49">
        <v>9</v>
      </c>
      <c r="DP49">
        <v>118.2222222222</v>
      </c>
      <c r="DQ49">
        <v>118.2222222222</v>
      </c>
    </row>
    <row r="50" spans="2:121" x14ac:dyDescent="0.2">
      <c r="B50" t="s">
        <v>104</v>
      </c>
      <c r="C50">
        <v>218335</v>
      </c>
      <c r="D50">
        <v>151868</v>
      </c>
      <c r="F50" t="s">
        <v>51</v>
      </c>
      <c r="G50">
        <v>9517</v>
      </c>
      <c r="H50">
        <v>485.40884732580002</v>
      </c>
      <c r="I50">
        <v>4947</v>
      </c>
      <c r="J50">
        <v>786</v>
      </c>
      <c r="K50">
        <v>15054</v>
      </c>
      <c r="L50">
        <v>8815</v>
      </c>
      <c r="M50">
        <v>971</v>
      </c>
      <c r="N50">
        <v>817</v>
      </c>
      <c r="O50">
        <v>1541</v>
      </c>
      <c r="P50">
        <v>1272</v>
      </c>
      <c r="Q50">
        <v>1</v>
      </c>
      <c r="R50">
        <v>194</v>
      </c>
      <c r="AH50" t="s">
        <v>424</v>
      </c>
      <c r="AI50">
        <v>453</v>
      </c>
      <c r="AJ50">
        <v>365.03532008830001</v>
      </c>
      <c r="AK50">
        <v>415</v>
      </c>
      <c r="AL50">
        <v>91</v>
      </c>
      <c r="AM50">
        <v>783</v>
      </c>
      <c r="AN50">
        <v>457</v>
      </c>
      <c r="AO50">
        <v>155</v>
      </c>
      <c r="AP50">
        <v>117</v>
      </c>
      <c r="AQ50">
        <v>113</v>
      </c>
      <c r="AR50">
        <v>64</v>
      </c>
      <c r="AS50">
        <v>60</v>
      </c>
      <c r="AT50">
        <v>2</v>
      </c>
      <c r="AV50" t="s">
        <v>413</v>
      </c>
      <c r="AW50">
        <v>33</v>
      </c>
      <c r="AX50">
        <v>44.090909090899999</v>
      </c>
      <c r="AY50">
        <v>183</v>
      </c>
      <c r="AZ50">
        <v>3</v>
      </c>
      <c r="BA50">
        <v>57</v>
      </c>
      <c r="BB50">
        <v>1</v>
      </c>
      <c r="BC50">
        <v>0</v>
      </c>
      <c r="BE50">
        <v>4</v>
      </c>
      <c r="BF50">
        <v>2</v>
      </c>
      <c r="BG50">
        <v>86</v>
      </c>
      <c r="BH50">
        <v>16</v>
      </c>
      <c r="BJ50" t="s">
        <v>648</v>
      </c>
      <c r="BK50" t="s">
        <v>411</v>
      </c>
      <c r="BL50">
        <v>2398</v>
      </c>
      <c r="BM50">
        <v>516</v>
      </c>
      <c r="BN50">
        <v>93.865721434500003</v>
      </c>
      <c r="BO50">
        <v>635</v>
      </c>
      <c r="BP50">
        <v>635</v>
      </c>
      <c r="BQ50">
        <v>152.34803149609999</v>
      </c>
      <c r="BR50">
        <v>152.34803149609999</v>
      </c>
      <c r="BS50">
        <v>2009</v>
      </c>
      <c r="BT50">
        <v>334</v>
      </c>
      <c r="BU50">
        <v>81.611747137899997</v>
      </c>
      <c r="BV50">
        <v>414</v>
      </c>
      <c r="BW50">
        <v>414</v>
      </c>
      <c r="BX50">
        <v>151.74396135270001</v>
      </c>
      <c r="BY50">
        <v>151.74396135270001</v>
      </c>
      <c r="CA50" t="s">
        <v>431</v>
      </c>
      <c r="CB50" t="s">
        <v>897</v>
      </c>
      <c r="CC50" t="s">
        <v>1022</v>
      </c>
      <c r="CD50">
        <v>1181</v>
      </c>
      <c r="CE50">
        <v>159</v>
      </c>
      <c r="CF50">
        <v>79.458933107500002</v>
      </c>
      <c r="CG50">
        <v>233</v>
      </c>
      <c r="CH50">
        <v>233</v>
      </c>
      <c r="CI50">
        <v>79.7725321888</v>
      </c>
      <c r="CJ50">
        <v>79.7725321888</v>
      </c>
      <c r="CL50" t="s">
        <v>431</v>
      </c>
      <c r="CM50" t="s">
        <v>878</v>
      </c>
      <c r="CN50" t="s">
        <v>877</v>
      </c>
      <c r="CO50">
        <v>22</v>
      </c>
      <c r="CP50">
        <v>3</v>
      </c>
      <c r="CQ50">
        <v>77.818181818200003</v>
      </c>
      <c r="CR50">
        <v>12</v>
      </c>
      <c r="CS50">
        <v>12</v>
      </c>
      <c r="CT50">
        <v>83.75</v>
      </c>
      <c r="CU50">
        <v>83.75</v>
      </c>
      <c r="CW50" t="s">
        <v>431</v>
      </c>
      <c r="CX50" t="s">
        <v>888</v>
      </c>
      <c r="CY50" t="s">
        <v>887</v>
      </c>
      <c r="CZ50">
        <v>19</v>
      </c>
      <c r="DA50">
        <v>1</v>
      </c>
      <c r="DB50">
        <v>63.473684210499997</v>
      </c>
      <c r="DC50">
        <v>3</v>
      </c>
      <c r="DD50">
        <v>3</v>
      </c>
      <c r="DE50">
        <v>87</v>
      </c>
      <c r="DF50">
        <v>87</v>
      </c>
      <c r="DH50" t="s">
        <v>431</v>
      </c>
      <c r="DI50" t="s">
        <v>868</v>
      </c>
      <c r="DJ50" t="s">
        <v>867</v>
      </c>
      <c r="DK50">
        <v>51</v>
      </c>
      <c r="DL50">
        <v>5</v>
      </c>
      <c r="DM50">
        <v>76.941176470599999</v>
      </c>
      <c r="DN50">
        <v>6</v>
      </c>
      <c r="DO50">
        <v>6</v>
      </c>
      <c r="DP50">
        <v>115.6666666667</v>
      </c>
      <c r="DQ50">
        <v>115.6666666667</v>
      </c>
    </row>
    <row r="51" spans="2:121" x14ac:dyDescent="0.2">
      <c r="B51" t="s">
        <v>109</v>
      </c>
      <c r="C51">
        <v>1017</v>
      </c>
      <c r="D51">
        <v>175</v>
      </c>
      <c r="F51" t="s">
        <v>45</v>
      </c>
      <c r="G51">
        <v>3053</v>
      </c>
      <c r="H51">
        <v>247.2574516869</v>
      </c>
      <c r="I51">
        <v>7197</v>
      </c>
      <c r="J51">
        <v>1806</v>
      </c>
      <c r="K51">
        <v>6860</v>
      </c>
      <c r="L51">
        <v>2859</v>
      </c>
      <c r="M51">
        <v>1071</v>
      </c>
      <c r="N51">
        <v>847</v>
      </c>
      <c r="O51">
        <v>708</v>
      </c>
      <c r="P51">
        <v>378</v>
      </c>
      <c r="Q51">
        <v>0</v>
      </c>
      <c r="R51">
        <v>198</v>
      </c>
      <c r="AH51" t="s">
        <v>385</v>
      </c>
      <c r="AI51">
        <v>17995</v>
      </c>
      <c r="AJ51">
        <v>482.11069741590001</v>
      </c>
      <c r="AK51">
        <v>12879</v>
      </c>
      <c r="AL51">
        <v>2362</v>
      </c>
      <c r="AM51">
        <v>22610</v>
      </c>
      <c r="AN51">
        <v>15937</v>
      </c>
      <c r="AO51">
        <v>5956</v>
      </c>
      <c r="AP51">
        <v>5457</v>
      </c>
      <c r="AQ51">
        <v>5908</v>
      </c>
      <c r="AR51">
        <v>4292</v>
      </c>
      <c r="AS51">
        <v>788</v>
      </c>
      <c r="AT51">
        <v>20</v>
      </c>
      <c r="AV51" t="s">
        <v>380</v>
      </c>
      <c r="AW51">
        <v>158</v>
      </c>
      <c r="AX51">
        <v>106.14556962029999</v>
      </c>
      <c r="AY51">
        <v>302</v>
      </c>
      <c r="AZ51">
        <v>85</v>
      </c>
      <c r="BA51">
        <v>235</v>
      </c>
      <c r="BB51">
        <v>74</v>
      </c>
      <c r="BC51">
        <v>5</v>
      </c>
      <c r="BD51">
        <v>5</v>
      </c>
      <c r="BE51">
        <v>22</v>
      </c>
      <c r="BF51">
        <v>5</v>
      </c>
      <c r="BG51">
        <v>24</v>
      </c>
      <c r="BH51">
        <v>73</v>
      </c>
      <c r="BJ51" t="s">
        <v>600</v>
      </c>
      <c r="BK51" t="s">
        <v>411</v>
      </c>
      <c r="BL51">
        <v>9005</v>
      </c>
      <c r="BM51">
        <v>2215</v>
      </c>
      <c r="BN51">
        <v>99.627096057700001</v>
      </c>
      <c r="BO51">
        <v>2709</v>
      </c>
      <c r="BP51">
        <v>2709</v>
      </c>
      <c r="BQ51">
        <v>144.19785898859999</v>
      </c>
      <c r="BR51">
        <v>144.19785898859999</v>
      </c>
      <c r="BS51">
        <v>7349</v>
      </c>
      <c r="BT51">
        <v>1093</v>
      </c>
      <c r="BU51">
        <v>77.887875901499996</v>
      </c>
      <c r="BV51">
        <v>2104</v>
      </c>
      <c r="BW51">
        <v>2104</v>
      </c>
      <c r="BX51">
        <v>119.6929657795</v>
      </c>
      <c r="BY51">
        <v>119.6929657795</v>
      </c>
      <c r="CA51" t="s">
        <v>433</v>
      </c>
      <c r="CB51" t="s">
        <v>897</v>
      </c>
      <c r="CC51" t="s">
        <v>1023</v>
      </c>
      <c r="CD51">
        <v>6171</v>
      </c>
      <c r="CE51">
        <v>1103</v>
      </c>
      <c r="CF51">
        <v>92.871009560800005</v>
      </c>
      <c r="CG51">
        <v>1607</v>
      </c>
      <c r="CH51">
        <v>1607</v>
      </c>
      <c r="CI51">
        <v>135.18232731800001</v>
      </c>
      <c r="CJ51">
        <v>135.18232731800001</v>
      </c>
      <c r="CL51" t="s">
        <v>433</v>
      </c>
      <c r="CM51" t="s">
        <v>878</v>
      </c>
      <c r="CN51" t="s">
        <v>879</v>
      </c>
      <c r="CO51">
        <v>454</v>
      </c>
      <c r="CP51">
        <v>22</v>
      </c>
      <c r="CQ51">
        <v>58.436123348000002</v>
      </c>
      <c r="CR51">
        <v>315</v>
      </c>
      <c r="CS51">
        <v>315</v>
      </c>
      <c r="CT51">
        <v>63.2984126984</v>
      </c>
      <c r="CU51">
        <v>63.2984126984</v>
      </c>
      <c r="CW51" t="s">
        <v>433</v>
      </c>
      <c r="CX51" t="s">
        <v>888</v>
      </c>
      <c r="CY51" t="s">
        <v>889</v>
      </c>
      <c r="CZ51">
        <v>201</v>
      </c>
      <c r="DA51">
        <v>32</v>
      </c>
      <c r="DB51">
        <v>76.273631840799993</v>
      </c>
      <c r="DC51">
        <v>38</v>
      </c>
      <c r="DD51">
        <v>38</v>
      </c>
      <c r="DE51">
        <v>131.36842105260001</v>
      </c>
      <c r="DF51">
        <v>131.36842105260001</v>
      </c>
      <c r="DH51" t="s">
        <v>433</v>
      </c>
      <c r="DI51" t="s">
        <v>868</v>
      </c>
      <c r="DJ51" t="s">
        <v>869</v>
      </c>
      <c r="DK51">
        <v>129</v>
      </c>
      <c r="DL51">
        <v>14</v>
      </c>
      <c r="DM51">
        <v>80.341085271300003</v>
      </c>
      <c r="DN51">
        <v>28</v>
      </c>
      <c r="DO51">
        <v>28</v>
      </c>
      <c r="DP51">
        <v>125.7142857143</v>
      </c>
      <c r="DQ51">
        <v>125.7142857143</v>
      </c>
    </row>
    <row r="52" spans="2:121" x14ac:dyDescent="0.2">
      <c r="B52" t="s">
        <v>131</v>
      </c>
      <c r="C52">
        <v>22935</v>
      </c>
      <c r="D52">
        <v>4408</v>
      </c>
      <c r="F52" t="s">
        <v>437</v>
      </c>
      <c r="G52">
        <v>37335</v>
      </c>
      <c r="H52">
        <v>499.3269586179</v>
      </c>
      <c r="I52">
        <v>1458</v>
      </c>
      <c r="J52">
        <v>409</v>
      </c>
      <c r="K52">
        <v>37762</v>
      </c>
      <c r="L52">
        <v>36447</v>
      </c>
      <c r="M52">
        <v>56</v>
      </c>
      <c r="N52">
        <v>54</v>
      </c>
      <c r="O52">
        <v>1272</v>
      </c>
      <c r="P52">
        <v>1149</v>
      </c>
      <c r="Q52">
        <v>0</v>
      </c>
      <c r="R52">
        <v>0</v>
      </c>
      <c r="AH52" t="s">
        <v>83</v>
      </c>
      <c r="AI52">
        <v>13346</v>
      </c>
      <c r="AJ52">
        <v>403.5593436236</v>
      </c>
      <c r="AK52">
        <v>6883</v>
      </c>
      <c r="AL52">
        <v>1316</v>
      </c>
      <c r="AM52">
        <v>19702</v>
      </c>
      <c r="AN52">
        <v>12903</v>
      </c>
      <c r="AO52">
        <v>3413</v>
      </c>
      <c r="AP52">
        <v>3108</v>
      </c>
      <c r="AQ52">
        <v>4975</v>
      </c>
      <c r="AR52">
        <v>3952</v>
      </c>
      <c r="AS52">
        <v>14</v>
      </c>
      <c r="AT52">
        <v>136</v>
      </c>
      <c r="AV52" t="s">
        <v>408</v>
      </c>
      <c r="AW52">
        <v>83</v>
      </c>
      <c r="AX52">
        <v>35.506024096399997</v>
      </c>
      <c r="AY52">
        <v>354</v>
      </c>
      <c r="AZ52">
        <v>8</v>
      </c>
      <c r="BA52">
        <v>133</v>
      </c>
      <c r="BB52">
        <v>3</v>
      </c>
      <c r="BC52">
        <v>1</v>
      </c>
      <c r="BD52">
        <v>1</v>
      </c>
      <c r="BE52">
        <v>6</v>
      </c>
      <c r="BF52">
        <v>1</v>
      </c>
      <c r="BG52">
        <v>389</v>
      </c>
      <c r="BH52">
        <v>30</v>
      </c>
      <c r="BJ52" t="s">
        <v>622</v>
      </c>
      <c r="BK52" t="s">
        <v>411</v>
      </c>
      <c r="BL52">
        <v>735</v>
      </c>
      <c r="BM52">
        <v>197</v>
      </c>
      <c r="BN52">
        <v>108.27891156459999</v>
      </c>
      <c r="BO52">
        <v>281</v>
      </c>
      <c r="BP52">
        <v>281</v>
      </c>
      <c r="BQ52">
        <v>142.46619217080001</v>
      </c>
      <c r="BR52">
        <v>142.46619217080001</v>
      </c>
      <c r="BS52">
        <v>1446</v>
      </c>
      <c r="BT52">
        <v>731</v>
      </c>
      <c r="BU52">
        <v>161.5532503458</v>
      </c>
      <c r="BV52">
        <v>545</v>
      </c>
      <c r="BW52">
        <v>545</v>
      </c>
      <c r="BX52">
        <v>203.15596330279999</v>
      </c>
      <c r="BY52">
        <v>203.15596330279999</v>
      </c>
      <c r="CA52" t="s">
        <v>414</v>
      </c>
      <c r="CB52" t="s">
        <v>897</v>
      </c>
      <c r="CC52" t="s">
        <v>1024</v>
      </c>
      <c r="CD52">
        <v>29474</v>
      </c>
      <c r="CE52">
        <v>5975</v>
      </c>
      <c r="CF52">
        <v>92.797482527</v>
      </c>
      <c r="CG52">
        <v>7776</v>
      </c>
      <c r="CH52">
        <v>7776</v>
      </c>
      <c r="CI52">
        <v>144.36676954730001</v>
      </c>
      <c r="CJ52">
        <v>144.36676954730001</v>
      </c>
      <c r="CL52" t="s">
        <v>414</v>
      </c>
      <c r="CM52" t="s">
        <v>878</v>
      </c>
      <c r="CN52" t="s">
        <v>880</v>
      </c>
      <c r="CO52">
        <v>2112</v>
      </c>
      <c r="CP52">
        <v>129</v>
      </c>
      <c r="CQ52">
        <v>55.272727272700003</v>
      </c>
      <c r="CR52">
        <v>1328</v>
      </c>
      <c r="CS52">
        <v>1328</v>
      </c>
      <c r="CT52">
        <v>60.234186747000003</v>
      </c>
      <c r="CU52">
        <v>60.234186747000003</v>
      </c>
      <c r="CW52" t="s">
        <v>414</v>
      </c>
      <c r="CX52" t="s">
        <v>888</v>
      </c>
      <c r="CY52" t="s">
        <v>890</v>
      </c>
      <c r="CZ52">
        <v>1433</v>
      </c>
      <c r="DA52">
        <v>152</v>
      </c>
      <c r="DB52">
        <v>71.660153524099997</v>
      </c>
      <c r="DC52">
        <v>250</v>
      </c>
      <c r="DD52">
        <v>250</v>
      </c>
      <c r="DE52">
        <v>117.432</v>
      </c>
      <c r="DF52">
        <v>117.432</v>
      </c>
      <c r="DH52" t="s">
        <v>414</v>
      </c>
      <c r="DI52" t="s">
        <v>868</v>
      </c>
      <c r="DJ52" t="s">
        <v>870</v>
      </c>
      <c r="DK52">
        <v>797</v>
      </c>
      <c r="DL52">
        <v>67</v>
      </c>
      <c r="DM52">
        <v>73.831869510700002</v>
      </c>
      <c r="DN52">
        <v>129</v>
      </c>
      <c r="DO52">
        <v>129</v>
      </c>
      <c r="DP52">
        <v>115.0387596899</v>
      </c>
      <c r="DQ52">
        <v>115.0387596899</v>
      </c>
    </row>
    <row r="53" spans="2:121" x14ac:dyDescent="0.2">
      <c r="B53" t="s">
        <v>126</v>
      </c>
      <c r="C53">
        <v>529</v>
      </c>
      <c r="D53">
        <v>526</v>
      </c>
      <c r="F53" t="s">
        <v>75</v>
      </c>
      <c r="G53">
        <v>2569</v>
      </c>
      <c r="H53">
        <v>338.90346438300003</v>
      </c>
      <c r="I53">
        <v>3158</v>
      </c>
      <c r="J53">
        <v>650</v>
      </c>
      <c r="K53">
        <v>3882</v>
      </c>
      <c r="L53">
        <v>2926</v>
      </c>
      <c r="M53">
        <v>661</v>
      </c>
      <c r="N53">
        <v>610</v>
      </c>
      <c r="O53">
        <v>877</v>
      </c>
      <c r="P53">
        <v>564</v>
      </c>
      <c r="Q53">
        <v>0</v>
      </c>
      <c r="R53">
        <v>1</v>
      </c>
      <c r="AH53" t="s">
        <v>386</v>
      </c>
      <c r="AI53">
        <v>2232</v>
      </c>
      <c r="AJ53">
        <v>261.69847670249999</v>
      </c>
      <c r="AK53">
        <v>2357</v>
      </c>
      <c r="AL53">
        <v>375</v>
      </c>
      <c r="AM53">
        <v>3632</v>
      </c>
      <c r="AN53">
        <v>2075</v>
      </c>
      <c r="AO53">
        <v>257</v>
      </c>
      <c r="AP53">
        <v>192</v>
      </c>
      <c r="AQ53">
        <v>1169</v>
      </c>
      <c r="AR53">
        <v>760</v>
      </c>
      <c r="AS53">
        <v>297</v>
      </c>
      <c r="AT53">
        <v>16</v>
      </c>
      <c r="AV53" t="s">
        <v>399</v>
      </c>
      <c r="AW53">
        <v>218</v>
      </c>
      <c r="AX53">
        <v>69.564220183499998</v>
      </c>
      <c r="AY53">
        <v>648</v>
      </c>
      <c r="AZ53">
        <v>52</v>
      </c>
      <c r="BA53">
        <v>374</v>
      </c>
      <c r="BB53">
        <v>38</v>
      </c>
      <c r="BC53">
        <v>2</v>
      </c>
      <c r="BD53">
        <v>2</v>
      </c>
      <c r="BE53">
        <v>29</v>
      </c>
      <c r="BF53">
        <v>13</v>
      </c>
      <c r="BG53">
        <v>55</v>
      </c>
      <c r="BH53">
        <v>65</v>
      </c>
      <c r="BJ53" t="s">
        <v>598</v>
      </c>
      <c r="BK53" t="s">
        <v>411</v>
      </c>
      <c r="BL53">
        <v>10770</v>
      </c>
      <c r="BM53">
        <v>2281</v>
      </c>
      <c r="BN53">
        <v>96.335561745600003</v>
      </c>
      <c r="BO53">
        <v>2594</v>
      </c>
      <c r="BP53">
        <v>2594</v>
      </c>
      <c r="BQ53">
        <v>154.08982266769999</v>
      </c>
      <c r="BR53">
        <v>154.08982266769999</v>
      </c>
      <c r="BS53">
        <v>8311</v>
      </c>
      <c r="BT53">
        <v>972</v>
      </c>
      <c r="BU53">
        <v>74.763205390400003</v>
      </c>
      <c r="BV53">
        <v>1598</v>
      </c>
      <c r="BW53">
        <v>1598</v>
      </c>
      <c r="BX53">
        <v>129.14017521900001</v>
      </c>
      <c r="BY53">
        <v>129.14017521900001</v>
      </c>
      <c r="CA53" t="s">
        <v>435</v>
      </c>
      <c r="CB53" t="s">
        <v>897</v>
      </c>
      <c r="CC53" t="s">
        <v>1025</v>
      </c>
      <c r="CD53">
        <v>1906</v>
      </c>
      <c r="CE53">
        <v>376</v>
      </c>
      <c r="CF53">
        <v>90.568730325299995</v>
      </c>
      <c r="CG53">
        <v>615</v>
      </c>
      <c r="CH53">
        <v>615</v>
      </c>
      <c r="CI53">
        <v>123.6</v>
      </c>
      <c r="CJ53">
        <v>123.6</v>
      </c>
      <c r="CL53" t="s">
        <v>435</v>
      </c>
      <c r="CM53" t="s">
        <v>878</v>
      </c>
      <c r="CN53" t="s">
        <v>881</v>
      </c>
      <c r="CO53">
        <v>50</v>
      </c>
      <c r="CP53">
        <v>1</v>
      </c>
      <c r="CQ53">
        <v>62.4</v>
      </c>
      <c r="CR53">
        <v>39</v>
      </c>
      <c r="CS53">
        <v>39</v>
      </c>
      <c r="CT53">
        <v>68.128205128199994</v>
      </c>
      <c r="CU53">
        <v>68.128205128199994</v>
      </c>
      <c r="CW53" t="s">
        <v>435</v>
      </c>
      <c r="CX53" t="s">
        <v>888</v>
      </c>
      <c r="CY53" t="s">
        <v>891</v>
      </c>
      <c r="CZ53">
        <v>37</v>
      </c>
      <c r="DA53">
        <v>4</v>
      </c>
      <c r="DB53">
        <v>72.027027027000003</v>
      </c>
      <c r="DC53">
        <v>4</v>
      </c>
      <c r="DD53">
        <v>4</v>
      </c>
      <c r="DE53">
        <v>137.75</v>
      </c>
      <c r="DF53">
        <v>137.75</v>
      </c>
      <c r="DH53" t="s">
        <v>435</v>
      </c>
      <c r="DI53" t="s">
        <v>868</v>
      </c>
      <c r="DJ53" t="s">
        <v>871</v>
      </c>
      <c r="DK53">
        <v>81</v>
      </c>
      <c r="DL53">
        <v>5</v>
      </c>
      <c r="DM53">
        <v>68.7037037037</v>
      </c>
      <c r="DN53">
        <v>11</v>
      </c>
      <c r="DO53">
        <v>11</v>
      </c>
      <c r="DP53">
        <v>105.54545454549999</v>
      </c>
      <c r="DQ53">
        <v>105.54545454549999</v>
      </c>
    </row>
    <row r="54" spans="2:121" x14ac:dyDescent="0.2">
      <c r="F54" t="s">
        <v>56</v>
      </c>
      <c r="G54">
        <v>7854</v>
      </c>
      <c r="H54">
        <v>506.67150496559998</v>
      </c>
      <c r="I54">
        <v>4642</v>
      </c>
      <c r="J54">
        <v>1173</v>
      </c>
      <c r="K54">
        <v>12953</v>
      </c>
      <c r="L54">
        <v>8423</v>
      </c>
      <c r="M54">
        <v>2957</v>
      </c>
      <c r="N54">
        <v>2865</v>
      </c>
      <c r="O54">
        <v>617</v>
      </c>
      <c r="P54">
        <v>353</v>
      </c>
      <c r="Q54">
        <v>67</v>
      </c>
      <c r="R54">
        <v>222</v>
      </c>
      <c r="AH54" t="s">
        <v>403</v>
      </c>
      <c r="AI54">
        <v>4254</v>
      </c>
      <c r="AJ54">
        <v>269.47508227549997</v>
      </c>
      <c r="AK54">
        <v>3952</v>
      </c>
      <c r="AL54">
        <v>745</v>
      </c>
      <c r="AM54">
        <v>6600</v>
      </c>
      <c r="AN54">
        <v>3531</v>
      </c>
      <c r="AO54">
        <v>438</v>
      </c>
      <c r="AP54">
        <v>303</v>
      </c>
      <c r="AQ54">
        <v>762</v>
      </c>
      <c r="AR54">
        <v>404</v>
      </c>
      <c r="AS54">
        <v>294</v>
      </c>
      <c r="AT54">
        <v>6</v>
      </c>
      <c r="AV54" t="s">
        <v>386</v>
      </c>
      <c r="AW54">
        <v>251</v>
      </c>
      <c r="AX54">
        <v>115.27490039840001</v>
      </c>
      <c r="AY54">
        <v>217</v>
      </c>
      <c r="AZ54">
        <v>47</v>
      </c>
      <c r="BA54">
        <v>330</v>
      </c>
      <c r="BB54">
        <v>111</v>
      </c>
      <c r="BC54">
        <v>7</v>
      </c>
      <c r="BD54">
        <v>7</v>
      </c>
      <c r="BE54">
        <v>15</v>
      </c>
      <c r="BF54">
        <v>6</v>
      </c>
      <c r="BG54">
        <v>27</v>
      </c>
      <c r="BH54">
        <v>68</v>
      </c>
      <c r="BJ54" t="s">
        <v>411</v>
      </c>
      <c r="BK54" t="s">
        <v>411</v>
      </c>
      <c r="BL54">
        <v>59938</v>
      </c>
      <c r="BM54">
        <v>12402</v>
      </c>
      <c r="BN54">
        <v>93.006122993800005</v>
      </c>
      <c r="BO54">
        <v>18577</v>
      </c>
      <c r="BP54">
        <v>18577</v>
      </c>
      <c r="BQ54">
        <v>125.2568229531</v>
      </c>
      <c r="BR54">
        <v>125.2568229531</v>
      </c>
      <c r="BS54">
        <v>57907</v>
      </c>
      <c r="BT54">
        <v>11093</v>
      </c>
      <c r="BU54">
        <v>89.315574973699995</v>
      </c>
      <c r="BV54">
        <v>17685</v>
      </c>
      <c r="BW54">
        <v>17685</v>
      </c>
      <c r="BX54">
        <v>120.63183488830001</v>
      </c>
      <c r="BY54">
        <v>120.63183488830001</v>
      </c>
      <c r="CA54" t="s">
        <v>415</v>
      </c>
      <c r="CB54" t="s">
        <v>897</v>
      </c>
      <c r="CC54" t="s">
        <v>1026</v>
      </c>
      <c r="CD54">
        <v>1435</v>
      </c>
      <c r="CE54">
        <v>301</v>
      </c>
      <c r="CF54">
        <v>87.960278745599993</v>
      </c>
      <c r="CG54">
        <v>520</v>
      </c>
      <c r="CH54">
        <v>520</v>
      </c>
      <c r="CI54">
        <v>118.8711538462</v>
      </c>
      <c r="CJ54">
        <v>118.8711538462</v>
      </c>
      <c r="CL54" t="s">
        <v>415</v>
      </c>
      <c r="CM54" t="s">
        <v>878</v>
      </c>
      <c r="CN54" t="s">
        <v>882</v>
      </c>
      <c r="CO54">
        <v>105</v>
      </c>
      <c r="CP54">
        <v>9</v>
      </c>
      <c r="CQ54">
        <v>51.8952380952</v>
      </c>
      <c r="CR54">
        <v>53</v>
      </c>
      <c r="CS54">
        <v>53</v>
      </c>
      <c r="CT54">
        <v>45.867924528300001</v>
      </c>
      <c r="CU54">
        <v>45.867924528300001</v>
      </c>
      <c r="CW54" t="s">
        <v>415</v>
      </c>
      <c r="CX54" t="s">
        <v>888</v>
      </c>
      <c r="CY54" t="s">
        <v>892</v>
      </c>
      <c r="CZ54">
        <v>40</v>
      </c>
      <c r="DA54">
        <v>4</v>
      </c>
      <c r="DB54">
        <v>69.400000000000006</v>
      </c>
      <c r="DC54">
        <v>5</v>
      </c>
      <c r="DD54">
        <v>5</v>
      </c>
      <c r="DE54">
        <v>114</v>
      </c>
      <c r="DF54">
        <v>114</v>
      </c>
      <c r="DH54" t="s">
        <v>415</v>
      </c>
      <c r="DI54" t="s">
        <v>868</v>
      </c>
      <c r="DJ54" t="s">
        <v>872</v>
      </c>
      <c r="DK54">
        <v>50</v>
      </c>
      <c r="DL54">
        <v>1</v>
      </c>
      <c r="DM54">
        <v>70.88</v>
      </c>
      <c r="DN54">
        <v>9</v>
      </c>
      <c r="DO54">
        <v>9</v>
      </c>
      <c r="DP54">
        <v>129</v>
      </c>
      <c r="DQ54">
        <v>129</v>
      </c>
    </row>
    <row r="55" spans="2:121" x14ac:dyDescent="0.2">
      <c r="F55" t="s">
        <v>53</v>
      </c>
      <c r="G55">
        <v>2503</v>
      </c>
      <c r="H55">
        <v>137.41630043949999</v>
      </c>
      <c r="I55">
        <v>2061</v>
      </c>
      <c r="J55">
        <v>243</v>
      </c>
      <c r="K55">
        <v>4416</v>
      </c>
      <c r="L55">
        <v>1156</v>
      </c>
      <c r="M55">
        <v>652</v>
      </c>
      <c r="N55">
        <v>476</v>
      </c>
      <c r="O55">
        <v>378</v>
      </c>
      <c r="P55">
        <v>195</v>
      </c>
      <c r="Q55">
        <v>1</v>
      </c>
      <c r="R55">
        <v>13</v>
      </c>
      <c r="AH55" t="s">
        <v>428</v>
      </c>
      <c r="AI55">
        <v>560</v>
      </c>
      <c r="AJ55">
        <v>310.11964285710002</v>
      </c>
      <c r="AK55">
        <v>895</v>
      </c>
      <c r="AL55">
        <v>171</v>
      </c>
      <c r="AM55">
        <v>996</v>
      </c>
      <c r="AN55">
        <v>474</v>
      </c>
      <c r="AO55">
        <v>112</v>
      </c>
      <c r="AP55">
        <v>85</v>
      </c>
      <c r="AQ55">
        <v>182</v>
      </c>
      <c r="AR55">
        <v>63</v>
      </c>
      <c r="AS55">
        <v>4</v>
      </c>
      <c r="AT55">
        <v>5</v>
      </c>
      <c r="AV55" t="s">
        <v>431</v>
      </c>
      <c r="AW55">
        <v>9</v>
      </c>
      <c r="AX55">
        <v>43.555555555600002</v>
      </c>
      <c r="AY55">
        <v>11</v>
      </c>
      <c r="BA55">
        <v>14</v>
      </c>
      <c r="BB55">
        <v>1</v>
      </c>
      <c r="BC55">
        <v>0</v>
      </c>
      <c r="BE55">
        <v>0</v>
      </c>
      <c r="BG55">
        <v>8</v>
      </c>
      <c r="BH55">
        <v>3</v>
      </c>
      <c r="BJ55" t="s">
        <v>602</v>
      </c>
      <c r="BK55" t="s">
        <v>411</v>
      </c>
      <c r="BL55">
        <v>4847</v>
      </c>
      <c r="BM55">
        <v>913</v>
      </c>
      <c r="BN55">
        <v>95.896843408300001</v>
      </c>
      <c r="BO55">
        <v>1344</v>
      </c>
      <c r="BP55">
        <v>1344</v>
      </c>
      <c r="BQ55">
        <v>137.80133928570001</v>
      </c>
      <c r="BR55">
        <v>137.80133928570001</v>
      </c>
      <c r="BS55">
        <v>7024</v>
      </c>
      <c r="BT55">
        <v>1683</v>
      </c>
      <c r="BU55">
        <v>104.00754555810001</v>
      </c>
      <c r="BV55">
        <v>1962</v>
      </c>
      <c r="BW55">
        <v>1962</v>
      </c>
      <c r="BX55">
        <v>149.82721712540001</v>
      </c>
      <c r="BY55">
        <v>149.82721712540001</v>
      </c>
      <c r="CA55" t="s">
        <v>420</v>
      </c>
      <c r="CB55" t="s">
        <v>897</v>
      </c>
      <c r="CC55" t="s">
        <v>1027</v>
      </c>
      <c r="CD55">
        <v>3623</v>
      </c>
      <c r="CE55">
        <v>884</v>
      </c>
      <c r="CF55">
        <v>100.4195418162</v>
      </c>
      <c r="CG55">
        <v>1090</v>
      </c>
      <c r="CH55">
        <v>1090</v>
      </c>
      <c r="CI55">
        <v>158.43394495410001</v>
      </c>
      <c r="CJ55">
        <v>158.43394495410001</v>
      </c>
      <c r="CL55" t="s">
        <v>420</v>
      </c>
      <c r="CM55" t="s">
        <v>878</v>
      </c>
      <c r="CN55" t="s">
        <v>883</v>
      </c>
      <c r="CO55">
        <v>234</v>
      </c>
      <c r="CP55">
        <v>11</v>
      </c>
      <c r="CQ55">
        <v>51.961538461499998</v>
      </c>
      <c r="CR55">
        <v>141</v>
      </c>
      <c r="CS55">
        <v>141</v>
      </c>
      <c r="CT55">
        <v>55.943262411299997</v>
      </c>
      <c r="CU55">
        <v>55.943262411299997</v>
      </c>
      <c r="CW55" t="s">
        <v>420</v>
      </c>
      <c r="CX55" t="s">
        <v>888</v>
      </c>
      <c r="CY55" t="s">
        <v>893</v>
      </c>
      <c r="CZ55">
        <v>102</v>
      </c>
      <c r="DA55">
        <v>16</v>
      </c>
      <c r="DB55">
        <v>77.176470588200004</v>
      </c>
      <c r="DC55">
        <v>15</v>
      </c>
      <c r="DD55">
        <v>15</v>
      </c>
      <c r="DE55">
        <v>134.6</v>
      </c>
      <c r="DF55">
        <v>134.6</v>
      </c>
      <c r="DH55" t="s">
        <v>420</v>
      </c>
      <c r="DI55" t="s">
        <v>868</v>
      </c>
      <c r="DJ55" t="s">
        <v>873</v>
      </c>
      <c r="DK55">
        <v>97</v>
      </c>
      <c r="DL55">
        <v>8</v>
      </c>
      <c r="DM55">
        <v>74.865979381399995</v>
      </c>
      <c r="DN55">
        <v>14</v>
      </c>
      <c r="DO55">
        <v>14</v>
      </c>
      <c r="DP55">
        <v>139.07142857139999</v>
      </c>
      <c r="DQ55">
        <v>139.07142857139999</v>
      </c>
    </row>
    <row r="56" spans="2:121" x14ac:dyDescent="0.2">
      <c r="F56" t="s">
        <v>67</v>
      </c>
      <c r="G56">
        <v>4819</v>
      </c>
      <c r="H56">
        <v>254.7161236771</v>
      </c>
      <c r="I56">
        <v>4603</v>
      </c>
      <c r="J56">
        <v>896</v>
      </c>
      <c r="K56">
        <v>5859</v>
      </c>
      <c r="L56">
        <v>3346</v>
      </c>
      <c r="M56">
        <v>301</v>
      </c>
      <c r="N56">
        <v>203</v>
      </c>
      <c r="O56">
        <v>2273</v>
      </c>
      <c r="P56">
        <v>1813</v>
      </c>
      <c r="Q56">
        <v>2</v>
      </c>
      <c r="R56">
        <v>67</v>
      </c>
      <c r="BJ56" t="s">
        <v>610</v>
      </c>
      <c r="BK56" t="s">
        <v>411</v>
      </c>
      <c r="BL56">
        <v>4714</v>
      </c>
      <c r="BM56">
        <v>1328</v>
      </c>
      <c r="BN56">
        <v>107.0837929571</v>
      </c>
      <c r="BO56">
        <v>1336</v>
      </c>
      <c r="BP56">
        <v>1336</v>
      </c>
      <c r="BQ56">
        <v>148.79191616770001</v>
      </c>
      <c r="BR56">
        <v>148.79191616770001</v>
      </c>
      <c r="BS56">
        <v>4530</v>
      </c>
      <c r="BT56">
        <v>1112</v>
      </c>
      <c r="BU56">
        <v>102.79845474610001</v>
      </c>
      <c r="BV56">
        <v>1365</v>
      </c>
      <c r="BW56">
        <v>1365</v>
      </c>
      <c r="BX56">
        <v>142.03296703300001</v>
      </c>
      <c r="BY56">
        <v>142.03296703300001</v>
      </c>
      <c r="CA56" t="s">
        <v>412</v>
      </c>
      <c r="CB56" t="s">
        <v>897</v>
      </c>
      <c r="CC56" t="s">
        <v>1028</v>
      </c>
      <c r="CD56">
        <v>2907</v>
      </c>
      <c r="CE56">
        <v>675</v>
      </c>
      <c r="CF56">
        <v>101.9662882697</v>
      </c>
      <c r="CG56">
        <v>643</v>
      </c>
      <c r="CH56">
        <v>643</v>
      </c>
      <c r="CI56">
        <v>150.82892690509999</v>
      </c>
      <c r="CJ56">
        <v>150.82892690509999</v>
      </c>
      <c r="CL56" t="s">
        <v>412</v>
      </c>
      <c r="CM56" t="s">
        <v>878</v>
      </c>
      <c r="CN56" t="s">
        <v>884</v>
      </c>
      <c r="CO56">
        <v>151</v>
      </c>
      <c r="CP56">
        <v>11</v>
      </c>
      <c r="CQ56">
        <v>53.364238410600002</v>
      </c>
      <c r="CR56">
        <v>103</v>
      </c>
      <c r="CS56">
        <v>103</v>
      </c>
      <c r="CT56">
        <v>67.194174757300004</v>
      </c>
      <c r="CU56">
        <v>67.194174757300004</v>
      </c>
      <c r="CW56" t="s">
        <v>412</v>
      </c>
      <c r="CX56" t="s">
        <v>888</v>
      </c>
      <c r="CY56" t="s">
        <v>894</v>
      </c>
      <c r="CZ56">
        <v>54</v>
      </c>
      <c r="DA56">
        <v>10</v>
      </c>
      <c r="DB56">
        <v>89.518518518500002</v>
      </c>
      <c r="DC56">
        <v>16</v>
      </c>
      <c r="DD56">
        <v>16</v>
      </c>
      <c r="DE56">
        <v>176.5625</v>
      </c>
      <c r="DF56">
        <v>176.5625</v>
      </c>
      <c r="DH56" t="s">
        <v>412</v>
      </c>
      <c r="DI56" t="s">
        <v>868</v>
      </c>
      <c r="DJ56" t="s">
        <v>874</v>
      </c>
      <c r="DK56">
        <v>69</v>
      </c>
      <c r="DL56">
        <v>7</v>
      </c>
      <c r="DM56">
        <v>75.971014492799995</v>
      </c>
      <c r="DN56">
        <v>8</v>
      </c>
      <c r="DO56">
        <v>8</v>
      </c>
      <c r="DP56">
        <v>147.375</v>
      </c>
      <c r="DQ56">
        <v>147.375</v>
      </c>
    </row>
    <row r="57" spans="2:121" x14ac:dyDescent="0.2">
      <c r="F57" t="s">
        <v>65</v>
      </c>
      <c r="G57">
        <v>10419</v>
      </c>
      <c r="H57">
        <v>387.12774738460001</v>
      </c>
      <c r="I57">
        <v>10881</v>
      </c>
      <c r="J57">
        <v>2283</v>
      </c>
      <c r="K57">
        <v>13737</v>
      </c>
      <c r="L57">
        <v>10443</v>
      </c>
      <c r="M57">
        <v>4922</v>
      </c>
      <c r="N57">
        <v>4685</v>
      </c>
      <c r="O57">
        <v>2064</v>
      </c>
      <c r="P57">
        <v>1615</v>
      </c>
      <c r="Q57">
        <v>0</v>
      </c>
      <c r="R57">
        <v>28</v>
      </c>
      <c r="BJ57" t="s">
        <v>618</v>
      </c>
      <c r="BK57" t="s">
        <v>411</v>
      </c>
      <c r="BL57">
        <v>3478</v>
      </c>
      <c r="BM57">
        <v>840</v>
      </c>
      <c r="BN57">
        <v>99.953996549699994</v>
      </c>
      <c r="BO57">
        <v>996</v>
      </c>
      <c r="BP57">
        <v>996</v>
      </c>
      <c r="BQ57">
        <v>164.8453815261</v>
      </c>
      <c r="BR57">
        <v>164.8453815261</v>
      </c>
      <c r="BS57">
        <v>3034</v>
      </c>
      <c r="BT57">
        <v>388</v>
      </c>
      <c r="BU57">
        <v>79.0461437047</v>
      </c>
      <c r="BV57">
        <v>701</v>
      </c>
      <c r="BW57">
        <v>701</v>
      </c>
      <c r="BX57">
        <v>144.2539229672</v>
      </c>
      <c r="BY57">
        <v>144.2539229672</v>
      </c>
      <c r="CA57" t="s">
        <v>416</v>
      </c>
      <c r="CB57" t="s">
        <v>897</v>
      </c>
      <c r="CC57" t="s">
        <v>1029</v>
      </c>
      <c r="CD57">
        <v>4765</v>
      </c>
      <c r="CE57">
        <v>1301</v>
      </c>
      <c r="CF57">
        <v>106.3991605456</v>
      </c>
      <c r="CG57">
        <v>1332</v>
      </c>
      <c r="CH57">
        <v>1332</v>
      </c>
      <c r="CI57">
        <v>146.7447447447</v>
      </c>
      <c r="CJ57">
        <v>146.7447447447</v>
      </c>
      <c r="CL57" t="s">
        <v>416</v>
      </c>
      <c r="CM57" t="s">
        <v>878</v>
      </c>
      <c r="CN57" t="s">
        <v>885</v>
      </c>
      <c r="CO57">
        <v>328</v>
      </c>
      <c r="CP57">
        <v>22</v>
      </c>
      <c r="CQ57">
        <v>61.7835365854</v>
      </c>
      <c r="CR57">
        <v>206</v>
      </c>
      <c r="CS57">
        <v>206</v>
      </c>
      <c r="CT57">
        <v>64.883495145599994</v>
      </c>
      <c r="CU57">
        <v>64.883495145599994</v>
      </c>
      <c r="CW57" t="s">
        <v>416</v>
      </c>
      <c r="CX57" t="s">
        <v>888</v>
      </c>
      <c r="CY57" t="s">
        <v>895</v>
      </c>
      <c r="CZ57">
        <v>113</v>
      </c>
      <c r="DA57">
        <v>20</v>
      </c>
      <c r="DB57">
        <v>78.8761061947</v>
      </c>
      <c r="DC57">
        <v>14</v>
      </c>
      <c r="DD57">
        <v>14</v>
      </c>
      <c r="DE57">
        <v>110.57142857140001</v>
      </c>
      <c r="DF57">
        <v>110.57142857140001</v>
      </c>
      <c r="DH57" t="s">
        <v>416</v>
      </c>
      <c r="DI57" t="s">
        <v>868</v>
      </c>
      <c r="DJ57" t="s">
        <v>875</v>
      </c>
      <c r="DK57">
        <v>47</v>
      </c>
      <c r="DL57">
        <v>6</v>
      </c>
      <c r="DM57">
        <v>77.2553191489</v>
      </c>
      <c r="DN57">
        <v>4</v>
      </c>
      <c r="DO57">
        <v>4</v>
      </c>
      <c r="DP57">
        <v>115.5</v>
      </c>
      <c r="DQ57">
        <v>115.5</v>
      </c>
    </row>
    <row r="58" spans="2:121" x14ac:dyDescent="0.2">
      <c r="F58" t="s">
        <v>57</v>
      </c>
      <c r="G58">
        <v>1588</v>
      </c>
      <c r="H58">
        <v>385.36146095719999</v>
      </c>
      <c r="I58">
        <v>1180</v>
      </c>
      <c r="J58">
        <v>262</v>
      </c>
      <c r="K58">
        <v>1996</v>
      </c>
      <c r="L58">
        <v>1374</v>
      </c>
      <c r="M58">
        <v>428</v>
      </c>
      <c r="N58">
        <v>415</v>
      </c>
      <c r="O58">
        <v>75</v>
      </c>
      <c r="P58">
        <v>63</v>
      </c>
      <c r="Q58">
        <v>0</v>
      </c>
      <c r="R58">
        <v>1</v>
      </c>
      <c r="BJ58" t="s">
        <v>631</v>
      </c>
      <c r="BK58" t="s">
        <v>411</v>
      </c>
      <c r="BL58">
        <v>10296</v>
      </c>
      <c r="BM58">
        <v>1658</v>
      </c>
      <c r="BN58">
        <v>83.447358197400007</v>
      </c>
      <c r="BO58">
        <v>2371</v>
      </c>
      <c r="BP58">
        <v>2371</v>
      </c>
      <c r="BQ58">
        <v>139.74145929989999</v>
      </c>
      <c r="BR58">
        <v>139.74145929989999</v>
      </c>
      <c r="BS58">
        <v>10792</v>
      </c>
      <c r="BT58">
        <v>2110</v>
      </c>
      <c r="BU58">
        <v>91.445051890299993</v>
      </c>
      <c r="BV58">
        <v>2690</v>
      </c>
      <c r="BW58">
        <v>2690</v>
      </c>
      <c r="BX58">
        <v>150.63085501859999</v>
      </c>
      <c r="BY58">
        <v>150.63085501859999</v>
      </c>
      <c r="CA58" t="s">
        <v>83</v>
      </c>
      <c r="CB58" t="s">
        <v>897</v>
      </c>
      <c r="CC58" t="s">
        <v>1030</v>
      </c>
      <c r="CD58">
        <v>6351</v>
      </c>
      <c r="CE58">
        <v>1260</v>
      </c>
      <c r="CF58">
        <v>91.2580695953</v>
      </c>
      <c r="CG58">
        <v>2217</v>
      </c>
      <c r="CH58">
        <v>2217</v>
      </c>
      <c r="CI58">
        <v>120.0717185386</v>
      </c>
      <c r="CJ58">
        <v>120.0717185386</v>
      </c>
      <c r="CL58" t="s">
        <v>83</v>
      </c>
      <c r="CM58" t="s">
        <v>878</v>
      </c>
      <c r="CN58" t="s">
        <v>886</v>
      </c>
      <c r="CO58">
        <v>532</v>
      </c>
      <c r="CP58">
        <v>40</v>
      </c>
      <c r="CQ58">
        <v>58.765037593999999</v>
      </c>
      <c r="CR58">
        <v>286</v>
      </c>
      <c r="CS58">
        <v>286</v>
      </c>
      <c r="CT58">
        <v>62.104895104900002</v>
      </c>
      <c r="CU58">
        <v>62.104895104900002</v>
      </c>
      <c r="CW58" t="s">
        <v>83</v>
      </c>
      <c r="CX58" t="s">
        <v>888</v>
      </c>
      <c r="CY58" t="s">
        <v>896</v>
      </c>
      <c r="CZ58">
        <v>301</v>
      </c>
      <c r="DA58">
        <v>28</v>
      </c>
      <c r="DB58">
        <v>67.079734219299993</v>
      </c>
      <c r="DC58">
        <v>35</v>
      </c>
      <c r="DD58">
        <v>35</v>
      </c>
      <c r="DE58">
        <v>110.0571428571</v>
      </c>
      <c r="DF58">
        <v>110.0571428571</v>
      </c>
      <c r="DH58" t="s">
        <v>83</v>
      </c>
      <c r="DI58" t="s">
        <v>868</v>
      </c>
      <c r="DJ58" t="s">
        <v>876</v>
      </c>
      <c r="DK58">
        <v>498</v>
      </c>
      <c r="DL58">
        <v>40</v>
      </c>
      <c r="DM58">
        <v>69.495983935699996</v>
      </c>
      <c r="DN58">
        <v>88</v>
      </c>
      <c r="DO58">
        <v>88</v>
      </c>
      <c r="DP58">
        <v>112.2159090909</v>
      </c>
      <c r="DQ58">
        <v>112.2159090909</v>
      </c>
    </row>
    <row r="59" spans="2:121" x14ac:dyDescent="0.2">
      <c r="F59" t="s">
        <v>49</v>
      </c>
      <c r="G59">
        <v>13292</v>
      </c>
      <c r="H59">
        <v>335.37496238339997</v>
      </c>
      <c r="I59">
        <v>16301</v>
      </c>
      <c r="J59">
        <v>4103</v>
      </c>
      <c r="K59">
        <v>17274</v>
      </c>
      <c r="L59">
        <v>11931</v>
      </c>
      <c r="M59">
        <v>1794</v>
      </c>
      <c r="N59">
        <v>1430</v>
      </c>
      <c r="O59">
        <v>2852</v>
      </c>
      <c r="P59">
        <v>2132</v>
      </c>
      <c r="Q59">
        <v>1</v>
      </c>
      <c r="R59">
        <v>227</v>
      </c>
      <c r="BJ59" t="s">
        <v>604</v>
      </c>
      <c r="BK59" t="s">
        <v>411</v>
      </c>
      <c r="BL59">
        <v>7827</v>
      </c>
      <c r="BM59">
        <v>1336</v>
      </c>
      <c r="BN59">
        <v>81.080362846599996</v>
      </c>
      <c r="BO59">
        <v>5090</v>
      </c>
      <c r="BP59">
        <v>5090</v>
      </c>
      <c r="BQ59">
        <v>69.513555992099995</v>
      </c>
      <c r="BR59">
        <v>69.513555992099995</v>
      </c>
      <c r="BS59">
        <v>7890</v>
      </c>
      <c r="BT59">
        <v>1537</v>
      </c>
      <c r="BU59">
        <v>81.170595690699997</v>
      </c>
      <c r="BV59">
        <v>5058</v>
      </c>
      <c r="BW59">
        <v>5058</v>
      </c>
      <c r="BX59">
        <v>65.890075128500001</v>
      </c>
      <c r="BY59">
        <v>65.890075128500001</v>
      </c>
      <c r="CA59" t="s">
        <v>411</v>
      </c>
      <c r="CB59" t="s">
        <v>897</v>
      </c>
      <c r="CD59">
        <v>57813</v>
      </c>
      <c r="CE59">
        <v>12034</v>
      </c>
      <c r="CF59">
        <v>94.2299482815</v>
      </c>
      <c r="CG59">
        <v>16033</v>
      </c>
      <c r="CH59">
        <v>16033</v>
      </c>
      <c r="CI59">
        <v>138.93762864089999</v>
      </c>
      <c r="CJ59">
        <v>138.93762864089999</v>
      </c>
      <c r="CL59" t="s">
        <v>411</v>
      </c>
      <c r="CM59" t="s">
        <v>878</v>
      </c>
      <c r="CO59">
        <v>3988</v>
      </c>
      <c r="CP59">
        <v>248</v>
      </c>
      <c r="CQ59">
        <v>56.492477432299999</v>
      </c>
      <c r="CR59">
        <v>2483</v>
      </c>
      <c r="CS59">
        <v>2483</v>
      </c>
      <c r="CT59">
        <v>61.200161095399999</v>
      </c>
      <c r="CU59">
        <v>61.200161095399999</v>
      </c>
      <c r="CW59" t="s">
        <v>411</v>
      </c>
      <c r="CX59" t="s">
        <v>888</v>
      </c>
      <c r="CZ59">
        <v>2300</v>
      </c>
      <c r="DA59">
        <v>267</v>
      </c>
      <c r="DB59">
        <v>72.381304347799997</v>
      </c>
      <c r="DC59">
        <v>380</v>
      </c>
      <c r="DD59">
        <v>380</v>
      </c>
      <c r="DE59">
        <v>120.98947368419999</v>
      </c>
      <c r="DF59">
        <v>120.98947368419999</v>
      </c>
      <c r="DH59" t="s">
        <v>411</v>
      </c>
      <c r="DI59" t="s">
        <v>868</v>
      </c>
      <c r="DK59">
        <v>1819</v>
      </c>
      <c r="DL59">
        <v>153</v>
      </c>
      <c r="DM59">
        <v>73.108851017000006</v>
      </c>
      <c r="DN59">
        <v>297</v>
      </c>
      <c r="DO59">
        <v>297</v>
      </c>
      <c r="DP59">
        <v>117.303030303</v>
      </c>
      <c r="DQ59">
        <v>117.303030303</v>
      </c>
    </row>
    <row r="60" spans="2:121" x14ac:dyDescent="0.2">
      <c r="F60" t="s">
        <v>141</v>
      </c>
      <c r="G60">
        <v>420</v>
      </c>
      <c r="H60">
        <v>354.66428571429998</v>
      </c>
      <c r="I60">
        <v>412</v>
      </c>
      <c r="J60">
        <v>82</v>
      </c>
      <c r="K60">
        <v>554</v>
      </c>
      <c r="L60">
        <v>397</v>
      </c>
      <c r="M60">
        <v>51</v>
      </c>
      <c r="N60">
        <v>43</v>
      </c>
      <c r="O60">
        <v>84</v>
      </c>
      <c r="P60">
        <v>58</v>
      </c>
      <c r="Q60">
        <v>0</v>
      </c>
      <c r="R60">
        <v>2</v>
      </c>
      <c r="BJ60" t="s">
        <v>546</v>
      </c>
      <c r="BK60" t="s">
        <v>387</v>
      </c>
      <c r="BL60">
        <v>17265</v>
      </c>
      <c r="BM60">
        <v>3590</v>
      </c>
      <c r="BN60">
        <v>95.211410367799999</v>
      </c>
      <c r="BO60">
        <v>3620</v>
      </c>
      <c r="BP60">
        <v>3620</v>
      </c>
      <c r="BQ60">
        <v>156.58646408839999</v>
      </c>
      <c r="BR60">
        <v>156.58646408839999</v>
      </c>
      <c r="BS60">
        <v>13468</v>
      </c>
      <c r="BT60">
        <v>2277</v>
      </c>
      <c r="BU60">
        <v>84.395381645399993</v>
      </c>
      <c r="BV60">
        <v>2771</v>
      </c>
      <c r="BW60">
        <v>2771</v>
      </c>
      <c r="BX60">
        <v>149.99711295559999</v>
      </c>
      <c r="BY60">
        <v>149.99711295559999</v>
      </c>
      <c r="CA60" t="s">
        <v>395</v>
      </c>
      <c r="CB60" t="s">
        <v>922</v>
      </c>
      <c r="CC60" t="s">
        <v>1031</v>
      </c>
      <c r="CD60">
        <v>7866</v>
      </c>
      <c r="CE60">
        <v>1312</v>
      </c>
      <c r="CF60">
        <v>85.050088990600003</v>
      </c>
      <c r="CG60">
        <v>2173</v>
      </c>
      <c r="CH60">
        <v>2173</v>
      </c>
      <c r="CI60">
        <v>131.93373216750001</v>
      </c>
      <c r="CJ60">
        <v>131.93373216750001</v>
      </c>
      <c r="CL60" t="s">
        <v>395</v>
      </c>
      <c r="CM60" t="s">
        <v>907</v>
      </c>
      <c r="CN60" t="s">
        <v>906</v>
      </c>
      <c r="CO60">
        <v>698</v>
      </c>
      <c r="CP60">
        <v>44</v>
      </c>
      <c r="CQ60">
        <v>56.021489971299999</v>
      </c>
      <c r="CR60">
        <v>346</v>
      </c>
      <c r="CS60">
        <v>346</v>
      </c>
      <c r="CT60">
        <v>61.549132948</v>
      </c>
      <c r="CU60">
        <v>61.549132948</v>
      </c>
      <c r="CW60" t="s">
        <v>395</v>
      </c>
      <c r="CX60" t="s">
        <v>915</v>
      </c>
      <c r="CY60" t="s">
        <v>914</v>
      </c>
      <c r="CZ60">
        <v>180</v>
      </c>
      <c r="DA60">
        <v>19</v>
      </c>
      <c r="DB60">
        <v>72.138888888899999</v>
      </c>
      <c r="DC60">
        <v>22</v>
      </c>
      <c r="DD60">
        <v>22</v>
      </c>
      <c r="DE60">
        <v>144.04545454550001</v>
      </c>
      <c r="DF60">
        <v>144.04545454550001</v>
      </c>
      <c r="DH60" t="s">
        <v>395</v>
      </c>
      <c r="DI60" t="s">
        <v>899</v>
      </c>
      <c r="DJ60" t="s">
        <v>898</v>
      </c>
      <c r="DK60">
        <v>196</v>
      </c>
      <c r="DL60">
        <v>22</v>
      </c>
      <c r="DM60">
        <v>86.352040816300004</v>
      </c>
      <c r="DN60">
        <v>25</v>
      </c>
      <c r="DO60">
        <v>25</v>
      </c>
      <c r="DP60">
        <v>153.56</v>
      </c>
      <c r="DQ60">
        <v>153.56</v>
      </c>
    </row>
    <row r="61" spans="2:121" x14ac:dyDescent="0.2">
      <c r="F61" t="s">
        <v>59</v>
      </c>
      <c r="G61">
        <v>4484</v>
      </c>
      <c r="H61">
        <v>175.3668599465</v>
      </c>
      <c r="I61">
        <v>6204</v>
      </c>
      <c r="J61">
        <v>1033</v>
      </c>
      <c r="K61">
        <v>6523</v>
      </c>
      <c r="L61">
        <v>2857</v>
      </c>
      <c r="M61">
        <v>422</v>
      </c>
      <c r="N61">
        <v>247</v>
      </c>
      <c r="O61">
        <v>465</v>
      </c>
      <c r="P61">
        <v>208</v>
      </c>
      <c r="Q61">
        <v>4510</v>
      </c>
      <c r="R61">
        <v>0</v>
      </c>
      <c r="BJ61" t="s">
        <v>554</v>
      </c>
      <c r="BK61" t="s">
        <v>387</v>
      </c>
      <c r="BL61">
        <v>9009</v>
      </c>
      <c r="BM61">
        <v>2240</v>
      </c>
      <c r="BN61">
        <v>100.8040848041</v>
      </c>
      <c r="BO61">
        <v>1965</v>
      </c>
      <c r="BP61">
        <v>1965</v>
      </c>
      <c r="BQ61">
        <v>138.8763358779</v>
      </c>
      <c r="BR61">
        <v>138.8763358779</v>
      </c>
      <c r="BS61">
        <v>9169</v>
      </c>
      <c r="BT61">
        <v>2122</v>
      </c>
      <c r="BU61">
        <v>99.566364925299993</v>
      </c>
      <c r="BV61">
        <v>1934</v>
      </c>
      <c r="BW61">
        <v>1934</v>
      </c>
      <c r="BX61">
        <v>140.3366080662</v>
      </c>
      <c r="BY61">
        <v>140.3366080662</v>
      </c>
      <c r="CA61" t="s">
        <v>432</v>
      </c>
      <c r="CB61" t="s">
        <v>922</v>
      </c>
      <c r="CC61" t="s">
        <v>1032</v>
      </c>
      <c r="CD61">
        <v>23489</v>
      </c>
      <c r="CE61">
        <v>5978</v>
      </c>
      <c r="CF61">
        <v>104.6390225212</v>
      </c>
      <c r="CG61">
        <v>5591</v>
      </c>
      <c r="CH61">
        <v>5591</v>
      </c>
      <c r="CI61">
        <v>152.1870863888</v>
      </c>
      <c r="CJ61">
        <v>152.1870863888</v>
      </c>
      <c r="CL61" t="s">
        <v>432</v>
      </c>
      <c r="CM61" t="s">
        <v>907</v>
      </c>
      <c r="CN61" t="s">
        <v>908</v>
      </c>
      <c r="CO61">
        <v>1658</v>
      </c>
      <c r="CP61">
        <v>144</v>
      </c>
      <c r="CQ61">
        <v>66.950542822700001</v>
      </c>
      <c r="CR61">
        <v>785</v>
      </c>
      <c r="CS61">
        <v>785</v>
      </c>
      <c r="CT61">
        <v>76.816560509599995</v>
      </c>
      <c r="CU61">
        <v>76.816560509599995</v>
      </c>
      <c r="CW61" t="s">
        <v>432</v>
      </c>
      <c r="CX61" t="s">
        <v>915</v>
      </c>
      <c r="CY61" t="s">
        <v>916</v>
      </c>
      <c r="CZ61">
        <v>821</v>
      </c>
      <c r="DA61">
        <v>121</v>
      </c>
      <c r="DB61">
        <v>78.591961023099998</v>
      </c>
      <c r="DC61">
        <v>105</v>
      </c>
      <c r="DD61">
        <v>105</v>
      </c>
      <c r="DE61">
        <v>141.20952380950001</v>
      </c>
      <c r="DF61">
        <v>141.20952380950001</v>
      </c>
      <c r="DH61" t="s">
        <v>432</v>
      </c>
      <c r="DI61" t="s">
        <v>899</v>
      </c>
      <c r="DJ61" t="s">
        <v>900</v>
      </c>
      <c r="DK61">
        <v>995</v>
      </c>
      <c r="DL61">
        <v>105</v>
      </c>
      <c r="DM61">
        <v>80.100502512600002</v>
      </c>
      <c r="DN61">
        <v>161</v>
      </c>
      <c r="DO61">
        <v>161</v>
      </c>
      <c r="DP61">
        <v>139.03105590059999</v>
      </c>
      <c r="DQ61">
        <v>139.03105590059999</v>
      </c>
    </row>
    <row r="62" spans="2:121" x14ac:dyDescent="0.2">
      <c r="BJ62" t="s">
        <v>570</v>
      </c>
      <c r="BK62" t="s">
        <v>387</v>
      </c>
      <c r="BL62">
        <v>4904</v>
      </c>
      <c r="BM62">
        <v>1099</v>
      </c>
      <c r="BN62">
        <v>108.2542822186</v>
      </c>
      <c r="BO62">
        <v>1226</v>
      </c>
      <c r="BP62">
        <v>1226</v>
      </c>
      <c r="BQ62">
        <v>158.23980424140001</v>
      </c>
      <c r="BR62">
        <v>158.23980424140001</v>
      </c>
      <c r="BS62">
        <v>7140</v>
      </c>
      <c r="BT62">
        <v>2689</v>
      </c>
      <c r="BU62">
        <v>146.01820728289999</v>
      </c>
      <c r="BV62">
        <v>1549</v>
      </c>
      <c r="BW62">
        <v>1549</v>
      </c>
      <c r="BX62">
        <v>174.32020658490001</v>
      </c>
      <c r="BY62">
        <v>174.32020658490001</v>
      </c>
      <c r="CA62" t="s">
        <v>388</v>
      </c>
      <c r="CB62" t="s">
        <v>922</v>
      </c>
      <c r="CC62" t="s">
        <v>1033</v>
      </c>
      <c r="CD62">
        <v>17824</v>
      </c>
      <c r="CE62">
        <v>3621</v>
      </c>
      <c r="CF62">
        <v>94.011108617600001</v>
      </c>
      <c r="CG62">
        <v>4024</v>
      </c>
      <c r="CH62">
        <v>4024</v>
      </c>
      <c r="CI62">
        <v>145.8168489066</v>
      </c>
      <c r="CJ62">
        <v>145.8168489066</v>
      </c>
      <c r="CL62" t="s">
        <v>388</v>
      </c>
      <c r="CM62" t="s">
        <v>907</v>
      </c>
      <c r="CN62" t="s">
        <v>909</v>
      </c>
      <c r="CO62">
        <v>796</v>
      </c>
      <c r="CP62">
        <v>84</v>
      </c>
      <c r="CQ62">
        <v>75.173366834199996</v>
      </c>
      <c r="CR62">
        <v>405</v>
      </c>
      <c r="CS62">
        <v>405</v>
      </c>
      <c r="CT62">
        <v>82.002469135799998</v>
      </c>
      <c r="CU62">
        <v>82.002469135799998</v>
      </c>
      <c r="CW62" t="s">
        <v>388</v>
      </c>
      <c r="CX62" t="s">
        <v>915</v>
      </c>
      <c r="CY62" t="s">
        <v>917</v>
      </c>
      <c r="CZ62">
        <v>476</v>
      </c>
      <c r="DA62">
        <v>83</v>
      </c>
      <c r="DB62">
        <v>82.478991596599997</v>
      </c>
      <c r="DC62">
        <v>54</v>
      </c>
      <c r="DD62">
        <v>54</v>
      </c>
      <c r="DE62">
        <v>157.55555555559999</v>
      </c>
      <c r="DF62">
        <v>157.55555555559999</v>
      </c>
      <c r="DH62" t="s">
        <v>388</v>
      </c>
      <c r="DI62" t="s">
        <v>899</v>
      </c>
      <c r="DJ62" t="s">
        <v>901</v>
      </c>
      <c r="DK62">
        <v>541</v>
      </c>
      <c r="DL62">
        <v>68</v>
      </c>
      <c r="DM62">
        <v>82.029574861399993</v>
      </c>
      <c r="DN62">
        <v>80</v>
      </c>
      <c r="DO62">
        <v>80</v>
      </c>
      <c r="DP62">
        <v>135.1875</v>
      </c>
      <c r="DQ62">
        <v>135.1875</v>
      </c>
    </row>
    <row r="63" spans="2:121" x14ac:dyDescent="0.2">
      <c r="BJ63" t="s">
        <v>560</v>
      </c>
      <c r="BK63" t="s">
        <v>387</v>
      </c>
      <c r="BL63">
        <v>7715</v>
      </c>
      <c r="BM63">
        <v>1197</v>
      </c>
      <c r="BN63">
        <v>83.315489306499998</v>
      </c>
      <c r="BO63">
        <v>2075</v>
      </c>
      <c r="BP63">
        <v>2075</v>
      </c>
      <c r="BQ63">
        <v>134.9571084337</v>
      </c>
      <c r="BR63">
        <v>134.9571084337</v>
      </c>
      <c r="BS63">
        <v>6864</v>
      </c>
      <c r="BT63">
        <v>1035</v>
      </c>
      <c r="BU63">
        <v>77.622960372999998</v>
      </c>
      <c r="BV63">
        <v>1984</v>
      </c>
      <c r="BW63">
        <v>1984</v>
      </c>
      <c r="BX63">
        <v>132.1431451613</v>
      </c>
      <c r="BY63">
        <v>132.1431451613</v>
      </c>
      <c r="CA63" t="s">
        <v>400</v>
      </c>
      <c r="CB63" t="s">
        <v>922</v>
      </c>
      <c r="CC63" t="s">
        <v>1034</v>
      </c>
      <c r="CD63">
        <v>4405</v>
      </c>
      <c r="CE63">
        <v>819</v>
      </c>
      <c r="CF63">
        <v>96.990011350700001</v>
      </c>
      <c r="CG63">
        <v>1271</v>
      </c>
      <c r="CH63">
        <v>1271</v>
      </c>
      <c r="CI63">
        <v>137.36270653029999</v>
      </c>
      <c r="CJ63">
        <v>137.36270653029999</v>
      </c>
      <c r="CL63" t="s">
        <v>400</v>
      </c>
      <c r="CM63" t="s">
        <v>907</v>
      </c>
      <c r="CN63" t="s">
        <v>910</v>
      </c>
      <c r="CO63">
        <v>402</v>
      </c>
      <c r="CP63">
        <v>33</v>
      </c>
      <c r="CQ63">
        <v>65.417910447799997</v>
      </c>
      <c r="CR63">
        <v>193</v>
      </c>
      <c r="CS63">
        <v>193</v>
      </c>
      <c r="CT63">
        <v>69.274611398999994</v>
      </c>
      <c r="CU63">
        <v>69.274611398999994</v>
      </c>
      <c r="CW63" t="s">
        <v>400</v>
      </c>
      <c r="CX63" t="s">
        <v>915</v>
      </c>
      <c r="CY63" t="s">
        <v>918</v>
      </c>
      <c r="CZ63">
        <v>105</v>
      </c>
      <c r="DA63">
        <v>16</v>
      </c>
      <c r="DB63">
        <v>69.933333333299998</v>
      </c>
      <c r="DC63">
        <v>17</v>
      </c>
      <c r="DD63">
        <v>17</v>
      </c>
      <c r="DE63">
        <v>136.4117647059</v>
      </c>
      <c r="DF63">
        <v>136.4117647059</v>
      </c>
      <c r="DH63" t="s">
        <v>400</v>
      </c>
      <c r="DI63" t="s">
        <v>899</v>
      </c>
      <c r="DJ63" t="s">
        <v>902</v>
      </c>
      <c r="DK63">
        <v>164</v>
      </c>
      <c r="DL63">
        <v>14</v>
      </c>
      <c r="DM63">
        <v>71.530487804900005</v>
      </c>
      <c r="DN63">
        <v>26</v>
      </c>
      <c r="DO63">
        <v>26</v>
      </c>
      <c r="DP63">
        <v>139.23076923080001</v>
      </c>
      <c r="DQ63">
        <v>139.23076923080001</v>
      </c>
    </row>
    <row r="64" spans="2:121" x14ac:dyDescent="0.2">
      <c r="BJ64" t="s">
        <v>556</v>
      </c>
      <c r="BK64" t="s">
        <v>387</v>
      </c>
      <c r="BL64">
        <v>9596</v>
      </c>
      <c r="BM64">
        <v>1939</v>
      </c>
      <c r="BN64">
        <v>89.652146727800002</v>
      </c>
      <c r="BO64">
        <v>2391</v>
      </c>
      <c r="BP64">
        <v>2391</v>
      </c>
      <c r="BQ64">
        <v>131.1037222919</v>
      </c>
      <c r="BR64">
        <v>131.1037222919</v>
      </c>
      <c r="BS64">
        <v>10119</v>
      </c>
      <c r="BT64">
        <v>2145</v>
      </c>
      <c r="BU64">
        <v>94.641861844100006</v>
      </c>
      <c r="BV64">
        <v>2619</v>
      </c>
      <c r="BW64">
        <v>2619</v>
      </c>
      <c r="BX64">
        <v>144.44291714389999</v>
      </c>
      <c r="BY64">
        <v>144.44291714389999</v>
      </c>
      <c r="CA64" t="s">
        <v>434</v>
      </c>
      <c r="CB64" t="s">
        <v>922</v>
      </c>
      <c r="CC64" t="s">
        <v>1035</v>
      </c>
      <c r="CD64">
        <v>3133</v>
      </c>
      <c r="CE64">
        <v>634</v>
      </c>
      <c r="CF64">
        <v>99.589849983999997</v>
      </c>
      <c r="CG64">
        <v>634</v>
      </c>
      <c r="CH64">
        <v>634</v>
      </c>
      <c r="CI64">
        <v>157.6246056782</v>
      </c>
      <c r="CJ64">
        <v>157.6246056782</v>
      </c>
      <c r="CL64" t="s">
        <v>434</v>
      </c>
      <c r="CM64" t="s">
        <v>907</v>
      </c>
      <c r="CN64" t="s">
        <v>911</v>
      </c>
      <c r="CO64">
        <v>296</v>
      </c>
      <c r="CP64">
        <v>31</v>
      </c>
      <c r="CQ64">
        <v>66.787162162200005</v>
      </c>
      <c r="CR64">
        <v>173</v>
      </c>
      <c r="CS64">
        <v>173</v>
      </c>
      <c r="CT64">
        <v>89.710982658999995</v>
      </c>
      <c r="CU64">
        <v>89.710982658999995</v>
      </c>
      <c r="CW64" t="s">
        <v>434</v>
      </c>
      <c r="CX64" t="s">
        <v>915</v>
      </c>
      <c r="CY64" t="s">
        <v>919</v>
      </c>
      <c r="CZ64">
        <v>19</v>
      </c>
      <c r="DA64">
        <v>2</v>
      </c>
      <c r="DB64">
        <v>65.789473684200004</v>
      </c>
      <c r="DC64">
        <v>0</v>
      </c>
      <c r="DD64">
        <v>0</v>
      </c>
      <c r="DE64">
        <v>0</v>
      </c>
      <c r="DF64">
        <v>0</v>
      </c>
      <c r="DH64" t="s">
        <v>434</v>
      </c>
      <c r="DI64" t="s">
        <v>899</v>
      </c>
      <c r="DJ64" t="s">
        <v>903</v>
      </c>
      <c r="DK64">
        <v>15</v>
      </c>
      <c r="DL64">
        <v>2</v>
      </c>
      <c r="DM64">
        <v>67.8</v>
      </c>
      <c r="DN64">
        <v>3</v>
      </c>
      <c r="DO64">
        <v>3</v>
      </c>
      <c r="DP64">
        <v>121.3333333333</v>
      </c>
      <c r="DQ64">
        <v>121.3333333333</v>
      </c>
    </row>
    <row r="65" spans="62:121" x14ac:dyDescent="0.2">
      <c r="BJ65" t="s">
        <v>620</v>
      </c>
      <c r="BK65" t="s">
        <v>387</v>
      </c>
      <c r="BL65">
        <v>3154</v>
      </c>
      <c r="BM65">
        <v>649</v>
      </c>
      <c r="BN65">
        <v>98.766011414100007</v>
      </c>
      <c r="BO65">
        <v>633</v>
      </c>
      <c r="BP65">
        <v>633</v>
      </c>
      <c r="BQ65">
        <v>160.24486571880001</v>
      </c>
      <c r="BR65">
        <v>160.24486571880001</v>
      </c>
      <c r="BS65">
        <v>3266</v>
      </c>
      <c r="BT65">
        <v>803</v>
      </c>
      <c r="BU65">
        <v>111.08083282299999</v>
      </c>
      <c r="BV65">
        <v>715</v>
      </c>
      <c r="BW65">
        <v>715</v>
      </c>
      <c r="BX65">
        <v>183.4811188811</v>
      </c>
      <c r="BY65">
        <v>183.4811188811</v>
      </c>
      <c r="CA65" t="s">
        <v>390</v>
      </c>
      <c r="CB65" t="s">
        <v>922</v>
      </c>
      <c r="CC65" t="s">
        <v>1036</v>
      </c>
      <c r="CD65">
        <v>9441</v>
      </c>
      <c r="CE65">
        <v>2254</v>
      </c>
      <c r="CF65">
        <v>99.995763160699994</v>
      </c>
      <c r="CG65">
        <v>2176</v>
      </c>
      <c r="CH65">
        <v>2176</v>
      </c>
      <c r="CI65">
        <v>135.8120404412</v>
      </c>
      <c r="CJ65">
        <v>135.8120404412</v>
      </c>
      <c r="CL65" t="s">
        <v>390</v>
      </c>
      <c r="CM65" t="s">
        <v>907</v>
      </c>
      <c r="CN65" t="s">
        <v>912</v>
      </c>
      <c r="CO65">
        <v>546</v>
      </c>
      <c r="CP65">
        <v>48</v>
      </c>
      <c r="CQ65">
        <v>69.053113553100005</v>
      </c>
      <c r="CR65">
        <v>263</v>
      </c>
      <c r="CS65">
        <v>263</v>
      </c>
      <c r="CT65">
        <v>81.220532319399993</v>
      </c>
      <c r="CU65">
        <v>81.220532319399993</v>
      </c>
      <c r="CW65" t="s">
        <v>390</v>
      </c>
      <c r="CX65" t="s">
        <v>915</v>
      </c>
      <c r="CY65" t="s">
        <v>920</v>
      </c>
      <c r="CZ65">
        <v>275</v>
      </c>
      <c r="DA65">
        <v>40</v>
      </c>
      <c r="DB65">
        <v>84.341818181799994</v>
      </c>
      <c r="DC65">
        <v>31</v>
      </c>
      <c r="DD65">
        <v>31</v>
      </c>
      <c r="DE65">
        <v>146.61290322580001</v>
      </c>
      <c r="DF65">
        <v>146.61290322580001</v>
      </c>
      <c r="DH65" t="s">
        <v>390</v>
      </c>
      <c r="DI65" t="s">
        <v>899</v>
      </c>
      <c r="DJ65" t="s">
        <v>904</v>
      </c>
      <c r="DK65">
        <v>275</v>
      </c>
      <c r="DL65">
        <v>31</v>
      </c>
      <c r="DM65">
        <v>78.447272727300003</v>
      </c>
      <c r="DN65">
        <v>31</v>
      </c>
      <c r="DO65">
        <v>31</v>
      </c>
      <c r="DP65">
        <v>131.96774193549999</v>
      </c>
      <c r="DQ65">
        <v>131.96774193549999</v>
      </c>
    </row>
    <row r="66" spans="62:121" x14ac:dyDescent="0.2">
      <c r="BJ66" t="s">
        <v>387</v>
      </c>
      <c r="BK66" t="s">
        <v>387</v>
      </c>
      <c r="BL66">
        <v>73893</v>
      </c>
      <c r="BM66">
        <v>16444</v>
      </c>
      <c r="BN66">
        <v>97.871489857</v>
      </c>
      <c r="BO66">
        <v>16948</v>
      </c>
      <c r="BP66">
        <v>16948</v>
      </c>
      <c r="BQ66">
        <v>149.0712768468</v>
      </c>
      <c r="BR66">
        <v>149.0712768468</v>
      </c>
      <c r="BS66">
        <v>69493</v>
      </c>
      <c r="BT66">
        <v>14852</v>
      </c>
      <c r="BU66">
        <v>96.743355445899994</v>
      </c>
      <c r="BV66">
        <v>15953</v>
      </c>
      <c r="BW66">
        <v>15953</v>
      </c>
      <c r="BX66">
        <v>148.01705008459999</v>
      </c>
      <c r="BY66">
        <v>148.01705008459999</v>
      </c>
      <c r="CA66" t="s">
        <v>391</v>
      </c>
      <c r="CB66" t="s">
        <v>922</v>
      </c>
      <c r="CC66" t="s">
        <v>1037</v>
      </c>
      <c r="CD66">
        <v>9527</v>
      </c>
      <c r="CE66">
        <v>1941</v>
      </c>
      <c r="CF66">
        <v>90.253385116000004</v>
      </c>
      <c r="CG66">
        <v>2464</v>
      </c>
      <c r="CH66">
        <v>2464</v>
      </c>
      <c r="CI66">
        <v>128.40706168829999</v>
      </c>
      <c r="CJ66">
        <v>128.40706168829999</v>
      </c>
      <c r="CL66" t="s">
        <v>391</v>
      </c>
      <c r="CM66" t="s">
        <v>907</v>
      </c>
      <c r="CN66" t="s">
        <v>913</v>
      </c>
      <c r="CO66">
        <v>738</v>
      </c>
      <c r="CP66">
        <v>48</v>
      </c>
      <c r="CQ66">
        <v>55.025745257499999</v>
      </c>
      <c r="CR66">
        <v>326</v>
      </c>
      <c r="CS66">
        <v>326</v>
      </c>
      <c r="CT66">
        <v>58.021472392600003</v>
      </c>
      <c r="CU66">
        <v>58.021472392600003</v>
      </c>
      <c r="CW66" t="s">
        <v>391</v>
      </c>
      <c r="CX66" t="s">
        <v>915</v>
      </c>
      <c r="CY66" t="s">
        <v>921</v>
      </c>
      <c r="CZ66">
        <v>216</v>
      </c>
      <c r="DA66">
        <v>23</v>
      </c>
      <c r="DB66">
        <v>76.337962962999995</v>
      </c>
      <c r="DC66">
        <v>39</v>
      </c>
      <c r="DD66">
        <v>39</v>
      </c>
      <c r="DE66">
        <v>139.4615384615</v>
      </c>
      <c r="DF66">
        <v>139.4615384615</v>
      </c>
      <c r="DH66" t="s">
        <v>391</v>
      </c>
      <c r="DI66" t="s">
        <v>899</v>
      </c>
      <c r="DJ66" t="s">
        <v>905</v>
      </c>
      <c r="DK66">
        <v>451</v>
      </c>
      <c r="DL66">
        <v>67</v>
      </c>
      <c r="DM66">
        <v>77.975609756099999</v>
      </c>
      <c r="DN66">
        <v>52</v>
      </c>
      <c r="DO66">
        <v>52</v>
      </c>
      <c r="DP66">
        <v>144.38461538460001</v>
      </c>
      <c r="DQ66">
        <v>144.38461538460001</v>
      </c>
    </row>
    <row r="67" spans="62:121" x14ac:dyDescent="0.2">
      <c r="BJ67" t="s">
        <v>548</v>
      </c>
      <c r="BK67" t="s">
        <v>387</v>
      </c>
      <c r="BL67">
        <v>22250</v>
      </c>
      <c r="BM67">
        <v>5730</v>
      </c>
      <c r="BN67">
        <v>104.92498876400001</v>
      </c>
      <c r="BO67">
        <v>5038</v>
      </c>
      <c r="BP67">
        <v>5038</v>
      </c>
      <c r="BQ67">
        <v>158.35311631600001</v>
      </c>
      <c r="BR67">
        <v>158.35311631600001</v>
      </c>
      <c r="BS67">
        <v>19467</v>
      </c>
      <c r="BT67">
        <v>3781</v>
      </c>
      <c r="BU67">
        <v>91.312477526099997</v>
      </c>
      <c r="BV67">
        <v>4381</v>
      </c>
      <c r="BW67">
        <v>4381</v>
      </c>
      <c r="BX67">
        <v>144.3926044282</v>
      </c>
      <c r="BY67">
        <v>144.3926044282</v>
      </c>
      <c r="CA67" t="s">
        <v>387</v>
      </c>
      <c r="CB67" t="s">
        <v>922</v>
      </c>
      <c r="CD67">
        <v>75685</v>
      </c>
      <c r="CE67">
        <v>16559</v>
      </c>
      <c r="CF67">
        <v>97.056008456100002</v>
      </c>
      <c r="CG67">
        <v>18333</v>
      </c>
      <c r="CH67">
        <v>18333</v>
      </c>
      <c r="CI67">
        <v>142.40882561500001</v>
      </c>
      <c r="CJ67">
        <v>142.40882561500001</v>
      </c>
      <c r="CL67" t="s">
        <v>387</v>
      </c>
      <c r="CM67" t="s">
        <v>907</v>
      </c>
      <c r="CO67">
        <v>5134</v>
      </c>
      <c r="CP67">
        <v>432</v>
      </c>
      <c r="CQ67">
        <v>65.119594857799996</v>
      </c>
      <c r="CR67">
        <v>2491</v>
      </c>
      <c r="CS67">
        <v>2491</v>
      </c>
      <c r="CT67">
        <v>73.855479727000002</v>
      </c>
      <c r="CU67">
        <v>73.855479727000002</v>
      </c>
      <c r="CW67" t="s">
        <v>387</v>
      </c>
      <c r="CX67" t="s">
        <v>915</v>
      </c>
      <c r="CZ67">
        <v>2092</v>
      </c>
      <c r="DA67">
        <v>304</v>
      </c>
      <c r="DB67">
        <v>78.893403441700002</v>
      </c>
      <c r="DC67">
        <v>268</v>
      </c>
      <c r="DD67">
        <v>268</v>
      </c>
      <c r="DE67">
        <v>144.80223880599999</v>
      </c>
      <c r="DF67">
        <v>144.80223880599999</v>
      </c>
      <c r="DH67" t="s">
        <v>387</v>
      </c>
      <c r="DI67" t="s">
        <v>899</v>
      </c>
      <c r="DK67">
        <v>2637</v>
      </c>
      <c r="DL67">
        <v>309</v>
      </c>
      <c r="DM67">
        <v>79.822146378499994</v>
      </c>
      <c r="DN67">
        <v>378</v>
      </c>
      <c r="DO67">
        <v>378</v>
      </c>
      <c r="DP67">
        <v>139.208994709</v>
      </c>
      <c r="DQ67">
        <v>139.208994709</v>
      </c>
    </row>
    <row r="68" spans="62:121" x14ac:dyDescent="0.2">
      <c r="BJ68" t="s">
        <v>314</v>
      </c>
      <c r="BK68" t="s">
        <v>702</v>
      </c>
      <c r="BL68">
        <v>8975</v>
      </c>
      <c r="BM68">
        <v>810</v>
      </c>
      <c r="BN68">
        <v>74.938607242299994</v>
      </c>
      <c r="BO68">
        <v>1312</v>
      </c>
      <c r="BP68">
        <v>1312</v>
      </c>
      <c r="BQ68">
        <v>124.9931402439</v>
      </c>
      <c r="BR68">
        <v>124.9931402439</v>
      </c>
      <c r="BS68">
        <v>651</v>
      </c>
      <c r="BT68">
        <v>83</v>
      </c>
      <c r="BU68">
        <v>72.1351766513</v>
      </c>
      <c r="BV68">
        <v>120</v>
      </c>
      <c r="BW68">
        <v>120</v>
      </c>
      <c r="BX68">
        <v>78.958333333300004</v>
      </c>
      <c r="BY68">
        <v>78.958333333300004</v>
      </c>
      <c r="CA68" t="s">
        <v>705</v>
      </c>
      <c r="CD68">
        <v>368140</v>
      </c>
      <c r="CE68">
        <v>74055</v>
      </c>
      <c r="CF68">
        <v>92.059776172100001</v>
      </c>
      <c r="CG68">
        <v>100865</v>
      </c>
      <c r="CH68">
        <v>100865</v>
      </c>
      <c r="CI68">
        <v>129.38029048729999</v>
      </c>
      <c r="CJ68">
        <v>129.38029048729999</v>
      </c>
      <c r="CL68" t="s">
        <v>705</v>
      </c>
      <c r="CO68">
        <v>368140</v>
      </c>
      <c r="CP68">
        <v>74055</v>
      </c>
      <c r="CQ68">
        <v>92.059776172100001</v>
      </c>
      <c r="CR68">
        <v>100865</v>
      </c>
      <c r="CS68">
        <v>100865</v>
      </c>
      <c r="CT68">
        <v>129.38029048729999</v>
      </c>
      <c r="CU68">
        <v>129.38029048729999</v>
      </c>
      <c r="CW68" t="s">
        <v>705</v>
      </c>
      <c r="CZ68">
        <v>368140</v>
      </c>
      <c r="DA68">
        <v>74055</v>
      </c>
      <c r="DB68">
        <v>92.059776172100001</v>
      </c>
      <c r="DC68">
        <v>100865</v>
      </c>
      <c r="DD68">
        <v>100865</v>
      </c>
      <c r="DE68">
        <v>129.38029048729999</v>
      </c>
      <c r="DF68">
        <v>129.38029048729999</v>
      </c>
      <c r="DH68" t="s">
        <v>705</v>
      </c>
      <c r="DK68">
        <v>368140</v>
      </c>
      <c r="DL68">
        <v>74055</v>
      </c>
      <c r="DM68">
        <v>92.059776172100001</v>
      </c>
      <c r="DN68">
        <v>100865</v>
      </c>
      <c r="DO68">
        <v>100865</v>
      </c>
      <c r="DP68">
        <v>129.38029048729999</v>
      </c>
      <c r="DQ68">
        <v>129.38029048729999</v>
      </c>
    </row>
    <row r="69" spans="62:121" x14ac:dyDescent="0.2">
      <c r="BJ69" t="s">
        <v>217</v>
      </c>
      <c r="BK69" t="s">
        <v>702</v>
      </c>
      <c r="BL69">
        <v>57</v>
      </c>
      <c r="BM69">
        <v>5</v>
      </c>
      <c r="BN69">
        <v>82.298245613999995</v>
      </c>
      <c r="BO69">
        <v>12</v>
      </c>
      <c r="BP69">
        <v>12</v>
      </c>
      <c r="BQ69">
        <v>205.1666666667</v>
      </c>
      <c r="BR69">
        <v>205.1666666667</v>
      </c>
      <c r="BS69">
        <v>3982</v>
      </c>
      <c r="BT69">
        <v>207</v>
      </c>
      <c r="BU69">
        <v>68.351330989499999</v>
      </c>
      <c r="BV69">
        <v>752</v>
      </c>
      <c r="BW69">
        <v>752</v>
      </c>
      <c r="BX69">
        <v>115.977393617</v>
      </c>
      <c r="BY69">
        <v>115.977393617</v>
      </c>
    </row>
    <row r="70" spans="62:121" x14ac:dyDescent="0.2">
      <c r="BJ70" t="s">
        <v>702</v>
      </c>
      <c r="BK70" t="s">
        <v>702</v>
      </c>
      <c r="BL70">
        <v>11053</v>
      </c>
      <c r="BM70">
        <v>1132</v>
      </c>
      <c r="BN70">
        <v>76.560481317300003</v>
      </c>
      <c r="BO70">
        <v>1576</v>
      </c>
      <c r="BP70">
        <v>1576</v>
      </c>
      <c r="BQ70">
        <v>129.00761421319999</v>
      </c>
      <c r="BR70">
        <v>129.00761421319999</v>
      </c>
      <c r="BS70">
        <v>11053</v>
      </c>
      <c r="BT70">
        <v>1132</v>
      </c>
      <c r="BU70">
        <v>76.560481317300003</v>
      </c>
      <c r="BV70">
        <v>1576</v>
      </c>
      <c r="BW70">
        <v>1576</v>
      </c>
      <c r="BX70">
        <v>129.00761421319999</v>
      </c>
      <c r="BY70">
        <v>129.00761421319999</v>
      </c>
    </row>
    <row r="71" spans="62:121" x14ac:dyDescent="0.2">
      <c r="BJ71" t="s">
        <v>219</v>
      </c>
      <c r="BK71" t="s">
        <v>702</v>
      </c>
      <c r="BL71">
        <v>2021</v>
      </c>
      <c r="BM71">
        <v>317</v>
      </c>
      <c r="BN71">
        <v>83.601187530900006</v>
      </c>
      <c r="BO71">
        <v>252</v>
      </c>
      <c r="BP71">
        <v>252</v>
      </c>
      <c r="BQ71">
        <v>146.28174603170001</v>
      </c>
      <c r="BR71">
        <v>146.28174603170001</v>
      </c>
      <c r="BS71">
        <v>6420</v>
      </c>
      <c r="BT71">
        <v>842</v>
      </c>
      <c r="BU71">
        <v>82.100934579400004</v>
      </c>
      <c r="BV71">
        <v>704</v>
      </c>
      <c r="BW71">
        <v>704</v>
      </c>
      <c r="BX71">
        <v>151.45738636359999</v>
      </c>
      <c r="BY71">
        <v>151.45738636359999</v>
      </c>
    </row>
    <row r="72" spans="62:121" x14ac:dyDescent="0.2">
      <c r="BJ72" t="s">
        <v>215</v>
      </c>
      <c r="BK72" t="s">
        <v>703</v>
      </c>
      <c r="BL72">
        <v>6664</v>
      </c>
      <c r="BM72">
        <v>432</v>
      </c>
      <c r="BN72">
        <v>57.474639855900001</v>
      </c>
      <c r="BO72">
        <v>3118</v>
      </c>
      <c r="BP72">
        <v>3118</v>
      </c>
      <c r="BQ72">
        <v>62.7870429763</v>
      </c>
      <c r="BR72">
        <v>62.7870429763</v>
      </c>
      <c r="BS72">
        <v>6659</v>
      </c>
      <c r="BT72">
        <v>423</v>
      </c>
      <c r="BU72">
        <v>57.194173299299997</v>
      </c>
      <c r="BV72">
        <v>3134</v>
      </c>
      <c r="BW72">
        <v>3134</v>
      </c>
      <c r="BX72">
        <v>63.2862156988</v>
      </c>
      <c r="BY72">
        <v>63.2862156988</v>
      </c>
    </row>
    <row r="73" spans="62:121" x14ac:dyDescent="0.2">
      <c r="BJ73" t="s">
        <v>230</v>
      </c>
      <c r="BK73" t="s">
        <v>703</v>
      </c>
      <c r="BL73">
        <v>550</v>
      </c>
      <c r="BM73">
        <v>241</v>
      </c>
      <c r="BN73">
        <v>168.4181818182</v>
      </c>
      <c r="BO73">
        <v>428</v>
      </c>
      <c r="BP73">
        <v>428</v>
      </c>
      <c r="BQ73">
        <v>53.278037383200001</v>
      </c>
      <c r="BR73">
        <v>53.278037383200001</v>
      </c>
      <c r="BS73">
        <v>516</v>
      </c>
      <c r="BT73">
        <v>257</v>
      </c>
      <c r="BU73">
        <v>181.7868217054</v>
      </c>
      <c r="BV73">
        <v>352</v>
      </c>
      <c r="BW73">
        <v>352</v>
      </c>
      <c r="BX73">
        <v>37.480113636399999</v>
      </c>
      <c r="BY73">
        <v>37.480113636399999</v>
      </c>
    </row>
    <row r="74" spans="62:121" x14ac:dyDescent="0.2">
      <c r="BJ74" t="s">
        <v>216</v>
      </c>
      <c r="BK74" t="s">
        <v>703</v>
      </c>
      <c r="BL74">
        <v>7751</v>
      </c>
      <c r="BM74">
        <v>696</v>
      </c>
      <c r="BN74">
        <v>66.311830731499995</v>
      </c>
      <c r="BO74">
        <v>3576</v>
      </c>
      <c r="BP74">
        <v>3576</v>
      </c>
      <c r="BQ74">
        <v>81.274888143200002</v>
      </c>
      <c r="BR74">
        <v>81.274888143200002</v>
      </c>
      <c r="BS74">
        <v>7778</v>
      </c>
      <c r="BT74">
        <v>701</v>
      </c>
      <c r="BU74">
        <v>66.452944201600005</v>
      </c>
      <c r="BV74">
        <v>3605</v>
      </c>
      <c r="BW74">
        <v>3605</v>
      </c>
      <c r="BX74">
        <v>81.800554785000003</v>
      </c>
      <c r="BY74">
        <v>81.800554785000003</v>
      </c>
    </row>
    <row r="75" spans="62:121" x14ac:dyDescent="0.2">
      <c r="BJ75" t="s">
        <v>218</v>
      </c>
      <c r="BK75" t="s">
        <v>703</v>
      </c>
      <c r="BL75">
        <v>7661</v>
      </c>
      <c r="BM75">
        <v>446</v>
      </c>
      <c r="BN75">
        <v>55.248923117099999</v>
      </c>
      <c r="BO75">
        <v>4744</v>
      </c>
      <c r="BP75">
        <v>4744</v>
      </c>
      <c r="BQ75">
        <v>62.804173693099997</v>
      </c>
      <c r="BR75">
        <v>62.804173693099997</v>
      </c>
      <c r="BS75">
        <v>7673</v>
      </c>
      <c r="BT75">
        <v>434</v>
      </c>
      <c r="BU75">
        <v>54.9142447543</v>
      </c>
      <c r="BV75">
        <v>4775</v>
      </c>
      <c r="BW75">
        <v>4775</v>
      </c>
      <c r="BX75">
        <v>62.980523560199998</v>
      </c>
      <c r="BY75">
        <v>62.980523560199998</v>
      </c>
    </row>
    <row r="76" spans="62:121" x14ac:dyDescent="0.2">
      <c r="BJ76" t="s">
        <v>703</v>
      </c>
      <c r="BK76" t="s">
        <v>703</v>
      </c>
      <c r="BL76">
        <v>22626</v>
      </c>
      <c r="BM76">
        <v>1815</v>
      </c>
      <c r="BN76">
        <v>62.445239989400001</v>
      </c>
      <c r="BO76">
        <v>11866</v>
      </c>
      <c r="BP76">
        <v>11866</v>
      </c>
      <c r="BQ76">
        <v>68.022501264100001</v>
      </c>
      <c r="BR76">
        <v>68.022501264100001</v>
      </c>
      <c r="BS76">
        <v>22626</v>
      </c>
      <c r="BT76">
        <v>1815</v>
      </c>
      <c r="BU76">
        <v>62.445239989400001</v>
      </c>
      <c r="BV76">
        <v>11866</v>
      </c>
      <c r="BW76">
        <v>11866</v>
      </c>
      <c r="BX76">
        <v>68.022501264100001</v>
      </c>
      <c r="BY76">
        <v>68.022501264100001</v>
      </c>
    </row>
    <row r="77" spans="62:121" x14ac:dyDescent="0.2">
      <c r="BJ77" t="s">
        <v>313</v>
      </c>
      <c r="BK77" t="s">
        <v>704</v>
      </c>
      <c r="BL77">
        <v>6342</v>
      </c>
      <c r="BM77">
        <v>782</v>
      </c>
      <c r="BN77">
        <v>74.799590034700003</v>
      </c>
      <c r="BO77">
        <v>817</v>
      </c>
      <c r="BP77">
        <v>817</v>
      </c>
      <c r="BQ77">
        <v>137.27662178700001</v>
      </c>
      <c r="BR77">
        <v>137.27662178700001</v>
      </c>
      <c r="BS77">
        <v>513</v>
      </c>
      <c r="BT77">
        <v>52</v>
      </c>
      <c r="BU77">
        <v>64.387914230000007</v>
      </c>
      <c r="BV77">
        <v>33</v>
      </c>
      <c r="BW77">
        <v>33</v>
      </c>
      <c r="BX77">
        <v>110.06060606059999</v>
      </c>
      <c r="BY77">
        <v>110.06060606059999</v>
      </c>
    </row>
    <row r="78" spans="62:121" x14ac:dyDescent="0.2">
      <c r="BJ78" t="s">
        <v>963</v>
      </c>
      <c r="BK78" t="s">
        <v>704</v>
      </c>
      <c r="BL78">
        <v>1836</v>
      </c>
      <c r="BM78">
        <v>174</v>
      </c>
      <c r="BN78">
        <v>69.381263616599995</v>
      </c>
      <c r="BO78">
        <v>370</v>
      </c>
      <c r="BP78">
        <v>370</v>
      </c>
      <c r="BQ78">
        <v>112.4378378378</v>
      </c>
      <c r="BR78">
        <v>112.4378378378</v>
      </c>
      <c r="BS78">
        <v>4349</v>
      </c>
      <c r="BT78">
        <v>397</v>
      </c>
      <c r="BU78">
        <v>68.447229248100001</v>
      </c>
      <c r="BV78">
        <v>768</v>
      </c>
      <c r="BW78">
        <v>768</v>
      </c>
      <c r="BX78">
        <v>114.8072916667</v>
      </c>
      <c r="BY78">
        <v>114.8072916667</v>
      </c>
    </row>
    <row r="79" spans="62:121" x14ac:dyDescent="0.2">
      <c r="BJ79" t="s">
        <v>704</v>
      </c>
      <c r="BK79" t="s">
        <v>704</v>
      </c>
      <c r="BL79">
        <v>9976</v>
      </c>
      <c r="BM79">
        <v>1288</v>
      </c>
      <c r="BN79">
        <v>74.850541299100001</v>
      </c>
      <c r="BO79">
        <v>1398</v>
      </c>
      <c r="BP79">
        <v>1398</v>
      </c>
      <c r="BQ79">
        <v>132.9949928469</v>
      </c>
      <c r="BR79">
        <v>132.9949928469</v>
      </c>
      <c r="BS79">
        <v>9976</v>
      </c>
      <c r="BT79">
        <v>1288</v>
      </c>
      <c r="BU79">
        <v>74.850541299100001</v>
      </c>
      <c r="BV79">
        <v>1398</v>
      </c>
      <c r="BW79">
        <v>1398</v>
      </c>
      <c r="BX79">
        <v>132.9949928469</v>
      </c>
      <c r="BY79">
        <v>132.9949928469</v>
      </c>
    </row>
    <row r="80" spans="62:121" x14ac:dyDescent="0.2">
      <c r="BJ80" t="s">
        <v>964</v>
      </c>
      <c r="BK80" t="s">
        <v>704</v>
      </c>
      <c r="BL80">
        <v>1798</v>
      </c>
      <c r="BM80">
        <v>332</v>
      </c>
      <c r="BN80">
        <v>80.615127919900004</v>
      </c>
      <c r="BO80">
        <v>211</v>
      </c>
      <c r="BP80">
        <v>211</v>
      </c>
      <c r="BQ80">
        <v>152.4644549763</v>
      </c>
      <c r="BR80">
        <v>152.4644549763</v>
      </c>
      <c r="BS80">
        <v>5114</v>
      </c>
      <c r="BT80">
        <v>839</v>
      </c>
      <c r="BU80">
        <v>81.3455220962</v>
      </c>
      <c r="BV80">
        <v>597</v>
      </c>
      <c r="BW80">
        <v>597</v>
      </c>
      <c r="BX80">
        <v>157.65996649920001</v>
      </c>
      <c r="BY80">
        <v>157.65996649920001</v>
      </c>
    </row>
    <row r="81" spans="62:77" x14ac:dyDescent="0.2">
      <c r="BJ81" t="s">
        <v>705</v>
      </c>
      <c r="BL81">
        <v>368140</v>
      </c>
      <c r="BM81">
        <v>74055</v>
      </c>
      <c r="BN81" s="154">
        <v>92.059776172100001</v>
      </c>
      <c r="BO81">
        <v>100865</v>
      </c>
      <c r="BP81">
        <v>100865</v>
      </c>
      <c r="BQ81">
        <v>129.38029048729999</v>
      </c>
      <c r="BR81">
        <v>129.38029048729999</v>
      </c>
      <c r="BS81">
        <v>368140</v>
      </c>
      <c r="BT81">
        <v>74055</v>
      </c>
      <c r="BU81">
        <v>92.059776172100001</v>
      </c>
      <c r="BV81">
        <v>100865</v>
      </c>
      <c r="BW81">
        <v>100865</v>
      </c>
      <c r="BX81">
        <v>129.38029048729999</v>
      </c>
      <c r="BY81">
        <v>129.38029048729999</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1056</v>
      </c>
      <c r="C2" t="s">
        <v>509</v>
      </c>
      <c r="D2" t="s">
        <v>925</v>
      </c>
      <c r="E2" t="s">
        <v>926</v>
      </c>
      <c r="F2" t="s">
        <v>927</v>
      </c>
      <c r="G2" t="s">
        <v>928</v>
      </c>
      <c r="H2" t="s">
        <v>930</v>
      </c>
      <c r="I2" t="s">
        <v>1050</v>
      </c>
      <c r="J2" t="s">
        <v>931</v>
      </c>
      <c r="K2" t="s">
        <v>932</v>
      </c>
      <c r="L2" t="s">
        <v>929</v>
      </c>
      <c r="M2" t="s">
        <v>934</v>
      </c>
      <c r="N2" t="s">
        <v>935</v>
      </c>
      <c r="O2" t="s">
        <v>936</v>
      </c>
      <c r="P2" t="s">
        <v>937</v>
      </c>
    </row>
    <row r="3" spans="2:16" x14ac:dyDescent="0.2">
      <c r="B3" t="s">
        <v>593</v>
      </c>
      <c r="C3" t="s">
        <v>411</v>
      </c>
      <c r="D3" s="18">
        <v>42293.601226851853</v>
      </c>
      <c r="E3" t="s">
        <v>169</v>
      </c>
      <c r="F3" s="19">
        <v>0.96797110409321563</v>
      </c>
      <c r="G3" s="19">
        <v>0.92283333333333351</v>
      </c>
      <c r="H3" s="19">
        <v>0.9062129422537113</v>
      </c>
      <c r="I3" s="19">
        <v>4.6353766498341782E-2</v>
      </c>
      <c r="J3" s="19">
        <v>0.92378408343733143</v>
      </c>
      <c r="K3" s="19">
        <v>4.2955199808108094E-2</v>
      </c>
      <c r="L3" s="19"/>
      <c r="M3" s="19"/>
      <c r="N3" s="19"/>
      <c r="O3" s="19"/>
      <c r="P3" s="19"/>
    </row>
    <row r="4" spans="2:16" x14ac:dyDescent="0.2">
      <c r="B4" t="s">
        <v>652</v>
      </c>
      <c r="C4" t="s">
        <v>411</v>
      </c>
      <c r="D4" s="18">
        <v>42293.601226851853</v>
      </c>
      <c r="E4" t="s">
        <v>194</v>
      </c>
      <c r="F4" s="19">
        <v>0.90466359104919902</v>
      </c>
      <c r="G4" s="19">
        <v>0.89911601496967331</v>
      </c>
      <c r="H4" s="19">
        <v>0.88044685361639852</v>
      </c>
      <c r="I4" s="19">
        <v>4.5274671545728611E-2</v>
      </c>
      <c r="J4" s="19">
        <v>0.94982690711255913</v>
      </c>
      <c r="K4" s="19">
        <v>3.4722083912323287E-2</v>
      </c>
      <c r="L4" s="19"/>
      <c r="M4" s="19"/>
      <c r="N4" s="19"/>
      <c r="O4" s="19"/>
      <c r="P4" s="19"/>
    </row>
    <row r="5" spans="2:16" x14ac:dyDescent="0.2">
      <c r="B5" t="s">
        <v>546</v>
      </c>
      <c r="C5" t="s">
        <v>387</v>
      </c>
      <c r="D5" s="18">
        <v>42293.601226851853</v>
      </c>
      <c r="E5" t="s">
        <v>151</v>
      </c>
      <c r="F5" s="19">
        <v>0.96069554459116213</v>
      </c>
      <c r="G5" s="19">
        <v>0.86346697741038814</v>
      </c>
      <c r="H5" s="19">
        <v>0.89813067632161281</v>
      </c>
      <c r="I5" s="19">
        <v>4.3881677125413458E-2</v>
      </c>
      <c r="J5" s="19">
        <v>0.84072597794297566</v>
      </c>
      <c r="K5" s="19">
        <v>5.220369904191742E-2</v>
      </c>
      <c r="L5" s="19"/>
      <c r="M5" s="19"/>
      <c r="N5" s="19"/>
      <c r="O5" s="19"/>
      <c r="P5" s="19"/>
    </row>
    <row r="6" spans="2:16" x14ac:dyDescent="0.2">
      <c r="B6" t="s">
        <v>540</v>
      </c>
      <c r="C6" t="s">
        <v>376</v>
      </c>
      <c r="D6" s="18">
        <v>42293.601226851853</v>
      </c>
      <c r="E6" t="s">
        <v>149</v>
      </c>
      <c r="F6" s="19">
        <v>0.95129643599938585</v>
      </c>
      <c r="G6" s="19">
        <v>0.8283526549305853</v>
      </c>
      <c r="H6" s="19">
        <v>0.84502927317503596</v>
      </c>
      <c r="I6" s="19">
        <v>4.6513856373376752E-2</v>
      </c>
      <c r="J6" s="19">
        <v>0.86853960915422723</v>
      </c>
      <c r="K6" s="19">
        <v>4.8847158340241704E-2</v>
      </c>
      <c r="L6" s="19"/>
      <c r="M6" s="19"/>
      <c r="N6" s="19"/>
      <c r="O6" s="19"/>
      <c r="P6" s="19"/>
    </row>
    <row r="7" spans="2:16" x14ac:dyDescent="0.2">
      <c r="B7" t="s">
        <v>608</v>
      </c>
      <c r="C7" t="s">
        <v>411</v>
      </c>
      <c r="D7" s="18">
        <v>42293.601226851853</v>
      </c>
      <c r="E7" t="s">
        <v>175</v>
      </c>
      <c r="F7" s="19">
        <v>0.97016067742161516</v>
      </c>
      <c r="G7" s="19">
        <v>0.89006410256410262</v>
      </c>
      <c r="H7" s="19">
        <v>0.91526581526581519</v>
      </c>
      <c r="I7" s="19">
        <v>4.9181130589180028E-2</v>
      </c>
      <c r="J7" s="19">
        <v>0.96642755048961548</v>
      </c>
      <c r="K7" s="19">
        <v>2.7604763078109756E-2</v>
      </c>
      <c r="L7" s="19"/>
      <c r="M7" s="19"/>
      <c r="N7" s="19"/>
      <c r="O7" s="19"/>
      <c r="P7" s="19"/>
    </row>
    <row r="8" spans="2:16" x14ac:dyDescent="0.2">
      <c r="B8" t="s">
        <v>519</v>
      </c>
      <c r="C8" t="s">
        <v>376</v>
      </c>
      <c r="D8" s="18">
        <v>42293.601226851853</v>
      </c>
      <c r="E8" t="s">
        <v>142</v>
      </c>
      <c r="F8" s="19">
        <v>0.88119549824849064</v>
      </c>
      <c r="G8" s="19">
        <v>0.76483451785188605</v>
      </c>
      <c r="H8" s="19">
        <v>0.8372912299048858</v>
      </c>
      <c r="I8" s="19">
        <v>5.8340780926119606E-2</v>
      </c>
      <c r="J8" s="19">
        <v>0.90632496806665086</v>
      </c>
      <c r="K8" s="19">
        <v>5.7508076754825624E-2</v>
      </c>
      <c r="L8" s="19"/>
      <c r="M8" s="19"/>
      <c r="N8" s="19"/>
      <c r="O8" s="19"/>
      <c r="P8" s="19"/>
    </row>
    <row r="9" spans="2:16" x14ac:dyDescent="0.2">
      <c r="B9" t="s">
        <v>527</v>
      </c>
      <c r="C9" t="s">
        <v>376</v>
      </c>
      <c r="D9" s="18">
        <v>42293.601226851853</v>
      </c>
      <c r="E9" t="s">
        <v>145</v>
      </c>
      <c r="F9" s="19">
        <v>0.96937473063024249</v>
      </c>
      <c r="G9" s="19">
        <v>0.90978136798665388</v>
      </c>
      <c r="H9" s="19">
        <v>0.88751142508285352</v>
      </c>
      <c r="I9" s="19">
        <v>4.8995721940674031E-2</v>
      </c>
      <c r="J9" s="19">
        <v>0.86573608077914377</v>
      </c>
      <c r="K9" s="19">
        <v>4.9172621505335384E-2</v>
      </c>
      <c r="L9" s="19"/>
      <c r="M9" s="19"/>
      <c r="N9" s="19"/>
      <c r="O9" s="19"/>
      <c r="P9" s="19"/>
    </row>
    <row r="10" spans="2:16" x14ac:dyDescent="0.2">
      <c r="B10" t="s">
        <v>644</v>
      </c>
      <c r="C10" t="s">
        <v>392</v>
      </c>
      <c r="D10" s="18">
        <v>42293.601226851853</v>
      </c>
      <c r="E10" t="s">
        <v>680</v>
      </c>
      <c r="F10" s="19">
        <v>0.96905167609225473</v>
      </c>
      <c r="G10" s="19">
        <v>0.85032982890125752</v>
      </c>
      <c r="H10" s="19">
        <v>0.86974010692490988</v>
      </c>
      <c r="I10" s="19">
        <v>5.4614404906171858E-2</v>
      </c>
      <c r="J10" s="19">
        <v>0.90321658105660196</v>
      </c>
      <c r="K10" s="19">
        <v>5.1005827449674614E-2</v>
      </c>
      <c r="L10" s="19"/>
      <c r="M10" s="19"/>
      <c r="N10" s="19"/>
      <c r="O10" s="19"/>
      <c r="P10" s="19"/>
    </row>
    <row r="11" spans="2:16" x14ac:dyDescent="0.2">
      <c r="B11" t="s">
        <v>574</v>
      </c>
      <c r="C11" t="s">
        <v>397</v>
      </c>
      <c r="D11" s="18">
        <v>42293.601226851853</v>
      </c>
      <c r="E11" t="s">
        <v>161</v>
      </c>
      <c r="F11" s="19">
        <v>0.9548604441908265</v>
      </c>
      <c r="G11" s="19">
        <v>0.95978835978835975</v>
      </c>
      <c r="H11" s="19">
        <v>0.88685355377728869</v>
      </c>
      <c r="I11" s="19">
        <v>4.4179895405580961E-2</v>
      </c>
      <c r="J11" s="19">
        <v>0.86138947167652091</v>
      </c>
      <c r="K11" s="19">
        <v>5.0156159234771562E-2</v>
      </c>
      <c r="L11" s="254"/>
      <c r="M11" s="254"/>
      <c r="N11" s="254"/>
      <c r="O11" s="254"/>
      <c r="P11" s="254"/>
    </row>
    <row r="12" spans="2:16" x14ac:dyDescent="0.2">
      <c r="B12" t="s">
        <v>566</v>
      </c>
      <c r="C12" t="s">
        <v>397</v>
      </c>
      <c r="D12" s="18">
        <v>42293.601226851853</v>
      </c>
      <c r="E12" t="s">
        <v>158</v>
      </c>
      <c r="F12" s="19">
        <v>0.96843143513881236</v>
      </c>
      <c r="G12" s="19">
        <v>0.87372065646423369</v>
      </c>
      <c r="H12" s="19">
        <v>0.92344015434430271</v>
      </c>
      <c r="I12" s="19">
        <v>4.0232346017986843E-2</v>
      </c>
      <c r="J12" s="19">
        <v>0.8734984070599322</v>
      </c>
      <c r="K12" s="19">
        <v>5.9955974690668372E-2</v>
      </c>
      <c r="L12" s="19"/>
      <c r="M12" s="19"/>
      <c r="N12" s="19"/>
      <c r="O12" s="19"/>
      <c r="P12" s="19"/>
    </row>
    <row r="13" spans="2:16" x14ac:dyDescent="0.2">
      <c r="B13" t="s">
        <v>554</v>
      </c>
      <c r="C13" t="s">
        <v>387</v>
      </c>
      <c r="D13" s="18">
        <v>42293.601226851853</v>
      </c>
      <c r="E13" t="s">
        <v>154</v>
      </c>
      <c r="F13" s="19">
        <v>1</v>
      </c>
      <c r="G13" s="19">
        <v>1</v>
      </c>
      <c r="H13" s="19">
        <v>0.94533290070766252</v>
      </c>
      <c r="I13" s="19">
        <v>4.3127880680073713E-2</v>
      </c>
      <c r="J13" s="19">
        <v>0.92783849995928902</v>
      </c>
      <c r="K13" s="19">
        <v>4.8781437780752272E-2</v>
      </c>
      <c r="L13" s="19"/>
      <c r="M13" s="19"/>
      <c r="N13" s="19"/>
      <c r="O13" s="19"/>
      <c r="P13" s="19"/>
    </row>
    <row r="14" spans="2:16" x14ac:dyDescent="0.2">
      <c r="B14" t="s">
        <v>392</v>
      </c>
      <c r="C14" t="s">
        <v>392</v>
      </c>
      <c r="D14" s="18">
        <v>42293.601226851853</v>
      </c>
      <c r="E14" t="s">
        <v>671</v>
      </c>
      <c r="F14" s="19">
        <v>0.96029184534789747</v>
      </c>
      <c r="G14" s="19">
        <v>0.8687391714842333</v>
      </c>
      <c r="H14" s="19">
        <v>0.90460862129339181</v>
      </c>
      <c r="I14" s="19">
        <v>1.6975766961293388E-2</v>
      </c>
      <c r="J14" s="19">
        <v>0.93469946941093307</v>
      </c>
      <c r="K14" s="19">
        <v>1.5358198552636182E-2</v>
      </c>
      <c r="L14" s="19"/>
      <c r="M14" s="19"/>
      <c r="N14" s="19"/>
      <c r="O14" s="19"/>
      <c r="P14" s="19"/>
    </row>
    <row r="15" spans="2:16" x14ac:dyDescent="0.2">
      <c r="B15" t="s">
        <v>591</v>
      </c>
      <c r="C15" t="s">
        <v>392</v>
      </c>
      <c r="D15" s="18">
        <v>42293.601226851853</v>
      </c>
      <c r="E15" t="s">
        <v>168</v>
      </c>
      <c r="F15" s="19">
        <v>0.96474675316921421</v>
      </c>
      <c r="G15" s="19">
        <v>0.86690082399668045</v>
      </c>
      <c r="H15" s="19">
        <v>0.91838513094019691</v>
      </c>
      <c r="I15" s="19">
        <v>4.2442060627029293E-2</v>
      </c>
      <c r="J15" s="19">
        <v>0.92411153971093074</v>
      </c>
      <c r="K15" s="19">
        <v>4.2705890814400432E-2</v>
      </c>
      <c r="L15" s="19"/>
      <c r="M15" s="19"/>
      <c r="N15" s="19"/>
      <c r="O15" s="19"/>
      <c r="P15" s="19"/>
    </row>
    <row r="16" spans="2:16" x14ac:dyDescent="0.2">
      <c r="B16" t="s">
        <v>583</v>
      </c>
      <c r="C16" t="s">
        <v>397</v>
      </c>
      <c r="D16" s="18">
        <v>42293.601226851853</v>
      </c>
      <c r="E16" t="s">
        <v>165</v>
      </c>
      <c r="F16" s="19">
        <v>0.99551109401051685</v>
      </c>
      <c r="G16" s="19">
        <v>0.97703663203936575</v>
      </c>
      <c r="H16" s="19">
        <v>0.98087392030195242</v>
      </c>
      <c r="I16" s="19">
        <v>1.7376408418948514E-2</v>
      </c>
      <c r="J16" s="19">
        <v>0.98027368534592152</v>
      </c>
      <c r="K16" s="19">
        <v>1.9492886486699206E-2</v>
      </c>
      <c r="L16" s="254"/>
      <c r="M16" s="254"/>
      <c r="N16" s="254"/>
      <c r="O16" s="254"/>
      <c r="P16" s="254"/>
    </row>
    <row r="17" spans="2:16" x14ac:dyDescent="0.2">
      <c r="B17" t="s">
        <v>576</v>
      </c>
      <c r="C17" t="s">
        <v>397</v>
      </c>
      <c r="D17" s="18">
        <v>42293.601226851853</v>
      </c>
      <c r="E17" t="s">
        <v>162</v>
      </c>
      <c r="F17" s="19">
        <v>0.94852743179973265</v>
      </c>
      <c r="G17" s="19">
        <v>0.92795041856074723</v>
      </c>
      <c r="H17" s="19">
        <v>0.89277216711261931</v>
      </c>
      <c r="I17" s="19">
        <v>4.4408532287767102E-2</v>
      </c>
      <c r="J17" s="19">
        <v>0.9028147885034622</v>
      </c>
      <c r="K17" s="19">
        <v>4.6630587337581207E-2</v>
      </c>
      <c r="L17" s="19"/>
      <c r="M17" s="19"/>
      <c r="N17" s="19"/>
      <c r="O17" s="19"/>
      <c r="P17" s="19"/>
    </row>
    <row r="18" spans="2:16" x14ac:dyDescent="0.2">
      <c r="B18" t="s">
        <v>640</v>
      </c>
      <c r="C18" t="s">
        <v>397</v>
      </c>
      <c r="D18" s="18">
        <v>42293.601226851853</v>
      </c>
      <c r="E18" t="s">
        <v>189</v>
      </c>
      <c r="F18" s="19">
        <v>0.97551850549892005</v>
      </c>
      <c r="G18" s="19">
        <v>0.89130434782608692</v>
      </c>
      <c r="H18" s="19">
        <v>0.94326833381528319</v>
      </c>
      <c r="I18" s="19">
        <v>3.806375403095643E-2</v>
      </c>
      <c r="J18" s="19">
        <v>0.96429132330050737</v>
      </c>
      <c r="K18" s="19">
        <v>3.1005006212520527E-2</v>
      </c>
      <c r="L18" s="19"/>
      <c r="M18" s="19"/>
      <c r="N18" s="19"/>
      <c r="O18" s="19"/>
      <c r="P18" s="19"/>
    </row>
    <row r="19" spans="2:16" x14ac:dyDescent="0.2">
      <c r="B19" t="s">
        <v>638</v>
      </c>
      <c r="C19" t="s">
        <v>392</v>
      </c>
      <c r="D19" s="18">
        <v>42293.601226851853</v>
      </c>
      <c r="E19" t="s">
        <v>188</v>
      </c>
      <c r="F19" s="19">
        <v>0.95953166931864087</v>
      </c>
      <c r="G19" s="19">
        <v>0.93309278350515457</v>
      </c>
      <c r="H19" s="19">
        <v>0.93198433782895651</v>
      </c>
      <c r="I19" s="19">
        <v>4.2809610502929446E-2</v>
      </c>
      <c r="J19" s="19">
        <v>0.95512829551917511</v>
      </c>
      <c r="K19" s="19">
        <v>3.0338053570317953E-2</v>
      </c>
      <c r="L19" s="19"/>
      <c r="M19" s="19"/>
      <c r="N19" s="19"/>
      <c r="O19" s="19"/>
      <c r="P19" s="19"/>
    </row>
    <row r="20" spans="2:16" x14ac:dyDescent="0.2">
      <c r="B20" t="s">
        <v>529</v>
      </c>
      <c r="C20" t="s">
        <v>376</v>
      </c>
      <c r="D20" s="18">
        <v>42293.601226851853</v>
      </c>
      <c r="E20" t="s">
        <v>146</v>
      </c>
      <c r="F20" s="19">
        <v>0.9548573103987491</v>
      </c>
      <c r="G20" s="19">
        <v>0.81594896331738442</v>
      </c>
      <c r="H20" s="19">
        <v>0.90311218120916648</v>
      </c>
      <c r="I20" s="19">
        <v>4.7503614568745078E-2</v>
      </c>
      <c r="J20" s="19">
        <v>0.98479530297712115</v>
      </c>
      <c r="K20" s="19">
        <v>1.9002226756790749E-2</v>
      </c>
      <c r="L20" s="19"/>
      <c r="M20" s="19"/>
      <c r="N20" s="19"/>
      <c r="O20" s="19"/>
      <c r="P20" s="19"/>
    </row>
    <row r="21" spans="2:16" x14ac:dyDescent="0.2">
      <c r="B21" t="s">
        <v>648</v>
      </c>
      <c r="C21" t="s">
        <v>411</v>
      </c>
      <c r="D21" s="18">
        <v>42293.601226851853</v>
      </c>
      <c r="E21" t="s">
        <v>192</v>
      </c>
      <c r="F21" s="19">
        <v>0.96632438570634716</v>
      </c>
      <c r="G21" s="19">
        <v>0.84060606060606058</v>
      </c>
      <c r="H21" s="19">
        <v>0.89200649973570367</v>
      </c>
      <c r="I21" s="19">
        <v>4.459483491812833E-2</v>
      </c>
      <c r="J21" s="19">
        <v>0.95994982234397463</v>
      </c>
      <c r="K21" s="19">
        <v>2.9959165595914571E-2</v>
      </c>
      <c r="L21" s="19"/>
      <c r="M21" s="19"/>
      <c r="N21" s="19"/>
      <c r="O21" s="19"/>
      <c r="P21" s="19"/>
    </row>
    <row r="22" spans="2:16" x14ac:dyDescent="0.2">
      <c r="B22" t="s">
        <v>626</v>
      </c>
      <c r="C22" t="s">
        <v>392</v>
      </c>
      <c r="D22" s="18">
        <v>42293.601226851853</v>
      </c>
      <c r="E22" t="s">
        <v>183</v>
      </c>
      <c r="F22" s="19">
        <v>0.96535527301418245</v>
      </c>
      <c r="G22" s="19">
        <v>0.88429692531950232</v>
      </c>
      <c r="H22" s="19">
        <v>0.8899604847296555</v>
      </c>
      <c r="I22" s="19">
        <v>4.1471782561121773E-2</v>
      </c>
      <c r="J22" s="19">
        <v>0.91053541199722066</v>
      </c>
      <c r="K22" s="19">
        <v>4.5422034692391054E-2</v>
      </c>
      <c r="L22" s="19"/>
      <c r="M22" s="19"/>
      <c r="N22" s="19"/>
      <c r="O22" s="19"/>
      <c r="P22" s="19"/>
    </row>
    <row r="23" spans="2:16" x14ac:dyDescent="0.2">
      <c r="B23" t="s">
        <v>544</v>
      </c>
      <c r="C23" t="s">
        <v>376</v>
      </c>
      <c r="D23" s="18">
        <v>42293.601226851853</v>
      </c>
      <c r="E23" t="s">
        <v>150</v>
      </c>
      <c r="F23" s="19">
        <v>0.97379004779937894</v>
      </c>
      <c r="G23" s="19">
        <v>0.91297665716322163</v>
      </c>
      <c r="H23" s="19">
        <v>0.89601158131045056</v>
      </c>
      <c r="I23" s="19">
        <v>4.4272498373342725E-2</v>
      </c>
      <c r="J23" s="19">
        <v>0.90085604842621403</v>
      </c>
      <c r="K23" s="19">
        <v>4.9385725990458554E-2</v>
      </c>
      <c r="L23" s="19"/>
      <c r="M23" s="19"/>
      <c r="N23" s="19"/>
      <c r="O23" s="19"/>
      <c r="P23" s="19"/>
    </row>
    <row r="24" spans="2:16" x14ac:dyDescent="0.2">
      <c r="B24" t="s">
        <v>568</v>
      </c>
      <c r="C24" t="s">
        <v>397</v>
      </c>
      <c r="D24" s="18">
        <v>42293.601226851853</v>
      </c>
      <c r="E24" t="s">
        <v>159</v>
      </c>
      <c r="F24" s="19">
        <v>0.96527893001680853</v>
      </c>
      <c r="G24" s="19">
        <v>0.89102128623188404</v>
      </c>
      <c r="H24" s="19">
        <v>0.92078402961642136</v>
      </c>
      <c r="I24" s="19">
        <v>4.3737614203998021E-2</v>
      </c>
      <c r="J24" s="19">
        <v>0.92388887576283951</v>
      </c>
      <c r="K24" s="19">
        <v>3.5974153888862333E-2</v>
      </c>
      <c r="L24" s="19"/>
      <c r="M24" s="19"/>
      <c r="N24" s="19"/>
      <c r="O24" s="19"/>
      <c r="P24" s="19"/>
    </row>
    <row r="25" spans="2:16" x14ac:dyDescent="0.2">
      <c r="B25" t="s">
        <v>562</v>
      </c>
      <c r="C25" t="s">
        <v>392</v>
      </c>
      <c r="D25" s="18">
        <v>42293.601226851853</v>
      </c>
      <c r="E25" t="s">
        <v>157</v>
      </c>
      <c r="F25" s="19">
        <v>0.97894945480374629</v>
      </c>
      <c r="G25" s="19">
        <v>0.93369097146193714</v>
      </c>
      <c r="H25" s="19">
        <v>0.90996778606713702</v>
      </c>
      <c r="I25" s="19">
        <v>3.8939200602746381E-2</v>
      </c>
      <c r="J25" s="19">
        <v>0.88786966740561124</v>
      </c>
      <c r="K25" s="19">
        <v>5.3494358543249944E-2</v>
      </c>
      <c r="L25" s="19"/>
      <c r="M25" s="19"/>
      <c r="N25" s="19"/>
      <c r="O25" s="19"/>
      <c r="P25" s="19"/>
    </row>
    <row r="26" spans="2:16" x14ac:dyDescent="0.2">
      <c r="B26" t="s">
        <v>585</v>
      </c>
      <c r="C26" t="s">
        <v>397</v>
      </c>
      <c r="D26" s="18">
        <v>42293.601226851853</v>
      </c>
      <c r="E26" t="s">
        <v>166</v>
      </c>
      <c r="F26" s="19">
        <v>1</v>
      </c>
      <c r="G26" s="19">
        <v>1</v>
      </c>
      <c r="H26" s="19">
        <v>0.98180794701986751</v>
      </c>
      <c r="I26" s="19">
        <v>2.1988304450674647E-2</v>
      </c>
      <c r="J26" s="19">
        <v>0.97387158791741724</v>
      </c>
      <c r="K26" s="19">
        <v>2.7541750774138053E-2</v>
      </c>
      <c r="L26" s="19"/>
      <c r="M26" s="19"/>
      <c r="N26" s="19"/>
      <c r="O26" s="19"/>
      <c r="P26" s="19"/>
    </row>
    <row r="27" spans="2:16" x14ac:dyDescent="0.2">
      <c r="B27" t="s">
        <v>614</v>
      </c>
      <c r="C27" t="s">
        <v>392</v>
      </c>
      <c r="D27" s="18">
        <v>42293.601226851853</v>
      </c>
      <c r="E27" t="s">
        <v>178</v>
      </c>
      <c r="F27" s="19">
        <v>0.94560662026534048</v>
      </c>
      <c r="G27" s="19">
        <v>0.85821879021879033</v>
      </c>
      <c r="H27" s="19">
        <v>0.88676903077052105</v>
      </c>
      <c r="I27" s="19">
        <v>5.1784088846586585E-2</v>
      </c>
      <c r="J27" s="19">
        <v>0.92935828149960931</v>
      </c>
      <c r="K27" s="19">
        <v>4.6224053498571678E-2</v>
      </c>
      <c r="L27" s="19"/>
      <c r="M27" s="19"/>
      <c r="N27" s="19"/>
      <c r="O27" s="19"/>
      <c r="P27" s="19"/>
    </row>
    <row r="28" spans="2:16" x14ac:dyDescent="0.2">
      <c r="B28" t="s">
        <v>600</v>
      </c>
      <c r="C28" t="s">
        <v>411</v>
      </c>
      <c r="D28" s="18">
        <v>42293.601226851853</v>
      </c>
      <c r="E28" t="s">
        <v>172</v>
      </c>
      <c r="F28" s="19">
        <v>0.96119908620846584</v>
      </c>
      <c r="G28" s="19">
        <v>0.89906071019473088</v>
      </c>
      <c r="H28" s="19">
        <v>0.88584247028031049</v>
      </c>
      <c r="I28" s="19">
        <v>4.4940950026995455E-2</v>
      </c>
      <c r="J28" s="19">
        <v>0.90293745927494617</v>
      </c>
      <c r="K28" s="19">
        <v>4.3297039122754982E-2</v>
      </c>
      <c r="L28" s="19"/>
      <c r="M28" s="19"/>
      <c r="N28" s="19"/>
      <c r="O28" s="19"/>
      <c r="P28" s="19"/>
    </row>
    <row r="29" spans="2:16" x14ac:dyDescent="0.2">
      <c r="B29" t="s">
        <v>570</v>
      </c>
      <c r="C29" t="s">
        <v>387</v>
      </c>
      <c r="D29" s="18">
        <v>42293.601226851853</v>
      </c>
      <c r="E29" t="s">
        <v>160</v>
      </c>
      <c r="F29" s="19">
        <v>0.97315068274263472</v>
      </c>
      <c r="G29" s="19">
        <v>0.8913948002003651</v>
      </c>
      <c r="H29" s="19">
        <v>0.91134477340355402</v>
      </c>
      <c r="I29" s="19">
        <v>4.4662602197162615E-2</v>
      </c>
      <c r="J29" s="19">
        <v>0.90115545347225956</v>
      </c>
      <c r="K29" s="19">
        <v>4.8018133646672609E-2</v>
      </c>
      <c r="L29" s="19"/>
      <c r="M29" s="19"/>
      <c r="N29" s="19"/>
      <c r="O29" s="19"/>
      <c r="P29" s="19"/>
    </row>
    <row r="30" spans="2:16" x14ac:dyDescent="0.2">
      <c r="B30" t="s">
        <v>629</v>
      </c>
      <c r="C30" t="s">
        <v>376</v>
      </c>
      <c r="D30" s="18">
        <v>42293.601226851853</v>
      </c>
      <c r="E30" t="s">
        <v>184</v>
      </c>
      <c r="F30" s="19">
        <v>0.97234211947155058</v>
      </c>
      <c r="G30" s="19">
        <v>0.95747294748337131</v>
      </c>
      <c r="H30" s="19">
        <v>0.91646977444530531</v>
      </c>
      <c r="I30" s="19">
        <v>3.9361522831223822E-2</v>
      </c>
      <c r="J30" s="19">
        <v>0.92775358511527128</v>
      </c>
      <c r="K30" s="19">
        <v>4.0266680775589377E-2</v>
      </c>
      <c r="L30" s="19"/>
      <c r="M30" s="19"/>
      <c r="N30" s="19"/>
      <c r="O30" s="19"/>
      <c r="P30" s="19"/>
    </row>
    <row r="31" spans="2:16" x14ac:dyDescent="0.2">
      <c r="B31" t="s">
        <v>622</v>
      </c>
      <c r="C31" t="s">
        <v>411</v>
      </c>
      <c r="D31" s="18">
        <v>42293.601226851853</v>
      </c>
      <c r="E31" t="s">
        <v>182</v>
      </c>
      <c r="F31" s="19">
        <v>0.96034685652886054</v>
      </c>
      <c r="G31" s="19">
        <v>0.91592607330768905</v>
      </c>
      <c r="H31" s="19">
        <v>0.93921195290115767</v>
      </c>
      <c r="I31" s="19">
        <v>4.0586647322872975E-2</v>
      </c>
      <c r="J31" s="19">
        <v>0.96924141008478371</v>
      </c>
      <c r="K31" s="19">
        <v>2.6313030879554021E-2</v>
      </c>
      <c r="L31" s="19"/>
      <c r="M31" s="19"/>
      <c r="N31" s="19"/>
      <c r="O31" s="19"/>
      <c r="P31" s="19"/>
    </row>
    <row r="32" spans="2:16" x14ac:dyDescent="0.2">
      <c r="B32" t="s">
        <v>397</v>
      </c>
      <c r="C32" t="s">
        <v>397</v>
      </c>
      <c r="D32" s="18">
        <v>42293.601226851853</v>
      </c>
      <c r="E32" t="s">
        <v>670</v>
      </c>
      <c r="F32" s="19">
        <v>0.97057071730645783</v>
      </c>
      <c r="G32" s="19">
        <v>0.92591291368868245</v>
      </c>
      <c r="H32" s="19">
        <v>0.93024393699454877</v>
      </c>
      <c r="I32" s="19">
        <v>1.2829575393808029E-2</v>
      </c>
      <c r="J32" s="19">
        <v>0.90002196509673349</v>
      </c>
      <c r="K32" s="19">
        <v>2.1469062759496112E-2</v>
      </c>
      <c r="L32" s="19"/>
      <c r="M32" s="19"/>
      <c r="N32" s="19"/>
      <c r="O32" s="19"/>
      <c r="P32" s="19"/>
    </row>
    <row r="33" spans="2:16" x14ac:dyDescent="0.2">
      <c r="B33" t="s">
        <v>215</v>
      </c>
      <c r="C33" t="s">
        <v>397</v>
      </c>
      <c r="D33" s="18">
        <v>42293.601226851853</v>
      </c>
      <c r="E33" t="s">
        <v>163</v>
      </c>
      <c r="F33" s="19">
        <v>0.9837450107016833</v>
      </c>
      <c r="G33" s="19">
        <v>0.96024669603524226</v>
      </c>
      <c r="H33" s="19">
        <v>0.96007587903790725</v>
      </c>
      <c r="I33" s="19">
        <v>3.7329592888053043E-2</v>
      </c>
      <c r="J33" s="19">
        <v>0.91907882101333971</v>
      </c>
      <c r="K33" s="19">
        <v>5.5895784309308215E-2</v>
      </c>
      <c r="L33" s="19">
        <v>0.96443507808926343</v>
      </c>
      <c r="M33" s="19">
        <v>0.94246724745958388</v>
      </c>
      <c r="N33" s="19">
        <v>3.65270119796854E-2</v>
      </c>
      <c r="O33" s="19">
        <v>0.98916148473289089</v>
      </c>
      <c r="P33" s="19">
        <v>1.3449144113758749E-2</v>
      </c>
    </row>
    <row r="34" spans="2:16" x14ac:dyDescent="0.2">
      <c r="B34" t="s">
        <v>578</v>
      </c>
      <c r="C34" t="s">
        <v>397</v>
      </c>
      <c r="D34" s="18">
        <v>42293.601226851853</v>
      </c>
      <c r="E34" t="s">
        <v>163</v>
      </c>
      <c r="F34" s="19">
        <v>0.9837450107016833</v>
      </c>
      <c r="G34" s="19">
        <v>0.96024669603524226</v>
      </c>
      <c r="H34" s="19">
        <v>0.96007587903790725</v>
      </c>
      <c r="I34" s="19">
        <v>3.7329592888053043E-2</v>
      </c>
      <c r="J34" s="19">
        <v>0.91907882101333971</v>
      </c>
      <c r="K34" s="19">
        <v>5.5895784309308215E-2</v>
      </c>
      <c r="L34" s="19">
        <v>0.96443507808926343</v>
      </c>
      <c r="M34" s="19">
        <v>0.94246724745958388</v>
      </c>
      <c r="N34" s="19">
        <v>3.65270119796854E-2</v>
      </c>
      <c r="O34" s="19">
        <v>0.98916148473289089</v>
      </c>
      <c r="P34" s="19">
        <v>1.3449144113758749E-2</v>
      </c>
    </row>
    <row r="35" spans="2:16" x14ac:dyDescent="0.2">
      <c r="B35" t="s">
        <v>560</v>
      </c>
      <c r="C35" t="s">
        <v>387</v>
      </c>
      <c r="D35" s="18">
        <v>42293.601226851853</v>
      </c>
      <c r="E35" t="s">
        <v>156</v>
      </c>
      <c r="F35" s="19">
        <v>0.95819955211396823</v>
      </c>
      <c r="G35" s="19">
        <v>0.84776744339997345</v>
      </c>
      <c r="H35" s="19">
        <v>0.91239259629670588</v>
      </c>
      <c r="I35" s="19">
        <v>3.9635479121445626E-2</v>
      </c>
      <c r="J35" s="19">
        <v>0.92186765247846136</v>
      </c>
      <c r="K35" s="19">
        <v>3.6008122400641225E-2</v>
      </c>
      <c r="L35" s="19"/>
      <c r="M35" s="19"/>
      <c r="N35" s="19"/>
      <c r="O35" s="19"/>
      <c r="P35" s="19"/>
    </row>
    <row r="36" spans="2:16" x14ac:dyDescent="0.2">
      <c r="B36" t="s">
        <v>616</v>
      </c>
      <c r="C36" t="s">
        <v>392</v>
      </c>
      <c r="D36" s="18">
        <v>42293.601226851853</v>
      </c>
      <c r="E36" t="s">
        <v>179</v>
      </c>
      <c r="F36" s="19">
        <v>0.94511322911755546</v>
      </c>
      <c r="G36" s="19">
        <v>0.8697100385391815</v>
      </c>
      <c r="H36" s="19">
        <v>0.92957563541679211</v>
      </c>
      <c r="I36" s="19">
        <v>4.5260887984598597E-2</v>
      </c>
      <c r="J36" s="19">
        <v>0.96997397551909148</v>
      </c>
      <c r="K36" s="19">
        <v>3.1914669574187829E-2</v>
      </c>
      <c r="L36" s="19"/>
      <c r="M36" s="19"/>
      <c r="N36" s="19"/>
      <c r="O36" s="19"/>
      <c r="P36" s="19"/>
    </row>
    <row r="37" spans="2:16" x14ac:dyDescent="0.2">
      <c r="B37" t="s">
        <v>556</v>
      </c>
      <c r="C37" t="s">
        <v>387</v>
      </c>
      <c r="D37" s="18">
        <v>42293.601226851853</v>
      </c>
      <c r="E37" t="s">
        <v>94</v>
      </c>
      <c r="F37" s="19">
        <v>0.99376177361625162</v>
      </c>
      <c r="G37" s="19">
        <v>1</v>
      </c>
      <c r="H37" s="19">
        <v>0.93222177240344617</v>
      </c>
      <c r="I37" s="19">
        <v>3.6212628691601481E-2</v>
      </c>
      <c r="J37" s="19">
        <v>0.94718800058249608</v>
      </c>
      <c r="K37" s="19">
        <v>3.3905592446925328E-2</v>
      </c>
      <c r="L37" s="19"/>
      <c r="M37" s="19"/>
      <c r="N37" s="19"/>
      <c r="O37" s="19"/>
      <c r="P37" s="19"/>
    </row>
    <row r="38" spans="2:16" x14ac:dyDescent="0.2">
      <c r="B38" t="s">
        <v>558</v>
      </c>
      <c r="C38" t="s">
        <v>392</v>
      </c>
      <c r="D38" s="18">
        <v>42293.601226851853</v>
      </c>
      <c r="E38" t="s">
        <v>155</v>
      </c>
      <c r="F38" s="19">
        <v>0.91891626967789997</v>
      </c>
      <c r="G38" s="19">
        <v>0.89843610366398574</v>
      </c>
      <c r="H38" s="19">
        <v>0.91451007941964879</v>
      </c>
      <c r="I38" s="19">
        <v>4.369168989575762E-2</v>
      </c>
      <c r="J38" s="19">
        <v>0.94530619639415336</v>
      </c>
      <c r="K38" s="19">
        <v>3.3571396504289905E-2</v>
      </c>
      <c r="L38" s="19"/>
      <c r="M38" s="19"/>
      <c r="N38" s="19"/>
      <c r="O38" s="19"/>
      <c r="P38" s="19"/>
    </row>
    <row r="39" spans="2:16" x14ac:dyDescent="0.2">
      <c r="B39" t="s">
        <v>525</v>
      </c>
      <c r="C39" t="s">
        <v>376</v>
      </c>
      <c r="D39" s="18">
        <v>42293.601226851853</v>
      </c>
      <c r="E39" t="s">
        <v>144</v>
      </c>
      <c r="F39" s="19">
        <v>0.92762088921360031</v>
      </c>
      <c r="G39" s="19">
        <v>0.83374746133859789</v>
      </c>
      <c r="H39" s="19">
        <v>0.90122804377362342</v>
      </c>
      <c r="I39" s="19">
        <v>4.6615854786643499E-2</v>
      </c>
      <c r="J39" s="19">
        <v>0.92420400509008116</v>
      </c>
      <c r="K39" s="19">
        <v>4.0540646149701584E-2</v>
      </c>
      <c r="L39" s="19"/>
      <c r="M39" s="19"/>
      <c r="N39" s="19"/>
      <c r="O39" s="19"/>
      <c r="P39" s="19"/>
    </row>
    <row r="40" spans="2:16" x14ac:dyDescent="0.2">
      <c r="B40" t="s">
        <v>531</v>
      </c>
      <c r="C40" t="s">
        <v>376</v>
      </c>
      <c r="D40" s="18">
        <v>42293.601226851853</v>
      </c>
      <c r="E40" t="s">
        <v>147</v>
      </c>
      <c r="F40" s="19">
        <v>0.94757185634220265</v>
      </c>
      <c r="G40" s="19">
        <v>0.87498899889989001</v>
      </c>
      <c r="H40" s="19">
        <v>0.88175720246046263</v>
      </c>
      <c r="I40" s="19">
        <v>4.3699791311454843E-2</v>
      </c>
      <c r="J40" s="19">
        <v>0.89000864779677613</v>
      </c>
      <c r="K40" s="19">
        <v>4.1832471669698917E-2</v>
      </c>
      <c r="L40" s="19"/>
      <c r="M40" s="19"/>
      <c r="N40" s="19"/>
      <c r="O40" s="19"/>
      <c r="P40" s="19"/>
    </row>
    <row r="41" spans="2:16" x14ac:dyDescent="0.2">
      <c r="B41" t="s">
        <v>376</v>
      </c>
      <c r="C41" t="s">
        <v>376</v>
      </c>
      <c r="D41" s="18">
        <v>42293.601226851853</v>
      </c>
      <c r="E41" t="s">
        <v>669</v>
      </c>
      <c r="F41" s="19">
        <v>0.95778857039061238</v>
      </c>
      <c r="G41" s="19">
        <v>0.87836340800168822</v>
      </c>
      <c r="H41" s="19">
        <v>0.8775453719867089</v>
      </c>
      <c r="I41" s="19">
        <v>1.6307426192625697E-2</v>
      </c>
      <c r="J41" s="19">
        <v>0.89986077826019018</v>
      </c>
      <c r="K41" s="19">
        <v>1.4925297438005317E-2</v>
      </c>
      <c r="L41" s="19"/>
      <c r="M41" s="19"/>
      <c r="N41" s="19"/>
      <c r="O41" s="19"/>
      <c r="P41" s="19"/>
    </row>
    <row r="42" spans="2:16" x14ac:dyDescent="0.2">
      <c r="B42" t="s">
        <v>598</v>
      </c>
      <c r="C42" t="s">
        <v>411</v>
      </c>
      <c r="D42" s="18">
        <v>42293.601226851853</v>
      </c>
      <c r="E42" t="s">
        <v>171</v>
      </c>
      <c r="F42" s="19">
        <v>0.96563107635560197</v>
      </c>
      <c r="G42" s="19">
        <v>0.90975874749275676</v>
      </c>
      <c r="H42" s="19">
        <v>0.95130430660167475</v>
      </c>
      <c r="I42" s="19">
        <v>3.2742063051814513E-2</v>
      </c>
      <c r="J42" s="19">
        <v>0.89710732003713067</v>
      </c>
      <c r="K42" s="19">
        <v>5.2323139181164109E-2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411</v>
      </c>
      <c r="C44" t="s">
        <v>411</v>
      </c>
      <c r="D44" s="18">
        <v>42293.601226851853</v>
      </c>
      <c r="E44" t="s">
        <v>672</v>
      </c>
      <c r="F44" s="19">
        <v>0.96467410546842114</v>
      </c>
      <c r="G44" s="19">
        <v>0.8950604220266194</v>
      </c>
      <c r="H44" s="19">
        <v>0.91194387739231619</v>
      </c>
      <c r="I44" s="19">
        <v>1.5438411945237008E-2</v>
      </c>
      <c r="J44" s="19">
        <v>0.93329474476096463</v>
      </c>
      <c r="K44" s="19">
        <v>1.4816846304626523E-2</v>
      </c>
      <c r="L44" s="19"/>
      <c r="M44" s="19"/>
      <c r="N44" s="19"/>
      <c r="O44" s="19"/>
      <c r="P44" s="19"/>
    </row>
    <row r="45" spans="2:16" x14ac:dyDescent="0.2">
      <c r="B45" t="s">
        <v>216</v>
      </c>
      <c r="C45" t="s">
        <v>376</v>
      </c>
      <c r="D45" s="18">
        <v>42293.601226851853</v>
      </c>
      <c r="E45" t="s">
        <v>102</v>
      </c>
      <c r="F45" s="19">
        <v>0.93847158096847338</v>
      </c>
      <c r="G45" s="19">
        <v>0.87801642423061244</v>
      </c>
      <c r="H45" s="19">
        <v>0.86373632207941298</v>
      </c>
      <c r="I45" s="19">
        <v>4.9808351949732384E-2</v>
      </c>
      <c r="J45" s="19">
        <v>0.89697460289753872</v>
      </c>
      <c r="K45" s="19">
        <v>5.0612065522264944E-2</v>
      </c>
      <c r="L45" s="19">
        <v>0.88344205262013464</v>
      </c>
      <c r="M45" s="19">
        <v>0.95086237848457134</v>
      </c>
      <c r="N45" s="19">
        <v>3.6346171305150603E-2</v>
      </c>
      <c r="O45" s="19">
        <v>0.93329754203073223</v>
      </c>
      <c r="P45" s="19">
        <v>4.5983312047488949E-2</v>
      </c>
    </row>
    <row r="46" spans="2:16" x14ac:dyDescent="0.2">
      <c r="B46" t="s">
        <v>533</v>
      </c>
      <c r="C46" t="s">
        <v>376</v>
      </c>
      <c r="D46" s="18">
        <v>42293.601226851853</v>
      </c>
      <c r="E46" t="s">
        <v>102</v>
      </c>
      <c r="F46" s="19">
        <v>0.93847158096847338</v>
      </c>
      <c r="G46" s="19">
        <v>0.87801642423061244</v>
      </c>
      <c r="H46" s="19">
        <v>0.86373632207941298</v>
      </c>
      <c r="I46" s="19">
        <v>4.9808351949732384E-2</v>
      </c>
      <c r="J46" s="19">
        <v>0.89697460289753872</v>
      </c>
      <c r="K46" s="19">
        <v>5.0612065522264944E-2</v>
      </c>
      <c r="L46" s="19">
        <v>0.88344205262013464</v>
      </c>
      <c r="M46" s="19">
        <v>0.95086237848457134</v>
      </c>
      <c r="N46" s="19">
        <v>3.6346171305150603E-2</v>
      </c>
      <c r="O46" s="19">
        <v>0.93329754203073223</v>
      </c>
      <c r="P46" s="19">
        <v>4.5983312047488949E-2</v>
      </c>
    </row>
    <row r="47" spans="2:16" x14ac:dyDescent="0.2">
      <c r="B47" t="s">
        <v>602</v>
      </c>
      <c r="C47" t="s">
        <v>411</v>
      </c>
      <c r="D47" s="18">
        <v>42293.601226851853</v>
      </c>
      <c r="E47" t="s">
        <v>173</v>
      </c>
      <c r="F47" s="19">
        <v>0.89141383258153117</v>
      </c>
      <c r="G47" s="19">
        <v>0.87603508771929828</v>
      </c>
      <c r="H47" s="19">
        <v>0.90656096763648264</v>
      </c>
      <c r="I47" s="19">
        <v>4.8682327212119673E-2</v>
      </c>
      <c r="J47" s="19">
        <v>0.92700115612047174</v>
      </c>
      <c r="K47" s="19">
        <v>4.2950393874098013E-2</v>
      </c>
      <c r="L47" s="19"/>
      <c r="M47" s="19"/>
      <c r="N47" s="19"/>
      <c r="O47" s="19"/>
      <c r="P47" s="19"/>
    </row>
    <row r="48" spans="2:16" x14ac:dyDescent="0.2">
      <c r="B48" t="s">
        <v>536</v>
      </c>
      <c r="C48" t="s">
        <v>376</v>
      </c>
      <c r="D48" s="18">
        <v>42293.601226851853</v>
      </c>
      <c r="E48" t="s">
        <v>148</v>
      </c>
      <c r="F48" s="19">
        <v>0.94858893021220736</v>
      </c>
      <c r="G48" s="19">
        <v>0.93268259845169976</v>
      </c>
      <c r="H48" s="19">
        <v>0.91041230955110364</v>
      </c>
      <c r="I48" s="19">
        <v>4.3674640168291888E-2</v>
      </c>
      <c r="J48" s="19">
        <v>0.92300128444351914</v>
      </c>
      <c r="K48" s="19">
        <v>4.6679149656925462E-2</v>
      </c>
      <c r="L48" s="19"/>
      <c r="M48" s="19"/>
      <c r="N48" s="19"/>
      <c r="O48" s="19"/>
      <c r="P48" s="19"/>
    </row>
    <row r="49" spans="2:16" x14ac:dyDescent="0.2">
      <c r="B49" t="s">
        <v>610</v>
      </c>
      <c r="C49" t="s">
        <v>411</v>
      </c>
      <c r="D49" s="18">
        <v>42293.601226851853</v>
      </c>
      <c r="E49" t="s">
        <v>176</v>
      </c>
      <c r="F49" s="19">
        <v>0.94239794668979227</v>
      </c>
      <c r="G49" s="19">
        <v>0.87301883274286785</v>
      </c>
      <c r="H49" s="19">
        <v>0.92005175187285682</v>
      </c>
      <c r="I49" s="19">
        <v>4.3802115729408016E-2</v>
      </c>
      <c r="J49" s="19">
        <v>0.95453377067839762</v>
      </c>
      <c r="K49" s="19">
        <v>3.4010895167628161E-2</v>
      </c>
      <c r="L49" s="19"/>
      <c r="M49" s="19"/>
      <c r="N49" s="19"/>
      <c r="O49" s="19"/>
      <c r="P49" s="19"/>
    </row>
    <row r="50" spans="2:16" x14ac:dyDescent="0.2">
      <c r="B50" t="s">
        <v>521</v>
      </c>
      <c r="C50" t="s">
        <v>376</v>
      </c>
      <c r="D50" s="18">
        <v>42293.601226851853</v>
      </c>
      <c r="E50" t="s">
        <v>143</v>
      </c>
      <c r="F50" s="19">
        <v>0.9800127755325132</v>
      </c>
      <c r="G50" s="19">
        <v>0.85638326585695013</v>
      </c>
      <c r="H50" s="19">
        <v>0.86922098710218321</v>
      </c>
      <c r="I50" s="19">
        <v>5.8931356640570129E-2</v>
      </c>
      <c r="J50" s="19">
        <v>0.95831631986978105</v>
      </c>
      <c r="K50" s="19">
        <v>3.3399802629907001E-2</v>
      </c>
      <c r="L50" s="19"/>
      <c r="M50" s="19"/>
      <c r="N50" s="19"/>
      <c r="O50" s="19"/>
      <c r="P50" s="19"/>
    </row>
    <row r="51" spans="2:16" x14ac:dyDescent="0.2">
      <c r="B51" t="s">
        <v>618</v>
      </c>
      <c r="C51" t="s">
        <v>411</v>
      </c>
      <c r="D51" s="18">
        <v>42293.601226851853</v>
      </c>
      <c r="E51" t="s">
        <v>180</v>
      </c>
      <c r="F51" s="19">
        <v>0.93637721127985185</v>
      </c>
      <c r="G51" s="19">
        <v>0.8516068496364062</v>
      </c>
      <c r="H51" s="19">
        <v>0.90490054551938659</v>
      </c>
      <c r="I51" s="19">
        <v>4.7386673833364486E-2</v>
      </c>
      <c r="J51" s="19">
        <v>0.95103102751827961</v>
      </c>
      <c r="K51" s="19">
        <v>2.9553340833753765E-2</v>
      </c>
      <c r="L51" s="19"/>
      <c r="M51" s="19"/>
      <c r="N51" s="19"/>
      <c r="O51" s="19"/>
      <c r="P51" s="19"/>
    </row>
    <row r="52" spans="2:16" x14ac:dyDescent="0.2">
      <c r="B52" t="s">
        <v>542</v>
      </c>
      <c r="C52" t="s">
        <v>376</v>
      </c>
      <c r="D52" s="18">
        <v>42293.601226851853</v>
      </c>
      <c r="E52" t="s">
        <v>108</v>
      </c>
      <c r="F52" s="19">
        <v>0.98019304856245926</v>
      </c>
      <c r="G52" s="19">
        <v>0.96886134779240896</v>
      </c>
      <c r="H52" s="19">
        <v>0.92939080470501678</v>
      </c>
      <c r="I52" s="19">
        <v>4.3893721253619587E-2</v>
      </c>
      <c r="J52" s="19">
        <v>0.91554323665372994</v>
      </c>
      <c r="K52" s="19">
        <v>4.5373338504892689E-2</v>
      </c>
      <c r="L52" s="19"/>
      <c r="M52" s="19"/>
      <c r="N52" s="19"/>
      <c r="O52" s="19"/>
      <c r="P52" s="19"/>
    </row>
    <row r="53" spans="2:16" x14ac:dyDescent="0.2">
      <c r="B53" t="s">
        <v>595</v>
      </c>
      <c r="C53" t="s">
        <v>392</v>
      </c>
      <c r="D53" s="18">
        <v>42293.601226851853</v>
      </c>
      <c r="E53" t="s">
        <v>170</v>
      </c>
      <c r="F53" s="19">
        <v>0.97682086411092306</v>
      </c>
      <c r="G53" s="19">
        <v>0.90615776269185355</v>
      </c>
      <c r="H53" s="19">
        <v>0.90894373493957847</v>
      </c>
      <c r="I53" s="19">
        <v>4.1348487454119578E-2</v>
      </c>
      <c r="J53" s="19">
        <v>0.94844315133034418</v>
      </c>
      <c r="K53" s="19">
        <v>3.4547643600920636E-2</v>
      </c>
      <c r="L53" s="254"/>
      <c r="M53" s="254"/>
      <c r="N53" s="254"/>
      <c r="O53" s="254"/>
      <c r="P53" s="254"/>
    </row>
    <row r="54" spans="2:16" x14ac:dyDescent="0.2">
      <c r="B54" t="s">
        <v>631</v>
      </c>
      <c r="C54" t="s">
        <v>411</v>
      </c>
      <c r="D54" s="18">
        <v>42293.601226851853</v>
      </c>
      <c r="E54" t="s">
        <v>185</v>
      </c>
      <c r="F54" s="19">
        <v>0.98038179185088237</v>
      </c>
      <c r="G54" s="19">
        <v>0.82804689811815702</v>
      </c>
      <c r="H54" s="19">
        <v>0.89154197985254069</v>
      </c>
      <c r="I54" s="19">
        <v>4.1363667192651193E-2</v>
      </c>
      <c r="J54" s="19">
        <v>0.94223745329698061</v>
      </c>
      <c r="K54" s="19">
        <v>3.8222524089259198E-2</v>
      </c>
      <c r="L54" s="19"/>
      <c r="M54" s="19"/>
      <c r="N54" s="19"/>
      <c r="O54" s="19"/>
      <c r="P54" s="19"/>
    </row>
    <row r="55" spans="2:16" x14ac:dyDescent="0.2">
      <c r="B55" t="s">
        <v>620</v>
      </c>
      <c r="C55" t="s">
        <v>387</v>
      </c>
      <c r="D55" s="18">
        <v>42293.601226851853</v>
      </c>
      <c r="E55" t="s">
        <v>181</v>
      </c>
      <c r="F55" s="19">
        <v>0.92757878766079616</v>
      </c>
      <c r="G55" s="19">
        <v>0.87340098060900984</v>
      </c>
      <c r="H55" s="19">
        <v>0.87784366429662142</v>
      </c>
      <c r="I55" s="19">
        <v>4.8733770478017108E-2</v>
      </c>
      <c r="J55" s="19">
        <v>0.88182208268689721</v>
      </c>
      <c r="K55" s="19">
        <v>5.2542242555550518E-2</v>
      </c>
      <c r="L55" s="19"/>
      <c r="M55" s="19"/>
      <c r="N55" s="19"/>
      <c r="O55" s="19"/>
      <c r="P55" s="19"/>
    </row>
    <row r="56" spans="2:16" x14ac:dyDescent="0.2">
      <c r="B56" t="s">
        <v>604</v>
      </c>
      <c r="C56" t="s">
        <v>411</v>
      </c>
      <c r="D56" s="18">
        <v>42293.601226851853</v>
      </c>
      <c r="E56" t="s">
        <v>174</v>
      </c>
      <c r="F56" s="19">
        <v>0.97864348306549798</v>
      </c>
      <c r="G56" s="19">
        <v>0.96415733736762477</v>
      </c>
      <c r="H56" s="19">
        <v>0.92583927683278622</v>
      </c>
      <c r="I56" s="19">
        <v>3.7752533098961365E-2</v>
      </c>
      <c r="J56" s="19">
        <v>0.9283170070720107</v>
      </c>
      <c r="K56" s="19">
        <v>4.400434049320303E-2</v>
      </c>
      <c r="L56" s="19"/>
      <c r="M56" s="19"/>
      <c r="N56" s="19"/>
      <c r="O56" s="19"/>
      <c r="P56" s="19"/>
    </row>
    <row r="57" spans="2:16" x14ac:dyDescent="0.2">
      <c r="B57" t="s">
        <v>642</v>
      </c>
      <c r="C57" t="s">
        <v>397</v>
      </c>
      <c r="D57" s="18">
        <v>42293.601226851853</v>
      </c>
      <c r="E57" t="s">
        <v>190</v>
      </c>
      <c r="F57" s="19">
        <v>0.89310011803841627</v>
      </c>
      <c r="G57" s="19">
        <v>0.81781970649895186</v>
      </c>
      <c r="H57" s="19">
        <v>0.94479746980788504</v>
      </c>
      <c r="I57" s="19">
        <v>3.5521448263797877E-2</v>
      </c>
      <c r="J57" s="19">
        <v>0.94839654120154848</v>
      </c>
      <c r="K57" s="19">
        <v>3.0801147915062471E-2</v>
      </c>
      <c r="L57" s="19"/>
      <c r="M57" s="19"/>
      <c r="N57" s="19"/>
      <c r="O57" s="19"/>
      <c r="P57" s="19"/>
    </row>
    <row r="58" spans="2:16" x14ac:dyDescent="0.2">
      <c r="B58" t="s">
        <v>387</v>
      </c>
      <c r="C58" t="s">
        <v>387</v>
      </c>
      <c r="D58" s="18">
        <v>42293.601226851853</v>
      </c>
      <c r="E58" t="s">
        <v>668</v>
      </c>
      <c r="F58" s="19">
        <v>0.95919843189438858</v>
      </c>
      <c r="G58" s="19">
        <v>0.88838772591087789</v>
      </c>
      <c r="H58" s="19">
        <v>0.90291534732041101</v>
      </c>
      <c r="I58" s="19">
        <v>2.0284968485728996E-2</v>
      </c>
      <c r="J58" s="19">
        <v>0.89313042598819015</v>
      </c>
      <c r="K58" s="19">
        <v>2.659548018204461E-2</v>
      </c>
      <c r="L58" s="19"/>
      <c r="M58" s="19"/>
      <c r="N58" s="19"/>
      <c r="O58" s="19"/>
      <c r="P58" s="19"/>
    </row>
    <row r="59" spans="2:16" x14ac:dyDescent="0.2">
      <c r="B59" t="s">
        <v>581</v>
      </c>
      <c r="C59" t="s">
        <v>397</v>
      </c>
      <c r="D59" s="18">
        <v>42293.601226851853</v>
      </c>
      <c r="E59" t="s">
        <v>164</v>
      </c>
      <c r="F59" s="19">
        <v>0.97494983986819728</v>
      </c>
      <c r="G59" s="19">
        <v>0.93339504268229978</v>
      </c>
      <c r="H59" s="19">
        <v>0.91050103316038966</v>
      </c>
      <c r="I59" s="19">
        <v>4.2705903751730931E-2</v>
      </c>
      <c r="J59" s="19">
        <v>0.85097553289656203</v>
      </c>
      <c r="K59" s="19">
        <v>5.4661101278370407E-2</v>
      </c>
      <c r="L59" s="19"/>
      <c r="M59" s="19"/>
      <c r="N59" s="19"/>
      <c r="O59" s="19"/>
      <c r="P59" s="19"/>
    </row>
    <row r="60" spans="2:16" x14ac:dyDescent="0.2">
      <c r="B60" t="s">
        <v>218</v>
      </c>
      <c r="C60" t="s">
        <v>397</v>
      </c>
      <c r="D60" s="18">
        <v>42293.601226851853</v>
      </c>
      <c r="E60" t="s">
        <v>167</v>
      </c>
      <c r="F60" s="19">
        <v>0.97144116044959827</v>
      </c>
      <c r="G60" s="19">
        <v>0.91167149372482426</v>
      </c>
      <c r="H60" s="19">
        <v>0.93670516707347662</v>
      </c>
      <c r="I60" s="19">
        <v>3.8301837710436361E-2</v>
      </c>
      <c r="J60" s="19">
        <v>0.86771105316321029</v>
      </c>
      <c r="K60" s="19">
        <v>6.1831602513086281E-2</v>
      </c>
      <c r="L60" s="19">
        <v>1</v>
      </c>
      <c r="M60" s="19">
        <v>0.99183479661474583</v>
      </c>
      <c r="N60" s="19">
        <v>9.7910430844567742E-3</v>
      </c>
      <c r="O60" s="19">
        <v>0.96758764966882405</v>
      </c>
      <c r="P60" s="19">
        <v>3.2715751039337063E-2</v>
      </c>
    </row>
    <row r="61" spans="2:16" x14ac:dyDescent="0.2">
      <c r="B61" t="s">
        <v>587</v>
      </c>
      <c r="C61" t="s">
        <v>397</v>
      </c>
      <c r="D61" s="18">
        <v>42293.601226851853</v>
      </c>
      <c r="E61" t="s">
        <v>167</v>
      </c>
      <c r="F61" s="19">
        <v>0.97144116044959827</v>
      </c>
      <c r="G61" s="19">
        <v>0.91167149372482426</v>
      </c>
      <c r="H61" s="19">
        <v>0.93670516707347662</v>
      </c>
      <c r="I61" s="19">
        <v>3.8301837710436361E-2</v>
      </c>
      <c r="J61" s="19">
        <v>0.86771105316321029</v>
      </c>
      <c r="K61" s="19">
        <v>6.1831602513086281E-2</v>
      </c>
      <c r="L61" s="19">
        <v>1</v>
      </c>
      <c r="M61" s="19">
        <v>0.99183479661474583</v>
      </c>
      <c r="N61" s="19">
        <v>9.7910430844567742E-3</v>
      </c>
      <c r="O61" s="19">
        <v>0.96758764966882405</v>
      </c>
      <c r="P61" s="19">
        <v>3.2715751039337063E-2</v>
      </c>
    </row>
    <row r="62" spans="2:16" x14ac:dyDescent="0.2">
      <c r="B62" t="s">
        <v>548</v>
      </c>
      <c r="C62" t="s">
        <v>387</v>
      </c>
      <c r="D62" s="18">
        <v>42293.601226851853</v>
      </c>
      <c r="E62" t="s">
        <v>152</v>
      </c>
      <c r="F62" s="19">
        <v>0.92309558140550596</v>
      </c>
      <c r="G62" s="19">
        <v>0.80823804309229563</v>
      </c>
      <c r="H62" s="19">
        <v>0.87033622954481227</v>
      </c>
      <c r="I62" s="19">
        <v>5.4873721278692E-2</v>
      </c>
      <c r="J62" s="19">
        <v>0.87942800589422876</v>
      </c>
      <c r="K62" s="19">
        <v>5.8322805634560521E-2</v>
      </c>
      <c r="L62" s="19"/>
      <c r="M62" s="19"/>
      <c r="N62" s="19"/>
      <c r="O62" s="19"/>
      <c r="P62" s="19"/>
    </row>
    <row r="63" spans="2:16" x14ac:dyDescent="0.2">
      <c r="B63" t="s">
        <v>634</v>
      </c>
      <c r="C63" t="s">
        <v>376</v>
      </c>
      <c r="D63" s="18">
        <v>42293.601226851853</v>
      </c>
      <c r="E63" t="s">
        <v>186</v>
      </c>
      <c r="F63" s="19">
        <v>0.95502946108662379</v>
      </c>
      <c r="G63" s="19">
        <v>0.8291744840525328</v>
      </c>
      <c r="H63" s="19">
        <v>0.86390867966092122</v>
      </c>
      <c r="I63" s="19">
        <v>6.0097717726135542E-2</v>
      </c>
      <c r="J63" s="19">
        <v>0.96309565047955137</v>
      </c>
      <c r="K63" s="19">
        <v>3.5935553262145488E-2</v>
      </c>
      <c r="L63" s="19"/>
      <c r="M63" s="19"/>
      <c r="N63" s="19"/>
      <c r="O63" s="19"/>
      <c r="P63" s="19"/>
    </row>
    <row r="64" spans="2:16" x14ac:dyDescent="0.2">
      <c r="B64" t="s">
        <v>703</v>
      </c>
      <c r="C64" t="s">
        <v>6</v>
      </c>
      <c r="D64" s="18">
        <v>42293.601226851853</v>
      </c>
      <c r="E64" t="s">
        <v>444</v>
      </c>
      <c r="F64" s="19"/>
      <c r="G64" s="19"/>
      <c r="H64" s="19"/>
      <c r="I64" s="19"/>
      <c r="J64" s="19"/>
      <c r="K64" s="19"/>
      <c r="L64" s="19">
        <v>0.95160262468609058</v>
      </c>
      <c r="M64" s="19">
        <v>0.96399894169750566</v>
      </c>
      <c r="N64" s="19">
        <v>1.6489981077915702E-2</v>
      </c>
      <c r="O64" s="19">
        <v>0.96300643857320334</v>
      </c>
      <c r="P64" s="19">
        <v>1.9719875218875204E-2</v>
      </c>
    </row>
    <row r="65" spans="2:16" x14ac:dyDescent="0.2">
      <c r="B65" t="s">
        <v>705</v>
      </c>
      <c r="C65" t="s">
        <v>6</v>
      </c>
      <c r="D65" s="18">
        <v>42293.601226851853</v>
      </c>
      <c r="E65" t="s">
        <v>444</v>
      </c>
      <c r="F65" s="19">
        <v>0.96197517057151161</v>
      </c>
      <c r="G65" s="19">
        <v>0.89083669187831571</v>
      </c>
      <c r="H65" s="19">
        <v>0.90443172791620985</v>
      </c>
      <c r="I65" s="19">
        <v>7.428510364121124E-3</v>
      </c>
      <c r="J65" s="19">
        <v>0.91007123385233935</v>
      </c>
      <c r="K65" s="19">
        <v>8.7197515642858294E-3</v>
      </c>
      <c r="L65" s="19">
        <v>0.95160262468609058</v>
      </c>
      <c r="M65" s="19">
        <v>0.96399894169750566</v>
      </c>
      <c r="N65" s="19">
        <v>1.6489981077915702E-2</v>
      </c>
      <c r="O65" s="19">
        <v>0.96300643857320334</v>
      </c>
      <c r="P65" s="19">
        <v>1.9719875218875204E-2</v>
      </c>
    </row>
    <row r="66" spans="2:16" x14ac:dyDescent="0.2">
      <c r="B66" t="s">
        <v>612</v>
      </c>
      <c r="C66" t="s">
        <v>392</v>
      </c>
      <c r="D66" s="18">
        <v>42293.601226851853</v>
      </c>
      <c r="E66" t="s">
        <v>177</v>
      </c>
      <c r="F66" s="19">
        <v>0.95915367429098963</v>
      </c>
      <c r="G66" s="19">
        <v>0.81735360660280154</v>
      </c>
      <c r="H66" s="19">
        <v>0.8923725820597288</v>
      </c>
      <c r="I66" s="19">
        <v>4.5699906181186446E-2</v>
      </c>
      <c r="J66" s="19">
        <v>0.91673964566109944</v>
      </c>
      <c r="K66" s="19">
        <v>4.5532114445199737E-2</v>
      </c>
      <c r="L66" s="19"/>
      <c r="M66" s="19"/>
      <c r="N66" s="19"/>
      <c r="O66" s="19"/>
      <c r="P66" s="19"/>
    </row>
    <row r="67" spans="2:16" x14ac:dyDescent="0.2">
      <c r="B67" t="s">
        <v>677</v>
      </c>
      <c r="C67" t="s">
        <v>376</v>
      </c>
      <c r="D67" s="18">
        <v>42293.601226851853</v>
      </c>
      <c r="E67" t="s">
        <v>676</v>
      </c>
      <c r="F67" s="153">
        <v>0.94564441915236841</v>
      </c>
      <c r="G67" s="153">
        <v>0.86986023078173247</v>
      </c>
      <c r="H67" s="153">
        <v>0.90455304928989155</v>
      </c>
      <c r="I67" s="153">
        <v>0.11605551170701922</v>
      </c>
      <c r="J67" s="153">
        <v>0.83732001033383141</v>
      </c>
      <c r="K67" s="153">
        <v>3.5133790882765935E-2</v>
      </c>
      <c r="L67" s="153"/>
      <c r="M67" s="153"/>
      <c r="N67" s="153"/>
      <c r="O67" s="153"/>
      <c r="P67" s="153"/>
    </row>
    <row r="68" spans="2:16" x14ac:dyDescent="0.2">
      <c r="B68" t="s">
        <v>636</v>
      </c>
      <c r="C68" t="s">
        <v>376</v>
      </c>
      <c r="D68" s="18">
        <v>42293.601226851853</v>
      </c>
      <c r="E68" t="s">
        <v>92</v>
      </c>
      <c r="F68" s="153">
        <v>0.91123054114158641</v>
      </c>
      <c r="G68" s="153">
        <v>0.87345615479621264</v>
      </c>
      <c r="H68" s="153">
        <v>0.84419915601575757</v>
      </c>
      <c r="I68" s="153">
        <v>5.1845298671013042E-2</v>
      </c>
      <c r="J68" s="153">
        <v>0.91283465244663509</v>
      </c>
      <c r="K68" s="153">
        <v>3.4927324923456876E-2</v>
      </c>
      <c r="L68" s="153"/>
      <c r="M68" s="153"/>
      <c r="N68" s="153"/>
      <c r="O68" s="153"/>
      <c r="P68" s="153"/>
    </row>
    <row r="69" spans="2:16" x14ac:dyDescent="0.2">
      <c r="B69" t="s">
        <v>646</v>
      </c>
      <c r="C69" t="s">
        <v>397</v>
      </c>
      <c r="D69" s="18">
        <v>42293.601226851853</v>
      </c>
      <c r="E69" t="s">
        <v>191</v>
      </c>
      <c r="F69" s="153">
        <v>0.99004700572543525</v>
      </c>
      <c r="G69" s="153">
        <v>0.9572758037225042</v>
      </c>
      <c r="H69" s="153">
        <v>0.92865445890437248</v>
      </c>
      <c r="I69" s="153">
        <v>3.851836648649147E-2</v>
      </c>
      <c r="J69" s="153">
        <v>0.91007925069827456</v>
      </c>
      <c r="K69" s="153">
        <v>5.4734787745189022E-2</v>
      </c>
      <c r="L69" s="153"/>
      <c r="M69" s="153"/>
      <c r="N69" s="153"/>
      <c r="O69" s="153"/>
      <c r="P69" s="153"/>
    </row>
    <row r="70" spans="2:16" x14ac:dyDescent="0.2">
      <c r="B70" t="s">
        <v>650</v>
      </c>
      <c r="C70" t="s">
        <v>376</v>
      </c>
      <c r="D70" s="18">
        <v>42293.601226851853</v>
      </c>
      <c r="E70" t="s">
        <v>193</v>
      </c>
      <c r="F70" s="153">
        <v>0.94593067372737683</v>
      </c>
      <c r="G70" s="153">
        <v>0.85256410256410253</v>
      </c>
      <c r="H70" s="153">
        <v>0.85562553660788376</v>
      </c>
      <c r="I70" s="153">
        <v>4.6982260482152115E-2</v>
      </c>
      <c r="J70" s="153">
        <v>0.88517869804523708</v>
      </c>
      <c r="K70" s="153">
        <v>5.2727461847557819E-2</v>
      </c>
      <c r="L70" s="153"/>
      <c r="M70" s="153"/>
      <c r="N70" s="153"/>
      <c r="O70" s="153"/>
      <c r="P70" s="153"/>
    </row>
    <row r="71" spans="2:16" x14ac:dyDescent="0.2">
      <c r="B71" t="s">
        <v>550</v>
      </c>
      <c r="C71" t="s">
        <v>376</v>
      </c>
      <c r="D71" s="18">
        <v>42293.601226851853</v>
      </c>
      <c r="E71" t="s">
        <v>153</v>
      </c>
      <c r="F71" s="153">
        <v>0.95325332820193764</v>
      </c>
      <c r="G71" s="153">
        <v>0.8671306385221268</v>
      </c>
      <c r="H71" s="153">
        <v>0.84527408971012141</v>
      </c>
      <c r="I71" s="153">
        <v>5.0945282127898395E-2</v>
      </c>
      <c r="J71" s="153">
        <v>0.94947295147140531</v>
      </c>
      <c r="K71" s="153">
        <v>3.5021400766322944E-2</v>
      </c>
      <c r="L71" s="153"/>
      <c r="M71" s="153"/>
      <c r="N71" s="153"/>
      <c r="O71" s="153"/>
      <c r="P71" s="153"/>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957</v>
      </c>
      <c r="C2" t="s">
        <v>958</v>
      </c>
      <c r="D2" t="s">
        <v>139</v>
      </c>
      <c r="F2" t="s">
        <v>952</v>
      </c>
      <c r="G2" t="s">
        <v>939</v>
      </c>
      <c r="H2" t="s">
        <v>940</v>
      </c>
      <c r="I2" t="s">
        <v>941</v>
      </c>
      <c r="J2" t="s">
        <v>942</v>
      </c>
      <c r="K2" t="s">
        <v>943</v>
      </c>
      <c r="L2" t="s">
        <v>944</v>
      </c>
      <c r="M2" t="s">
        <v>945</v>
      </c>
      <c r="N2" t="s">
        <v>946</v>
      </c>
      <c r="O2" t="s">
        <v>947</v>
      </c>
      <c r="P2" t="s">
        <v>948</v>
      </c>
      <c r="Q2" t="s">
        <v>949</v>
      </c>
      <c r="R2" t="s">
        <v>950</v>
      </c>
      <c r="S2" t="s">
        <v>951</v>
      </c>
      <c r="V2" t="s">
        <v>953</v>
      </c>
      <c r="W2" t="s">
        <v>939</v>
      </c>
      <c r="X2" t="s">
        <v>940</v>
      </c>
      <c r="Y2" t="s">
        <v>941</v>
      </c>
      <c r="Z2" t="s">
        <v>942</v>
      </c>
      <c r="AA2" t="s">
        <v>943</v>
      </c>
      <c r="AB2" t="s">
        <v>944</v>
      </c>
      <c r="AC2" t="s">
        <v>945</v>
      </c>
      <c r="AD2" t="s">
        <v>946</v>
      </c>
      <c r="AE2" t="s">
        <v>947</v>
      </c>
      <c r="AF2" t="s">
        <v>948</v>
      </c>
      <c r="AG2" t="s">
        <v>949</v>
      </c>
      <c r="AH2" t="s">
        <v>950</v>
      </c>
      <c r="AI2" t="s">
        <v>951</v>
      </c>
      <c r="AL2" t="s">
        <v>954</v>
      </c>
      <c r="AM2" t="s">
        <v>939</v>
      </c>
      <c r="AN2" t="s">
        <v>940</v>
      </c>
      <c r="AO2" t="s">
        <v>941</v>
      </c>
      <c r="AP2" t="s">
        <v>942</v>
      </c>
      <c r="AQ2" t="s">
        <v>943</v>
      </c>
      <c r="AR2" t="s">
        <v>944</v>
      </c>
      <c r="AS2" t="s">
        <v>945</v>
      </c>
      <c r="AT2" t="s">
        <v>946</v>
      </c>
      <c r="AU2" t="s">
        <v>947</v>
      </c>
      <c r="AV2" t="s">
        <v>948</v>
      </c>
      <c r="AW2" t="s">
        <v>949</v>
      </c>
      <c r="AX2" t="s">
        <v>950</v>
      </c>
      <c r="AY2" t="s">
        <v>951</v>
      </c>
    </row>
    <row r="3" spans="2:51" x14ac:dyDescent="0.2">
      <c r="B3" t="s">
        <v>960</v>
      </c>
      <c r="C3">
        <v>388787</v>
      </c>
      <c r="D3">
        <v>409.14492873260002</v>
      </c>
      <c r="F3" t="s">
        <v>8</v>
      </c>
      <c r="G3">
        <v>11286</v>
      </c>
      <c r="P3">
        <v>11286</v>
      </c>
      <c r="Q3">
        <v>172.23117136280001</v>
      </c>
      <c r="V3" t="s">
        <v>315</v>
      </c>
      <c r="W3">
        <v>399</v>
      </c>
      <c r="X3">
        <v>264</v>
      </c>
      <c r="Y3">
        <v>360.35227272729998</v>
      </c>
      <c r="Z3">
        <v>29</v>
      </c>
      <c r="AA3">
        <v>587.44827586209999</v>
      </c>
      <c r="AB3">
        <v>75</v>
      </c>
      <c r="AC3">
        <v>574.24</v>
      </c>
      <c r="AD3">
        <v>37</v>
      </c>
      <c r="AE3">
        <v>687.72972972970001</v>
      </c>
      <c r="AF3">
        <v>22</v>
      </c>
      <c r="AG3">
        <v>167.04545454550001</v>
      </c>
      <c r="AH3">
        <v>1</v>
      </c>
      <c r="AI3">
        <v>110</v>
      </c>
      <c r="AL3" t="s">
        <v>315</v>
      </c>
      <c r="AM3">
        <v>10</v>
      </c>
      <c r="AN3">
        <v>6</v>
      </c>
      <c r="AO3">
        <v>342.8333333333</v>
      </c>
      <c r="AP3">
        <v>2</v>
      </c>
      <c r="AQ3">
        <v>745.5</v>
      </c>
      <c r="AR3">
        <v>2</v>
      </c>
      <c r="AS3">
        <v>280</v>
      </c>
      <c r="AT3">
        <v>2</v>
      </c>
      <c r="AU3">
        <v>110.5</v>
      </c>
    </row>
    <row r="4" spans="2:51" x14ac:dyDescent="0.2">
      <c r="B4" t="s">
        <v>959</v>
      </c>
      <c r="C4">
        <v>36342</v>
      </c>
      <c r="D4">
        <v>409.14492873260002</v>
      </c>
      <c r="F4" t="s">
        <v>8</v>
      </c>
      <c r="G4">
        <v>11286</v>
      </c>
      <c r="P4">
        <v>11286</v>
      </c>
      <c r="Q4">
        <v>172.23117136280001</v>
      </c>
      <c r="V4" t="s">
        <v>8</v>
      </c>
      <c r="W4">
        <v>4981</v>
      </c>
      <c r="X4">
        <v>3709</v>
      </c>
      <c r="Y4">
        <v>419.07306551630001</v>
      </c>
      <c r="Z4">
        <v>429</v>
      </c>
      <c r="AA4">
        <v>442.29137529140002</v>
      </c>
      <c r="AB4">
        <v>521</v>
      </c>
      <c r="AC4">
        <v>522.19961612279997</v>
      </c>
      <c r="AD4">
        <v>705</v>
      </c>
      <c r="AE4">
        <v>809.19716312059995</v>
      </c>
      <c r="AF4">
        <v>44</v>
      </c>
      <c r="AG4">
        <v>265.8181818182</v>
      </c>
      <c r="AH4">
        <v>2</v>
      </c>
      <c r="AI4">
        <v>752</v>
      </c>
      <c r="AL4" t="s">
        <v>8</v>
      </c>
      <c r="AM4">
        <v>49</v>
      </c>
      <c r="AN4">
        <v>39</v>
      </c>
      <c r="AO4">
        <v>198.41025641030001</v>
      </c>
      <c r="AP4">
        <v>9</v>
      </c>
      <c r="AQ4">
        <v>517.44444444440001</v>
      </c>
      <c r="AR4">
        <v>10</v>
      </c>
      <c r="AS4">
        <v>193.3</v>
      </c>
    </row>
    <row r="5" spans="2:51" x14ac:dyDescent="0.2">
      <c r="B5" t="s">
        <v>971</v>
      </c>
      <c r="C5">
        <v>23045</v>
      </c>
      <c r="D5">
        <v>564.90440442609997</v>
      </c>
      <c r="F5" t="s">
        <v>46</v>
      </c>
      <c r="G5">
        <v>558</v>
      </c>
      <c r="H5">
        <v>459</v>
      </c>
      <c r="I5">
        <v>233.5969498911</v>
      </c>
      <c r="J5">
        <v>17</v>
      </c>
      <c r="K5">
        <v>464.5882352941</v>
      </c>
      <c r="L5">
        <v>74</v>
      </c>
      <c r="M5">
        <v>166.8918918919</v>
      </c>
      <c r="N5">
        <v>25</v>
      </c>
      <c r="O5">
        <v>212.36</v>
      </c>
      <c r="V5" t="s">
        <v>8</v>
      </c>
      <c r="W5">
        <v>5380</v>
      </c>
      <c r="X5">
        <v>3973</v>
      </c>
      <c r="Y5">
        <v>415.17115529829999</v>
      </c>
      <c r="Z5">
        <v>458</v>
      </c>
      <c r="AA5">
        <v>451.4825327511</v>
      </c>
      <c r="AB5">
        <v>596</v>
      </c>
      <c r="AC5">
        <v>528.74832214770004</v>
      </c>
      <c r="AD5">
        <v>742</v>
      </c>
      <c r="AE5">
        <v>803.14016172510003</v>
      </c>
      <c r="AF5">
        <v>66</v>
      </c>
      <c r="AG5">
        <v>232.89393939390001</v>
      </c>
      <c r="AH5">
        <v>3</v>
      </c>
      <c r="AI5">
        <v>538</v>
      </c>
      <c r="AL5" t="s">
        <v>8</v>
      </c>
      <c r="AM5">
        <v>59</v>
      </c>
      <c r="AN5">
        <v>45</v>
      </c>
      <c r="AO5">
        <v>217.6666666667</v>
      </c>
      <c r="AP5">
        <v>11</v>
      </c>
      <c r="AQ5">
        <v>558.90909090909997</v>
      </c>
      <c r="AR5">
        <v>12</v>
      </c>
      <c r="AS5">
        <v>207.75</v>
      </c>
      <c r="AT5">
        <v>2</v>
      </c>
      <c r="AU5">
        <v>110.5</v>
      </c>
    </row>
    <row r="6" spans="2:51" x14ac:dyDescent="0.2">
      <c r="B6" t="s">
        <v>247</v>
      </c>
      <c r="C6">
        <v>55087</v>
      </c>
      <c r="D6">
        <v>619.16597382320003</v>
      </c>
      <c r="F6" t="s">
        <v>40</v>
      </c>
      <c r="G6">
        <v>7811</v>
      </c>
      <c r="H6">
        <v>5868</v>
      </c>
      <c r="I6">
        <v>443.74369461489999</v>
      </c>
      <c r="J6">
        <v>257</v>
      </c>
      <c r="K6">
        <v>967.9610894942</v>
      </c>
      <c r="L6">
        <v>1376</v>
      </c>
      <c r="M6">
        <v>568.07412790700005</v>
      </c>
      <c r="N6">
        <v>547</v>
      </c>
      <c r="O6">
        <v>646.80987202929998</v>
      </c>
      <c r="R6">
        <v>20</v>
      </c>
      <c r="S6">
        <v>629.45000000000005</v>
      </c>
      <c r="V6" t="s">
        <v>406</v>
      </c>
      <c r="W6">
        <v>1271</v>
      </c>
      <c r="X6">
        <v>649</v>
      </c>
      <c r="Y6">
        <v>160.13097072420001</v>
      </c>
      <c r="Z6">
        <v>246</v>
      </c>
      <c r="AA6">
        <v>287.19512195120001</v>
      </c>
      <c r="AB6">
        <v>413</v>
      </c>
      <c r="AC6">
        <v>251.67312348670001</v>
      </c>
      <c r="AD6">
        <v>118</v>
      </c>
      <c r="AE6">
        <v>273.83898305079998</v>
      </c>
      <c r="AF6">
        <v>88</v>
      </c>
      <c r="AG6">
        <v>148.8977272727</v>
      </c>
      <c r="AH6">
        <v>3</v>
      </c>
      <c r="AI6">
        <v>153.3333333333</v>
      </c>
      <c r="AL6" t="s">
        <v>406</v>
      </c>
      <c r="AM6">
        <v>26</v>
      </c>
      <c r="AN6">
        <v>15</v>
      </c>
      <c r="AO6">
        <v>75.866666666699999</v>
      </c>
      <c r="AP6">
        <v>17</v>
      </c>
      <c r="AQ6">
        <v>220.8823529412</v>
      </c>
      <c r="AR6">
        <v>6</v>
      </c>
      <c r="AS6">
        <v>124.5</v>
      </c>
      <c r="AT6">
        <v>5</v>
      </c>
      <c r="AU6">
        <v>78.599999999999994</v>
      </c>
    </row>
    <row r="7" spans="2:51" x14ac:dyDescent="0.2">
      <c r="B7" t="s">
        <v>246</v>
      </c>
      <c r="C7">
        <v>230069</v>
      </c>
      <c r="D7">
        <v>395.53872099239999</v>
      </c>
      <c r="F7" t="s">
        <v>45</v>
      </c>
      <c r="G7">
        <v>6025</v>
      </c>
      <c r="H7">
        <v>4316</v>
      </c>
      <c r="I7">
        <v>398.67354031510001</v>
      </c>
      <c r="J7">
        <v>634</v>
      </c>
      <c r="K7">
        <v>495.11987381699998</v>
      </c>
      <c r="L7">
        <v>1117</v>
      </c>
      <c r="M7">
        <v>627.19874664279996</v>
      </c>
      <c r="N7">
        <v>588</v>
      </c>
      <c r="O7">
        <v>433.38435374149998</v>
      </c>
      <c r="R7">
        <v>4</v>
      </c>
      <c r="S7">
        <v>718.25</v>
      </c>
      <c r="V7" t="s">
        <v>398</v>
      </c>
      <c r="W7">
        <v>14171</v>
      </c>
      <c r="X7">
        <v>10360</v>
      </c>
      <c r="Y7">
        <v>633.80193050189996</v>
      </c>
      <c r="Z7">
        <v>327</v>
      </c>
      <c r="AA7">
        <v>1163.6727828746</v>
      </c>
      <c r="AB7">
        <v>2707</v>
      </c>
      <c r="AC7">
        <v>1322.2534170669001</v>
      </c>
      <c r="AD7">
        <v>873</v>
      </c>
      <c r="AE7">
        <v>823.38602520049994</v>
      </c>
      <c r="AF7">
        <v>209</v>
      </c>
      <c r="AG7">
        <v>218.43540669859999</v>
      </c>
      <c r="AH7">
        <v>22</v>
      </c>
      <c r="AI7">
        <v>661.18181818180005</v>
      </c>
      <c r="AL7" t="s">
        <v>398</v>
      </c>
      <c r="AM7">
        <v>214</v>
      </c>
      <c r="AN7">
        <v>174</v>
      </c>
      <c r="AO7">
        <v>273.86206896549999</v>
      </c>
      <c r="AP7">
        <v>25</v>
      </c>
      <c r="AQ7">
        <v>523.52</v>
      </c>
      <c r="AR7">
        <v>37</v>
      </c>
      <c r="AS7">
        <v>211.40540540539999</v>
      </c>
      <c r="AT7">
        <v>3</v>
      </c>
      <c r="AU7">
        <v>168</v>
      </c>
    </row>
    <row r="8" spans="2:51" x14ac:dyDescent="0.2">
      <c r="B8" t="s">
        <v>248</v>
      </c>
      <c r="C8">
        <v>24627</v>
      </c>
      <c r="D8">
        <v>517.25638526820001</v>
      </c>
      <c r="F8" t="s">
        <v>53</v>
      </c>
      <c r="G8">
        <v>1294</v>
      </c>
      <c r="H8">
        <v>393</v>
      </c>
      <c r="I8">
        <v>97.170483460599996</v>
      </c>
      <c r="J8">
        <v>350</v>
      </c>
      <c r="K8">
        <v>197.8857142857</v>
      </c>
      <c r="L8">
        <v>658</v>
      </c>
      <c r="M8">
        <v>234.78723404260001</v>
      </c>
      <c r="N8">
        <v>240</v>
      </c>
      <c r="O8">
        <v>230.36666666670001</v>
      </c>
      <c r="R8">
        <v>3</v>
      </c>
      <c r="S8">
        <v>239.3333333333</v>
      </c>
      <c r="V8" t="s">
        <v>429</v>
      </c>
      <c r="W8">
        <v>1371</v>
      </c>
      <c r="X8">
        <v>926</v>
      </c>
      <c r="Y8">
        <v>211.88876889849999</v>
      </c>
      <c r="Z8">
        <v>249</v>
      </c>
      <c r="AA8">
        <v>413.7911646586</v>
      </c>
      <c r="AB8">
        <v>147</v>
      </c>
      <c r="AC8">
        <v>180.0068027211</v>
      </c>
      <c r="AD8">
        <v>193</v>
      </c>
      <c r="AE8">
        <v>364.41968911919997</v>
      </c>
      <c r="AF8">
        <v>102</v>
      </c>
      <c r="AG8">
        <v>159.1862745098</v>
      </c>
      <c r="AH8">
        <v>3</v>
      </c>
      <c r="AI8">
        <v>225</v>
      </c>
      <c r="AL8" t="s">
        <v>429</v>
      </c>
      <c r="AM8">
        <v>23</v>
      </c>
      <c r="AN8">
        <v>12</v>
      </c>
      <c r="AO8">
        <v>207.25</v>
      </c>
      <c r="AP8">
        <v>10</v>
      </c>
      <c r="AQ8">
        <v>244.9</v>
      </c>
      <c r="AR8">
        <v>9</v>
      </c>
      <c r="AS8">
        <v>106.1111111111</v>
      </c>
      <c r="AT8">
        <v>2</v>
      </c>
      <c r="AU8">
        <v>156</v>
      </c>
    </row>
    <row r="9" spans="2:51" x14ac:dyDescent="0.2">
      <c r="B9" t="s">
        <v>249</v>
      </c>
      <c r="C9">
        <v>11286</v>
      </c>
      <c r="D9">
        <v>172.23117136280001</v>
      </c>
      <c r="F9" t="s">
        <v>84</v>
      </c>
      <c r="G9">
        <v>1245</v>
      </c>
      <c r="H9">
        <v>897</v>
      </c>
      <c r="I9">
        <v>207.82497212929999</v>
      </c>
      <c r="J9">
        <v>270</v>
      </c>
      <c r="K9">
        <v>413.3</v>
      </c>
      <c r="L9">
        <v>142</v>
      </c>
      <c r="M9">
        <v>148.9718309859</v>
      </c>
      <c r="N9">
        <v>203</v>
      </c>
      <c r="O9">
        <v>352.27586206900003</v>
      </c>
      <c r="R9">
        <v>3</v>
      </c>
      <c r="S9">
        <v>225</v>
      </c>
      <c r="V9" t="s">
        <v>399</v>
      </c>
      <c r="W9">
        <v>8277</v>
      </c>
      <c r="X9">
        <v>6349</v>
      </c>
      <c r="Y9">
        <v>497.52575208690001</v>
      </c>
      <c r="Z9">
        <v>165</v>
      </c>
      <c r="AA9">
        <v>733.1939393939</v>
      </c>
      <c r="AB9">
        <v>1351</v>
      </c>
      <c r="AC9">
        <v>974.67061435970004</v>
      </c>
      <c r="AD9">
        <v>416</v>
      </c>
      <c r="AE9">
        <v>658.13221153849997</v>
      </c>
      <c r="AF9">
        <v>158</v>
      </c>
      <c r="AG9">
        <v>149.96202531649999</v>
      </c>
      <c r="AH9">
        <v>3</v>
      </c>
      <c r="AI9">
        <v>79.666666666699996</v>
      </c>
      <c r="AL9" t="s">
        <v>399</v>
      </c>
      <c r="AM9">
        <v>150</v>
      </c>
      <c r="AN9">
        <v>137</v>
      </c>
      <c r="AO9">
        <v>476.04379562039998</v>
      </c>
      <c r="AP9">
        <v>8</v>
      </c>
      <c r="AQ9">
        <v>411.625</v>
      </c>
      <c r="AR9">
        <v>11</v>
      </c>
      <c r="AS9">
        <v>239.9090909091</v>
      </c>
      <c r="AT9">
        <v>2</v>
      </c>
      <c r="AU9">
        <v>96</v>
      </c>
    </row>
    <row r="10" spans="2:51" x14ac:dyDescent="0.2">
      <c r="B10" t="s">
        <v>955</v>
      </c>
      <c r="C10">
        <v>429</v>
      </c>
      <c r="D10">
        <v>435.5967365967</v>
      </c>
      <c r="F10" t="s">
        <v>79</v>
      </c>
      <c r="G10">
        <v>1740</v>
      </c>
      <c r="H10">
        <v>739</v>
      </c>
      <c r="I10">
        <v>137.49797022999999</v>
      </c>
      <c r="J10">
        <v>561</v>
      </c>
      <c r="K10">
        <v>214.825311943</v>
      </c>
      <c r="L10">
        <v>912</v>
      </c>
      <c r="M10">
        <v>286.68201754389997</v>
      </c>
      <c r="N10">
        <v>89</v>
      </c>
      <c r="O10">
        <v>125.3370786517</v>
      </c>
      <c r="V10" t="s">
        <v>401</v>
      </c>
      <c r="W10">
        <v>7997</v>
      </c>
      <c r="X10">
        <v>5791</v>
      </c>
      <c r="Y10">
        <v>440.74857537560001</v>
      </c>
      <c r="Z10">
        <v>259</v>
      </c>
      <c r="AA10">
        <v>934.62934362930002</v>
      </c>
      <c r="AB10">
        <v>1374</v>
      </c>
      <c r="AC10">
        <v>572.9599708879</v>
      </c>
      <c r="AD10">
        <v>542</v>
      </c>
      <c r="AE10">
        <v>636.03874538749994</v>
      </c>
      <c r="AF10">
        <v>270</v>
      </c>
      <c r="AG10">
        <v>190.03333333329999</v>
      </c>
      <c r="AH10">
        <v>20</v>
      </c>
      <c r="AI10">
        <v>629.45000000000005</v>
      </c>
      <c r="AL10" t="s">
        <v>401</v>
      </c>
      <c r="AM10">
        <v>388</v>
      </c>
      <c r="AN10">
        <v>268</v>
      </c>
      <c r="AO10">
        <v>400.82835820899999</v>
      </c>
      <c r="AP10">
        <v>37</v>
      </c>
      <c r="AQ10">
        <v>527.89189189189995</v>
      </c>
      <c r="AR10">
        <v>107</v>
      </c>
      <c r="AS10">
        <v>479.90654205610002</v>
      </c>
      <c r="AT10">
        <v>13</v>
      </c>
      <c r="AU10">
        <v>154.1538461538</v>
      </c>
    </row>
    <row r="11" spans="2:51" x14ac:dyDescent="0.2">
      <c r="F11" t="s">
        <v>41</v>
      </c>
      <c r="G11">
        <v>14120</v>
      </c>
      <c r="H11">
        <v>10493</v>
      </c>
      <c r="I11">
        <v>639.50376441440005</v>
      </c>
      <c r="J11">
        <v>318</v>
      </c>
      <c r="K11">
        <v>1195.8364779874</v>
      </c>
      <c r="L11">
        <v>2748</v>
      </c>
      <c r="M11">
        <v>1338.3526200873</v>
      </c>
      <c r="N11">
        <v>856</v>
      </c>
      <c r="O11">
        <v>839.71028037379995</v>
      </c>
      <c r="R11">
        <v>23</v>
      </c>
      <c r="S11">
        <v>633.21739130430001</v>
      </c>
      <c r="V11" t="s">
        <v>402</v>
      </c>
      <c r="W11">
        <v>6318</v>
      </c>
      <c r="X11">
        <v>4278</v>
      </c>
      <c r="Y11">
        <v>402.08228143989999</v>
      </c>
      <c r="Z11">
        <v>618</v>
      </c>
      <c r="AA11">
        <v>495.92880258899999</v>
      </c>
      <c r="AB11">
        <v>1131</v>
      </c>
      <c r="AC11">
        <v>638.22369584440003</v>
      </c>
      <c r="AD11">
        <v>589</v>
      </c>
      <c r="AE11">
        <v>446.62139219020003</v>
      </c>
      <c r="AF11">
        <v>316</v>
      </c>
      <c r="AG11">
        <v>174.28797468350001</v>
      </c>
      <c r="AH11">
        <v>4</v>
      </c>
      <c r="AI11">
        <v>718.25</v>
      </c>
      <c r="AL11" t="s">
        <v>402</v>
      </c>
      <c r="AM11">
        <v>204</v>
      </c>
      <c r="AN11">
        <v>172</v>
      </c>
      <c r="AO11">
        <v>285.1046511628</v>
      </c>
      <c r="AP11">
        <v>19</v>
      </c>
      <c r="AQ11">
        <v>487.10526315790003</v>
      </c>
      <c r="AR11">
        <v>25</v>
      </c>
      <c r="AS11">
        <v>276.32</v>
      </c>
      <c r="AT11">
        <v>6</v>
      </c>
      <c r="AU11">
        <v>329.1666666667</v>
      </c>
      <c r="AV11">
        <v>1</v>
      </c>
      <c r="AW11">
        <v>81</v>
      </c>
    </row>
    <row r="12" spans="2:51" x14ac:dyDescent="0.2">
      <c r="F12" t="s">
        <v>59</v>
      </c>
      <c r="G12">
        <v>3282</v>
      </c>
      <c r="H12">
        <v>2751</v>
      </c>
      <c r="I12">
        <v>281.26499454740002</v>
      </c>
      <c r="J12">
        <v>183</v>
      </c>
      <c r="K12">
        <v>550.70491803280004</v>
      </c>
      <c r="L12">
        <v>469</v>
      </c>
      <c r="M12">
        <v>304.03411513859999</v>
      </c>
      <c r="N12">
        <v>62</v>
      </c>
      <c r="O12">
        <v>120.3709677419</v>
      </c>
      <c r="V12" t="s">
        <v>404</v>
      </c>
      <c r="W12">
        <v>6861</v>
      </c>
      <c r="X12">
        <v>5613</v>
      </c>
      <c r="Y12">
        <v>292.00267236769997</v>
      </c>
      <c r="Z12">
        <v>452</v>
      </c>
      <c r="AA12">
        <v>558.65265486730004</v>
      </c>
      <c r="AB12">
        <v>397</v>
      </c>
      <c r="AC12">
        <v>226.1486146096</v>
      </c>
      <c r="AD12">
        <v>507</v>
      </c>
      <c r="AE12">
        <v>357.85207100589997</v>
      </c>
      <c r="AF12">
        <v>335</v>
      </c>
      <c r="AG12">
        <v>142.94925373129999</v>
      </c>
      <c r="AH12">
        <v>9</v>
      </c>
      <c r="AI12">
        <v>282.1111111111</v>
      </c>
      <c r="AL12" t="s">
        <v>404</v>
      </c>
      <c r="AM12">
        <v>217</v>
      </c>
      <c r="AN12">
        <v>186</v>
      </c>
      <c r="AO12">
        <v>353.1397849462</v>
      </c>
      <c r="AP12">
        <v>20</v>
      </c>
      <c r="AQ12">
        <v>483.05</v>
      </c>
      <c r="AR12">
        <v>30</v>
      </c>
      <c r="AS12">
        <v>218.53333333329999</v>
      </c>
      <c r="AT12">
        <v>1</v>
      </c>
      <c r="AU12">
        <v>185</v>
      </c>
    </row>
    <row r="13" spans="2:51" x14ac:dyDescent="0.2">
      <c r="F13" t="s">
        <v>78</v>
      </c>
      <c r="G13">
        <v>6423</v>
      </c>
      <c r="H13">
        <v>5553</v>
      </c>
      <c r="I13">
        <v>287.23770934629999</v>
      </c>
      <c r="J13">
        <v>434</v>
      </c>
      <c r="K13">
        <v>557.57373271890003</v>
      </c>
      <c r="L13">
        <v>367</v>
      </c>
      <c r="M13">
        <v>202.25613079019999</v>
      </c>
      <c r="N13">
        <v>495</v>
      </c>
      <c r="O13">
        <v>355.94343434339999</v>
      </c>
      <c r="R13">
        <v>8</v>
      </c>
      <c r="S13">
        <v>283.625</v>
      </c>
      <c r="V13" t="s">
        <v>407</v>
      </c>
      <c r="W13">
        <v>1451</v>
      </c>
      <c r="X13">
        <v>421</v>
      </c>
      <c r="Y13">
        <v>120.7957244656</v>
      </c>
      <c r="Z13">
        <v>348</v>
      </c>
      <c r="AA13">
        <v>201.97988505750001</v>
      </c>
      <c r="AB13">
        <v>650</v>
      </c>
      <c r="AC13">
        <v>241.30307692310001</v>
      </c>
      <c r="AD13">
        <v>233</v>
      </c>
      <c r="AE13">
        <v>228.1030042918</v>
      </c>
      <c r="AF13">
        <v>145</v>
      </c>
      <c r="AG13">
        <v>184.5448275862</v>
      </c>
      <c r="AH13">
        <v>2</v>
      </c>
      <c r="AI13">
        <v>224</v>
      </c>
      <c r="AL13" t="s">
        <v>407</v>
      </c>
      <c r="AM13">
        <v>20</v>
      </c>
      <c r="AN13">
        <v>10</v>
      </c>
      <c r="AO13">
        <v>128.5</v>
      </c>
      <c r="AP13">
        <v>11</v>
      </c>
      <c r="AQ13">
        <v>233.36363636359999</v>
      </c>
      <c r="AR13">
        <v>7</v>
      </c>
      <c r="AS13">
        <v>157.28571428570001</v>
      </c>
      <c r="AT13">
        <v>3</v>
      </c>
      <c r="AU13">
        <v>115.3333333333</v>
      </c>
    </row>
    <row r="14" spans="2:51" x14ac:dyDescent="0.2">
      <c r="F14" t="s">
        <v>44</v>
      </c>
      <c r="G14">
        <v>1155</v>
      </c>
      <c r="H14">
        <v>617</v>
      </c>
      <c r="I14">
        <v>143.68881685580001</v>
      </c>
      <c r="J14">
        <v>252</v>
      </c>
      <c r="K14">
        <v>289.40476190480001</v>
      </c>
      <c r="L14">
        <v>416</v>
      </c>
      <c r="M14">
        <v>251.38942307689999</v>
      </c>
      <c r="N14">
        <v>119</v>
      </c>
      <c r="O14">
        <v>286.26890756300003</v>
      </c>
      <c r="R14">
        <v>3</v>
      </c>
      <c r="S14">
        <v>153.3333333333</v>
      </c>
      <c r="V14" t="s">
        <v>408</v>
      </c>
      <c r="W14">
        <v>2159</v>
      </c>
      <c r="X14">
        <v>921</v>
      </c>
      <c r="Y14">
        <v>165.73072747009999</v>
      </c>
      <c r="Z14">
        <v>561</v>
      </c>
      <c r="AA14">
        <v>219.0267379679</v>
      </c>
      <c r="AB14">
        <v>940</v>
      </c>
      <c r="AC14">
        <v>300.32340425529998</v>
      </c>
      <c r="AD14">
        <v>98</v>
      </c>
      <c r="AE14">
        <v>185.78571428570001</v>
      </c>
      <c r="AF14">
        <v>200</v>
      </c>
      <c r="AG14">
        <v>161.21</v>
      </c>
      <c r="AL14" t="s">
        <v>408</v>
      </c>
      <c r="AM14">
        <v>23</v>
      </c>
      <c r="AN14">
        <v>16</v>
      </c>
      <c r="AO14">
        <v>79.4375</v>
      </c>
      <c r="AP14">
        <v>26</v>
      </c>
      <c r="AQ14">
        <v>196.5384615385</v>
      </c>
      <c r="AR14">
        <v>4</v>
      </c>
      <c r="AS14">
        <v>79.25</v>
      </c>
      <c r="AT14">
        <v>3</v>
      </c>
      <c r="AU14">
        <v>121.6666666667</v>
      </c>
    </row>
    <row r="15" spans="2:51" x14ac:dyDescent="0.2">
      <c r="F15" t="s">
        <v>77</v>
      </c>
      <c r="G15">
        <v>235</v>
      </c>
      <c r="H15">
        <v>102</v>
      </c>
      <c r="I15">
        <v>98.117647058800003</v>
      </c>
      <c r="J15">
        <v>100</v>
      </c>
      <c r="K15">
        <v>170.73</v>
      </c>
      <c r="L15">
        <v>86</v>
      </c>
      <c r="M15">
        <v>182.40697674419999</v>
      </c>
      <c r="N15">
        <v>40</v>
      </c>
      <c r="O15">
        <v>248.35</v>
      </c>
      <c r="R15">
        <v>7</v>
      </c>
      <c r="S15">
        <v>169.28571428570001</v>
      </c>
      <c r="V15" t="s">
        <v>403</v>
      </c>
      <c r="W15">
        <v>3403</v>
      </c>
      <c r="X15">
        <v>2749</v>
      </c>
      <c r="Y15">
        <v>289.71225900330001</v>
      </c>
      <c r="Z15">
        <v>200</v>
      </c>
      <c r="AA15">
        <v>551.44500000000005</v>
      </c>
      <c r="AB15">
        <v>461</v>
      </c>
      <c r="AC15">
        <v>301.30151843819999</v>
      </c>
      <c r="AD15">
        <v>78</v>
      </c>
      <c r="AE15">
        <v>174.88461538460001</v>
      </c>
      <c r="AF15">
        <v>115</v>
      </c>
      <c r="AG15">
        <v>130.08695652169999</v>
      </c>
      <c r="AL15" t="s">
        <v>403</v>
      </c>
      <c r="AM15">
        <v>89</v>
      </c>
      <c r="AN15">
        <v>65</v>
      </c>
      <c r="AO15">
        <v>245.7538461538</v>
      </c>
      <c r="AP15">
        <v>5</v>
      </c>
      <c r="AQ15">
        <v>316.2</v>
      </c>
      <c r="AR15">
        <v>18</v>
      </c>
      <c r="AS15">
        <v>234.55555555559999</v>
      </c>
      <c r="AT15">
        <v>6</v>
      </c>
      <c r="AU15">
        <v>250.8333333333</v>
      </c>
    </row>
    <row r="16" spans="2:51" x14ac:dyDescent="0.2">
      <c r="F16" t="s">
        <v>51</v>
      </c>
      <c r="G16">
        <v>8368</v>
      </c>
      <c r="H16">
        <v>6586</v>
      </c>
      <c r="I16">
        <v>498.65608867290001</v>
      </c>
      <c r="J16">
        <v>171</v>
      </c>
      <c r="K16">
        <v>734.16959064330001</v>
      </c>
      <c r="L16">
        <v>1376</v>
      </c>
      <c r="M16">
        <v>978.78343023260004</v>
      </c>
      <c r="N16">
        <v>403</v>
      </c>
      <c r="O16">
        <v>661.6029776675</v>
      </c>
      <c r="R16">
        <v>3</v>
      </c>
      <c r="S16">
        <v>79.666666666699996</v>
      </c>
      <c r="V16" t="s">
        <v>426</v>
      </c>
      <c r="W16">
        <v>442</v>
      </c>
      <c r="X16">
        <v>337</v>
      </c>
      <c r="Y16">
        <v>239.53115726999999</v>
      </c>
      <c r="Z16">
        <v>14</v>
      </c>
      <c r="AA16">
        <v>513.57142857140002</v>
      </c>
      <c r="AB16">
        <v>62</v>
      </c>
      <c r="AC16">
        <v>248.45161290319999</v>
      </c>
      <c r="AD16">
        <v>16</v>
      </c>
      <c r="AE16">
        <v>185.125</v>
      </c>
      <c r="AF16">
        <v>27</v>
      </c>
      <c r="AG16">
        <v>117.2962962963</v>
      </c>
      <c r="AL16" t="s">
        <v>426</v>
      </c>
      <c r="AM16">
        <v>3</v>
      </c>
      <c r="AN16">
        <v>2</v>
      </c>
      <c r="AO16">
        <v>38</v>
      </c>
      <c r="AP16">
        <v>3</v>
      </c>
      <c r="AQ16">
        <v>142</v>
      </c>
      <c r="AR16">
        <v>1</v>
      </c>
      <c r="AS16">
        <v>31</v>
      </c>
    </row>
    <row r="17" spans="6:51" x14ac:dyDescent="0.2">
      <c r="F17" t="s">
        <v>397</v>
      </c>
      <c r="G17">
        <v>52256</v>
      </c>
      <c r="H17">
        <v>38774</v>
      </c>
      <c r="I17">
        <v>444.10994480839997</v>
      </c>
      <c r="J17">
        <v>3547</v>
      </c>
      <c r="K17">
        <v>510.43868057510002</v>
      </c>
      <c r="L17">
        <v>9741</v>
      </c>
      <c r="M17">
        <v>748.73041782159999</v>
      </c>
      <c r="N17">
        <v>3667</v>
      </c>
      <c r="O17">
        <v>535.85274065989995</v>
      </c>
      <c r="R17">
        <v>74</v>
      </c>
      <c r="S17">
        <v>480.70270270269998</v>
      </c>
      <c r="V17" t="s">
        <v>427</v>
      </c>
      <c r="W17">
        <v>204</v>
      </c>
      <c r="X17">
        <v>55</v>
      </c>
      <c r="Y17">
        <v>279.41818181820003</v>
      </c>
      <c r="Z17">
        <v>23</v>
      </c>
      <c r="AA17">
        <v>243</v>
      </c>
      <c r="AB17">
        <v>45</v>
      </c>
      <c r="AC17">
        <v>338.64444444439999</v>
      </c>
      <c r="AD17">
        <v>42</v>
      </c>
      <c r="AE17">
        <v>269.6666666667</v>
      </c>
      <c r="AF17">
        <v>55</v>
      </c>
      <c r="AG17">
        <v>206.1454545455</v>
      </c>
      <c r="AH17">
        <v>7</v>
      </c>
      <c r="AI17">
        <v>169.28571428570001</v>
      </c>
      <c r="AL17" t="s">
        <v>427</v>
      </c>
      <c r="AM17">
        <v>7</v>
      </c>
      <c r="AN17">
        <v>5</v>
      </c>
      <c r="AO17">
        <v>158.80000000000001</v>
      </c>
      <c r="AP17">
        <v>5</v>
      </c>
      <c r="AQ17">
        <v>206.6</v>
      </c>
      <c r="AR17">
        <v>2</v>
      </c>
      <c r="AS17">
        <v>157</v>
      </c>
    </row>
    <row r="18" spans="6:51" x14ac:dyDescent="0.2">
      <c r="F18" t="s">
        <v>71</v>
      </c>
      <c r="G18">
        <v>2943</v>
      </c>
      <c r="H18">
        <v>2387</v>
      </c>
      <c r="I18">
        <v>267.57226644320002</v>
      </c>
      <c r="J18">
        <v>187</v>
      </c>
      <c r="K18">
        <v>669.58288770050001</v>
      </c>
      <c r="L18">
        <v>317</v>
      </c>
      <c r="M18">
        <v>292.14826498420001</v>
      </c>
      <c r="N18">
        <v>236</v>
      </c>
      <c r="O18">
        <v>507.58898305079998</v>
      </c>
      <c r="R18">
        <v>3</v>
      </c>
      <c r="S18">
        <v>922.66666666670005</v>
      </c>
      <c r="V18" t="s">
        <v>397</v>
      </c>
      <c r="W18">
        <v>53925</v>
      </c>
      <c r="X18">
        <v>38449</v>
      </c>
      <c r="Y18">
        <v>442.99224947329998</v>
      </c>
      <c r="Z18">
        <v>3462</v>
      </c>
      <c r="AA18">
        <v>517.75765453500003</v>
      </c>
      <c r="AB18">
        <v>9678</v>
      </c>
      <c r="AC18">
        <v>747.4762347592</v>
      </c>
      <c r="AD18">
        <v>3705</v>
      </c>
      <c r="AE18">
        <v>535.42591093119995</v>
      </c>
      <c r="AF18">
        <v>2020</v>
      </c>
      <c r="AG18">
        <v>169.02227722769999</v>
      </c>
      <c r="AH18">
        <v>73</v>
      </c>
      <c r="AI18">
        <v>487.04109589040002</v>
      </c>
      <c r="AL18" t="s">
        <v>397</v>
      </c>
      <c r="AM18">
        <v>1364</v>
      </c>
      <c r="AN18">
        <v>1062</v>
      </c>
      <c r="AO18">
        <v>337.13653483989998</v>
      </c>
      <c r="AP18">
        <v>186</v>
      </c>
      <c r="AQ18">
        <v>385.75268817199998</v>
      </c>
      <c r="AR18">
        <v>257</v>
      </c>
      <c r="AS18">
        <v>322.80933852139998</v>
      </c>
      <c r="AT18">
        <v>44</v>
      </c>
      <c r="AU18">
        <v>176.8409090909</v>
      </c>
      <c r="AV18">
        <v>1</v>
      </c>
      <c r="AW18">
        <v>81</v>
      </c>
    </row>
    <row r="19" spans="6:51" x14ac:dyDescent="0.2">
      <c r="F19" t="s">
        <v>37</v>
      </c>
      <c r="G19">
        <v>896</v>
      </c>
      <c r="H19">
        <v>575</v>
      </c>
      <c r="I19">
        <v>248.37739130430001</v>
      </c>
      <c r="J19">
        <v>98</v>
      </c>
      <c r="K19">
        <v>443.34693877550001</v>
      </c>
      <c r="L19">
        <v>146</v>
      </c>
      <c r="M19">
        <v>256.1780821918</v>
      </c>
      <c r="N19">
        <v>172</v>
      </c>
      <c r="O19">
        <v>571.02325581399998</v>
      </c>
      <c r="R19">
        <v>3</v>
      </c>
      <c r="S19">
        <v>444.6666666667</v>
      </c>
      <c r="V19" t="s">
        <v>415</v>
      </c>
      <c r="W19">
        <v>990</v>
      </c>
      <c r="X19">
        <v>607</v>
      </c>
      <c r="Y19">
        <v>267.03953871499999</v>
      </c>
      <c r="Z19">
        <v>101</v>
      </c>
      <c r="AA19">
        <v>459.72277227720002</v>
      </c>
      <c r="AB19">
        <v>150</v>
      </c>
      <c r="AC19">
        <v>260.24</v>
      </c>
      <c r="AD19">
        <v>164</v>
      </c>
      <c r="AE19">
        <v>563.10975609759998</v>
      </c>
      <c r="AF19">
        <v>66</v>
      </c>
      <c r="AG19">
        <v>145.5</v>
      </c>
      <c r="AH19">
        <v>3</v>
      </c>
      <c r="AI19">
        <v>444.6666666667</v>
      </c>
      <c r="AL19" t="s">
        <v>415</v>
      </c>
      <c r="AM19">
        <v>9</v>
      </c>
      <c r="AN19">
        <v>8</v>
      </c>
      <c r="AO19">
        <v>135.625</v>
      </c>
      <c r="AP19">
        <v>8</v>
      </c>
      <c r="AQ19">
        <v>200.25</v>
      </c>
      <c r="AR19">
        <v>1</v>
      </c>
      <c r="AS19">
        <v>60</v>
      </c>
    </row>
    <row r="20" spans="6:51" x14ac:dyDescent="0.2">
      <c r="F20" t="s">
        <v>58</v>
      </c>
      <c r="G20">
        <v>1036</v>
      </c>
      <c r="H20">
        <v>463</v>
      </c>
      <c r="I20">
        <v>178.76673866089999</v>
      </c>
      <c r="J20">
        <v>172</v>
      </c>
      <c r="K20">
        <v>356.88953488369998</v>
      </c>
      <c r="L20">
        <v>202</v>
      </c>
      <c r="M20">
        <v>318.09900990099999</v>
      </c>
      <c r="N20">
        <v>368</v>
      </c>
      <c r="O20">
        <v>551.51902173910003</v>
      </c>
      <c r="R20">
        <v>3</v>
      </c>
      <c r="S20">
        <v>533</v>
      </c>
      <c r="V20" t="s">
        <v>431</v>
      </c>
      <c r="W20">
        <v>285</v>
      </c>
      <c r="X20">
        <v>126</v>
      </c>
      <c r="Y20">
        <v>212.6587301587</v>
      </c>
      <c r="Z20">
        <v>130</v>
      </c>
      <c r="AA20">
        <v>238.38461538460001</v>
      </c>
      <c r="AB20">
        <v>68</v>
      </c>
      <c r="AC20">
        <v>189.1764705882</v>
      </c>
      <c r="AD20">
        <v>52</v>
      </c>
      <c r="AE20">
        <v>494.73076923079998</v>
      </c>
      <c r="AF20">
        <v>38</v>
      </c>
      <c r="AG20">
        <v>106.7105263158</v>
      </c>
      <c r="AH20">
        <v>1</v>
      </c>
      <c r="AI20">
        <v>673</v>
      </c>
      <c r="AL20" t="s">
        <v>431</v>
      </c>
      <c r="AM20">
        <v>3</v>
      </c>
      <c r="AN20">
        <v>3</v>
      </c>
      <c r="AO20">
        <v>264.3333333333</v>
      </c>
      <c r="AP20">
        <v>1</v>
      </c>
      <c r="AQ20">
        <v>386</v>
      </c>
    </row>
    <row r="21" spans="6:51" x14ac:dyDescent="0.2">
      <c r="F21" t="s">
        <v>65</v>
      </c>
      <c r="G21">
        <v>8837</v>
      </c>
      <c r="H21">
        <v>7132</v>
      </c>
      <c r="I21">
        <v>384.84562535049997</v>
      </c>
      <c r="J21">
        <v>603</v>
      </c>
      <c r="K21">
        <v>720.10779436150005</v>
      </c>
      <c r="L21">
        <v>1277</v>
      </c>
      <c r="M21">
        <v>699.31401722789997</v>
      </c>
      <c r="N21">
        <v>418</v>
      </c>
      <c r="O21">
        <v>586.46650717700004</v>
      </c>
      <c r="R21">
        <v>10</v>
      </c>
      <c r="S21">
        <v>371</v>
      </c>
      <c r="V21" t="s">
        <v>435</v>
      </c>
      <c r="W21">
        <v>1087</v>
      </c>
      <c r="X21">
        <v>823</v>
      </c>
      <c r="Y21">
        <v>286.65735115429999</v>
      </c>
      <c r="Z21">
        <v>88</v>
      </c>
      <c r="AA21">
        <v>532.84090909090003</v>
      </c>
      <c r="AB21">
        <v>161</v>
      </c>
      <c r="AC21">
        <v>380.49068322980003</v>
      </c>
      <c r="AD21">
        <v>56</v>
      </c>
      <c r="AE21">
        <v>512.96428571429999</v>
      </c>
      <c r="AF21">
        <v>46</v>
      </c>
      <c r="AG21">
        <v>152.47826086960001</v>
      </c>
      <c r="AH21">
        <v>1</v>
      </c>
      <c r="AI21">
        <v>249</v>
      </c>
      <c r="AL21" t="s">
        <v>435</v>
      </c>
      <c r="AM21">
        <v>11</v>
      </c>
      <c r="AN21">
        <v>9</v>
      </c>
      <c r="AO21">
        <v>350.44444444440001</v>
      </c>
      <c r="AP21">
        <v>5</v>
      </c>
      <c r="AQ21">
        <v>184</v>
      </c>
      <c r="AR21">
        <v>1</v>
      </c>
      <c r="AS21">
        <v>66</v>
      </c>
      <c r="AT21">
        <v>1</v>
      </c>
      <c r="AU21">
        <v>179</v>
      </c>
    </row>
    <row r="22" spans="6:51" x14ac:dyDescent="0.2">
      <c r="F22" t="s">
        <v>67</v>
      </c>
      <c r="G22">
        <v>7068</v>
      </c>
      <c r="H22">
        <v>5206</v>
      </c>
      <c r="I22">
        <v>353.3259700346</v>
      </c>
      <c r="J22">
        <v>315</v>
      </c>
      <c r="K22">
        <v>686.58730158729998</v>
      </c>
      <c r="L22">
        <v>1497</v>
      </c>
      <c r="M22">
        <v>753.92518370070002</v>
      </c>
      <c r="N22">
        <v>352</v>
      </c>
      <c r="O22">
        <v>594.04261363640001</v>
      </c>
      <c r="R22">
        <v>13</v>
      </c>
      <c r="S22">
        <v>514.69230769230001</v>
      </c>
      <c r="V22" t="s">
        <v>420</v>
      </c>
      <c r="W22">
        <v>3035</v>
      </c>
      <c r="X22">
        <v>2353</v>
      </c>
      <c r="Y22">
        <v>271.7785805355</v>
      </c>
      <c r="Z22">
        <v>175</v>
      </c>
      <c r="AA22">
        <v>653.55999999999995</v>
      </c>
      <c r="AB22">
        <v>326</v>
      </c>
      <c r="AC22">
        <v>327.26687116559998</v>
      </c>
      <c r="AD22">
        <v>239</v>
      </c>
      <c r="AE22">
        <v>487.38075313809998</v>
      </c>
      <c r="AF22">
        <v>114</v>
      </c>
      <c r="AG22">
        <v>206.38596491230001</v>
      </c>
      <c r="AH22">
        <v>3</v>
      </c>
      <c r="AI22">
        <v>922.66666666670005</v>
      </c>
      <c r="AL22" t="s">
        <v>420</v>
      </c>
      <c r="AM22">
        <v>28</v>
      </c>
      <c r="AN22">
        <v>15</v>
      </c>
      <c r="AO22">
        <v>164.8</v>
      </c>
      <c r="AP22">
        <v>28</v>
      </c>
      <c r="AQ22">
        <v>313.10714285709997</v>
      </c>
      <c r="AR22">
        <v>6</v>
      </c>
      <c r="AS22">
        <v>68.5</v>
      </c>
      <c r="AT22">
        <v>6</v>
      </c>
      <c r="AU22">
        <v>226.1666666667</v>
      </c>
      <c r="AV22">
        <v>1</v>
      </c>
      <c r="AW22">
        <v>101</v>
      </c>
    </row>
    <row r="23" spans="6:51" x14ac:dyDescent="0.2">
      <c r="F23" t="s">
        <v>76</v>
      </c>
      <c r="G23">
        <v>4967</v>
      </c>
      <c r="H23">
        <v>3945</v>
      </c>
      <c r="I23">
        <v>257.48136882130001</v>
      </c>
      <c r="J23">
        <v>462</v>
      </c>
      <c r="K23">
        <v>502.47186147190001</v>
      </c>
      <c r="L23">
        <v>770</v>
      </c>
      <c r="M23">
        <v>400.68961038959998</v>
      </c>
      <c r="N23">
        <v>247</v>
      </c>
      <c r="O23">
        <v>464.5506072874</v>
      </c>
      <c r="R23">
        <v>5</v>
      </c>
      <c r="S23">
        <v>324.8</v>
      </c>
      <c r="V23" t="s">
        <v>416</v>
      </c>
      <c r="W23">
        <v>5504</v>
      </c>
      <c r="X23">
        <v>3653</v>
      </c>
      <c r="Y23">
        <v>368.47029838489999</v>
      </c>
      <c r="Z23">
        <v>309</v>
      </c>
      <c r="AA23">
        <v>623.80906148869997</v>
      </c>
      <c r="AB23">
        <v>1493</v>
      </c>
      <c r="AC23">
        <v>551.72337575350002</v>
      </c>
      <c r="AD23">
        <v>225</v>
      </c>
      <c r="AE23">
        <v>466.96888888889998</v>
      </c>
      <c r="AF23">
        <v>128</v>
      </c>
      <c r="AG23">
        <v>152.6015625</v>
      </c>
      <c r="AH23">
        <v>5</v>
      </c>
      <c r="AI23">
        <v>364.2</v>
      </c>
      <c r="AL23" t="s">
        <v>416</v>
      </c>
      <c r="AM23">
        <v>36</v>
      </c>
      <c r="AN23">
        <v>25</v>
      </c>
      <c r="AO23">
        <v>275.32</v>
      </c>
      <c r="AP23">
        <v>26</v>
      </c>
      <c r="AQ23">
        <v>226.8461538462</v>
      </c>
      <c r="AR23">
        <v>9</v>
      </c>
      <c r="AS23">
        <v>212</v>
      </c>
      <c r="AT23">
        <v>1</v>
      </c>
      <c r="AU23">
        <v>59</v>
      </c>
      <c r="AV23">
        <v>1</v>
      </c>
      <c r="AW23">
        <v>67</v>
      </c>
    </row>
    <row r="24" spans="6:51" x14ac:dyDescent="0.2">
      <c r="F24" t="s">
        <v>48</v>
      </c>
      <c r="G24">
        <v>1318</v>
      </c>
      <c r="H24">
        <v>1024</v>
      </c>
      <c r="I24">
        <v>287.1328125</v>
      </c>
      <c r="J24">
        <v>110</v>
      </c>
      <c r="K24">
        <v>527.89090909089998</v>
      </c>
      <c r="L24">
        <v>220</v>
      </c>
      <c r="M24">
        <v>438.20454545450002</v>
      </c>
      <c r="N24">
        <v>72</v>
      </c>
      <c r="O24">
        <v>544.51388888890006</v>
      </c>
      <c r="R24">
        <v>2</v>
      </c>
      <c r="S24">
        <v>179.5</v>
      </c>
      <c r="V24" t="s">
        <v>433</v>
      </c>
      <c r="W24">
        <v>7182</v>
      </c>
      <c r="X24">
        <v>5206</v>
      </c>
      <c r="Y24">
        <v>355.11505954670002</v>
      </c>
      <c r="Z24">
        <v>329</v>
      </c>
      <c r="AA24">
        <v>679.98480243159997</v>
      </c>
      <c r="AB24">
        <v>1453</v>
      </c>
      <c r="AC24">
        <v>732.48176187199999</v>
      </c>
      <c r="AD24">
        <v>365</v>
      </c>
      <c r="AE24">
        <v>588.82191780820006</v>
      </c>
      <c r="AF24">
        <v>144</v>
      </c>
      <c r="AG24">
        <v>208.75694444440001</v>
      </c>
      <c r="AH24">
        <v>14</v>
      </c>
      <c r="AI24">
        <v>526.57142857140002</v>
      </c>
      <c r="AL24" t="s">
        <v>433</v>
      </c>
      <c r="AM24">
        <v>164</v>
      </c>
      <c r="AN24">
        <v>112</v>
      </c>
      <c r="AO24">
        <v>328.98214285709997</v>
      </c>
      <c r="AP24">
        <v>46</v>
      </c>
      <c r="AQ24">
        <v>283.80434782610001</v>
      </c>
      <c r="AR24">
        <v>50</v>
      </c>
      <c r="AS24">
        <v>423.5</v>
      </c>
      <c r="AT24">
        <v>1</v>
      </c>
      <c r="AU24">
        <v>187</v>
      </c>
      <c r="AV24">
        <v>1</v>
      </c>
      <c r="AW24">
        <v>96</v>
      </c>
    </row>
    <row r="25" spans="6:51" x14ac:dyDescent="0.2">
      <c r="F25" t="s">
        <v>69</v>
      </c>
      <c r="G25">
        <v>5431</v>
      </c>
      <c r="H25">
        <v>3666</v>
      </c>
      <c r="I25">
        <v>368.05864702669999</v>
      </c>
      <c r="J25">
        <v>312</v>
      </c>
      <c r="K25">
        <v>631.31089743589996</v>
      </c>
      <c r="L25">
        <v>1536</v>
      </c>
      <c r="M25">
        <v>558.92317708329995</v>
      </c>
      <c r="N25">
        <v>223</v>
      </c>
      <c r="O25">
        <v>461.63677130040003</v>
      </c>
      <c r="R25">
        <v>6</v>
      </c>
      <c r="S25">
        <v>373.1666666667</v>
      </c>
      <c r="V25" t="s">
        <v>414</v>
      </c>
      <c r="W25">
        <v>18388</v>
      </c>
      <c r="X25">
        <v>14424</v>
      </c>
      <c r="Y25">
        <v>326.58458125350001</v>
      </c>
      <c r="Z25">
        <v>1785</v>
      </c>
      <c r="AA25">
        <v>522.12997198879998</v>
      </c>
      <c r="AB25">
        <v>2429</v>
      </c>
      <c r="AC25">
        <v>502.62577192259999</v>
      </c>
      <c r="AD25">
        <v>889</v>
      </c>
      <c r="AE25">
        <v>465.45894263219998</v>
      </c>
      <c r="AF25">
        <v>627</v>
      </c>
      <c r="AG25">
        <v>160.38596491230001</v>
      </c>
      <c r="AH25">
        <v>19</v>
      </c>
      <c r="AI25">
        <v>293.57894736840001</v>
      </c>
      <c r="AL25" t="s">
        <v>414</v>
      </c>
      <c r="AM25">
        <v>355</v>
      </c>
      <c r="AN25">
        <v>268</v>
      </c>
      <c r="AO25">
        <v>318.5970149254</v>
      </c>
      <c r="AP25">
        <v>166</v>
      </c>
      <c r="AQ25">
        <v>261.83132530120002</v>
      </c>
      <c r="AR25">
        <v>73</v>
      </c>
      <c r="AS25">
        <v>236.7397260274</v>
      </c>
      <c r="AT25">
        <v>14</v>
      </c>
      <c r="AU25">
        <v>169.8571428571</v>
      </c>
    </row>
    <row r="26" spans="6:51" x14ac:dyDescent="0.2">
      <c r="F26" t="s">
        <v>35</v>
      </c>
      <c r="G26">
        <v>214</v>
      </c>
      <c r="H26">
        <v>94</v>
      </c>
      <c r="I26">
        <v>125.0212765957</v>
      </c>
      <c r="J26">
        <v>130</v>
      </c>
      <c r="K26">
        <v>222.86923076919999</v>
      </c>
      <c r="L26">
        <v>61</v>
      </c>
      <c r="M26">
        <v>109.393442623</v>
      </c>
      <c r="N26">
        <v>58</v>
      </c>
      <c r="O26">
        <v>463.87931034479999</v>
      </c>
      <c r="R26">
        <v>1</v>
      </c>
      <c r="S26">
        <v>673</v>
      </c>
      <c r="V26" t="s">
        <v>412</v>
      </c>
      <c r="W26">
        <v>1933</v>
      </c>
      <c r="X26">
        <v>1476</v>
      </c>
      <c r="Y26">
        <v>298.26016260159997</v>
      </c>
      <c r="Z26">
        <v>241</v>
      </c>
      <c r="AA26">
        <v>490.94605809130002</v>
      </c>
      <c r="AB26">
        <v>259</v>
      </c>
      <c r="AC26">
        <v>292.64092664089998</v>
      </c>
      <c r="AD26">
        <v>114</v>
      </c>
      <c r="AE26">
        <v>368.09649122809998</v>
      </c>
      <c r="AF26">
        <v>84</v>
      </c>
      <c r="AG26">
        <v>149.4761904762</v>
      </c>
      <c r="AL26" t="s">
        <v>412</v>
      </c>
      <c r="AM26">
        <v>33</v>
      </c>
      <c r="AN26">
        <v>21</v>
      </c>
      <c r="AO26">
        <v>336.28571428570001</v>
      </c>
      <c r="AP26">
        <v>24</v>
      </c>
      <c r="AQ26">
        <v>206.5</v>
      </c>
      <c r="AR26">
        <v>11</v>
      </c>
      <c r="AS26">
        <v>249.45454545449999</v>
      </c>
      <c r="AT26">
        <v>1</v>
      </c>
      <c r="AU26">
        <v>376</v>
      </c>
    </row>
    <row r="27" spans="6:51" x14ac:dyDescent="0.2">
      <c r="F27" t="s">
        <v>74</v>
      </c>
      <c r="G27">
        <v>4280</v>
      </c>
      <c r="H27">
        <v>3772</v>
      </c>
      <c r="I27">
        <v>201.96102863199999</v>
      </c>
      <c r="J27">
        <v>567</v>
      </c>
      <c r="K27">
        <v>372.93650793649999</v>
      </c>
      <c r="L27">
        <v>329</v>
      </c>
      <c r="M27">
        <v>158.45896656529999</v>
      </c>
      <c r="N27">
        <v>173</v>
      </c>
      <c r="O27">
        <v>216.56069364160001</v>
      </c>
      <c r="R27">
        <v>6</v>
      </c>
      <c r="S27">
        <v>185.3333333333</v>
      </c>
      <c r="V27" t="s">
        <v>83</v>
      </c>
      <c r="W27">
        <v>5167</v>
      </c>
      <c r="X27">
        <v>3970</v>
      </c>
      <c r="Y27">
        <v>266.08312342570002</v>
      </c>
      <c r="Z27">
        <v>460</v>
      </c>
      <c r="AA27">
        <v>502.97173913040001</v>
      </c>
      <c r="AB27">
        <v>790</v>
      </c>
      <c r="AC27">
        <v>437.82784810129999</v>
      </c>
      <c r="AD27">
        <v>254</v>
      </c>
      <c r="AE27">
        <v>470.21653543309998</v>
      </c>
      <c r="AF27">
        <v>149</v>
      </c>
      <c r="AG27">
        <v>146.77181208050001</v>
      </c>
      <c r="AH27">
        <v>4</v>
      </c>
      <c r="AI27">
        <v>235.75</v>
      </c>
      <c r="AL27" t="s">
        <v>83</v>
      </c>
      <c r="AM27">
        <v>67</v>
      </c>
      <c r="AN27">
        <v>49</v>
      </c>
      <c r="AO27">
        <v>181.16326530609999</v>
      </c>
      <c r="AP27">
        <v>44</v>
      </c>
      <c r="AQ27">
        <v>212.9090909091</v>
      </c>
      <c r="AR27">
        <v>12</v>
      </c>
      <c r="AS27">
        <v>201.25</v>
      </c>
      <c r="AT27">
        <v>4</v>
      </c>
      <c r="AU27">
        <v>200.5</v>
      </c>
      <c r="AV27">
        <v>2</v>
      </c>
      <c r="AW27">
        <v>234</v>
      </c>
    </row>
    <row r="28" spans="6:51" x14ac:dyDescent="0.2">
      <c r="F28" t="s">
        <v>34</v>
      </c>
      <c r="G28">
        <v>1748</v>
      </c>
      <c r="H28">
        <v>1375</v>
      </c>
      <c r="I28">
        <v>299.7941818182</v>
      </c>
      <c r="J28">
        <v>251</v>
      </c>
      <c r="K28">
        <v>506.17529880479998</v>
      </c>
      <c r="L28">
        <v>264</v>
      </c>
      <c r="M28">
        <v>297.25757575760002</v>
      </c>
      <c r="N28">
        <v>109</v>
      </c>
      <c r="O28">
        <v>343.88990825690001</v>
      </c>
      <c r="V28" t="s">
        <v>411</v>
      </c>
      <c r="W28">
        <v>43571</v>
      </c>
      <c r="X28">
        <v>32638</v>
      </c>
      <c r="Y28">
        <v>320.67807463690002</v>
      </c>
      <c r="Z28">
        <v>3618</v>
      </c>
      <c r="AA28">
        <v>535.33554449969995</v>
      </c>
      <c r="AB28">
        <v>7129</v>
      </c>
      <c r="AC28">
        <v>526.07981484080005</v>
      </c>
      <c r="AD28">
        <v>2358</v>
      </c>
      <c r="AE28">
        <v>491.29134860049999</v>
      </c>
      <c r="AF28">
        <v>1396</v>
      </c>
      <c r="AG28">
        <v>163.8832378223</v>
      </c>
      <c r="AH28">
        <v>50</v>
      </c>
      <c r="AI28">
        <v>414.76</v>
      </c>
      <c r="AL28" t="s">
        <v>411</v>
      </c>
      <c r="AM28">
        <v>706</v>
      </c>
      <c r="AN28">
        <v>510</v>
      </c>
      <c r="AO28">
        <v>299.12941176470002</v>
      </c>
      <c r="AP28">
        <v>348</v>
      </c>
      <c r="AQ28">
        <v>254.06896551720001</v>
      </c>
      <c r="AR28">
        <v>163</v>
      </c>
      <c r="AS28">
        <v>282.58282208589998</v>
      </c>
      <c r="AT28">
        <v>28</v>
      </c>
      <c r="AU28">
        <v>190.6428571429</v>
      </c>
      <c r="AV28">
        <v>5</v>
      </c>
      <c r="AW28">
        <v>146.4</v>
      </c>
    </row>
    <row r="29" spans="6:51" x14ac:dyDescent="0.2">
      <c r="F29" t="s">
        <v>55</v>
      </c>
      <c r="G29">
        <v>4637</v>
      </c>
      <c r="H29">
        <v>3623</v>
      </c>
      <c r="I29">
        <v>328.84349986199999</v>
      </c>
      <c r="J29">
        <v>609</v>
      </c>
      <c r="K29">
        <v>455.63875205250002</v>
      </c>
      <c r="L29">
        <v>787</v>
      </c>
      <c r="M29">
        <v>320.91740787800001</v>
      </c>
      <c r="N29">
        <v>226</v>
      </c>
      <c r="O29">
        <v>363.69469026550001</v>
      </c>
      <c r="R29">
        <v>1</v>
      </c>
      <c r="S29">
        <v>243</v>
      </c>
      <c r="V29" t="s">
        <v>395</v>
      </c>
      <c r="W29">
        <v>10646</v>
      </c>
      <c r="X29">
        <v>5406</v>
      </c>
      <c r="Y29">
        <v>287.41046984830001</v>
      </c>
      <c r="Z29">
        <v>807</v>
      </c>
      <c r="AA29">
        <v>611.60223048329999</v>
      </c>
      <c r="AB29">
        <v>3591</v>
      </c>
      <c r="AC29">
        <v>840.79838485100004</v>
      </c>
      <c r="AD29">
        <v>1189</v>
      </c>
      <c r="AE29">
        <v>530.9024390244</v>
      </c>
      <c r="AF29">
        <v>439</v>
      </c>
      <c r="AG29">
        <v>182.56947608199999</v>
      </c>
      <c r="AH29">
        <v>21</v>
      </c>
      <c r="AI29">
        <v>515.14285714289997</v>
      </c>
      <c r="AL29" t="s">
        <v>395</v>
      </c>
      <c r="AM29">
        <v>183</v>
      </c>
      <c r="AN29">
        <v>145</v>
      </c>
      <c r="AO29">
        <v>258.45517241380003</v>
      </c>
      <c r="AP29">
        <v>16</v>
      </c>
      <c r="AQ29">
        <v>287.25</v>
      </c>
      <c r="AR29">
        <v>31</v>
      </c>
      <c r="AS29">
        <v>294.58064516130003</v>
      </c>
      <c r="AT29">
        <v>7</v>
      </c>
      <c r="AU29">
        <v>90.714285714300004</v>
      </c>
    </row>
    <row r="30" spans="6:51" x14ac:dyDescent="0.2">
      <c r="F30" t="s">
        <v>411</v>
      </c>
      <c r="G30">
        <v>43375</v>
      </c>
      <c r="H30">
        <v>33262</v>
      </c>
      <c r="I30">
        <v>315.21471949969998</v>
      </c>
      <c r="J30">
        <v>3816</v>
      </c>
      <c r="K30">
        <v>527.43343815510002</v>
      </c>
      <c r="L30">
        <v>7406</v>
      </c>
      <c r="M30">
        <v>522.4419389684</v>
      </c>
      <c r="N30">
        <v>2654</v>
      </c>
      <c r="O30">
        <v>495.91371514690002</v>
      </c>
      <c r="R30">
        <v>53</v>
      </c>
      <c r="S30">
        <v>421.73584905659999</v>
      </c>
      <c r="V30" t="s">
        <v>432</v>
      </c>
      <c r="W30">
        <v>30135</v>
      </c>
      <c r="X30">
        <v>25611</v>
      </c>
      <c r="Y30">
        <v>440.07672484480003</v>
      </c>
      <c r="Z30">
        <v>1690</v>
      </c>
      <c r="AA30">
        <v>771.47633136089996</v>
      </c>
      <c r="AB30">
        <v>1551</v>
      </c>
      <c r="AC30">
        <v>302.32753062540002</v>
      </c>
      <c r="AD30">
        <v>1974</v>
      </c>
      <c r="AE30">
        <v>333.94731509629997</v>
      </c>
      <c r="AF30">
        <v>990</v>
      </c>
      <c r="AG30">
        <v>169.53939393939999</v>
      </c>
      <c r="AH30">
        <v>9</v>
      </c>
      <c r="AI30">
        <v>201.1111111111</v>
      </c>
      <c r="AL30" t="s">
        <v>432</v>
      </c>
      <c r="AM30">
        <v>480</v>
      </c>
      <c r="AN30">
        <v>412</v>
      </c>
      <c r="AO30">
        <v>272.83737864080001</v>
      </c>
      <c r="AP30">
        <v>95</v>
      </c>
      <c r="AQ30">
        <v>360.97894736839999</v>
      </c>
      <c r="AR30">
        <v>57</v>
      </c>
      <c r="AS30">
        <v>229.15789473679999</v>
      </c>
      <c r="AT30">
        <v>9</v>
      </c>
      <c r="AU30">
        <v>164.2222222222</v>
      </c>
      <c r="AV30">
        <v>1</v>
      </c>
      <c r="AW30">
        <v>204</v>
      </c>
      <c r="AX30">
        <v>1</v>
      </c>
      <c r="AY30">
        <v>37</v>
      </c>
    </row>
    <row r="31" spans="6:51" x14ac:dyDescent="0.2">
      <c r="F31" t="s">
        <v>25</v>
      </c>
      <c r="G31">
        <v>17221</v>
      </c>
      <c r="H31">
        <v>14723</v>
      </c>
      <c r="I31">
        <v>547.30523670449998</v>
      </c>
      <c r="J31">
        <v>526</v>
      </c>
      <c r="K31">
        <v>837.50570342210005</v>
      </c>
      <c r="L31">
        <v>1571</v>
      </c>
      <c r="M31">
        <v>567.51750477400003</v>
      </c>
      <c r="N31">
        <v>910</v>
      </c>
      <c r="O31">
        <v>352.85494505489999</v>
      </c>
      <c r="R31">
        <v>17</v>
      </c>
      <c r="S31">
        <v>385.6470588235</v>
      </c>
      <c r="V31" t="s">
        <v>388</v>
      </c>
      <c r="W31">
        <v>17736</v>
      </c>
      <c r="X31">
        <v>14625</v>
      </c>
      <c r="Y31">
        <v>543.98652991450001</v>
      </c>
      <c r="Z31">
        <v>555</v>
      </c>
      <c r="AA31">
        <v>821.97837837839995</v>
      </c>
      <c r="AB31">
        <v>1635</v>
      </c>
      <c r="AC31">
        <v>585.59938837920004</v>
      </c>
      <c r="AD31">
        <v>948</v>
      </c>
      <c r="AE31">
        <v>360.22890295360003</v>
      </c>
      <c r="AF31">
        <v>511</v>
      </c>
      <c r="AG31">
        <v>166.24266144809999</v>
      </c>
      <c r="AH31">
        <v>17</v>
      </c>
      <c r="AI31">
        <v>385.6470588235</v>
      </c>
      <c r="AL31" t="s">
        <v>388</v>
      </c>
      <c r="AM31">
        <v>282</v>
      </c>
      <c r="AN31">
        <v>232</v>
      </c>
      <c r="AO31">
        <v>312.57758620689998</v>
      </c>
      <c r="AP31">
        <v>69</v>
      </c>
      <c r="AQ31">
        <v>358.5652173913</v>
      </c>
      <c r="AR31">
        <v>37</v>
      </c>
      <c r="AS31">
        <v>255.40540540539999</v>
      </c>
      <c r="AT31">
        <v>12</v>
      </c>
      <c r="AU31">
        <v>177.8333333333</v>
      </c>
      <c r="AV31">
        <v>1</v>
      </c>
      <c r="AW31">
        <v>123</v>
      </c>
    </row>
    <row r="32" spans="6:51" x14ac:dyDescent="0.2">
      <c r="F32" t="s">
        <v>42</v>
      </c>
      <c r="G32">
        <v>12424</v>
      </c>
      <c r="H32">
        <v>9681</v>
      </c>
      <c r="I32">
        <v>338.68670591879999</v>
      </c>
      <c r="J32">
        <v>359</v>
      </c>
      <c r="K32">
        <v>747.72144846799995</v>
      </c>
      <c r="L32">
        <v>1836</v>
      </c>
      <c r="M32">
        <v>531.43300653589995</v>
      </c>
      <c r="N32">
        <v>886</v>
      </c>
      <c r="O32">
        <v>553.76975169299999</v>
      </c>
      <c r="R32">
        <v>21</v>
      </c>
      <c r="S32">
        <v>489.14285714290003</v>
      </c>
      <c r="V32" t="s">
        <v>400</v>
      </c>
      <c r="W32">
        <v>3412</v>
      </c>
      <c r="X32">
        <v>2240</v>
      </c>
      <c r="Y32">
        <v>473.6691964286</v>
      </c>
      <c r="Z32">
        <v>358</v>
      </c>
      <c r="AA32">
        <v>471.53631284919999</v>
      </c>
      <c r="AB32">
        <v>552</v>
      </c>
      <c r="AC32">
        <v>632.58695652170002</v>
      </c>
      <c r="AD32">
        <v>481</v>
      </c>
      <c r="AE32">
        <v>561.87733887729996</v>
      </c>
      <c r="AF32">
        <v>134</v>
      </c>
      <c r="AG32">
        <v>155.08208955219999</v>
      </c>
      <c r="AH32">
        <v>5</v>
      </c>
      <c r="AI32">
        <v>657.6</v>
      </c>
      <c r="AL32" t="s">
        <v>400</v>
      </c>
      <c r="AM32">
        <v>97</v>
      </c>
      <c r="AN32">
        <v>80</v>
      </c>
      <c r="AO32">
        <v>376.36250000000001</v>
      </c>
      <c r="AP32">
        <v>8</v>
      </c>
      <c r="AQ32">
        <v>529.5</v>
      </c>
      <c r="AR32">
        <v>13</v>
      </c>
      <c r="AS32">
        <v>182</v>
      </c>
      <c r="AT32">
        <v>3</v>
      </c>
      <c r="AU32">
        <v>117</v>
      </c>
      <c r="AV32">
        <v>1</v>
      </c>
      <c r="AW32">
        <v>556</v>
      </c>
    </row>
    <row r="33" spans="6:51" x14ac:dyDescent="0.2">
      <c r="F33" t="s">
        <v>75</v>
      </c>
      <c r="G33">
        <v>6296</v>
      </c>
      <c r="H33">
        <v>2998</v>
      </c>
      <c r="I33">
        <v>382.93862575050002</v>
      </c>
      <c r="J33">
        <v>298</v>
      </c>
      <c r="K33">
        <v>531.25167785229996</v>
      </c>
      <c r="L33">
        <v>2269</v>
      </c>
      <c r="M33">
        <v>706.27148523580001</v>
      </c>
      <c r="N33">
        <v>1028</v>
      </c>
      <c r="O33">
        <v>962.85214007779996</v>
      </c>
      <c r="R33">
        <v>1</v>
      </c>
      <c r="S33">
        <v>1496</v>
      </c>
      <c r="V33" t="s">
        <v>391</v>
      </c>
      <c r="W33">
        <v>6877</v>
      </c>
      <c r="X33">
        <v>4196</v>
      </c>
      <c r="Y33">
        <v>277.00571973310002</v>
      </c>
      <c r="Z33">
        <v>746</v>
      </c>
      <c r="AA33">
        <v>552.60991957099998</v>
      </c>
      <c r="AB33">
        <v>1444</v>
      </c>
      <c r="AC33">
        <v>403.76246537399999</v>
      </c>
      <c r="AD33">
        <v>823</v>
      </c>
      <c r="AE33">
        <v>443.92588092350002</v>
      </c>
      <c r="AF33">
        <v>402</v>
      </c>
      <c r="AG33">
        <v>185.0373134328</v>
      </c>
      <c r="AH33">
        <v>12</v>
      </c>
      <c r="AI33">
        <v>430.9166666667</v>
      </c>
      <c r="AL33" t="s">
        <v>391</v>
      </c>
      <c r="AM33">
        <v>202</v>
      </c>
      <c r="AN33">
        <v>162</v>
      </c>
      <c r="AO33">
        <v>233.8456790123</v>
      </c>
      <c r="AP33">
        <v>26</v>
      </c>
      <c r="AQ33">
        <v>461.57692307690002</v>
      </c>
      <c r="AR33">
        <v>33</v>
      </c>
      <c r="AS33">
        <v>294.51515151519999</v>
      </c>
      <c r="AT33">
        <v>7</v>
      </c>
      <c r="AU33">
        <v>396.85714285709997</v>
      </c>
    </row>
    <row r="34" spans="6:51" x14ac:dyDescent="0.2">
      <c r="F34" t="s">
        <v>61</v>
      </c>
      <c r="G34">
        <v>6298</v>
      </c>
      <c r="H34">
        <v>4065</v>
      </c>
      <c r="I34">
        <v>256.65067650679998</v>
      </c>
      <c r="J34">
        <v>750</v>
      </c>
      <c r="K34">
        <v>547.05066666669995</v>
      </c>
      <c r="L34">
        <v>1393</v>
      </c>
      <c r="M34">
        <v>369.04953338119998</v>
      </c>
      <c r="N34">
        <v>828</v>
      </c>
      <c r="O34">
        <v>437.21739130430001</v>
      </c>
      <c r="R34">
        <v>12</v>
      </c>
      <c r="S34">
        <v>430.3333333333</v>
      </c>
      <c r="V34" t="s">
        <v>434</v>
      </c>
      <c r="W34">
        <v>6366</v>
      </c>
      <c r="X34">
        <v>2906</v>
      </c>
      <c r="Y34">
        <v>384.3743977977</v>
      </c>
      <c r="Z34">
        <v>291</v>
      </c>
      <c r="AA34">
        <v>528.89690721650004</v>
      </c>
      <c r="AB34">
        <v>2205</v>
      </c>
      <c r="AC34">
        <v>705.85895691610006</v>
      </c>
      <c r="AD34">
        <v>1001</v>
      </c>
      <c r="AE34">
        <v>961.31968031969996</v>
      </c>
      <c r="AF34">
        <v>253</v>
      </c>
      <c r="AG34">
        <v>163.8577075099</v>
      </c>
      <c r="AH34">
        <v>1</v>
      </c>
      <c r="AI34">
        <v>1496</v>
      </c>
      <c r="AL34" t="s">
        <v>434</v>
      </c>
      <c r="AM34">
        <v>114</v>
      </c>
      <c r="AN34">
        <v>92</v>
      </c>
      <c r="AO34">
        <v>245.0434782609</v>
      </c>
      <c r="AP34">
        <v>19</v>
      </c>
      <c r="AQ34">
        <v>382.89473684209997</v>
      </c>
      <c r="AR34">
        <v>14</v>
      </c>
      <c r="AS34">
        <v>277.21428571429999</v>
      </c>
      <c r="AT34">
        <v>8</v>
      </c>
      <c r="AU34">
        <v>169.375</v>
      </c>
    </row>
    <row r="35" spans="6:51" x14ac:dyDescent="0.2">
      <c r="F35" t="s">
        <v>56</v>
      </c>
      <c r="G35">
        <v>4813</v>
      </c>
      <c r="H35">
        <v>3272</v>
      </c>
      <c r="I35">
        <v>492.93520782399997</v>
      </c>
      <c r="J35">
        <v>517</v>
      </c>
      <c r="K35">
        <v>475.19148936170001</v>
      </c>
      <c r="L35">
        <v>851</v>
      </c>
      <c r="M35">
        <v>614.44065804939999</v>
      </c>
      <c r="N35">
        <v>682</v>
      </c>
      <c r="O35">
        <v>576.19501466279996</v>
      </c>
      <c r="R35">
        <v>8</v>
      </c>
      <c r="S35">
        <v>613.25</v>
      </c>
      <c r="V35" t="s">
        <v>390</v>
      </c>
      <c r="W35">
        <v>12702</v>
      </c>
      <c r="X35">
        <v>9586</v>
      </c>
      <c r="Y35">
        <v>343.34790319220002</v>
      </c>
      <c r="Z35">
        <v>364</v>
      </c>
      <c r="AA35">
        <v>738.81868131869999</v>
      </c>
      <c r="AB35">
        <v>1832</v>
      </c>
      <c r="AC35">
        <v>533.10262008730001</v>
      </c>
      <c r="AD35">
        <v>882</v>
      </c>
      <c r="AE35">
        <v>545.3718820862</v>
      </c>
      <c r="AF35">
        <v>380</v>
      </c>
      <c r="AG35">
        <v>169.94210526320001</v>
      </c>
      <c r="AH35">
        <v>22</v>
      </c>
      <c r="AI35">
        <v>522.72727272730003</v>
      </c>
      <c r="AL35" t="s">
        <v>390</v>
      </c>
      <c r="AM35">
        <v>146</v>
      </c>
      <c r="AN35">
        <v>122</v>
      </c>
      <c r="AO35">
        <v>260.9426229508</v>
      </c>
      <c r="AP35">
        <v>35</v>
      </c>
      <c r="AQ35">
        <v>372.08571428570002</v>
      </c>
      <c r="AR35">
        <v>19</v>
      </c>
      <c r="AS35">
        <v>228.1052631579</v>
      </c>
      <c r="AT35">
        <v>5</v>
      </c>
      <c r="AU35">
        <v>286.39999999999998</v>
      </c>
    </row>
    <row r="36" spans="6:51" x14ac:dyDescent="0.2">
      <c r="F36" t="s">
        <v>60</v>
      </c>
      <c r="G36">
        <v>10263</v>
      </c>
      <c r="H36">
        <v>5391</v>
      </c>
      <c r="I36">
        <v>280.36004451859998</v>
      </c>
      <c r="J36">
        <v>817</v>
      </c>
      <c r="K36">
        <v>612.58629130969996</v>
      </c>
      <c r="L36">
        <v>3659</v>
      </c>
      <c r="M36">
        <v>844.07023776990002</v>
      </c>
      <c r="N36">
        <v>1192</v>
      </c>
      <c r="O36">
        <v>526.10234899329998</v>
      </c>
      <c r="R36">
        <v>21</v>
      </c>
      <c r="S36">
        <v>515.14285714289997</v>
      </c>
      <c r="V36" t="s">
        <v>387</v>
      </c>
      <c r="W36">
        <v>87874</v>
      </c>
      <c r="X36">
        <v>64570</v>
      </c>
      <c r="Y36">
        <v>424.53165556760001</v>
      </c>
      <c r="Z36">
        <v>4811</v>
      </c>
      <c r="AA36">
        <v>677.08418208269995</v>
      </c>
      <c r="AB36">
        <v>12810</v>
      </c>
      <c r="AC36">
        <v>617.56096799379998</v>
      </c>
      <c r="AD36">
        <v>7298</v>
      </c>
      <c r="AE36">
        <v>508.47697999450003</v>
      </c>
      <c r="AF36">
        <v>3109</v>
      </c>
      <c r="AG36">
        <v>171.8050820199</v>
      </c>
      <c r="AH36">
        <v>87</v>
      </c>
      <c r="AI36">
        <v>467.1149425287</v>
      </c>
      <c r="AL36" t="s">
        <v>387</v>
      </c>
      <c r="AM36">
        <v>1504</v>
      </c>
      <c r="AN36">
        <v>1245</v>
      </c>
      <c r="AO36">
        <v>276.92690763050001</v>
      </c>
      <c r="AP36">
        <v>268</v>
      </c>
      <c r="AQ36">
        <v>373.75</v>
      </c>
      <c r="AR36">
        <v>204</v>
      </c>
      <c r="AS36">
        <v>254.6274509804</v>
      </c>
      <c r="AT36">
        <v>51</v>
      </c>
      <c r="AU36">
        <v>199.2745098039</v>
      </c>
      <c r="AV36">
        <v>3</v>
      </c>
      <c r="AW36">
        <v>294.3333333333</v>
      </c>
      <c r="AX36">
        <v>1</v>
      </c>
      <c r="AY36">
        <v>37</v>
      </c>
    </row>
    <row r="37" spans="6:51" x14ac:dyDescent="0.2">
      <c r="F37" t="s">
        <v>80</v>
      </c>
      <c r="G37">
        <v>29308</v>
      </c>
      <c r="H37">
        <v>26028</v>
      </c>
      <c r="I37">
        <v>439.92242969109998</v>
      </c>
      <c r="J37">
        <v>1664</v>
      </c>
      <c r="K37">
        <v>772.18449519230001</v>
      </c>
      <c r="L37">
        <v>1373</v>
      </c>
      <c r="M37">
        <v>237.6212672979</v>
      </c>
      <c r="N37">
        <v>1902</v>
      </c>
      <c r="O37">
        <v>314.6929547844</v>
      </c>
      <c r="R37">
        <v>5</v>
      </c>
      <c r="S37">
        <v>124.6</v>
      </c>
      <c r="V37" t="s">
        <v>413</v>
      </c>
      <c r="W37">
        <v>588</v>
      </c>
      <c r="X37">
        <v>280</v>
      </c>
      <c r="Y37">
        <v>118.05</v>
      </c>
      <c r="Z37">
        <v>237</v>
      </c>
      <c r="AA37">
        <v>218.13502109699999</v>
      </c>
      <c r="AB37">
        <v>132</v>
      </c>
      <c r="AC37">
        <v>160.21212121209999</v>
      </c>
      <c r="AD37">
        <v>115</v>
      </c>
      <c r="AE37">
        <v>191.86956521740001</v>
      </c>
      <c r="AF37">
        <v>57</v>
      </c>
      <c r="AG37">
        <v>189.57894736840001</v>
      </c>
      <c r="AH37">
        <v>4</v>
      </c>
      <c r="AI37">
        <v>261</v>
      </c>
      <c r="AL37" t="s">
        <v>413</v>
      </c>
      <c r="AM37">
        <v>20</v>
      </c>
      <c r="AN37">
        <v>14</v>
      </c>
      <c r="AO37">
        <v>60.785714285700003</v>
      </c>
      <c r="AP37">
        <v>14</v>
      </c>
      <c r="AQ37">
        <v>239.5</v>
      </c>
      <c r="AR37">
        <v>6</v>
      </c>
      <c r="AS37">
        <v>207</v>
      </c>
    </row>
    <row r="38" spans="6:51" x14ac:dyDescent="0.2">
      <c r="F38" t="s">
        <v>387</v>
      </c>
      <c r="G38">
        <v>86623</v>
      </c>
      <c r="H38">
        <v>66158</v>
      </c>
      <c r="I38">
        <v>424.78221832579999</v>
      </c>
      <c r="J38">
        <v>4931</v>
      </c>
      <c r="K38">
        <v>670.98620969379999</v>
      </c>
      <c r="L38">
        <v>12952</v>
      </c>
      <c r="M38">
        <v>611.603844966</v>
      </c>
      <c r="N38">
        <v>7428</v>
      </c>
      <c r="O38">
        <v>509.18026386650001</v>
      </c>
      <c r="R38">
        <v>85</v>
      </c>
      <c r="S38">
        <v>468.6470588235</v>
      </c>
      <c r="V38" t="s">
        <v>417</v>
      </c>
      <c r="W38">
        <v>40225</v>
      </c>
      <c r="X38">
        <v>28537</v>
      </c>
      <c r="Y38">
        <v>452.99901881770001</v>
      </c>
      <c r="Z38">
        <v>2276</v>
      </c>
      <c r="AA38">
        <v>695.72847100180002</v>
      </c>
      <c r="AB38">
        <v>8054</v>
      </c>
      <c r="AC38">
        <v>748.71306183260003</v>
      </c>
      <c r="AD38">
        <v>2397</v>
      </c>
      <c r="AE38">
        <v>560.67542761790003</v>
      </c>
      <c r="AF38">
        <v>1163</v>
      </c>
      <c r="AG38">
        <v>178.36715391230001</v>
      </c>
      <c r="AH38">
        <v>74</v>
      </c>
      <c r="AI38">
        <v>419.45945945950001</v>
      </c>
      <c r="AL38" t="s">
        <v>417</v>
      </c>
      <c r="AM38">
        <v>711</v>
      </c>
      <c r="AN38">
        <v>545</v>
      </c>
      <c r="AO38">
        <v>470.91743119270001</v>
      </c>
      <c r="AP38">
        <v>250</v>
      </c>
      <c r="AQ38">
        <v>374.12799999999999</v>
      </c>
      <c r="AR38">
        <v>148</v>
      </c>
      <c r="AS38">
        <v>479.34459459459998</v>
      </c>
      <c r="AT38">
        <v>17</v>
      </c>
      <c r="AU38">
        <v>415.3529411765</v>
      </c>
      <c r="AV38">
        <v>1</v>
      </c>
      <c r="AW38">
        <v>26</v>
      </c>
    </row>
    <row r="39" spans="6:51" x14ac:dyDescent="0.2">
      <c r="F39" t="s">
        <v>82</v>
      </c>
      <c r="G39">
        <v>19418</v>
      </c>
      <c r="H39">
        <v>14421</v>
      </c>
      <c r="I39">
        <v>392.30504125930003</v>
      </c>
      <c r="J39">
        <v>1269</v>
      </c>
      <c r="K39">
        <v>690.90228526400006</v>
      </c>
      <c r="L39">
        <v>3773</v>
      </c>
      <c r="M39">
        <v>797.16671084020004</v>
      </c>
      <c r="N39">
        <v>1178</v>
      </c>
      <c r="O39">
        <v>567.37521222409998</v>
      </c>
      <c r="R39">
        <v>46</v>
      </c>
      <c r="S39">
        <v>464.26086956519998</v>
      </c>
      <c r="V39" t="s">
        <v>425</v>
      </c>
      <c r="W39">
        <v>346</v>
      </c>
      <c r="X39">
        <v>141</v>
      </c>
      <c r="Y39">
        <v>187.0709219858</v>
      </c>
      <c r="Z39">
        <v>92</v>
      </c>
      <c r="AA39">
        <v>260.57608695649998</v>
      </c>
      <c r="AB39">
        <v>119</v>
      </c>
      <c r="AC39">
        <v>289.77310924369999</v>
      </c>
      <c r="AD39">
        <v>60</v>
      </c>
      <c r="AE39">
        <v>406.8333333333</v>
      </c>
      <c r="AF39">
        <v>25</v>
      </c>
      <c r="AG39">
        <v>229.08</v>
      </c>
      <c r="AH39">
        <v>1</v>
      </c>
      <c r="AI39">
        <v>641</v>
      </c>
      <c r="AL39" t="s">
        <v>425</v>
      </c>
      <c r="AM39">
        <v>5</v>
      </c>
      <c r="AN39">
        <v>4</v>
      </c>
      <c r="AO39">
        <v>202.75</v>
      </c>
      <c r="AP39">
        <v>5</v>
      </c>
      <c r="AQ39">
        <v>194.2</v>
      </c>
      <c r="AR39">
        <v>1</v>
      </c>
      <c r="AS39">
        <v>61</v>
      </c>
    </row>
    <row r="40" spans="6:51" x14ac:dyDescent="0.2">
      <c r="F40" t="s">
        <v>43</v>
      </c>
      <c r="G40">
        <v>5969</v>
      </c>
      <c r="H40">
        <v>3208</v>
      </c>
      <c r="I40">
        <v>241.20417705739999</v>
      </c>
      <c r="J40">
        <v>283</v>
      </c>
      <c r="K40">
        <v>534.34982332159996</v>
      </c>
      <c r="L40">
        <v>2385</v>
      </c>
      <c r="M40">
        <v>689.55932914050004</v>
      </c>
      <c r="N40">
        <v>365</v>
      </c>
      <c r="O40">
        <v>398.78904109590002</v>
      </c>
      <c r="R40">
        <v>11</v>
      </c>
      <c r="S40">
        <v>241.8181818182</v>
      </c>
      <c r="V40" t="s">
        <v>428</v>
      </c>
      <c r="W40">
        <v>357</v>
      </c>
      <c r="X40">
        <v>263</v>
      </c>
      <c r="Y40">
        <v>291.61216730040002</v>
      </c>
      <c r="Z40">
        <v>27</v>
      </c>
      <c r="AA40">
        <v>634.66666666670005</v>
      </c>
      <c r="AB40">
        <v>30</v>
      </c>
      <c r="AC40">
        <v>511.63333333330002</v>
      </c>
      <c r="AD40">
        <v>37</v>
      </c>
      <c r="AE40">
        <v>340.62162162160001</v>
      </c>
      <c r="AF40">
        <v>27</v>
      </c>
      <c r="AG40">
        <v>163.7777777778</v>
      </c>
      <c r="AL40" t="s">
        <v>428</v>
      </c>
      <c r="AM40">
        <v>4</v>
      </c>
      <c r="AN40">
        <v>1</v>
      </c>
      <c r="AO40">
        <v>325</v>
      </c>
      <c r="AP40">
        <v>2</v>
      </c>
      <c r="AQ40">
        <v>292.5</v>
      </c>
      <c r="AR40">
        <v>3</v>
      </c>
      <c r="AS40">
        <v>68.666666666699996</v>
      </c>
    </row>
    <row r="41" spans="6:51" x14ac:dyDescent="0.2">
      <c r="F41" t="s">
        <v>49</v>
      </c>
      <c r="G41">
        <v>19917</v>
      </c>
      <c r="H41">
        <v>14373</v>
      </c>
      <c r="I41">
        <v>516.92798998119997</v>
      </c>
      <c r="J41">
        <v>1008</v>
      </c>
      <c r="K41">
        <v>711.39781746029996</v>
      </c>
      <c r="L41">
        <v>4322</v>
      </c>
      <c r="M41">
        <v>711.71378991209997</v>
      </c>
      <c r="N41">
        <v>1195</v>
      </c>
      <c r="O41">
        <v>566.60502092050001</v>
      </c>
      <c r="R41">
        <v>27</v>
      </c>
      <c r="S41">
        <v>356.4814814815</v>
      </c>
      <c r="V41" t="s">
        <v>418</v>
      </c>
      <c r="W41">
        <v>5341</v>
      </c>
      <c r="X41">
        <v>4079</v>
      </c>
      <c r="Y41">
        <v>477.16327531259998</v>
      </c>
      <c r="Z41">
        <v>258</v>
      </c>
      <c r="AA41">
        <v>902.06976744190001</v>
      </c>
      <c r="AB41">
        <v>565</v>
      </c>
      <c r="AC41">
        <v>319.0991150442</v>
      </c>
      <c r="AD41">
        <v>455</v>
      </c>
      <c r="AE41">
        <v>594.81538461540003</v>
      </c>
      <c r="AF41">
        <v>236</v>
      </c>
      <c r="AG41">
        <v>190.51694915249999</v>
      </c>
      <c r="AH41">
        <v>6</v>
      </c>
      <c r="AI41">
        <v>447.3333333333</v>
      </c>
      <c r="AL41" t="s">
        <v>418</v>
      </c>
      <c r="AM41">
        <v>154</v>
      </c>
      <c r="AN41">
        <v>135</v>
      </c>
      <c r="AO41">
        <v>353.34074074070003</v>
      </c>
      <c r="AP41">
        <v>7</v>
      </c>
      <c r="AQ41">
        <v>479.57142857140002</v>
      </c>
      <c r="AR41">
        <v>17</v>
      </c>
      <c r="AS41">
        <v>282</v>
      </c>
      <c r="AT41">
        <v>2</v>
      </c>
      <c r="AU41">
        <v>188.5</v>
      </c>
    </row>
    <row r="42" spans="6:51" x14ac:dyDescent="0.2">
      <c r="F42" t="s">
        <v>52</v>
      </c>
      <c r="G42">
        <v>4591</v>
      </c>
      <c r="H42">
        <v>3018</v>
      </c>
      <c r="I42">
        <v>301.19980119280001</v>
      </c>
      <c r="J42">
        <v>300</v>
      </c>
      <c r="K42">
        <v>590.13333333330002</v>
      </c>
      <c r="L42">
        <v>1031</v>
      </c>
      <c r="M42">
        <v>399.75945683800001</v>
      </c>
      <c r="N42">
        <v>535</v>
      </c>
      <c r="O42">
        <v>600.091588785</v>
      </c>
      <c r="R42">
        <v>7</v>
      </c>
      <c r="S42">
        <v>501.28571428570001</v>
      </c>
      <c r="V42" t="s">
        <v>410</v>
      </c>
      <c r="W42">
        <v>6150</v>
      </c>
      <c r="X42">
        <v>3222</v>
      </c>
      <c r="Y42">
        <v>250.27436374920001</v>
      </c>
      <c r="Z42">
        <v>281</v>
      </c>
      <c r="AA42">
        <v>549.9430604982</v>
      </c>
      <c r="AB42">
        <v>2291</v>
      </c>
      <c r="AC42">
        <v>679.81056307289998</v>
      </c>
      <c r="AD42">
        <v>365</v>
      </c>
      <c r="AE42">
        <v>411.33972602739999</v>
      </c>
      <c r="AF42">
        <v>261</v>
      </c>
      <c r="AG42">
        <v>186.05747126439999</v>
      </c>
      <c r="AH42">
        <v>11</v>
      </c>
      <c r="AI42">
        <v>241.8181818182</v>
      </c>
      <c r="AL42" t="s">
        <v>410</v>
      </c>
      <c r="AM42">
        <v>98</v>
      </c>
      <c r="AN42">
        <v>46</v>
      </c>
      <c r="AO42">
        <v>197.5652173913</v>
      </c>
      <c r="AP42">
        <v>28</v>
      </c>
      <c r="AQ42">
        <v>185.53571428570001</v>
      </c>
      <c r="AR42">
        <v>50</v>
      </c>
      <c r="AS42">
        <v>701.94</v>
      </c>
      <c r="AT42">
        <v>2</v>
      </c>
      <c r="AU42">
        <v>164.5</v>
      </c>
    </row>
    <row r="43" spans="6:51" x14ac:dyDescent="0.2">
      <c r="F43" t="s">
        <v>39</v>
      </c>
      <c r="G43">
        <v>320</v>
      </c>
      <c r="H43">
        <v>263</v>
      </c>
      <c r="I43">
        <v>302.72623574139999</v>
      </c>
      <c r="J43">
        <v>24</v>
      </c>
      <c r="K43">
        <v>553.16666666670005</v>
      </c>
      <c r="L43">
        <v>20</v>
      </c>
      <c r="M43">
        <v>504</v>
      </c>
      <c r="N43">
        <v>37</v>
      </c>
      <c r="O43">
        <v>342.75675675679997</v>
      </c>
      <c r="V43" t="s">
        <v>419</v>
      </c>
      <c r="W43">
        <v>4468</v>
      </c>
      <c r="X43">
        <v>2502</v>
      </c>
      <c r="Y43">
        <v>177.45563549159999</v>
      </c>
      <c r="Z43">
        <v>640</v>
      </c>
      <c r="AA43">
        <v>313.30937499999999</v>
      </c>
      <c r="AB43">
        <v>1096</v>
      </c>
      <c r="AC43">
        <v>248.57116788319999</v>
      </c>
      <c r="AD43">
        <v>575</v>
      </c>
      <c r="AE43">
        <v>285.10782608699998</v>
      </c>
      <c r="AF43">
        <v>291</v>
      </c>
      <c r="AG43">
        <v>169.02405498280001</v>
      </c>
      <c r="AH43">
        <v>4</v>
      </c>
      <c r="AI43">
        <v>307.25</v>
      </c>
      <c r="AL43" t="s">
        <v>419</v>
      </c>
      <c r="AM43">
        <v>83</v>
      </c>
      <c r="AN43">
        <v>60</v>
      </c>
      <c r="AO43">
        <v>187.5666666667</v>
      </c>
      <c r="AP43">
        <v>55</v>
      </c>
      <c r="AQ43">
        <v>208.83636363639999</v>
      </c>
      <c r="AR43">
        <v>18</v>
      </c>
      <c r="AS43">
        <v>151.8888888889</v>
      </c>
      <c r="AT43">
        <v>4</v>
      </c>
      <c r="AU43">
        <v>239.5</v>
      </c>
      <c r="AV43">
        <v>1</v>
      </c>
      <c r="AW43">
        <v>87</v>
      </c>
    </row>
    <row r="44" spans="6:51" x14ac:dyDescent="0.2">
      <c r="F44" t="s">
        <v>27</v>
      </c>
      <c r="G44">
        <v>4118</v>
      </c>
      <c r="H44">
        <v>2442</v>
      </c>
      <c r="I44">
        <v>167.65520065519999</v>
      </c>
      <c r="J44">
        <v>647</v>
      </c>
      <c r="K44">
        <v>308.29211746520002</v>
      </c>
      <c r="L44">
        <v>1086</v>
      </c>
      <c r="M44">
        <v>241.5773480663</v>
      </c>
      <c r="N44">
        <v>586</v>
      </c>
      <c r="O44">
        <v>279.22184300340001</v>
      </c>
      <c r="R44">
        <v>4</v>
      </c>
      <c r="S44">
        <v>307.25</v>
      </c>
      <c r="V44" t="s">
        <v>394</v>
      </c>
      <c r="W44">
        <v>5935</v>
      </c>
      <c r="X44">
        <v>4832</v>
      </c>
      <c r="Y44">
        <v>424.18791390730001</v>
      </c>
      <c r="Z44">
        <v>428</v>
      </c>
      <c r="AA44">
        <v>788.73598130840003</v>
      </c>
      <c r="AB44">
        <v>534</v>
      </c>
      <c r="AC44">
        <v>460.79962546820002</v>
      </c>
      <c r="AD44">
        <v>371</v>
      </c>
      <c r="AE44">
        <v>425.94339622640001</v>
      </c>
      <c r="AF44">
        <v>185</v>
      </c>
      <c r="AG44">
        <v>188.10270270269999</v>
      </c>
      <c r="AH44">
        <v>13</v>
      </c>
      <c r="AI44">
        <v>351.38461538460001</v>
      </c>
      <c r="AL44" t="s">
        <v>394</v>
      </c>
      <c r="AM44">
        <v>187</v>
      </c>
      <c r="AN44">
        <v>149</v>
      </c>
      <c r="AO44">
        <v>365.90604026850002</v>
      </c>
      <c r="AP44">
        <v>23</v>
      </c>
      <c r="AQ44">
        <v>694.39130434779997</v>
      </c>
      <c r="AR44">
        <v>37</v>
      </c>
      <c r="AS44">
        <v>203.51351351349999</v>
      </c>
      <c r="AT44">
        <v>1</v>
      </c>
      <c r="AU44">
        <v>61</v>
      </c>
    </row>
    <row r="45" spans="6:51" x14ac:dyDescent="0.2">
      <c r="F45" t="s">
        <v>54</v>
      </c>
      <c r="G45">
        <v>5251</v>
      </c>
      <c r="H45">
        <v>4213</v>
      </c>
      <c r="I45">
        <v>477.65915024920002</v>
      </c>
      <c r="J45">
        <v>257</v>
      </c>
      <c r="K45">
        <v>910.69649805450001</v>
      </c>
      <c r="L45">
        <v>566</v>
      </c>
      <c r="M45">
        <v>308.64487632509997</v>
      </c>
      <c r="N45">
        <v>466</v>
      </c>
      <c r="O45">
        <v>612.41416309010003</v>
      </c>
      <c r="R45">
        <v>6</v>
      </c>
      <c r="S45">
        <v>447.3333333333</v>
      </c>
      <c r="V45" t="s">
        <v>396</v>
      </c>
      <c r="W45">
        <v>4841</v>
      </c>
      <c r="X45">
        <v>3080</v>
      </c>
      <c r="Y45">
        <v>308.98798701300001</v>
      </c>
      <c r="Z45">
        <v>309</v>
      </c>
      <c r="AA45">
        <v>587.25242718449999</v>
      </c>
      <c r="AB45">
        <v>1033</v>
      </c>
      <c r="AC45">
        <v>411.03388189740002</v>
      </c>
      <c r="AD45">
        <v>539</v>
      </c>
      <c r="AE45">
        <v>602.77922077920005</v>
      </c>
      <c r="AF45">
        <v>182</v>
      </c>
      <c r="AG45">
        <v>208.5659340659</v>
      </c>
      <c r="AH45">
        <v>7</v>
      </c>
      <c r="AI45">
        <v>501.28571428570001</v>
      </c>
      <c r="AL45" t="s">
        <v>396</v>
      </c>
      <c r="AM45">
        <v>112</v>
      </c>
      <c r="AN45">
        <v>96</v>
      </c>
      <c r="AO45">
        <v>267.6145833333</v>
      </c>
      <c r="AP45">
        <v>14</v>
      </c>
      <c r="AQ45">
        <v>319.64285714290003</v>
      </c>
      <c r="AR45">
        <v>15</v>
      </c>
      <c r="AS45">
        <v>381.73333333329998</v>
      </c>
      <c r="AT45">
        <v>1</v>
      </c>
      <c r="AU45">
        <v>449</v>
      </c>
    </row>
    <row r="46" spans="6:51" x14ac:dyDescent="0.2">
      <c r="F46" t="s">
        <v>62</v>
      </c>
      <c r="G46">
        <v>5780</v>
      </c>
      <c r="H46">
        <v>4867</v>
      </c>
      <c r="I46">
        <v>423.69817135810001</v>
      </c>
      <c r="J46">
        <v>430</v>
      </c>
      <c r="K46">
        <v>789.84883720929997</v>
      </c>
      <c r="L46">
        <v>528</v>
      </c>
      <c r="M46">
        <v>434.09848484849999</v>
      </c>
      <c r="N46">
        <v>372</v>
      </c>
      <c r="O46">
        <v>433.51344086019998</v>
      </c>
      <c r="R46">
        <v>13</v>
      </c>
      <c r="S46">
        <v>351.38461538460001</v>
      </c>
      <c r="V46" t="s">
        <v>392</v>
      </c>
      <c r="W46">
        <v>68251</v>
      </c>
      <c r="X46">
        <v>46936</v>
      </c>
      <c r="Y46">
        <v>410.37676836539998</v>
      </c>
      <c r="Z46">
        <v>4548</v>
      </c>
      <c r="AA46">
        <v>611.94173262970003</v>
      </c>
      <c r="AB46">
        <v>13854</v>
      </c>
      <c r="AC46">
        <v>633.8928107406</v>
      </c>
      <c r="AD46">
        <v>4914</v>
      </c>
      <c r="AE46">
        <v>502.77920227919998</v>
      </c>
      <c r="AF46">
        <v>2427</v>
      </c>
      <c r="AG46">
        <v>182.88545529460001</v>
      </c>
      <c r="AH46">
        <v>120</v>
      </c>
      <c r="AI46">
        <v>394.7916666667</v>
      </c>
      <c r="AL46" t="s">
        <v>392</v>
      </c>
      <c r="AM46">
        <v>1374</v>
      </c>
      <c r="AN46">
        <v>1050</v>
      </c>
      <c r="AO46">
        <v>387.5152380952</v>
      </c>
      <c r="AP46">
        <v>398</v>
      </c>
      <c r="AQ46">
        <v>349.05778894470001</v>
      </c>
      <c r="AR46">
        <v>295</v>
      </c>
      <c r="AS46">
        <v>435.02711864410003</v>
      </c>
      <c r="AT46">
        <v>27</v>
      </c>
      <c r="AU46">
        <v>342.037037037</v>
      </c>
      <c r="AV46">
        <v>2</v>
      </c>
      <c r="AW46">
        <v>56.5</v>
      </c>
    </row>
    <row r="47" spans="6:51" x14ac:dyDescent="0.2">
      <c r="F47" t="s">
        <v>187</v>
      </c>
      <c r="G47">
        <v>278</v>
      </c>
      <c r="H47">
        <v>107</v>
      </c>
      <c r="I47">
        <v>131.0747663551</v>
      </c>
      <c r="J47">
        <v>90</v>
      </c>
      <c r="K47">
        <v>225.1666666667</v>
      </c>
      <c r="L47">
        <v>111</v>
      </c>
      <c r="M47">
        <v>289.94594594590001</v>
      </c>
      <c r="N47">
        <v>59</v>
      </c>
      <c r="O47">
        <v>401.35593220340002</v>
      </c>
      <c r="R47">
        <v>1</v>
      </c>
      <c r="S47">
        <v>641</v>
      </c>
      <c r="V47" t="s">
        <v>423</v>
      </c>
      <c r="W47">
        <v>400</v>
      </c>
      <c r="X47">
        <v>264</v>
      </c>
      <c r="Y47">
        <v>286.09090909090003</v>
      </c>
      <c r="Z47">
        <v>58</v>
      </c>
      <c r="AA47">
        <v>401.03448275860001</v>
      </c>
      <c r="AB47">
        <v>45</v>
      </c>
      <c r="AC47">
        <v>428.42222222219999</v>
      </c>
      <c r="AD47">
        <v>66</v>
      </c>
      <c r="AE47">
        <v>257.03030303029999</v>
      </c>
      <c r="AF47">
        <v>24</v>
      </c>
      <c r="AG47">
        <v>179.4166666667</v>
      </c>
      <c r="AH47">
        <v>1</v>
      </c>
      <c r="AI47">
        <v>262</v>
      </c>
      <c r="AL47" t="s">
        <v>423</v>
      </c>
      <c r="AM47">
        <v>20</v>
      </c>
      <c r="AN47">
        <v>19</v>
      </c>
      <c r="AO47">
        <v>254.94736842110001</v>
      </c>
      <c r="AP47">
        <v>5</v>
      </c>
      <c r="AQ47">
        <v>226.2</v>
      </c>
      <c r="AR47">
        <v>1</v>
      </c>
      <c r="AS47">
        <v>47</v>
      </c>
    </row>
    <row r="48" spans="6:51" x14ac:dyDescent="0.2">
      <c r="F48" t="s">
        <v>73</v>
      </c>
      <c r="G48">
        <v>500</v>
      </c>
      <c r="H48">
        <v>254</v>
      </c>
      <c r="I48">
        <v>84.212598425199999</v>
      </c>
      <c r="J48">
        <v>244</v>
      </c>
      <c r="K48">
        <v>216.95491803280001</v>
      </c>
      <c r="L48">
        <v>124</v>
      </c>
      <c r="M48">
        <v>117.0161290323</v>
      </c>
      <c r="N48">
        <v>119</v>
      </c>
      <c r="O48">
        <v>179.19327731089999</v>
      </c>
      <c r="R48">
        <v>3</v>
      </c>
      <c r="S48">
        <v>120</v>
      </c>
      <c r="V48" t="s">
        <v>424</v>
      </c>
      <c r="W48">
        <v>169</v>
      </c>
      <c r="X48">
        <v>114</v>
      </c>
      <c r="Y48">
        <v>205.4385964912</v>
      </c>
      <c r="Z48">
        <v>30</v>
      </c>
      <c r="AA48">
        <v>325.86666666669998</v>
      </c>
      <c r="AB48">
        <v>10</v>
      </c>
      <c r="AC48">
        <v>442.1</v>
      </c>
      <c r="AD48">
        <v>25</v>
      </c>
      <c r="AE48">
        <v>367.64</v>
      </c>
      <c r="AF48">
        <v>18</v>
      </c>
      <c r="AG48">
        <v>136.7222222222</v>
      </c>
      <c r="AH48">
        <v>2</v>
      </c>
      <c r="AI48">
        <v>118</v>
      </c>
      <c r="AL48" t="s">
        <v>424</v>
      </c>
      <c r="AM48">
        <v>7</v>
      </c>
      <c r="AN48">
        <v>6</v>
      </c>
      <c r="AO48">
        <v>169.8333333333</v>
      </c>
      <c r="AP48">
        <v>1</v>
      </c>
      <c r="AQ48">
        <v>193</v>
      </c>
      <c r="AT48">
        <v>1</v>
      </c>
      <c r="AU48">
        <v>513</v>
      </c>
    </row>
    <row r="49" spans="6:51" x14ac:dyDescent="0.2">
      <c r="F49" t="s">
        <v>392</v>
      </c>
      <c r="G49">
        <v>66142</v>
      </c>
      <c r="H49">
        <v>47166</v>
      </c>
      <c r="I49">
        <v>410.65606581010002</v>
      </c>
      <c r="J49">
        <v>4552</v>
      </c>
      <c r="K49">
        <v>611.1010544815</v>
      </c>
      <c r="L49">
        <v>13946</v>
      </c>
      <c r="M49">
        <v>635.55944356800001</v>
      </c>
      <c r="N49">
        <v>4912</v>
      </c>
      <c r="O49">
        <v>504.89210097720002</v>
      </c>
      <c r="R49">
        <v>118</v>
      </c>
      <c r="S49">
        <v>395.186440678</v>
      </c>
      <c r="V49" t="s">
        <v>430</v>
      </c>
      <c r="W49">
        <v>510</v>
      </c>
      <c r="X49">
        <v>307</v>
      </c>
      <c r="Y49">
        <v>390.33876221499997</v>
      </c>
      <c r="Z49">
        <v>62</v>
      </c>
      <c r="AA49">
        <v>546.59677419349998</v>
      </c>
      <c r="AB49">
        <v>109</v>
      </c>
      <c r="AC49">
        <v>485.46788990829998</v>
      </c>
      <c r="AD49">
        <v>66</v>
      </c>
      <c r="AE49">
        <v>561.63636363640001</v>
      </c>
      <c r="AF49">
        <v>27</v>
      </c>
      <c r="AG49">
        <v>133.962962963</v>
      </c>
      <c r="AH49">
        <v>1</v>
      </c>
      <c r="AI49">
        <v>86</v>
      </c>
      <c r="AL49" t="s">
        <v>430</v>
      </c>
      <c r="AM49">
        <v>17</v>
      </c>
      <c r="AN49">
        <v>13</v>
      </c>
      <c r="AO49">
        <v>293.53846153849997</v>
      </c>
      <c r="AP49">
        <v>6</v>
      </c>
      <c r="AQ49">
        <v>378.5</v>
      </c>
      <c r="AR49">
        <v>1</v>
      </c>
      <c r="AS49">
        <v>61</v>
      </c>
      <c r="AT49">
        <v>1</v>
      </c>
      <c r="AU49">
        <v>488</v>
      </c>
      <c r="AV49">
        <v>1</v>
      </c>
      <c r="AW49">
        <v>372</v>
      </c>
      <c r="AX49">
        <v>1</v>
      </c>
      <c r="AY49">
        <v>327</v>
      </c>
    </row>
    <row r="50" spans="6:51" x14ac:dyDescent="0.2">
      <c r="F50" t="s">
        <v>218</v>
      </c>
      <c r="G50">
        <v>1718</v>
      </c>
      <c r="H50">
        <v>1228</v>
      </c>
      <c r="I50">
        <v>354.34771986969997</v>
      </c>
      <c r="J50">
        <v>789</v>
      </c>
      <c r="K50">
        <v>286.72623574139999</v>
      </c>
      <c r="L50">
        <v>425</v>
      </c>
      <c r="M50">
        <v>383.36941176469998</v>
      </c>
      <c r="N50">
        <v>65</v>
      </c>
      <c r="O50">
        <v>232.92307692310001</v>
      </c>
      <c r="V50" t="s">
        <v>383</v>
      </c>
      <c r="W50">
        <v>5475</v>
      </c>
      <c r="X50">
        <v>4135</v>
      </c>
      <c r="Y50">
        <v>559.16662636030003</v>
      </c>
      <c r="Z50">
        <v>228</v>
      </c>
      <c r="AA50">
        <v>1082.4210526316001</v>
      </c>
      <c r="AB50">
        <v>997</v>
      </c>
      <c r="AC50">
        <v>823.34904714139998</v>
      </c>
      <c r="AD50">
        <v>256</v>
      </c>
      <c r="AE50">
        <v>629.71875</v>
      </c>
      <c r="AF50">
        <v>84</v>
      </c>
      <c r="AG50">
        <v>152.2261904762</v>
      </c>
      <c r="AH50">
        <v>3</v>
      </c>
      <c r="AI50">
        <v>610</v>
      </c>
      <c r="AL50" t="s">
        <v>383</v>
      </c>
      <c r="AM50">
        <v>82</v>
      </c>
      <c r="AN50">
        <v>67</v>
      </c>
      <c r="AO50">
        <v>238.74626865670001</v>
      </c>
      <c r="AP50">
        <v>18</v>
      </c>
      <c r="AQ50">
        <v>347.8333333333</v>
      </c>
      <c r="AR50">
        <v>13</v>
      </c>
      <c r="AS50">
        <v>276.61538461539999</v>
      </c>
      <c r="AT50">
        <v>2</v>
      </c>
      <c r="AU50">
        <v>414</v>
      </c>
    </row>
    <row r="51" spans="6:51" x14ac:dyDescent="0.2">
      <c r="F51" t="s">
        <v>215</v>
      </c>
      <c r="G51">
        <v>2208</v>
      </c>
      <c r="H51">
        <v>1780</v>
      </c>
      <c r="I51">
        <v>331.6511235955</v>
      </c>
      <c r="J51">
        <v>197</v>
      </c>
      <c r="K51">
        <v>493.42639593910002</v>
      </c>
      <c r="L51">
        <v>374</v>
      </c>
      <c r="M51">
        <v>312.36096256680003</v>
      </c>
      <c r="N51">
        <v>54</v>
      </c>
      <c r="O51">
        <v>213.1111111111</v>
      </c>
      <c r="V51" t="s">
        <v>63</v>
      </c>
      <c r="W51">
        <v>5458</v>
      </c>
      <c r="X51">
        <v>3653</v>
      </c>
      <c r="Y51">
        <v>262.5220366822</v>
      </c>
      <c r="Z51">
        <v>738</v>
      </c>
      <c r="AA51">
        <v>474.06910569109999</v>
      </c>
      <c r="AB51">
        <v>901</v>
      </c>
      <c r="AC51">
        <v>312.52608213100001</v>
      </c>
      <c r="AD51">
        <v>617</v>
      </c>
      <c r="AE51">
        <v>604.1636952998</v>
      </c>
      <c r="AF51">
        <v>248</v>
      </c>
      <c r="AG51">
        <v>180.06854838710001</v>
      </c>
      <c r="AH51">
        <v>39</v>
      </c>
      <c r="AI51">
        <v>589.71794871789996</v>
      </c>
      <c r="AL51" t="s">
        <v>63</v>
      </c>
      <c r="AM51">
        <v>231</v>
      </c>
      <c r="AN51">
        <v>193</v>
      </c>
      <c r="AO51">
        <v>286.81347150260001</v>
      </c>
      <c r="AP51">
        <v>63</v>
      </c>
      <c r="AQ51">
        <v>420.50793650790001</v>
      </c>
      <c r="AR51">
        <v>32</v>
      </c>
      <c r="AS51">
        <v>254.21875</v>
      </c>
      <c r="AT51">
        <v>6</v>
      </c>
      <c r="AU51">
        <v>198</v>
      </c>
    </row>
    <row r="52" spans="6:51" x14ac:dyDescent="0.2">
      <c r="F52" t="s">
        <v>216</v>
      </c>
      <c r="G52">
        <v>2454</v>
      </c>
      <c r="H52">
        <v>2073</v>
      </c>
      <c r="I52">
        <v>264.76025084420002</v>
      </c>
      <c r="J52">
        <v>560</v>
      </c>
      <c r="K52">
        <v>354.56428571430001</v>
      </c>
      <c r="L52">
        <v>287</v>
      </c>
      <c r="M52">
        <v>255.0662020906</v>
      </c>
      <c r="N52">
        <v>92</v>
      </c>
      <c r="O52">
        <v>216.01086956520001</v>
      </c>
      <c r="R52">
        <v>2</v>
      </c>
      <c r="S52">
        <v>182</v>
      </c>
      <c r="V52" t="s">
        <v>385</v>
      </c>
      <c r="W52">
        <v>14774</v>
      </c>
      <c r="X52">
        <v>9994</v>
      </c>
      <c r="Y52">
        <v>359.39433660200001</v>
      </c>
      <c r="Z52">
        <v>434</v>
      </c>
      <c r="AA52">
        <v>750.02073732719998</v>
      </c>
      <c r="AB52">
        <v>3717</v>
      </c>
      <c r="AC52">
        <v>786.27118644070003</v>
      </c>
      <c r="AD52">
        <v>742</v>
      </c>
      <c r="AE52">
        <v>543.66846361190005</v>
      </c>
      <c r="AF52">
        <v>319</v>
      </c>
      <c r="AG52">
        <v>161.06269592480001</v>
      </c>
      <c r="AH52">
        <v>2</v>
      </c>
      <c r="AI52">
        <v>171</v>
      </c>
      <c r="AL52" t="s">
        <v>385</v>
      </c>
      <c r="AM52">
        <v>161</v>
      </c>
      <c r="AN52">
        <v>137</v>
      </c>
      <c r="AO52">
        <v>248.9562043796</v>
      </c>
      <c r="AP52">
        <v>41</v>
      </c>
      <c r="AQ52">
        <v>337.9512195122</v>
      </c>
      <c r="AR52">
        <v>15</v>
      </c>
      <c r="AS52">
        <v>240.8</v>
      </c>
      <c r="AT52">
        <v>9</v>
      </c>
      <c r="AU52">
        <v>175.3333333333</v>
      </c>
    </row>
    <row r="53" spans="6:51" x14ac:dyDescent="0.2">
      <c r="F53" t="s">
        <v>469</v>
      </c>
      <c r="G53">
        <v>6380</v>
      </c>
      <c r="H53">
        <v>5081</v>
      </c>
      <c r="I53">
        <v>309.84569966539999</v>
      </c>
      <c r="J53">
        <v>1546</v>
      </c>
      <c r="K53">
        <v>337.63777490299998</v>
      </c>
      <c r="L53">
        <v>1086</v>
      </c>
      <c r="M53">
        <v>325.00828729279999</v>
      </c>
      <c r="N53">
        <v>211</v>
      </c>
      <c r="O53">
        <v>220.47867298579999</v>
      </c>
      <c r="R53">
        <v>2</v>
      </c>
      <c r="S53">
        <v>182</v>
      </c>
      <c r="V53" t="s">
        <v>381</v>
      </c>
      <c r="W53">
        <v>4120</v>
      </c>
      <c r="X53">
        <v>2856</v>
      </c>
      <c r="Y53">
        <v>327.12955182069999</v>
      </c>
      <c r="Z53">
        <v>407</v>
      </c>
      <c r="AA53">
        <v>582.45208845210004</v>
      </c>
      <c r="AB53">
        <v>552</v>
      </c>
      <c r="AC53">
        <v>311.98369565220003</v>
      </c>
      <c r="AD53">
        <v>544</v>
      </c>
      <c r="AE53">
        <v>477.4283088235</v>
      </c>
      <c r="AF53">
        <v>163</v>
      </c>
      <c r="AG53">
        <v>196.5214723926</v>
      </c>
      <c r="AH53">
        <v>5</v>
      </c>
      <c r="AI53">
        <v>569.6</v>
      </c>
      <c r="AL53" t="s">
        <v>381</v>
      </c>
      <c r="AM53">
        <v>161</v>
      </c>
      <c r="AN53">
        <v>135</v>
      </c>
      <c r="AO53">
        <v>228.9259259259</v>
      </c>
      <c r="AP53">
        <v>41</v>
      </c>
      <c r="AQ53">
        <v>343.07317073169997</v>
      </c>
      <c r="AR53">
        <v>21</v>
      </c>
      <c r="AS53">
        <v>268.38095238099999</v>
      </c>
      <c r="AT53">
        <v>4</v>
      </c>
      <c r="AU53">
        <v>252.5</v>
      </c>
      <c r="AV53">
        <v>1</v>
      </c>
      <c r="AW53">
        <v>241</v>
      </c>
    </row>
    <row r="54" spans="6:51" x14ac:dyDescent="0.2">
      <c r="F54" t="s">
        <v>81</v>
      </c>
      <c r="G54">
        <v>374</v>
      </c>
      <c r="H54">
        <v>277</v>
      </c>
      <c r="I54">
        <v>225.63537906139999</v>
      </c>
      <c r="J54">
        <v>54</v>
      </c>
      <c r="K54">
        <v>322.0925925926</v>
      </c>
      <c r="L54">
        <v>34</v>
      </c>
      <c r="M54">
        <v>374.6470588235</v>
      </c>
      <c r="N54">
        <v>62</v>
      </c>
      <c r="O54">
        <v>236.03225806450001</v>
      </c>
      <c r="R54">
        <v>1</v>
      </c>
      <c r="S54">
        <v>262</v>
      </c>
      <c r="V54" t="s">
        <v>380</v>
      </c>
      <c r="W54">
        <v>935</v>
      </c>
      <c r="X54">
        <v>520</v>
      </c>
      <c r="Y54">
        <v>192.8057692308</v>
      </c>
      <c r="Z54">
        <v>207</v>
      </c>
      <c r="AA54">
        <v>352.39613526570002</v>
      </c>
      <c r="AB54">
        <v>170</v>
      </c>
      <c r="AC54">
        <v>266.56470588240001</v>
      </c>
      <c r="AD54">
        <v>154</v>
      </c>
      <c r="AE54">
        <v>299.9350649351</v>
      </c>
      <c r="AF54">
        <v>91</v>
      </c>
      <c r="AG54">
        <v>153.61538461539999</v>
      </c>
      <c r="AL54" t="s">
        <v>380</v>
      </c>
      <c r="AM54">
        <v>53</v>
      </c>
      <c r="AN54">
        <v>48</v>
      </c>
      <c r="AO54">
        <v>233.0208333333</v>
      </c>
      <c r="AP54">
        <v>6</v>
      </c>
      <c r="AQ54">
        <v>244.5</v>
      </c>
      <c r="AR54">
        <v>5</v>
      </c>
      <c r="AS54">
        <v>202</v>
      </c>
    </row>
    <row r="55" spans="6:51" x14ac:dyDescent="0.2">
      <c r="F55" t="s">
        <v>38</v>
      </c>
      <c r="G55">
        <v>3374</v>
      </c>
      <c r="H55">
        <v>2219</v>
      </c>
      <c r="I55">
        <v>445.0378548896</v>
      </c>
      <c r="J55">
        <v>332</v>
      </c>
      <c r="K55">
        <v>703.68373493980005</v>
      </c>
      <c r="L55">
        <v>818</v>
      </c>
      <c r="M55">
        <v>627.91320293399997</v>
      </c>
      <c r="N55">
        <v>324</v>
      </c>
      <c r="O55">
        <v>662.77469135800004</v>
      </c>
      <c r="R55">
        <v>13</v>
      </c>
      <c r="S55">
        <v>148.61538461539999</v>
      </c>
      <c r="V55" t="s">
        <v>382</v>
      </c>
      <c r="W55">
        <v>6652</v>
      </c>
      <c r="X55">
        <v>4516</v>
      </c>
      <c r="Y55">
        <v>394.13795394149997</v>
      </c>
      <c r="Z55">
        <v>490</v>
      </c>
      <c r="AA55">
        <v>498.87346938780001</v>
      </c>
      <c r="AB55">
        <v>885</v>
      </c>
      <c r="AC55">
        <v>513.79999999999995</v>
      </c>
      <c r="AD55">
        <v>941</v>
      </c>
      <c r="AE55">
        <v>653.64718384699995</v>
      </c>
      <c r="AF55">
        <v>303</v>
      </c>
      <c r="AG55">
        <v>164.75907590759999</v>
      </c>
      <c r="AH55">
        <v>7</v>
      </c>
      <c r="AI55">
        <v>488.42857142859998</v>
      </c>
      <c r="AL55" t="s">
        <v>382</v>
      </c>
      <c r="AM55">
        <v>257</v>
      </c>
      <c r="AN55">
        <v>217</v>
      </c>
      <c r="AO55">
        <v>261.02304147469999</v>
      </c>
      <c r="AP55">
        <v>60</v>
      </c>
      <c r="AQ55">
        <v>334.5</v>
      </c>
      <c r="AR55">
        <v>24</v>
      </c>
      <c r="AS55">
        <v>283.7083333333</v>
      </c>
      <c r="AT55">
        <v>16</v>
      </c>
      <c r="AU55">
        <v>280.0625</v>
      </c>
    </row>
    <row r="56" spans="6:51" x14ac:dyDescent="0.2">
      <c r="F56" t="s">
        <v>64</v>
      </c>
      <c r="G56">
        <v>2719</v>
      </c>
      <c r="H56">
        <v>2069</v>
      </c>
      <c r="I56">
        <v>339.88158530689998</v>
      </c>
      <c r="J56">
        <v>246</v>
      </c>
      <c r="K56">
        <v>683.74390243899995</v>
      </c>
      <c r="L56">
        <v>275</v>
      </c>
      <c r="M56">
        <v>105.3563636364</v>
      </c>
      <c r="N56">
        <v>373</v>
      </c>
      <c r="O56">
        <v>419.41823056300001</v>
      </c>
      <c r="R56">
        <v>2</v>
      </c>
      <c r="S56">
        <v>798.5</v>
      </c>
      <c r="V56" t="s">
        <v>379</v>
      </c>
      <c r="W56">
        <v>333</v>
      </c>
      <c r="X56">
        <v>153</v>
      </c>
      <c r="Y56">
        <v>121.44444444440001</v>
      </c>
      <c r="Z56">
        <v>73</v>
      </c>
      <c r="AA56">
        <v>198.3561643836</v>
      </c>
      <c r="AB56">
        <v>84</v>
      </c>
      <c r="AC56">
        <v>158.6666666667</v>
      </c>
      <c r="AD56">
        <v>39</v>
      </c>
      <c r="AE56">
        <v>213.4615384615</v>
      </c>
      <c r="AF56">
        <v>56</v>
      </c>
      <c r="AG56">
        <v>162.82142857139999</v>
      </c>
      <c r="AH56">
        <v>1</v>
      </c>
      <c r="AI56">
        <v>99</v>
      </c>
      <c r="AL56" t="s">
        <v>379</v>
      </c>
      <c r="AM56">
        <v>18</v>
      </c>
      <c r="AN56">
        <v>15</v>
      </c>
      <c r="AO56">
        <v>281.46666666670001</v>
      </c>
      <c r="AP56">
        <v>6</v>
      </c>
      <c r="AQ56">
        <v>299</v>
      </c>
      <c r="AR56">
        <v>2</v>
      </c>
      <c r="AS56">
        <v>396</v>
      </c>
      <c r="AT56">
        <v>1</v>
      </c>
      <c r="AU56">
        <v>148</v>
      </c>
    </row>
    <row r="57" spans="6:51" x14ac:dyDescent="0.2">
      <c r="F57" t="s">
        <v>24</v>
      </c>
      <c r="G57">
        <v>1834</v>
      </c>
      <c r="H57">
        <v>1137</v>
      </c>
      <c r="I57">
        <v>202.9577836412</v>
      </c>
      <c r="J57">
        <v>313</v>
      </c>
      <c r="K57">
        <v>321.14696485619999</v>
      </c>
      <c r="L57">
        <v>493</v>
      </c>
      <c r="M57">
        <v>320.15010141990001</v>
      </c>
      <c r="N57">
        <v>188</v>
      </c>
      <c r="O57">
        <v>492.24468085109999</v>
      </c>
      <c r="R57">
        <v>16</v>
      </c>
      <c r="S57">
        <v>543.25</v>
      </c>
      <c r="V57" t="s">
        <v>378</v>
      </c>
      <c r="W57">
        <v>3497</v>
      </c>
      <c r="X57">
        <v>2120</v>
      </c>
      <c r="Y57">
        <v>432.38537735850002</v>
      </c>
      <c r="Z57">
        <v>386</v>
      </c>
      <c r="AA57">
        <v>598.64766839380002</v>
      </c>
      <c r="AB57">
        <v>840</v>
      </c>
      <c r="AC57">
        <v>570.21190476189997</v>
      </c>
      <c r="AD57">
        <v>369</v>
      </c>
      <c r="AE57">
        <v>594.37127371270003</v>
      </c>
      <c r="AF57">
        <v>154</v>
      </c>
      <c r="AG57">
        <v>160.74025974029999</v>
      </c>
      <c r="AH57">
        <v>14</v>
      </c>
      <c r="AI57">
        <v>159</v>
      </c>
      <c r="AL57" t="s">
        <v>378</v>
      </c>
      <c r="AM57">
        <v>101</v>
      </c>
      <c r="AN57">
        <v>85</v>
      </c>
      <c r="AO57">
        <v>280.5294117647</v>
      </c>
      <c r="AP57">
        <v>27</v>
      </c>
      <c r="AQ57">
        <v>417.8888888889</v>
      </c>
      <c r="AR57">
        <v>12</v>
      </c>
      <c r="AS57">
        <v>311.3333333333</v>
      </c>
      <c r="AT57">
        <v>4</v>
      </c>
      <c r="AU57">
        <v>164.25</v>
      </c>
    </row>
    <row r="58" spans="6:51" x14ac:dyDescent="0.2">
      <c r="F58" t="s">
        <v>72</v>
      </c>
      <c r="G58">
        <v>14961</v>
      </c>
      <c r="H58">
        <v>10263</v>
      </c>
      <c r="I58">
        <v>351.51388482900001</v>
      </c>
      <c r="J58">
        <v>425</v>
      </c>
      <c r="K58">
        <v>759.74823529410003</v>
      </c>
      <c r="L58">
        <v>3952</v>
      </c>
      <c r="M58">
        <v>798.64321862350005</v>
      </c>
      <c r="N58">
        <v>744</v>
      </c>
      <c r="O58">
        <v>542.52016129030005</v>
      </c>
      <c r="R58">
        <v>2</v>
      </c>
      <c r="S58">
        <v>171</v>
      </c>
      <c r="V58" t="s">
        <v>422</v>
      </c>
      <c r="W58">
        <v>706</v>
      </c>
      <c r="X58">
        <v>540</v>
      </c>
      <c r="Y58">
        <v>289.23333333329998</v>
      </c>
      <c r="Z58">
        <v>84</v>
      </c>
      <c r="AA58">
        <v>628.02380952379997</v>
      </c>
      <c r="AB58">
        <v>81</v>
      </c>
      <c r="AC58">
        <v>162.50617283950001</v>
      </c>
      <c r="AD58">
        <v>50</v>
      </c>
      <c r="AE58">
        <v>298.72000000000003</v>
      </c>
      <c r="AF58">
        <v>35</v>
      </c>
      <c r="AG58">
        <v>202.65714285710001</v>
      </c>
      <c r="AL58" t="s">
        <v>422</v>
      </c>
      <c r="AM58">
        <v>13</v>
      </c>
      <c r="AN58">
        <v>12</v>
      </c>
      <c r="AO58">
        <v>330.3333333333</v>
      </c>
      <c r="AP58">
        <v>8</v>
      </c>
      <c r="AQ58">
        <v>202.25</v>
      </c>
      <c r="AR58">
        <v>1</v>
      </c>
      <c r="AS58">
        <v>362</v>
      </c>
    </row>
    <row r="59" spans="6:51" x14ac:dyDescent="0.2">
      <c r="F59" t="s">
        <v>47</v>
      </c>
      <c r="G59">
        <v>791</v>
      </c>
      <c r="H59">
        <v>493</v>
      </c>
      <c r="I59">
        <v>171.724137931</v>
      </c>
      <c r="J59">
        <v>202</v>
      </c>
      <c r="K59">
        <v>338.35643564359998</v>
      </c>
      <c r="L59">
        <v>155</v>
      </c>
      <c r="M59">
        <v>228.42580645160001</v>
      </c>
      <c r="N59">
        <v>143</v>
      </c>
      <c r="O59">
        <v>270.42657342659999</v>
      </c>
      <c r="V59" t="s">
        <v>386</v>
      </c>
      <c r="W59">
        <v>2253</v>
      </c>
      <c r="X59">
        <v>1460</v>
      </c>
      <c r="Y59">
        <v>363.27397260269998</v>
      </c>
      <c r="Z59">
        <v>329</v>
      </c>
      <c r="AA59">
        <v>436.18237082069999</v>
      </c>
      <c r="AB59">
        <v>135</v>
      </c>
      <c r="AC59">
        <v>338.12592592589999</v>
      </c>
      <c r="AD59">
        <v>511</v>
      </c>
      <c r="AE59">
        <v>460.66144814090001</v>
      </c>
      <c r="AF59">
        <v>143</v>
      </c>
      <c r="AG59">
        <v>168.7762237762</v>
      </c>
      <c r="AH59">
        <v>4</v>
      </c>
      <c r="AI59">
        <v>516.25</v>
      </c>
      <c r="AL59" t="s">
        <v>386</v>
      </c>
      <c r="AM59">
        <v>40</v>
      </c>
      <c r="AN59">
        <v>30</v>
      </c>
      <c r="AO59">
        <v>236.13333333329999</v>
      </c>
      <c r="AP59">
        <v>11</v>
      </c>
      <c r="AQ59">
        <v>357.27272727270002</v>
      </c>
      <c r="AR59">
        <v>8</v>
      </c>
      <c r="AS59">
        <v>205.125</v>
      </c>
      <c r="AT59">
        <v>2</v>
      </c>
      <c r="AU59">
        <v>200.5</v>
      </c>
    </row>
    <row r="60" spans="6:51" x14ac:dyDescent="0.2">
      <c r="F60" t="s">
        <v>63</v>
      </c>
      <c r="G60">
        <v>3276</v>
      </c>
      <c r="H60">
        <v>2425</v>
      </c>
      <c r="I60">
        <v>274.02474226800001</v>
      </c>
      <c r="J60">
        <v>431</v>
      </c>
      <c r="K60">
        <v>593.81670533639999</v>
      </c>
      <c r="L60">
        <v>383</v>
      </c>
      <c r="M60">
        <v>265.42819843339998</v>
      </c>
      <c r="N60">
        <v>443</v>
      </c>
      <c r="O60">
        <v>653.98871331830003</v>
      </c>
      <c r="R60">
        <v>25</v>
      </c>
      <c r="S60">
        <v>606.08000000000004</v>
      </c>
      <c r="V60" t="s">
        <v>389</v>
      </c>
      <c r="W60">
        <v>10229</v>
      </c>
      <c r="X60">
        <v>7421</v>
      </c>
      <c r="Y60">
        <v>263.40641422990001</v>
      </c>
      <c r="Z60">
        <v>1052</v>
      </c>
      <c r="AA60">
        <v>488.56463878329998</v>
      </c>
      <c r="AB60">
        <v>1237</v>
      </c>
      <c r="AC60">
        <v>230.2142279709</v>
      </c>
      <c r="AD60">
        <v>982</v>
      </c>
      <c r="AE60">
        <v>358.42668024440002</v>
      </c>
      <c r="AF60">
        <v>574</v>
      </c>
      <c r="AG60">
        <v>163.53310104529999</v>
      </c>
      <c r="AH60">
        <v>15</v>
      </c>
      <c r="AI60">
        <v>278.3333333333</v>
      </c>
      <c r="AL60" t="s">
        <v>389</v>
      </c>
      <c r="AM60">
        <v>213</v>
      </c>
      <c r="AN60">
        <v>179</v>
      </c>
      <c r="AO60">
        <v>254.35754189939999</v>
      </c>
      <c r="AP60">
        <v>42</v>
      </c>
      <c r="AQ60">
        <v>289.3333333333</v>
      </c>
      <c r="AR60">
        <v>19</v>
      </c>
      <c r="AS60">
        <v>297.68421052629998</v>
      </c>
      <c r="AT60">
        <v>13</v>
      </c>
      <c r="AU60">
        <v>191.61538461539999</v>
      </c>
      <c r="AV60">
        <v>2</v>
      </c>
      <c r="AW60">
        <v>286</v>
      </c>
    </row>
    <row r="61" spans="6:51" x14ac:dyDescent="0.2">
      <c r="F61" t="s">
        <v>36</v>
      </c>
      <c r="G61">
        <v>5535</v>
      </c>
      <c r="H61">
        <v>4231</v>
      </c>
      <c r="I61">
        <v>582.97400141809999</v>
      </c>
      <c r="J61">
        <v>231</v>
      </c>
      <c r="K61">
        <v>1135.9783549783999</v>
      </c>
      <c r="L61">
        <v>1037</v>
      </c>
      <c r="M61">
        <v>831.00385728059996</v>
      </c>
      <c r="N61">
        <v>263</v>
      </c>
      <c r="O61">
        <v>666.89733840300005</v>
      </c>
      <c r="R61">
        <v>4</v>
      </c>
      <c r="S61">
        <v>672.75</v>
      </c>
      <c r="V61" t="s">
        <v>421</v>
      </c>
      <c r="W61">
        <v>591</v>
      </c>
      <c r="X61">
        <v>369</v>
      </c>
      <c r="Y61">
        <v>358.58265582659999</v>
      </c>
      <c r="Z61">
        <v>24</v>
      </c>
      <c r="AA61">
        <v>843.5</v>
      </c>
      <c r="AB61">
        <v>171</v>
      </c>
      <c r="AC61">
        <v>893.05263157889999</v>
      </c>
      <c r="AD61">
        <v>37</v>
      </c>
      <c r="AE61">
        <v>560.27027027029999</v>
      </c>
      <c r="AF61">
        <v>14</v>
      </c>
      <c r="AG61">
        <v>222.57142857139999</v>
      </c>
      <c r="AL61" t="s">
        <v>421</v>
      </c>
      <c r="AM61">
        <v>14</v>
      </c>
      <c r="AN61">
        <v>13</v>
      </c>
      <c r="AO61">
        <v>289</v>
      </c>
      <c r="AR61">
        <v>1</v>
      </c>
      <c r="AS61">
        <v>73</v>
      </c>
    </row>
    <row r="62" spans="6:51" x14ac:dyDescent="0.2">
      <c r="F62" t="s">
        <v>50</v>
      </c>
      <c r="G62">
        <v>1888</v>
      </c>
      <c r="H62">
        <v>1294</v>
      </c>
      <c r="I62">
        <v>334.52859350850002</v>
      </c>
      <c r="J62">
        <v>335</v>
      </c>
      <c r="K62">
        <v>437.1611940299</v>
      </c>
      <c r="L62">
        <v>110</v>
      </c>
      <c r="M62">
        <v>189.02727272729999</v>
      </c>
      <c r="N62">
        <v>480</v>
      </c>
      <c r="O62">
        <v>426.69583333330002</v>
      </c>
      <c r="R62">
        <v>4</v>
      </c>
      <c r="S62">
        <v>516.25</v>
      </c>
      <c r="V62" t="s">
        <v>376</v>
      </c>
      <c r="W62">
        <v>56102</v>
      </c>
      <c r="X62">
        <v>38422</v>
      </c>
      <c r="Y62">
        <v>354.09515381810002</v>
      </c>
      <c r="Z62">
        <v>4602</v>
      </c>
      <c r="AA62">
        <v>547.49478487609997</v>
      </c>
      <c r="AB62">
        <v>9934</v>
      </c>
      <c r="AC62">
        <v>580.07831689149998</v>
      </c>
      <c r="AD62">
        <v>5399</v>
      </c>
      <c r="AE62">
        <v>513.48064456379996</v>
      </c>
      <c r="AF62">
        <v>2253</v>
      </c>
      <c r="AG62">
        <v>167.4323124723</v>
      </c>
      <c r="AH62">
        <v>94</v>
      </c>
      <c r="AI62">
        <v>431.77659574469999</v>
      </c>
      <c r="AL62" t="s">
        <v>376</v>
      </c>
      <c r="AM62">
        <v>1388</v>
      </c>
      <c r="AN62">
        <v>1169</v>
      </c>
      <c r="AO62">
        <v>258.5722840034</v>
      </c>
      <c r="AP62">
        <v>335</v>
      </c>
      <c r="AQ62">
        <v>348.01194029850001</v>
      </c>
      <c r="AR62">
        <v>155</v>
      </c>
      <c r="AS62">
        <v>265.58709677420001</v>
      </c>
      <c r="AT62">
        <v>59</v>
      </c>
      <c r="AU62">
        <v>233.61016949149999</v>
      </c>
      <c r="AV62">
        <v>4</v>
      </c>
      <c r="AW62">
        <v>296.25</v>
      </c>
      <c r="AX62">
        <v>1</v>
      </c>
      <c r="AY62">
        <v>327</v>
      </c>
    </row>
    <row r="63" spans="6:51" x14ac:dyDescent="0.2">
      <c r="F63" t="s">
        <v>57</v>
      </c>
      <c r="G63">
        <v>641</v>
      </c>
      <c r="H63">
        <v>510</v>
      </c>
      <c r="I63">
        <v>272.35882352940001</v>
      </c>
      <c r="J63">
        <v>81</v>
      </c>
      <c r="K63">
        <v>629.16049382719996</v>
      </c>
      <c r="L63">
        <v>77</v>
      </c>
      <c r="M63">
        <v>78.376623376599994</v>
      </c>
      <c r="N63">
        <v>54</v>
      </c>
      <c r="O63">
        <v>271.75925925929999</v>
      </c>
      <c r="V63" t="s">
        <v>705</v>
      </c>
      <c r="W63">
        <v>315103</v>
      </c>
      <c r="X63">
        <v>224988</v>
      </c>
      <c r="Y63">
        <v>397.47396305580003</v>
      </c>
      <c r="Z63">
        <v>21499</v>
      </c>
      <c r="AA63">
        <v>581.24722080100003</v>
      </c>
      <c r="AB63">
        <v>54001</v>
      </c>
      <c r="AC63">
        <v>625.08170219069996</v>
      </c>
      <c r="AD63">
        <v>24416</v>
      </c>
      <c r="AE63">
        <v>519.82110091740003</v>
      </c>
      <c r="AF63">
        <v>11271</v>
      </c>
      <c r="AG63">
        <v>172.19474758230001</v>
      </c>
      <c r="AH63">
        <v>427</v>
      </c>
      <c r="AI63">
        <v>436.78454332550001</v>
      </c>
      <c r="AL63" t="s">
        <v>705</v>
      </c>
      <c r="AM63">
        <v>6395</v>
      </c>
      <c r="AN63">
        <v>5081</v>
      </c>
      <c r="AO63">
        <v>309.84569966539999</v>
      </c>
      <c r="AP63">
        <v>1546</v>
      </c>
      <c r="AQ63">
        <v>337.63777490299998</v>
      </c>
      <c r="AR63">
        <v>1086</v>
      </c>
      <c r="AS63">
        <v>325.00828729279999</v>
      </c>
      <c r="AT63">
        <v>211</v>
      </c>
      <c r="AU63">
        <v>220.47867298579999</v>
      </c>
      <c r="AV63">
        <v>15</v>
      </c>
      <c r="AW63">
        <v>199.6</v>
      </c>
      <c r="AX63">
        <v>2</v>
      </c>
      <c r="AY63">
        <v>182</v>
      </c>
    </row>
    <row r="64" spans="6:51" x14ac:dyDescent="0.2">
      <c r="F64" t="s">
        <v>68</v>
      </c>
      <c r="G64">
        <v>4964</v>
      </c>
      <c r="H64">
        <v>3820</v>
      </c>
      <c r="I64">
        <v>562.65732984290003</v>
      </c>
      <c r="J64">
        <v>136</v>
      </c>
      <c r="K64">
        <v>947.73529411760001</v>
      </c>
      <c r="L64">
        <v>252</v>
      </c>
      <c r="M64">
        <v>624.76190476190004</v>
      </c>
      <c r="N64">
        <v>891</v>
      </c>
      <c r="O64">
        <v>861.78451178449995</v>
      </c>
      <c r="R64">
        <v>1</v>
      </c>
      <c r="S64">
        <v>1303</v>
      </c>
    </row>
    <row r="65" spans="6:19" x14ac:dyDescent="0.2">
      <c r="F65" t="s">
        <v>70</v>
      </c>
      <c r="G65">
        <v>468</v>
      </c>
      <c r="H65">
        <v>247</v>
      </c>
      <c r="I65">
        <v>92.595141700400006</v>
      </c>
      <c r="J65">
        <v>155</v>
      </c>
      <c r="K65">
        <v>204.87096774189999</v>
      </c>
      <c r="L65">
        <v>135</v>
      </c>
      <c r="M65">
        <v>121.9481481481</v>
      </c>
      <c r="N65">
        <v>83</v>
      </c>
      <c r="O65">
        <v>186.8554216867</v>
      </c>
      <c r="R65">
        <v>3</v>
      </c>
      <c r="S65">
        <v>155.3333333333</v>
      </c>
    </row>
    <row r="66" spans="6:19" x14ac:dyDescent="0.2">
      <c r="F66" t="s">
        <v>85</v>
      </c>
      <c r="G66">
        <v>175</v>
      </c>
      <c r="H66">
        <v>47</v>
      </c>
      <c r="I66">
        <v>1053.0212765957001</v>
      </c>
      <c r="J66">
        <v>21</v>
      </c>
      <c r="K66">
        <v>1121.8095238095</v>
      </c>
      <c r="L66">
        <v>68</v>
      </c>
      <c r="M66">
        <v>609.95588235289995</v>
      </c>
      <c r="N66">
        <v>60</v>
      </c>
      <c r="O66">
        <v>604.93333333329997</v>
      </c>
    </row>
    <row r="67" spans="6:19" x14ac:dyDescent="0.2">
      <c r="F67" t="s">
        <v>66</v>
      </c>
      <c r="G67">
        <v>4941</v>
      </c>
      <c r="H67">
        <v>3294</v>
      </c>
      <c r="I67">
        <v>252.49969641769999</v>
      </c>
      <c r="J67">
        <v>630</v>
      </c>
      <c r="K67">
        <v>419.86507936509997</v>
      </c>
      <c r="L67">
        <v>999</v>
      </c>
      <c r="M67">
        <v>477.50250250250002</v>
      </c>
      <c r="N67">
        <v>639</v>
      </c>
      <c r="O67">
        <v>581.54616588420004</v>
      </c>
      <c r="R67">
        <v>9</v>
      </c>
      <c r="S67">
        <v>332.55555555559999</v>
      </c>
    </row>
    <row r="68" spans="6:19" x14ac:dyDescent="0.2">
      <c r="F68" t="s">
        <v>437</v>
      </c>
      <c r="G68">
        <v>15</v>
      </c>
      <c r="H68">
        <v>6</v>
      </c>
      <c r="I68">
        <v>311.8333333333</v>
      </c>
      <c r="L68">
        <v>2</v>
      </c>
      <c r="M68">
        <v>360</v>
      </c>
      <c r="N68">
        <v>6</v>
      </c>
      <c r="O68">
        <v>124.5</v>
      </c>
      <c r="R68">
        <v>1</v>
      </c>
      <c r="S68">
        <v>283</v>
      </c>
    </row>
    <row r="69" spans="6:19" x14ac:dyDescent="0.2">
      <c r="F69" t="s">
        <v>86</v>
      </c>
      <c r="G69">
        <v>9315</v>
      </c>
      <c r="H69">
        <v>7188</v>
      </c>
      <c r="I69">
        <v>249.9663327769</v>
      </c>
      <c r="J69">
        <v>1032</v>
      </c>
      <c r="K69">
        <v>482.37112403100002</v>
      </c>
      <c r="L69">
        <v>1145</v>
      </c>
      <c r="M69">
        <v>180.88820960699999</v>
      </c>
      <c r="N69">
        <v>967</v>
      </c>
      <c r="O69">
        <v>347.36297828340003</v>
      </c>
      <c r="R69">
        <v>15</v>
      </c>
      <c r="S69">
        <v>278.3333333333</v>
      </c>
    </row>
    <row r="70" spans="6:19" x14ac:dyDescent="0.2">
      <c r="F70" t="s">
        <v>141</v>
      </c>
      <c r="G70">
        <v>165</v>
      </c>
      <c r="H70">
        <v>108</v>
      </c>
      <c r="I70">
        <v>179.0462962963</v>
      </c>
      <c r="J70">
        <v>29</v>
      </c>
      <c r="K70">
        <v>324</v>
      </c>
      <c r="L70">
        <v>21</v>
      </c>
      <c r="M70">
        <v>578.19047619050002</v>
      </c>
      <c r="N70">
        <v>35</v>
      </c>
      <c r="O70">
        <v>440.85714285709997</v>
      </c>
      <c r="R70">
        <v>1</v>
      </c>
      <c r="S70">
        <v>163</v>
      </c>
    </row>
    <row r="71" spans="6:19" x14ac:dyDescent="0.2">
      <c r="F71" t="s">
        <v>376</v>
      </c>
      <c r="G71">
        <v>55436</v>
      </c>
      <c r="H71">
        <v>39628</v>
      </c>
      <c r="I71">
        <v>359.60772685979998</v>
      </c>
      <c r="J71">
        <v>4653</v>
      </c>
      <c r="K71">
        <v>555.05200945629997</v>
      </c>
      <c r="L71">
        <v>9956</v>
      </c>
      <c r="M71">
        <v>583.3109682603</v>
      </c>
      <c r="N71">
        <v>5755</v>
      </c>
      <c r="O71">
        <v>547.10755864470002</v>
      </c>
      <c r="R71">
        <v>97</v>
      </c>
      <c r="S71">
        <v>434.18556701030002</v>
      </c>
    </row>
    <row r="72" spans="6:19" x14ac:dyDescent="0.2">
      <c r="F72" t="s">
        <v>705</v>
      </c>
      <c r="G72">
        <v>321498</v>
      </c>
      <c r="H72">
        <v>230069</v>
      </c>
      <c r="I72">
        <v>395.53872099239999</v>
      </c>
      <c r="J72">
        <v>23045</v>
      </c>
      <c r="K72">
        <v>564.90440442609997</v>
      </c>
      <c r="L72">
        <v>55087</v>
      </c>
      <c r="M72">
        <v>619.16597382320003</v>
      </c>
      <c r="N72">
        <v>24627</v>
      </c>
      <c r="O72">
        <v>517.25638526820001</v>
      </c>
      <c r="P72">
        <v>11286</v>
      </c>
      <c r="Q72">
        <v>172.23117136280001</v>
      </c>
      <c r="R72">
        <v>429</v>
      </c>
      <c r="S72">
        <v>435.5967365967</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501</v>
      </c>
      <c r="B1" t="s">
        <v>373</v>
      </c>
      <c r="C1" t="s">
        <v>500</v>
      </c>
      <c r="D1" t="s">
        <v>502</v>
      </c>
      <c r="E1" t="s">
        <v>503</v>
      </c>
      <c r="F1" t="s">
        <v>504</v>
      </c>
      <c r="G1" t="s">
        <v>505</v>
      </c>
      <c r="H1" t="s">
        <v>506</v>
      </c>
      <c r="I1" t="s">
        <v>507</v>
      </c>
      <c r="J1" t="s">
        <v>508</v>
      </c>
      <c r="K1" t="s">
        <v>509</v>
      </c>
      <c r="L1" t="s">
        <v>374</v>
      </c>
      <c r="M1" t="s">
        <v>510</v>
      </c>
      <c r="N1" t="s">
        <v>511</v>
      </c>
      <c r="O1" t="s">
        <v>512</v>
      </c>
      <c r="P1" t="s">
        <v>513</v>
      </c>
      <c r="Q1" t="s">
        <v>514</v>
      </c>
      <c r="R1" t="s">
        <v>685</v>
      </c>
    </row>
    <row r="2" spans="1:18" x14ac:dyDescent="0.2">
      <c r="A2">
        <v>1</v>
      </c>
      <c r="B2">
        <v>-99</v>
      </c>
      <c r="C2" t="s">
        <v>444</v>
      </c>
      <c r="D2" t="s">
        <v>705</v>
      </c>
      <c r="E2" t="s">
        <v>444</v>
      </c>
      <c r="F2" t="s">
        <v>705</v>
      </c>
      <c r="G2" t="s">
        <v>444</v>
      </c>
      <c r="H2" t="s">
        <v>6</v>
      </c>
      <c r="I2">
        <v>-99</v>
      </c>
      <c r="J2">
        <v>1</v>
      </c>
      <c r="K2" t="s">
        <v>6</v>
      </c>
      <c r="L2">
        <v>-99</v>
      </c>
      <c r="M2" t="s">
        <v>661</v>
      </c>
      <c r="N2" t="s">
        <v>661</v>
      </c>
      <c r="O2">
        <v>-99</v>
      </c>
      <c r="P2">
        <v>-99</v>
      </c>
      <c r="Q2">
        <v>1</v>
      </c>
      <c r="R2" t="s">
        <v>661</v>
      </c>
    </row>
    <row r="3" spans="1:18" x14ac:dyDescent="0.2">
      <c r="A3">
        <v>2</v>
      </c>
      <c r="B3">
        <v>-99</v>
      </c>
      <c r="C3" t="s">
        <v>445</v>
      </c>
      <c r="D3" t="s">
        <v>6</v>
      </c>
      <c r="E3" t="s">
        <v>445</v>
      </c>
      <c r="F3" t="s">
        <v>1043</v>
      </c>
      <c r="G3" t="s">
        <v>444</v>
      </c>
      <c r="H3" t="s">
        <v>6</v>
      </c>
      <c r="I3">
        <v>-99</v>
      </c>
      <c r="J3">
        <v>1</v>
      </c>
      <c r="K3" t="s">
        <v>6</v>
      </c>
      <c r="L3">
        <v>-99</v>
      </c>
      <c r="M3" t="s">
        <v>661</v>
      </c>
      <c r="N3" t="s">
        <v>661</v>
      </c>
      <c r="O3">
        <v>-99</v>
      </c>
      <c r="P3">
        <v>-99</v>
      </c>
      <c r="Q3">
        <v>1</v>
      </c>
      <c r="R3" t="s">
        <v>661</v>
      </c>
    </row>
    <row r="4" spans="1:18" x14ac:dyDescent="0.2">
      <c r="A4">
        <v>3</v>
      </c>
      <c r="B4">
        <v>-99</v>
      </c>
      <c r="C4" t="s">
        <v>662</v>
      </c>
      <c r="D4" t="s">
        <v>6</v>
      </c>
      <c r="E4" t="s">
        <v>662</v>
      </c>
      <c r="F4" t="s">
        <v>1045</v>
      </c>
      <c r="G4" t="s">
        <v>444</v>
      </c>
      <c r="H4" t="s">
        <v>6</v>
      </c>
      <c r="I4">
        <v>-99</v>
      </c>
      <c r="J4">
        <v>1</v>
      </c>
      <c r="K4" t="s">
        <v>6</v>
      </c>
      <c r="L4">
        <v>-99</v>
      </c>
      <c r="M4" t="s">
        <v>661</v>
      </c>
      <c r="N4" t="s">
        <v>661</v>
      </c>
      <c r="O4">
        <v>-99</v>
      </c>
      <c r="P4">
        <v>-99</v>
      </c>
      <c r="Q4">
        <v>1</v>
      </c>
      <c r="R4" t="s">
        <v>214</v>
      </c>
    </row>
    <row r="5" spans="1:18" x14ac:dyDescent="0.2">
      <c r="A5">
        <v>4</v>
      </c>
      <c r="B5">
        <v>-99</v>
      </c>
      <c r="C5" t="s">
        <v>446</v>
      </c>
      <c r="D5" t="s">
        <v>6</v>
      </c>
      <c r="E5" t="s">
        <v>446</v>
      </c>
      <c r="F5" t="s">
        <v>1051</v>
      </c>
      <c r="G5" t="s">
        <v>444</v>
      </c>
      <c r="H5" t="s">
        <v>6</v>
      </c>
      <c r="I5">
        <v>-99</v>
      </c>
      <c r="J5">
        <v>1</v>
      </c>
      <c r="K5" t="s">
        <v>6</v>
      </c>
      <c r="L5">
        <v>-99</v>
      </c>
      <c r="M5" t="s">
        <v>661</v>
      </c>
      <c r="N5" t="s">
        <v>661</v>
      </c>
      <c r="O5">
        <v>-99</v>
      </c>
      <c r="P5">
        <v>-99</v>
      </c>
      <c r="Q5">
        <v>1</v>
      </c>
      <c r="R5" t="s">
        <v>690</v>
      </c>
    </row>
    <row r="6" spans="1:18" x14ac:dyDescent="0.2">
      <c r="A6">
        <v>5</v>
      </c>
      <c r="B6">
        <v>-99</v>
      </c>
      <c r="C6" t="s">
        <v>447</v>
      </c>
      <c r="D6" t="s">
        <v>6</v>
      </c>
      <c r="E6" t="s">
        <v>447</v>
      </c>
      <c r="F6" t="s">
        <v>702</v>
      </c>
      <c r="G6" t="s">
        <v>444</v>
      </c>
      <c r="H6" t="s">
        <v>6</v>
      </c>
      <c r="I6">
        <v>-99</v>
      </c>
      <c r="J6">
        <v>1</v>
      </c>
      <c r="K6" t="s">
        <v>6</v>
      </c>
      <c r="L6">
        <v>-99</v>
      </c>
      <c r="M6" t="s">
        <v>661</v>
      </c>
      <c r="N6" t="s">
        <v>661</v>
      </c>
      <c r="O6">
        <v>-99</v>
      </c>
      <c r="P6">
        <v>-99</v>
      </c>
      <c r="Q6">
        <v>1</v>
      </c>
      <c r="R6" t="s">
        <v>686</v>
      </c>
    </row>
    <row r="7" spans="1:18" x14ac:dyDescent="0.2">
      <c r="A7">
        <v>6</v>
      </c>
      <c r="B7">
        <v>-99</v>
      </c>
      <c r="C7" t="s">
        <v>448</v>
      </c>
      <c r="D7" t="s">
        <v>6</v>
      </c>
      <c r="E7" t="s">
        <v>448</v>
      </c>
      <c r="F7" t="s">
        <v>1046</v>
      </c>
      <c r="G7" t="s">
        <v>444</v>
      </c>
      <c r="H7" t="s">
        <v>6</v>
      </c>
      <c r="I7">
        <v>-99</v>
      </c>
      <c r="J7">
        <v>1</v>
      </c>
      <c r="K7" t="s">
        <v>6</v>
      </c>
      <c r="L7">
        <v>-99</v>
      </c>
      <c r="M7" t="s">
        <v>661</v>
      </c>
      <c r="N7" t="s">
        <v>661</v>
      </c>
      <c r="O7">
        <v>-99</v>
      </c>
      <c r="P7">
        <v>-99</v>
      </c>
      <c r="Q7">
        <v>1</v>
      </c>
      <c r="R7" t="s">
        <v>687</v>
      </c>
    </row>
    <row r="8" spans="1:18" x14ac:dyDescent="0.2">
      <c r="A8">
        <v>7</v>
      </c>
      <c r="B8">
        <v>-99</v>
      </c>
      <c r="C8" t="s">
        <v>449</v>
      </c>
      <c r="D8" t="s">
        <v>6</v>
      </c>
      <c r="E8" t="s">
        <v>449</v>
      </c>
      <c r="F8" t="s">
        <v>1052</v>
      </c>
      <c r="G8" t="s">
        <v>444</v>
      </c>
      <c r="H8" t="s">
        <v>6</v>
      </c>
      <c r="I8">
        <v>-99</v>
      </c>
      <c r="J8">
        <v>1</v>
      </c>
      <c r="K8" t="s">
        <v>6</v>
      </c>
      <c r="L8">
        <v>-99</v>
      </c>
      <c r="M8" t="s">
        <v>661</v>
      </c>
      <c r="N8" t="s">
        <v>661</v>
      </c>
      <c r="O8">
        <v>-99</v>
      </c>
      <c r="P8">
        <v>-99</v>
      </c>
      <c r="Q8">
        <v>1</v>
      </c>
      <c r="R8" t="s">
        <v>688</v>
      </c>
    </row>
    <row r="9" spans="1:18" x14ac:dyDescent="0.2">
      <c r="A9">
        <v>8</v>
      </c>
      <c r="B9">
        <v>-99</v>
      </c>
      <c r="C9" t="s">
        <v>450</v>
      </c>
      <c r="D9" t="s">
        <v>6</v>
      </c>
      <c r="E9" t="s">
        <v>450</v>
      </c>
      <c r="F9" t="s">
        <v>1053</v>
      </c>
      <c r="G9" t="s">
        <v>444</v>
      </c>
      <c r="H9" t="s">
        <v>6</v>
      </c>
      <c r="I9">
        <v>-99</v>
      </c>
      <c r="J9">
        <v>1</v>
      </c>
      <c r="K9" t="s">
        <v>6</v>
      </c>
      <c r="L9">
        <v>-99</v>
      </c>
      <c r="M9" t="s">
        <v>661</v>
      </c>
      <c r="N9" t="s">
        <v>661</v>
      </c>
      <c r="O9">
        <v>-99</v>
      </c>
      <c r="P9">
        <v>-99</v>
      </c>
      <c r="Q9">
        <v>1</v>
      </c>
      <c r="R9" t="s">
        <v>405</v>
      </c>
    </row>
    <row r="10" spans="1:18" x14ac:dyDescent="0.2">
      <c r="A10">
        <v>9</v>
      </c>
      <c r="B10">
        <v>-99</v>
      </c>
      <c r="C10" t="s">
        <v>451</v>
      </c>
      <c r="D10" t="s">
        <v>6</v>
      </c>
      <c r="E10" t="s">
        <v>451</v>
      </c>
      <c r="F10" t="s">
        <v>1054</v>
      </c>
      <c r="G10" t="s">
        <v>444</v>
      </c>
      <c r="H10" t="s">
        <v>6</v>
      </c>
      <c r="I10">
        <v>-99</v>
      </c>
      <c r="J10">
        <v>1</v>
      </c>
      <c r="K10" t="s">
        <v>6</v>
      </c>
      <c r="L10">
        <v>-99</v>
      </c>
      <c r="M10" t="s">
        <v>661</v>
      </c>
      <c r="N10" t="s">
        <v>661</v>
      </c>
      <c r="O10">
        <v>-99</v>
      </c>
      <c r="P10">
        <v>-99</v>
      </c>
      <c r="Q10">
        <v>1</v>
      </c>
      <c r="R10" t="s">
        <v>691</v>
      </c>
    </row>
    <row r="11" spans="1:18" x14ac:dyDescent="0.2">
      <c r="A11">
        <v>10</v>
      </c>
      <c r="B11">
        <v>-99</v>
      </c>
      <c r="C11" t="s">
        <v>452</v>
      </c>
      <c r="D11" t="s">
        <v>6</v>
      </c>
      <c r="E11" t="s">
        <v>452</v>
      </c>
      <c r="F11" t="s">
        <v>1055</v>
      </c>
      <c r="G11" t="s">
        <v>444</v>
      </c>
      <c r="H11" t="s">
        <v>6</v>
      </c>
      <c r="I11">
        <v>-99</v>
      </c>
      <c r="J11">
        <v>1</v>
      </c>
      <c r="K11" t="s">
        <v>6</v>
      </c>
      <c r="L11">
        <v>-99</v>
      </c>
      <c r="M11" t="s">
        <v>661</v>
      </c>
      <c r="N11" t="s">
        <v>661</v>
      </c>
      <c r="O11">
        <v>-99</v>
      </c>
      <c r="P11">
        <v>-99</v>
      </c>
      <c r="Q11">
        <v>1</v>
      </c>
      <c r="R11" t="s">
        <v>661</v>
      </c>
    </row>
    <row r="12" spans="1:18" x14ac:dyDescent="0.2">
      <c r="A12">
        <v>11</v>
      </c>
      <c r="B12">
        <v>-99</v>
      </c>
      <c r="C12" t="s">
        <v>454</v>
      </c>
      <c r="D12" t="s">
        <v>515</v>
      </c>
      <c r="E12" t="s">
        <v>663</v>
      </c>
      <c r="F12" t="s">
        <v>135</v>
      </c>
      <c r="G12" t="s">
        <v>663</v>
      </c>
      <c r="H12" t="s">
        <v>377</v>
      </c>
      <c r="I12">
        <v>-99</v>
      </c>
      <c r="J12">
        <v>-99</v>
      </c>
      <c r="K12" t="s">
        <v>661</v>
      </c>
      <c r="L12">
        <v>-99</v>
      </c>
      <c r="M12" t="s">
        <v>661</v>
      </c>
      <c r="N12" t="s">
        <v>661</v>
      </c>
      <c r="O12">
        <v>-99</v>
      </c>
      <c r="P12">
        <v>-99</v>
      </c>
      <c r="Q12">
        <v>2</v>
      </c>
      <c r="R12" t="s">
        <v>661</v>
      </c>
    </row>
    <row r="13" spans="1:18" x14ac:dyDescent="0.2">
      <c r="A13">
        <v>12</v>
      </c>
      <c r="B13">
        <v>-99</v>
      </c>
      <c r="C13" t="s">
        <v>456</v>
      </c>
      <c r="D13" t="s">
        <v>515</v>
      </c>
      <c r="E13" t="s">
        <v>664</v>
      </c>
      <c r="F13" t="s">
        <v>136</v>
      </c>
      <c r="G13" t="s">
        <v>664</v>
      </c>
      <c r="H13" t="s">
        <v>384</v>
      </c>
      <c r="I13">
        <v>-99</v>
      </c>
      <c r="J13">
        <v>-99</v>
      </c>
      <c r="K13" t="s">
        <v>661</v>
      </c>
      <c r="L13">
        <v>-99</v>
      </c>
      <c r="M13" t="s">
        <v>661</v>
      </c>
      <c r="N13" t="s">
        <v>661</v>
      </c>
      <c r="O13">
        <v>-99</v>
      </c>
      <c r="P13">
        <v>-99</v>
      </c>
      <c r="Q13">
        <v>2</v>
      </c>
      <c r="R13" t="s">
        <v>661</v>
      </c>
    </row>
    <row r="14" spans="1:18" x14ac:dyDescent="0.2">
      <c r="A14">
        <v>13</v>
      </c>
      <c r="B14">
        <v>-99</v>
      </c>
      <c r="C14" t="s">
        <v>459</v>
      </c>
      <c r="D14" t="s">
        <v>515</v>
      </c>
      <c r="E14" t="s">
        <v>665</v>
      </c>
      <c r="F14" t="s">
        <v>137</v>
      </c>
      <c r="G14" t="s">
        <v>665</v>
      </c>
      <c r="H14" t="s">
        <v>393</v>
      </c>
      <c r="I14">
        <v>-99</v>
      </c>
      <c r="J14">
        <v>-99</v>
      </c>
      <c r="K14" t="s">
        <v>661</v>
      </c>
      <c r="L14">
        <v>-99</v>
      </c>
      <c r="M14" t="s">
        <v>661</v>
      </c>
      <c r="N14" t="s">
        <v>661</v>
      </c>
      <c r="O14">
        <v>-99</v>
      </c>
      <c r="P14">
        <v>-99</v>
      </c>
      <c r="Q14">
        <v>2</v>
      </c>
      <c r="R14" t="s">
        <v>661</v>
      </c>
    </row>
    <row r="15" spans="1:18" x14ac:dyDescent="0.2">
      <c r="A15">
        <v>14</v>
      </c>
      <c r="B15">
        <v>-99</v>
      </c>
      <c r="C15" t="s">
        <v>666</v>
      </c>
      <c r="D15" t="s">
        <v>515</v>
      </c>
      <c r="E15" t="s">
        <v>667</v>
      </c>
      <c r="F15" t="s">
        <v>138</v>
      </c>
      <c r="G15" t="s">
        <v>667</v>
      </c>
      <c r="H15" t="s">
        <v>409</v>
      </c>
      <c r="I15">
        <v>-99</v>
      </c>
      <c r="J15">
        <v>-99</v>
      </c>
      <c r="K15" t="s">
        <v>661</v>
      </c>
      <c r="L15">
        <v>-99</v>
      </c>
      <c r="M15" t="s">
        <v>661</v>
      </c>
      <c r="N15" t="s">
        <v>661</v>
      </c>
      <c r="O15">
        <v>-99</v>
      </c>
      <c r="P15">
        <v>-99</v>
      </c>
      <c r="Q15">
        <v>2</v>
      </c>
      <c r="R15" t="s">
        <v>661</v>
      </c>
    </row>
    <row r="16" spans="1:18" x14ac:dyDescent="0.2">
      <c r="A16">
        <v>15</v>
      </c>
      <c r="B16">
        <v>-99</v>
      </c>
      <c r="C16" t="s">
        <v>669</v>
      </c>
      <c r="D16" t="s">
        <v>436</v>
      </c>
      <c r="E16" t="s">
        <v>669</v>
      </c>
      <c r="F16" t="s">
        <v>436</v>
      </c>
      <c r="G16" t="s">
        <v>661</v>
      </c>
      <c r="H16" t="s">
        <v>661</v>
      </c>
      <c r="I16">
        <v>-99</v>
      </c>
      <c r="J16">
        <v>30</v>
      </c>
      <c r="K16" t="s">
        <v>376</v>
      </c>
      <c r="L16">
        <v>-99</v>
      </c>
      <c r="M16" t="s">
        <v>661</v>
      </c>
      <c r="N16" t="s">
        <v>661</v>
      </c>
      <c r="O16">
        <v>-99</v>
      </c>
      <c r="P16">
        <v>-99</v>
      </c>
      <c r="Q16">
        <v>3</v>
      </c>
      <c r="R16" t="s">
        <v>661</v>
      </c>
    </row>
    <row r="17" spans="1:18" x14ac:dyDescent="0.2">
      <c r="A17">
        <v>16</v>
      </c>
      <c r="B17">
        <v>-99</v>
      </c>
      <c r="C17" t="s">
        <v>668</v>
      </c>
      <c r="D17" t="s">
        <v>442</v>
      </c>
      <c r="E17" t="s">
        <v>668</v>
      </c>
      <c r="F17" t="s">
        <v>442</v>
      </c>
      <c r="G17" t="s">
        <v>661</v>
      </c>
      <c r="H17" t="s">
        <v>661</v>
      </c>
      <c r="I17">
        <v>-99</v>
      </c>
      <c r="J17">
        <v>31</v>
      </c>
      <c r="K17" t="s">
        <v>387</v>
      </c>
      <c r="L17">
        <v>-99</v>
      </c>
      <c r="M17" t="s">
        <v>661</v>
      </c>
      <c r="N17" t="s">
        <v>661</v>
      </c>
      <c r="O17">
        <v>-99</v>
      </c>
      <c r="P17">
        <v>-99</v>
      </c>
      <c r="Q17">
        <v>3</v>
      </c>
      <c r="R17" t="s">
        <v>661</v>
      </c>
    </row>
    <row r="18" spans="1:18" x14ac:dyDescent="0.2">
      <c r="A18">
        <v>17</v>
      </c>
      <c r="B18">
        <v>-99</v>
      </c>
      <c r="C18" t="s">
        <v>670</v>
      </c>
      <c r="D18" t="s">
        <v>440</v>
      </c>
      <c r="E18" t="s">
        <v>670</v>
      </c>
      <c r="F18" t="s">
        <v>440</v>
      </c>
      <c r="G18" t="s">
        <v>661</v>
      </c>
      <c r="H18" t="s">
        <v>661</v>
      </c>
      <c r="I18">
        <v>-99</v>
      </c>
      <c r="J18">
        <v>32</v>
      </c>
      <c r="K18" t="s">
        <v>397</v>
      </c>
      <c r="L18">
        <v>-99</v>
      </c>
      <c r="M18" t="s">
        <v>661</v>
      </c>
      <c r="N18" t="s">
        <v>661</v>
      </c>
      <c r="O18">
        <v>-99</v>
      </c>
      <c r="P18">
        <v>-99</v>
      </c>
      <c r="Q18">
        <v>3</v>
      </c>
      <c r="R18" t="s">
        <v>661</v>
      </c>
    </row>
    <row r="19" spans="1:18" x14ac:dyDescent="0.2">
      <c r="A19">
        <v>18</v>
      </c>
      <c r="B19">
        <v>-99</v>
      </c>
      <c r="C19" t="s">
        <v>671</v>
      </c>
      <c r="D19" t="s">
        <v>439</v>
      </c>
      <c r="E19" t="s">
        <v>671</v>
      </c>
      <c r="F19" t="s">
        <v>439</v>
      </c>
      <c r="G19" t="s">
        <v>661</v>
      </c>
      <c r="H19" t="s">
        <v>661</v>
      </c>
      <c r="I19">
        <v>-99</v>
      </c>
      <c r="J19">
        <v>33</v>
      </c>
      <c r="K19" t="s">
        <v>392</v>
      </c>
      <c r="L19">
        <v>-99</v>
      </c>
      <c r="M19" t="s">
        <v>661</v>
      </c>
      <c r="N19" t="s">
        <v>661</v>
      </c>
      <c r="O19">
        <v>-99</v>
      </c>
      <c r="P19">
        <v>-99</v>
      </c>
      <c r="Q19">
        <v>3</v>
      </c>
      <c r="R19" t="s">
        <v>661</v>
      </c>
    </row>
    <row r="20" spans="1:18" x14ac:dyDescent="0.2">
      <c r="A20">
        <v>19</v>
      </c>
      <c r="B20">
        <v>-99</v>
      </c>
      <c r="C20" t="s">
        <v>672</v>
      </c>
      <c r="D20" t="s">
        <v>441</v>
      </c>
      <c r="E20" t="s">
        <v>672</v>
      </c>
      <c r="F20" t="s">
        <v>441</v>
      </c>
      <c r="G20" t="s">
        <v>661</v>
      </c>
      <c r="H20" t="s">
        <v>661</v>
      </c>
      <c r="I20">
        <v>-99</v>
      </c>
      <c r="J20">
        <v>34</v>
      </c>
      <c r="K20" t="s">
        <v>411</v>
      </c>
      <c r="L20">
        <v>-99</v>
      </c>
      <c r="M20" t="s">
        <v>661</v>
      </c>
      <c r="N20" t="s">
        <v>661</v>
      </c>
      <c r="O20">
        <v>-99</v>
      </c>
      <c r="P20">
        <v>-99</v>
      </c>
      <c r="Q20">
        <v>3</v>
      </c>
      <c r="R20" t="s">
        <v>661</v>
      </c>
    </row>
    <row r="21" spans="1:18" x14ac:dyDescent="0.2">
      <c r="A21">
        <v>20</v>
      </c>
      <c r="B21">
        <v>1</v>
      </c>
      <c r="C21" t="s">
        <v>674</v>
      </c>
      <c r="D21" t="s">
        <v>375</v>
      </c>
      <c r="E21" t="s">
        <v>674</v>
      </c>
      <c r="F21" t="s">
        <v>516</v>
      </c>
      <c r="G21" t="s">
        <v>675</v>
      </c>
      <c r="H21" t="s">
        <v>8</v>
      </c>
      <c r="I21">
        <v>-99</v>
      </c>
      <c r="J21">
        <v>35</v>
      </c>
      <c r="K21" t="s">
        <v>8</v>
      </c>
      <c r="L21">
        <v>8240</v>
      </c>
      <c r="M21" t="s">
        <v>517</v>
      </c>
      <c r="N21" t="s">
        <v>661</v>
      </c>
      <c r="O21">
        <v>1</v>
      </c>
      <c r="P21">
        <v>2</v>
      </c>
      <c r="Q21">
        <v>-99</v>
      </c>
      <c r="R21" t="s">
        <v>661</v>
      </c>
    </row>
    <row r="22" spans="1:18" x14ac:dyDescent="0.2">
      <c r="A22">
        <v>21</v>
      </c>
      <c r="B22">
        <v>8</v>
      </c>
      <c r="C22" t="s">
        <v>142</v>
      </c>
      <c r="D22" t="s">
        <v>38</v>
      </c>
      <c r="E22" t="s">
        <v>518</v>
      </c>
      <c r="F22" t="s">
        <v>519</v>
      </c>
      <c r="G22" t="s">
        <v>663</v>
      </c>
      <c r="H22" t="s">
        <v>377</v>
      </c>
      <c r="I22">
        <v>380</v>
      </c>
      <c r="J22">
        <v>30</v>
      </c>
      <c r="K22" t="s">
        <v>376</v>
      </c>
      <c r="L22">
        <v>8233</v>
      </c>
      <c r="M22" t="s">
        <v>332</v>
      </c>
      <c r="N22" t="s">
        <v>378</v>
      </c>
      <c r="O22">
        <v>1</v>
      </c>
      <c r="P22">
        <v>2</v>
      </c>
      <c r="Q22">
        <v>-99</v>
      </c>
      <c r="R22" t="s">
        <v>689</v>
      </c>
    </row>
    <row r="23" spans="1:18" x14ac:dyDescent="0.2">
      <c r="A23">
        <v>22</v>
      </c>
      <c r="B23">
        <v>9</v>
      </c>
      <c r="C23" t="s">
        <v>143</v>
      </c>
      <c r="D23" t="s">
        <v>70</v>
      </c>
      <c r="E23" t="s">
        <v>520</v>
      </c>
      <c r="F23" t="s">
        <v>521</v>
      </c>
      <c r="G23" t="s">
        <v>663</v>
      </c>
      <c r="H23" t="s">
        <v>377</v>
      </c>
      <c r="I23">
        <v>380</v>
      </c>
      <c r="J23">
        <v>30</v>
      </c>
      <c r="K23" t="s">
        <v>376</v>
      </c>
      <c r="L23">
        <v>8235</v>
      </c>
      <c r="M23" t="s">
        <v>367</v>
      </c>
      <c r="N23" t="s">
        <v>379</v>
      </c>
      <c r="O23">
        <v>1</v>
      </c>
      <c r="P23">
        <v>1</v>
      </c>
      <c r="Q23">
        <v>-99</v>
      </c>
      <c r="R23" t="s">
        <v>689</v>
      </c>
    </row>
    <row r="24" spans="1:18" x14ac:dyDescent="0.2">
      <c r="A24">
        <v>23</v>
      </c>
      <c r="B24">
        <v>-99</v>
      </c>
      <c r="C24" t="s">
        <v>143</v>
      </c>
      <c r="D24" t="s">
        <v>70</v>
      </c>
      <c r="E24" t="s">
        <v>522</v>
      </c>
      <c r="F24" t="s">
        <v>523</v>
      </c>
      <c r="G24" t="s">
        <v>663</v>
      </c>
      <c r="H24" t="s">
        <v>377</v>
      </c>
      <c r="I24">
        <v>380</v>
      </c>
      <c r="J24">
        <v>30</v>
      </c>
      <c r="K24" t="s">
        <v>376</v>
      </c>
      <c r="L24">
        <v>8235</v>
      </c>
      <c r="M24" t="s">
        <v>367</v>
      </c>
      <c r="N24" t="s">
        <v>379</v>
      </c>
      <c r="O24">
        <v>-99</v>
      </c>
      <c r="P24">
        <v>1</v>
      </c>
      <c r="Q24">
        <v>-99</v>
      </c>
      <c r="R24" t="s">
        <v>405</v>
      </c>
    </row>
    <row r="25" spans="1:18" x14ac:dyDescent="0.2">
      <c r="A25">
        <v>24</v>
      </c>
      <c r="B25">
        <v>10</v>
      </c>
      <c r="C25" t="s">
        <v>144</v>
      </c>
      <c r="D25" t="s">
        <v>63</v>
      </c>
      <c r="E25" t="s">
        <v>524</v>
      </c>
      <c r="F25" t="s">
        <v>525</v>
      </c>
      <c r="G25" t="s">
        <v>663</v>
      </c>
      <c r="H25" t="s">
        <v>377</v>
      </c>
      <c r="I25">
        <v>380</v>
      </c>
      <c r="J25">
        <v>30</v>
      </c>
      <c r="K25" t="s">
        <v>376</v>
      </c>
      <c r="L25">
        <v>8237</v>
      </c>
      <c r="M25" t="s">
        <v>342</v>
      </c>
      <c r="N25" t="s">
        <v>63</v>
      </c>
      <c r="O25">
        <v>1</v>
      </c>
      <c r="P25">
        <v>2</v>
      </c>
      <c r="Q25">
        <v>-99</v>
      </c>
      <c r="R25" t="s">
        <v>689</v>
      </c>
    </row>
    <row r="26" spans="1:18" x14ac:dyDescent="0.2">
      <c r="A26">
        <v>25</v>
      </c>
      <c r="B26">
        <v>11</v>
      </c>
      <c r="C26" t="s">
        <v>145</v>
      </c>
      <c r="D26" t="s">
        <v>24</v>
      </c>
      <c r="E26" t="s">
        <v>526</v>
      </c>
      <c r="F26" t="s">
        <v>527</v>
      </c>
      <c r="G26" t="s">
        <v>663</v>
      </c>
      <c r="H26" t="s">
        <v>377</v>
      </c>
      <c r="I26">
        <v>380</v>
      </c>
      <c r="J26">
        <v>30</v>
      </c>
      <c r="K26" t="s">
        <v>376</v>
      </c>
      <c r="L26">
        <v>8238</v>
      </c>
      <c r="M26" t="s">
        <v>342</v>
      </c>
      <c r="N26" t="s">
        <v>63</v>
      </c>
      <c r="O26">
        <v>1</v>
      </c>
      <c r="P26">
        <v>2</v>
      </c>
      <c r="Q26">
        <v>-99</v>
      </c>
      <c r="R26" t="s">
        <v>689</v>
      </c>
    </row>
    <row r="27" spans="1:18" x14ac:dyDescent="0.2">
      <c r="A27">
        <v>26</v>
      </c>
      <c r="B27">
        <v>12</v>
      </c>
      <c r="C27" t="s">
        <v>146</v>
      </c>
      <c r="D27" t="s">
        <v>47</v>
      </c>
      <c r="E27" t="s">
        <v>528</v>
      </c>
      <c r="F27" t="s">
        <v>529</v>
      </c>
      <c r="G27" t="s">
        <v>663</v>
      </c>
      <c r="H27" t="s">
        <v>377</v>
      </c>
      <c r="I27">
        <v>380</v>
      </c>
      <c r="J27">
        <v>30</v>
      </c>
      <c r="K27" t="s">
        <v>376</v>
      </c>
      <c r="L27">
        <v>8239</v>
      </c>
      <c r="M27" t="s">
        <v>360</v>
      </c>
      <c r="N27" t="s">
        <v>380</v>
      </c>
      <c r="O27">
        <v>1</v>
      </c>
      <c r="P27">
        <v>2</v>
      </c>
      <c r="Q27">
        <v>-99</v>
      </c>
      <c r="R27" t="s">
        <v>689</v>
      </c>
    </row>
    <row r="28" spans="1:18" x14ac:dyDescent="0.2">
      <c r="A28">
        <v>27</v>
      </c>
      <c r="B28">
        <v>13</v>
      </c>
      <c r="C28" t="s">
        <v>147</v>
      </c>
      <c r="D28" t="s">
        <v>64</v>
      </c>
      <c r="E28" t="s">
        <v>530</v>
      </c>
      <c r="F28" t="s">
        <v>531</v>
      </c>
      <c r="G28" t="s">
        <v>663</v>
      </c>
      <c r="H28" t="s">
        <v>377</v>
      </c>
      <c r="I28">
        <v>380</v>
      </c>
      <c r="J28">
        <v>30</v>
      </c>
      <c r="K28" t="s">
        <v>376</v>
      </c>
      <c r="L28">
        <v>8241</v>
      </c>
      <c r="M28" t="s">
        <v>364</v>
      </c>
      <c r="N28" t="s">
        <v>381</v>
      </c>
      <c r="O28">
        <v>1</v>
      </c>
      <c r="P28">
        <v>2</v>
      </c>
      <c r="Q28">
        <v>-99</v>
      </c>
      <c r="R28" t="s">
        <v>689</v>
      </c>
    </row>
    <row r="29" spans="1:18" x14ac:dyDescent="0.2">
      <c r="A29">
        <v>28</v>
      </c>
      <c r="B29">
        <v>14</v>
      </c>
      <c r="C29" t="s">
        <v>102</v>
      </c>
      <c r="D29" t="s">
        <v>66</v>
      </c>
      <c r="E29" t="s">
        <v>532</v>
      </c>
      <c r="F29" t="s">
        <v>533</v>
      </c>
      <c r="G29" t="s">
        <v>663</v>
      </c>
      <c r="H29" t="s">
        <v>377</v>
      </c>
      <c r="I29">
        <v>380</v>
      </c>
      <c r="J29">
        <v>30</v>
      </c>
      <c r="K29" t="s">
        <v>376</v>
      </c>
      <c r="L29">
        <v>8242</v>
      </c>
      <c r="M29" t="s">
        <v>354</v>
      </c>
      <c r="N29" t="s">
        <v>382</v>
      </c>
      <c r="O29">
        <v>1</v>
      </c>
      <c r="P29">
        <v>1</v>
      </c>
      <c r="Q29">
        <v>-99</v>
      </c>
      <c r="R29" t="s">
        <v>689</v>
      </c>
    </row>
    <row r="30" spans="1:18" x14ac:dyDescent="0.2">
      <c r="A30">
        <v>29</v>
      </c>
      <c r="B30">
        <v>-99</v>
      </c>
      <c r="C30" t="s">
        <v>102</v>
      </c>
      <c r="D30" t="s">
        <v>66</v>
      </c>
      <c r="E30" t="s">
        <v>534</v>
      </c>
      <c r="F30" t="s">
        <v>216</v>
      </c>
      <c r="G30" t="s">
        <v>663</v>
      </c>
      <c r="H30" t="s">
        <v>377</v>
      </c>
      <c r="I30">
        <v>380</v>
      </c>
      <c r="J30">
        <v>30</v>
      </c>
      <c r="K30" t="s">
        <v>376</v>
      </c>
      <c r="L30">
        <v>8242</v>
      </c>
      <c r="M30" t="s">
        <v>354</v>
      </c>
      <c r="N30" t="s">
        <v>382</v>
      </c>
      <c r="O30">
        <v>-99</v>
      </c>
      <c r="P30">
        <v>1</v>
      </c>
      <c r="Q30">
        <v>-99</v>
      </c>
      <c r="R30" t="s">
        <v>214</v>
      </c>
    </row>
    <row r="31" spans="1:18" x14ac:dyDescent="0.2">
      <c r="A31">
        <v>30</v>
      </c>
      <c r="B31">
        <v>15</v>
      </c>
      <c r="C31" t="s">
        <v>148</v>
      </c>
      <c r="D31" t="s">
        <v>68</v>
      </c>
      <c r="E31" t="s">
        <v>535</v>
      </c>
      <c r="F31" t="s">
        <v>536</v>
      </c>
      <c r="G31" t="s">
        <v>663</v>
      </c>
      <c r="H31" t="s">
        <v>377</v>
      </c>
      <c r="I31">
        <v>380</v>
      </c>
      <c r="J31">
        <v>30</v>
      </c>
      <c r="K31" t="s">
        <v>376</v>
      </c>
      <c r="L31">
        <v>8243</v>
      </c>
      <c r="M31" t="s">
        <v>354</v>
      </c>
      <c r="N31" t="s">
        <v>382</v>
      </c>
      <c r="O31">
        <v>1</v>
      </c>
      <c r="P31">
        <v>1</v>
      </c>
      <c r="Q31">
        <v>-99</v>
      </c>
      <c r="R31" t="s">
        <v>689</v>
      </c>
    </row>
    <row r="32" spans="1:18" x14ac:dyDescent="0.2">
      <c r="A32">
        <v>31</v>
      </c>
      <c r="B32">
        <v>-99</v>
      </c>
      <c r="C32" t="s">
        <v>148</v>
      </c>
      <c r="D32" t="s">
        <v>68</v>
      </c>
      <c r="E32" t="s">
        <v>537</v>
      </c>
      <c r="F32" t="s">
        <v>538</v>
      </c>
      <c r="G32" t="s">
        <v>663</v>
      </c>
      <c r="H32" t="s">
        <v>377</v>
      </c>
      <c r="I32">
        <v>380</v>
      </c>
      <c r="J32">
        <v>30</v>
      </c>
      <c r="K32" t="s">
        <v>376</v>
      </c>
      <c r="L32">
        <v>8243</v>
      </c>
      <c r="M32" t="s">
        <v>354</v>
      </c>
      <c r="N32" t="s">
        <v>382</v>
      </c>
      <c r="O32">
        <v>-99</v>
      </c>
      <c r="P32">
        <v>1</v>
      </c>
      <c r="Q32">
        <v>-99</v>
      </c>
      <c r="R32" t="s">
        <v>688</v>
      </c>
    </row>
    <row r="33" spans="1:18" x14ac:dyDescent="0.2">
      <c r="A33">
        <v>32</v>
      </c>
      <c r="B33">
        <v>16</v>
      </c>
      <c r="C33" t="s">
        <v>149</v>
      </c>
      <c r="D33" t="s">
        <v>36</v>
      </c>
      <c r="E33" t="s">
        <v>539</v>
      </c>
      <c r="F33" t="s">
        <v>540</v>
      </c>
      <c r="G33" t="s">
        <v>663</v>
      </c>
      <c r="H33" t="s">
        <v>377</v>
      </c>
      <c r="I33">
        <v>380</v>
      </c>
      <c r="J33">
        <v>30</v>
      </c>
      <c r="K33" t="s">
        <v>376</v>
      </c>
      <c r="L33">
        <v>8244</v>
      </c>
      <c r="M33" t="s">
        <v>349</v>
      </c>
      <c r="N33" t="s">
        <v>383</v>
      </c>
      <c r="O33">
        <v>1</v>
      </c>
      <c r="P33">
        <v>2</v>
      </c>
      <c r="Q33">
        <v>-99</v>
      </c>
      <c r="R33" t="s">
        <v>689</v>
      </c>
    </row>
    <row r="34" spans="1:18" x14ac:dyDescent="0.2">
      <c r="A34">
        <v>33</v>
      </c>
      <c r="B34">
        <v>23</v>
      </c>
      <c r="C34" t="s">
        <v>108</v>
      </c>
      <c r="D34" t="s">
        <v>72</v>
      </c>
      <c r="E34" t="s">
        <v>541</v>
      </c>
      <c r="F34" t="s">
        <v>542</v>
      </c>
      <c r="G34" t="s">
        <v>664</v>
      </c>
      <c r="H34" t="s">
        <v>384</v>
      </c>
      <c r="I34">
        <v>381</v>
      </c>
      <c r="J34">
        <v>30</v>
      </c>
      <c r="K34" t="s">
        <v>376</v>
      </c>
      <c r="L34">
        <v>8245</v>
      </c>
      <c r="M34" t="s">
        <v>328</v>
      </c>
      <c r="N34" t="s">
        <v>385</v>
      </c>
      <c r="O34">
        <v>1</v>
      </c>
      <c r="P34">
        <v>2</v>
      </c>
      <c r="Q34">
        <v>-99</v>
      </c>
      <c r="R34" t="s">
        <v>689</v>
      </c>
    </row>
    <row r="35" spans="1:18" x14ac:dyDescent="0.2">
      <c r="A35">
        <v>34</v>
      </c>
      <c r="B35">
        <v>24</v>
      </c>
      <c r="C35" t="s">
        <v>150</v>
      </c>
      <c r="D35" t="s">
        <v>50</v>
      </c>
      <c r="E35" t="s">
        <v>543</v>
      </c>
      <c r="F35" t="s">
        <v>544</v>
      </c>
      <c r="G35" t="s">
        <v>664</v>
      </c>
      <c r="H35" t="s">
        <v>384</v>
      </c>
      <c r="I35">
        <v>381</v>
      </c>
      <c r="J35">
        <v>30</v>
      </c>
      <c r="K35" t="s">
        <v>376</v>
      </c>
      <c r="L35">
        <v>8246</v>
      </c>
      <c r="M35" t="s">
        <v>344</v>
      </c>
      <c r="N35" t="s">
        <v>386</v>
      </c>
      <c r="O35">
        <v>1</v>
      </c>
      <c r="P35">
        <v>2</v>
      </c>
      <c r="Q35">
        <v>-99</v>
      </c>
      <c r="R35" t="s">
        <v>689</v>
      </c>
    </row>
    <row r="36" spans="1:18" x14ac:dyDescent="0.2">
      <c r="A36">
        <v>35</v>
      </c>
      <c r="B36">
        <v>30</v>
      </c>
      <c r="C36" t="s">
        <v>151</v>
      </c>
      <c r="D36" t="s">
        <v>25</v>
      </c>
      <c r="E36" t="s">
        <v>545</v>
      </c>
      <c r="F36" t="s">
        <v>546</v>
      </c>
      <c r="G36" t="s">
        <v>664</v>
      </c>
      <c r="H36" t="s">
        <v>384</v>
      </c>
      <c r="I36">
        <v>381</v>
      </c>
      <c r="J36">
        <v>31</v>
      </c>
      <c r="K36" t="s">
        <v>387</v>
      </c>
      <c r="L36">
        <v>8247</v>
      </c>
      <c r="M36" t="s">
        <v>369</v>
      </c>
      <c r="N36" t="s">
        <v>388</v>
      </c>
      <c r="O36">
        <v>1</v>
      </c>
      <c r="P36">
        <v>2</v>
      </c>
      <c r="Q36">
        <v>-99</v>
      </c>
      <c r="R36" t="s">
        <v>689</v>
      </c>
    </row>
    <row r="37" spans="1:18" x14ac:dyDescent="0.2">
      <c r="A37">
        <v>36</v>
      </c>
      <c r="B37">
        <v>194</v>
      </c>
      <c r="C37" t="s">
        <v>152</v>
      </c>
      <c r="D37" t="s">
        <v>80</v>
      </c>
      <c r="E37" t="s">
        <v>547</v>
      </c>
      <c r="F37" t="s">
        <v>548</v>
      </c>
      <c r="G37" t="s">
        <v>664</v>
      </c>
      <c r="H37" t="s">
        <v>384</v>
      </c>
      <c r="I37">
        <v>381</v>
      </c>
      <c r="J37">
        <v>31</v>
      </c>
      <c r="K37" t="s">
        <v>387</v>
      </c>
      <c r="L37">
        <v>8248</v>
      </c>
      <c r="M37" t="s">
        <v>324</v>
      </c>
      <c r="N37" t="s">
        <v>432</v>
      </c>
      <c r="O37">
        <v>1</v>
      </c>
      <c r="P37">
        <v>2</v>
      </c>
      <c r="Q37">
        <v>-99</v>
      </c>
      <c r="R37" t="s">
        <v>689</v>
      </c>
    </row>
    <row r="38" spans="1:18" x14ac:dyDescent="0.2">
      <c r="A38">
        <v>37</v>
      </c>
      <c r="B38">
        <v>34</v>
      </c>
      <c r="C38" t="s">
        <v>153</v>
      </c>
      <c r="D38" t="s">
        <v>86</v>
      </c>
      <c r="E38" t="s">
        <v>549</v>
      </c>
      <c r="F38" t="s">
        <v>550</v>
      </c>
      <c r="G38" t="s">
        <v>664</v>
      </c>
      <c r="H38" t="s">
        <v>384</v>
      </c>
      <c r="I38">
        <v>381</v>
      </c>
      <c r="J38">
        <v>30</v>
      </c>
      <c r="K38" t="s">
        <v>376</v>
      </c>
      <c r="L38">
        <v>8249</v>
      </c>
      <c r="M38" t="s">
        <v>355</v>
      </c>
      <c r="N38" t="s">
        <v>389</v>
      </c>
      <c r="O38">
        <v>1</v>
      </c>
      <c r="P38">
        <v>1</v>
      </c>
      <c r="Q38">
        <v>-99</v>
      </c>
      <c r="R38" t="s">
        <v>689</v>
      </c>
    </row>
    <row r="39" spans="1:18" x14ac:dyDescent="0.2">
      <c r="A39">
        <v>38</v>
      </c>
      <c r="B39">
        <v>-99</v>
      </c>
      <c r="C39" t="s">
        <v>153</v>
      </c>
      <c r="D39" t="s">
        <v>86</v>
      </c>
      <c r="E39" t="s">
        <v>551</v>
      </c>
      <c r="F39" t="s">
        <v>219</v>
      </c>
      <c r="G39" t="s">
        <v>664</v>
      </c>
      <c r="H39" t="s">
        <v>384</v>
      </c>
      <c r="I39">
        <v>381</v>
      </c>
      <c r="J39">
        <v>30</v>
      </c>
      <c r="K39" t="s">
        <v>376</v>
      </c>
      <c r="L39">
        <v>8249</v>
      </c>
      <c r="M39" t="s">
        <v>355</v>
      </c>
      <c r="N39" t="s">
        <v>389</v>
      </c>
      <c r="O39">
        <v>-99</v>
      </c>
      <c r="P39">
        <v>1</v>
      </c>
      <c r="Q39">
        <v>-99</v>
      </c>
      <c r="R39" t="s">
        <v>686</v>
      </c>
    </row>
    <row r="40" spans="1:18" x14ac:dyDescent="0.2">
      <c r="A40">
        <v>39</v>
      </c>
      <c r="B40">
        <v>-99</v>
      </c>
      <c r="C40" t="s">
        <v>153</v>
      </c>
      <c r="D40" t="s">
        <v>86</v>
      </c>
      <c r="E40" t="s">
        <v>552</v>
      </c>
      <c r="F40" t="s">
        <v>964</v>
      </c>
      <c r="G40" t="s">
        <v>664</v>
      </c>
      <c r="H40" t="s">
        <v>384</v>
      </c>
      <c r="I40">
        <v>381</v>
      </c>
      <c r="J40">
        <v>30</v>
      </c>
      <c r="K40" t="s">
        <v>376</v>
      </c>
      <c r="L40">
        <v>8249</v>
      </c>
      <c r="M40" t="s">
        <v>355</v>
      </c>
      <c r="N40" t="s">
        <v>389</v>
      </c>
      <c r="O40">
        <v>-99</v>
      </c>
      <c r="P40">
        <v>1</v>
      </c>
      <c r="Q40">
        <v>-99</v>
      </c>
      <c r="R40" t="s">
        <v>687</v>
      </c>
    </row>
    <row r="41" spans="1:18" x14ac:dyDescent="0.2">
      <c r="A41">
        <v>40</v>
      </c>
      <c r="B41">
        <v>35</v>
      </c>
      <c r="C41" t="s">
        <v>154</v>
      </c>
      <c r="D41" t="s">
        <v>42</v>
      </c>
      <c r="E41" t="s">
        <v>553</v>
      </c>
      <c r="F41" t="s">
        <v>554</v>
      </c>
      <c r="G41" t="s">
        <v>664</v>
      </c>
      <c r="H41" t="s">
        <v>384</v>
      </c>
      <c r="I41">
        <v>381</v>
      </c>
      <c r="J41">
        <v>31</v>
      </c>
      <c r="K41" t="s">
        <v>387</v>
      </c>
      <c r="L41">
        <v>8250</v>
      </c>
      <c r="M41" t="s">
        <v>347</v>
      </c>
      <c r="N41" t="s">
        <v>390</v>
      </c>
      <c r="O41">
        <v>1</v>
      </c>
      <c r="P41">
        <v>2</v>
      </c>
      <c r="Q41">
        <v>-99</v>
      </c>
      <c r="R41" t="s">
        <v>689</v>
      </c>
    </row>
    <row r="42" spans="1:18" x14ac:dyDescent="0.2">
      <c r="A42">
        <v>41</v>
      </c>
      <c r="B42">
        <v>36</v>
      </c>
      <c r="C42" t="s">
        <v>94</v>
      </c>
      <c r="D42" t="s">
        <v>61</v>
      </c>
      <c r="E42" t="s">
        <v>555</v>
      </c>
      <c r="F42" t="s">
        <v>556</v>
      </c>
      <c r="G42" t="s">
        <v>664</v>
      </c>
      <c r="H42" t="s">
        <v>384</v>
      </c>
      <c r="I42">
        <v>381</v>
      </c>
      <c r="J42">
        <v>31</v>
      </c>
      <c r="K42" t="s">
        <v>387</v>
      </c>
      <c r="L42">
        <v>8251</v>
      </c>
      <c r="M42" t="s">
        <v>350</v>
      </c>
      <c r="N42" t="s">
        <v>391</v>
      </c>
      <c r="O42">
        <v>1</v>
      </c>
      <c r="P42">
        <v>2</v>
      </c>
      <c r="Q42">
        <v>-99</v>
      </c>
      <c r="R42" t="s">
        <v>689</v>
      </c>
    </row>
    <row r="43" spans="1:18" x14ac:dyDescent="0.2">
      <c r="A43">
        <v>42</v>
      </c>
      <c r="B43">
        <v>37</v>
      </c>
      <c r="C43" t="s">
        <v>155</v>
      </c>
      <c r="D43" t="s">
        <v>62</v>
      </c>
      <c r="E43" t="s">
        <v>557</v>
      </c>
      <c r="F43" t="s">
        <v>558</v>
      </c>
      <c r="G43" t="s">
        <v>665</v>
      </c>
      <c r="H43" t="s">
        <v>393</v>
      </c>
      <c r="I43">
        <v>382</v>
      </c>
      <c r="J43">
        <v>33</v>
      </c>
      <c r="K43" t="s">
        <v>392</v>
      </c>
      <c r="L43">
        <v>8252</v>
      </c>
      <c r="M43" t="s">
        <v>327</v>
      </c>
      <c r="N43" t="s">
        <v>394</v>
      </c>
      <c r="O43">
        <v>1</v>
      </c>
      <c r="P43">
        <v>2</v>
      </c>
      <c r="Q43">
        <v>-99</v>
      </c>
      <c r="R43" t="s">
        <v>689</v>
      </c>
    </row>
    <row r="44" spans="1:18" x14ac:dyDescent="0.2">
      <c r="A44">
        <v>43</v>
      </c>
      <c r="B44">
        <v>38</v>
      </c>
      <c r="C44" t="s">
        <v>156</v>
      </c>
      <c r="D44" t="s">
        <v>60</v>
      </c>
      <c r="E44" t="s">
        <v>559</v>
      </c>
      <c r="F44" t="s">
        <v>560</v>
      </c>
      <c r="G44" t="s">
        <v>664</v>
      </c>
      <c r="H44" t="s">
        <v>384</v>
      </c>
      <c r="I44">
        <v>381</v>
      </c>
      <c r="J44">
        <v>31</v>
      </c>
      <c r="K44" t="s">
        <v>387</v>
      </c>
      <c r="L44">
        <v>8253</v>
      </c>
      <c r="M44" t="s">
        <v>361</v>
      </c>
      <c r="N44" t="s">
        <v>395</v>
      </c>
      <c r="O44">
        <v>1</v>
      </c>
      <c r="P44">
        <v>2</v>
      </c>
      <c r="Q44">
        <v>-99</v>
      </c>
      <c r="R44" t="s">
        <v>689</v>
      </c>
    </row>
    <row r="45" spans="1:18" x14ac:dyDescent="0.2">
      <c r="A45">
        <v>44</v>
      </c>
      <c r="B45">
        <v>39</v>
      </c>
      <c r="C45" t="s">
        <v>157</v>
      </c>
      <c r="D45" t="s">
        <v>52</v>
      </c>
      <c r="E45" t="s">
        <v>561</v>
      </c>
      <c r="F45" t="s">
        <v>562</v>
      </c>
      <c r="G45" t="s">
        <v>664</v>
      </c>
      <c r="H45" t="s">
        <v>384</v>
      </c>
      <c r="I45">
        <v>381</v>
      </c>
      <c r="J45">
        <v>33</v>
      </c>
      <c r="K45" t="s">
        <v>392</v>
      </c>
      <c r="L45">
        <v>8254</v>
      </c>
      <c r="M45" t="s">
        <v>362</v>
      </c>
      <c r="N45" t="s">
        <v>396</v>
      </c>
      <c r="O45">
        <v>1</v>
      </c>
      <c r="P45">
        <v>1</v>
      </c>
      <c r="Q45">
        <v>-99</v>
      </c>
      <c r="R45" t="s">
        <v>689</v>
      </c>
    </row>
    <row r="46" spans="1:18" x14ac:dyDescent="0.2">
      <c r="A46">
        <v>45</v>
      </c>
      <c r="B46">
        <v>-99</v>
      </c>
      <c r="C46" t="s">
        <v>157</v>
      </c>
      <c r="D46" t="s">
        <v>52</v>
      </c>
      <c r="E46" t="s">
        <v>563</v>
      </c>
      <c r="F46" t="s">
        <v>564</v>
      </c>
      <c r="G46" t="s">
        <v>664</v>
      </c>
      <c r="H46" t="s">
        <v>384</v>
      </c>
      <c r="I46">
        <v>381</v>
      </c>
      <c r="J46">
        <v>33</v>
      </c>
      <c r="K46" t="s">
        <v>392</v>
      </c>
      <c r="L46">
        <v>8254</v>
      </c>
      <c r="M46" t="s">
        <v>362</v>
      </c>
      <c r="N46" t="s">
        <v>396</v>
      </c>
      <c r="O46">
        <v>-99</v>
      </c>
      <c r="P46">
        <v>1</v>
      </c>
      <c r="Q46">
        <v>-99</v>
      </c>
      <c r="R46" t="s">
        <v>690</v>
      </c>
    </row>
    <row r="47" spans="1:18" x14ac:dyDescent="0.2">
      <c r="A47">
        <v>46</v>
      </c>
      <c r="B47">
        <v>52</v>
      </c>
      <c r="C47" t="s">
        <v>158</v>
      </c>
      <c r="D47" t="s">
        <v>41</v>
      </c>
      <c r="E47" t="s">
        <v>565</v>
      </c>
      <c r="F47" t="s">
        <v>566</v>
      </c>
      <c r="G47" t="s">
        <v>663</v>
      </c>
      <c r="H47" t="s">
        <v>377</v>
      </c>
      <c r="I47">
        <v>380</v>
      </c>
      <c r="J47">
        <v>32</v>
      </c>
      <c r="K47" t="s">
        <v>397</v>
      </c>
      <c r="L47">
        <v>8255</v>
      </c>
      <c r="M47" t="s">
        <v>363</v>
      </c>
      <c r="N47" t="s">
        <v>398</v>
      </c>
      <c r="O47">
        <v>1</v>
      </c>
      <c r="P47">
        <v>2</v>
      </c>
      <c r="Q47">
        <v>-99</v>
      </c>
      <c r="R47" t="s">
        <v>689</v>
      </c>
    </row>
    <row r="48" spans="1:18" x14ac:dyDescent="0.2">
      <c r="A48">
        <v>47</v>
      </c>
      <c r="B48">
        <v>53</v>
      </c>
      <c r="C48" t="s">
        <v>159</v>
      </c>
      <c r="D48" t="s">
        <v>51</v>
      </c>
      <c r="E48" t="s">
        <v>567</v>
      </c>
      <c r="F48" t="s">
        <v>568</v>
      </c>
      <c r="G48" t="s">
        <v>663</v>
      </c>
      <c r="H48" t="s">
        <v>377</v>
      </c>
      <c r="I48">
        <v>380</v>
      </c>
      <c r="J48">
        <v>32</v>
      </c>
      <c r="K48" t="s">
        <v>397</v>
      </c>
      <c r="L48">
        <v>8256</v>
      </c>
      <c r="M48" t="s">
        <v>337</v>
      </c>
      <c r="N48" t="s">
        <v>399</v>
      </c>
      <c r="O48">
        <v>1</v>
      </c>
      <c r="P48">
        <v>2</v>
      </c>
      <c r="Q48">
        <v>-99</v>
      </c>
      <c r="R48" t="s">
        <v>689</v>
      </c>
    </row>
    <row r="49" spans="1:18" x14ac:dyDescent="0.2">
      <c r="A49">
        <v>48</v>
      </c>
      <c r="B49">
        <v>54</v>
      </c>
      <c r="C49" t="s">
        <v>160</v>
      </c>
      <c r="D49" t="s">
        <v>56</v>
      </c>
      <c r="E49" t="s">
        <v>569</v>
      </c>
      <c r="F49" t="s">
        <v>570</v>
      </c>
      <c r="G49" t="s">
        <v>664</v>
      </c>
      <c r="H49" t="s">
        <v>384</v>
      </c>
      <c r="I49">
        <v>381</v>
      </c>
      <c r="J49">
        <v>31</v>
      </c>
      <c r="K49" t="s">
        <v>387</v>
      </c>
      <c r="L49">
        <v>8257</v>
      </c>
      <c r="M49" t="s">
        <v>343</v>
      </c>
      <c r="N49" t="s">
        <v>400</v>
      </c>
      <c r="O49">
        <v>1</v>
      </c>
      <c r="P49">
        <v>1</v>
      </c>
      <c r="Q49">
        <v>-99</v>
      </c>
      <c r="R49" t="s">
        <v>689</v>
      </c>
    </row>
    <row r="50" spans="1:18" x14ac:dyDescent="0.2">
      <c r="A50">
        <v>49</v>
      </c>
      <c r="B50">
        <v>-99</v>
      </c>
      <c r="C50" t="s">
        <v>160</v>
      </c>
      <c r="D50" t="s">
        <v>56</v>
      </c>
      <c r="E50" t="s">
        <v>571</v>
      </c>
      <c r="F50" t="s">
        <v>572</v>
      </c>
      <c r="G50" t="s">
        <v>664</v>
      </c>
      <c r="H50" t="s">
        <v>384</v>
      </c>
      <c r="I50">
        <v>381</v>
      </c>
      <c r="J50">
        <v>31</v>
      </c>
      <c r="K50" t="s">
        <v>387</v>
      </c>
      <c r="L50">
        <v>8257</v>
      </c>
      <c r="M50" t="s">
        <v>343</v>
      </c>
      <c r="N50" t="s">
        <v>400</v>
      </c>
      <c r="O50">
        <v>-99</v>
      </c>
      <c r="P50">
        <v>1</v>
      </c>
      <c r="Q50">
        <v>-99</v>
      </c>
      <c r="R50" t="s">
        <v>691</v>
      </c>
    </row>
    <row r="51" spans="1:18" x14ac:dyDescent="0.2">
      <c r="A51">
        <v>50</v>
      </c>
      <c r="B51">
        <v>55</v>
      </c>
      <c r="C51" t="s">
        <v>161</v>
      </c>
      <c r="D51" t="s">
        <v>40</v>
      </c>
      <c r="E51" t="s">
        <v>573</v>
      </c>
      <c r="F51" t="s">
        <v>574</v>
      </c>
      <c r="G51" t="s">
        <v>665</v>
      </c>
      <c r="H51" t="s">
        <v>393</v>
      </c>
      <c r="I51">
        <v>382</v>
      </c>
      <c r="J51">
        <v>32</v>
      </c>
      <c r="K51" t="s">
        <v>397</v>
      </c>
      <c r="L51">
        <v>8258</v>
      </c>
      <c r="M51" t="s">
        <v>356</v>
      </c>
      <c r="N51" t="s">
        <v>401</v>
      </c>
      <c r="O51">
        <v>1</v>
      </c>
      <c r="P51">
        <v>2</v>
      </c>
      <c r="Q51">
        <v>-99</v>
      </c>
      <c r="R51" t="s">
        <v>689</v>
      </c>
    </row>
    <row r="52" spans="1:18" x14ac:dyDescent="0.2">
      <c r="A52">
        <v>51</v>
      </c>
      <c r="B52">
        <v>56</v>
      </c>
      <c r="C52" t="s">
        <v>162</v>
      </c>
      <c r="D52" t="s">
        <v>45</v>
      </c>
      <c r="E52" t="s">
        <v>575</v>
      </c>
      <c r="F52" t="s">
        <v>576</v>
      </c>
      <c r="G52" t="s">
        <v>663</v>
      </c>
      <c r="H52" t="s">
        <v>377</v>
      </c>
      <c r="I52">
        <v>380</v>
      </c>
      <c r="J52">
        <v>32</v>
      </c>
      <c r="K52" t="s">
        <v>397</v>
      </c>
      <c r="L52">
        <v>8259</v>
      </c>
      <c r="M52" t="s">
        <v>333</v>
      </c>
      <c r="N52" t="s">
        <v>402</v>
      </c>
      <c r="O52">
        <v>1</v>
      </c>
      <c r="P52">
        <v>2</v>
      </c>
      <c r="Q52">
        <v>-99</v>
      </c>
      <c r="R52" t="s">
        <v>689</v>
      </c>
    </row>
    <row r="53" spans="1:18" x14ac:dyDescent="0.2">
      <c r="A53">
        <v>52</v>
      </c>
      <c r="B53">
        <v>57</v>
      </c>
      <c r="C53" t="s">
        <v>163</v>
      </c>
      <c r="D53" t="s">
        <v>59</v>
      </c>
      <c r="E53" t="s">
        <v>577</v>
      </c>
      <c r="F53" t="s">
        <v>578</v>
      </c>
      <c r="G53" t="s">
        <v>665</v>
      </c>
      <c r="H53" t="s">
        <v>393</v>
      </c>
      <c r="I53">
        <v>382</v>
      </c>
      <c r="J53">
        <v>32</v>
      </c>
      <c r="K53" t="s">
        <v>397</v>
      </c>
      <c r="L53">
        <v>8260</v>
      </c>
      <c r="M53" t="s">
        <v>323</v>
      </c>
      <c r="N53" t="s">
        <v>403</v>
      </c>
      <c r="O53">
        <v>1</v>
      </c>
      <c r="P53">
        <v>1</v>
      </c>
      <c r="Q53">
        <v>-99</v>
      </c>
      <c r="R53" t="s">
        <v>689</v>
      </c>
    </row>
    <row r="54" spans="1:18" x14ac:dyDescent="0.2">
      <c r="A54">
        <v>53</v>
      </c>
      <c r="B54">
        <v>-99</v>
      </c>
      <c r="C54" t="s">
        <v>163</v>
      </c>
      <c r="D54" t="s">
        <v>59</v>
      </c>
      <c r="E54" t="s">
        <v>579</v>
      </c>
      <c r="F54" t="s">
        <v>215</v>
      </c>
      <c r="G54" t="s">
        <v>665</v>
      </c>
      <c r="H54" t="s">
        <v>393</v>
      </c>
      <c r="I54">
        <v>382</v>
      </c>
      <c r="J54">
        <v>32</v>
      </c>
      <c r="K54" t="s">
        <v>397</v>
      </c>
      <c r="L54">
        <v>8260</v>
      </c>
      <c r="M54" t="s">
        <v>323</v>
      </c>
      <c r="N54" t="s">
        <v>403</v>
      </c>
      <c r="O54">
        <v>-99</v>
      </c>
      <c r="P54">
        <v>1</v>
      </c>
      <c r="Q54">
        <v>-99</v>
      </c>
      <c r="R54" t="s">
        <v>214</v>
      </c>
    </row>
    <row r="55" spans="1:18" x14ac:dyDescent="0.2">
      <c r="A55">
        <v>54</v>
      </c>
      <c r="B55">
        <v>58</v>
      </c>
      <c r="C55" t="s">
        <v>164</v>
      </c>
      <c r="D55" t="s">
        <v>78</v>
      </c>
      <c r="E55" t="s">
        <v>580</v>
      </c>
      <c r="F55" t="s">
        <v>581</v>
      </c>
      <c r="G55" t="s">
        <v>665</v>
      </c>
      <c r="H55" t="s">
        <v>393</v>
      </c>
      <c r="I55">
        <v>382</v>
      </c>
      <c r="J55">
        <v>32</v>
      </c>
      <c r="K55" t="s">
        <v>397</v>
      </c>
      <c r="L55">
        <v>8261</v>
      </c>
      <c r="M55" t="s">
        <v>346</v>
      </c>
      <c r="N55" t="s">
        <v>404</v>
      </c>
      <c r="O55">
        <v>1</v>
      </c>
      <c r="P55">
        <v>2</v>
      </c>
      <c r="Q55">
        <v>-99</v>
      </c>
      <c r="R55" t="s">
        <v>689</v>
      </c>
    </row>
    <row r="56" spans="1:18" x14ac:dyDescent="0.2">
      <c r="A56">
        <v>55</v>
      </c>
      <c r="B56">
        <v>59</v>
      </c>
      <c r="C56" t="s">
        <v>165</v>
      </c>
      <c r="D56" t="s">
        <v>44</v>
      </c>
      <c r="E56" t="s">
        <v>582</v>
      </c>
      <c r="F56" t="s">
        <v>583</v>
      </c>
      <c r="G56" t="s">
        <v>665</v>
      </c>
      <c r="H56" t="s">
        <v>393</v>
      </c>
      <c r="I56">
        <v>382</v>
      </c>
      <c r="J56">
        <v>32</v>
      </c>
      <c r="K56" t="s">
        <v>397</v>
      </c>
      <c r="L56">
        <v>8262</v>
      </c>
      <c r="M56" t="s">
        <v>370</v>
      </c>
      <c r="N56" t="s">
        <v>406</v>
      </c>
      <c r="O56">
        <v>1</v>
      </c>
      <c r="P56">
        <v>2</v>
      </c>
      <c r="Q56">
        <v>-99</v>
      </c>
      <c r="R56" t="s">
        <v>689</v>
      </c>
    </row>
    <row r="57" spans="1:18" x14ac:dyDescent="0.2">
      <c r="A57">
        <v>56</v>
      </c>
      <c r="B57">
        <v>60</v>
      </c>
      <c r="C57" t="s">
        <v>166</v>
      </c>
      <c r="D57" t="s">
        <v>53</v>
      </c>
      <c r="E57" t="s">
        <v>584</v>
      </c>
      <c r="F57" t="s">
        <v>585</v>
      </c>
      <c r="G57" t="s">
        <v>665</v>
      </c>
      <c r="H57" t="s">
        <v>393</v>
      </c>
      <c r="I57">
        <v>382</v>
      </c>
      <c r="J57">
        <v>32</v>
      </c>
      <c r="K57" t="s">
        <v>397</v>
      </c>
      <c r="L57">
        <v>8263</v>
      </c>
      <c r="M57" t="s">
        <v>329</v>
      </c>
      <c r="N57" t="s">
        <v>407</v>
      </c>
      <c r="O57">
        <v>1</v>
      </c>
      <c r="P57">
        <v>2</v>
      </c>
      <c r="Q57">
        <v>-99</v>
      </c>
      <c r="R57" t="s">
        <v>689</v>
      </c>
    </row>
    <row r="58" spans="1:18" x14ac:dyDescent="0.2">
      <c r="A58">
        <v>57</v>
      </c>
      <c r="B58">
        <v>84</v>
      </c>
      <c r="C58" t="s">
        <v>167</v>
      </c>
      <c r="D58" t="s">
        <v>79</v>
      </c>
      <c r="E58" t="s">
        <v>586</v>
      </c>
      <c r="F58" t="s">
        <v>587</v>
      </c>
      <c r="G58" t="s">
        <v>665</v>
      </c>
      <c r="H58" t="s">
        <v>393</v>
      </c>
      <c r="I58">
        <v>382</v>
      </c>
      <c r="J58">
        <v>32</v>
      </c>
      <c r="K58" t="s">
        <v>397</v>
      </c>
      <c r="L58">
        <v>8264</v>
      </c>
      <c r="M58" t="s">
        <v>340</v>
      </c>
      <c r="N58" t="s">
        <v>408</v>
      </c>
      <c r="O58">
        <v>1</v>
      </c>
      <c r="P58">
        <v>1</v>
      </c>
      <c r="Q58">
        <v>-99</v>
      </c>
      <c r="R58" t="s">
        <v>689</v>
      </c>
    </row>
    <row r="59" spans="1:18" x14ac:dyDescent="0.2">
      <c r="A59">
        <v>58</v>
      </c>
      <c r="B59">
        <v>-99</v>
      </c>
      <c r="C59" t="s">
        <v>167</v>
      </c>
      <c r="D59" t="s">
        <v>79</v>
      </c>
      <c r="E59" t="s">
        <v>588</v>
      </c>
      <c r="F59" t="s">
        <v>498</v>
      </c>
      <c r="G59" t="s">
        <v>665</v>
      </c>
      <c r="H59" t="s">
        <v>393</v>
      </c>
      <c r="I59">
        <v>382</v>
      </c>
      <c r="J59">
        <v>32</v>
      </c>
      <c r="K59" t="s">
        <v>397</v>
      </c>
      <c r="L59">
        <v>8264</v>
      </c>
      <c r="M59" t="s">
        <v>340</v>
      </c>
      <c r="N59" t="s">
        <v>408</v>
      </c>
      <c r="O59">
        <v>-99</v>
      </c>
      <c r="P59">
        <v>1</v>
      </c>
      <c r="Q59">
        <v>-99</v>
      </c>
      <c r="R59" t="s">
        <v>661</v>
      </c>
    </row>
    <row r="60" spans="1:18" x14ac:dyDescent="0.2">
      <c r="A60">
        <v>59</v>
      </c>
      <c r="B60">
        <v>-99</v>
      </c>
      <c r="C60" t="s">
        <v>167</v>
      </c>
      <c r="D60" t="s">
        <v>79</v>
      </c>
      <c r="E60" t="s">
        <v>589</v>
      </c>
      <c r="F60" t="s">
        <v>218</v>
      </c>
      <c r="G60" t="s">
        <v>665</v>
      </c>
      <c r="H60" t="s">
        <v>393</v>
      </c>
      <c r="I60">
        <v>382</v>
      </c>
      <c r="J60">
        <v>32</v>
      </c>
      <c r="K60" t="s">
        <v>397</v>
      </c>
      <c r="L60">
        <v>8264</v>
      </c>
      <c r="M60" t="s">
        <v>340</v>
      </c>
      <c r="N60" t="s">
        <v>408</v>
      </c>
      <c r="O60">
        <v>-99</v>
      </c>
      <c r="P60">
        <v>1</v>
      </c>
      <c r="Q60">
        <v>-99</v>
      </c>
      <c r="R60" t="s">
        <v>214</v>
      </c>
    </row>
    <row r="61" spans="1:18" x14ac:dyDescent="0.2">
      <c r="A61">
        <v>60</v>
      </c>
      <c r="B61">
        <v>100</v>
      </c>
      <c r="C61" t="s">
        <v>168</v>
      </c>
      <c r="D61" t="s">
        <v>43</v>
      </c>
      <c r="E61" t="s">
        <v>590</v>
      </c>
      <c r="F61" t="s">
        <v>591</v>
      </c>
      <c r="G61" t="s">
        <v>667</v>
      </c>
      <c r="H61" t="s">
        <v>409</v>
      </c>
      <c r="I61">
        <v>383</v>
      </c>
      <c r="J61">
        <v>33</v>
      </c>
      <c r="K61" t="s">
        <v>392</v>
      </c>
      <c r="L61">
        <v>8268</v>
      </c>
      <c r="M61" t="s">
        <v>357</v>
      </c>
      <c r="N61" t="s">
        <v>410</v>
      </c>
      <c r="O61">
        <v>1</v>
      </c>
      <c r="P61">
        <v>2</v>
      </c>
      <c r="Q61">
        <v>-99</v>
      </c>
      <c r="R61" t="s">
        <v>689</v>
      </c>
    </row>
    <row r="62" spans="1:18" x14ac:dyDescent="0.2">
      <c r="A62">
        <v>61</v>
      </c>
      <c r="B62">
        <v>101</v>
      </c>
      <c r="C62" t="s">
        <v>169</v>
      </c>
      <c r="D62" t="s">
        <v>34</v>
      </c>
      <c r="E62" t="s">
        <v>592</v>
      </c>
      <c r="F62" t="s">
        <v>593</v>
      </c>
      <c r="G62" t="s">
        <v>667</v>
      </c>
      <c r="H62" t="s">
        <v>409</v>
      </c>
      <c r="I62">
        <v>383</v>
      </c>
      <c r="J62">
        <v>34</v>
      </c>
      <c r="K62" t="s">
        <v>411</v>
      </c>
      <c r="L62">
        <v>8269</v>
      </c>
      <c r="M62" t="s">
        <v>325</v>
      </c>
      <c r="N62" t="s">
        <v>412</v>
      </c>
      <c r="O62">
        <v>1</v>
      </c>
      <c r="P62">
        <v>2</v>
      </c>
      <c r="Q62">
        <v>-99</v>
      </c>
      <c r="R62" t="s">
        <v>689</v>
      </c>
    </row>
    <row r="63" spans="1:18" x14ac:dyDescent="0.2">
      <c r="A63">
        <v>62</v>
      </c>
      <c r="B63">
        <v>102</v>
      </c>
      <c r="C63" t="s">
        <v>170</v>
      </c>
      <c r="D63" t="s">
        <v>73</v>
      </c>
      <c r="E63" t="s">
        <v>594</v>
      </c>
      <c r="F63" t="s">
        <v>595</v>
      </c>
      <c r="G63" t="s">
        <v>667</v>
      </c>
      <c r="H63" t="s">
        <v>409</v>
      </c>
      <c r="I63">
        <v>383</v>
      </c>
      <c r="J63">
        <v>33</v>
      </c>
      <c r="K63" t="s">
        <v>392</v>
      </c>
      <c r="L63">
        <v>8270</v>
      </c>
      <c r="M63" t="s">
        <v>351</v>
      </c>
      <c r="N63" t="s">
        <v>413</v>
      </c>
      <c r="O63">
        <v>1</v>
      </c>
      <c r="P63">
        <v>1</v>
      </c>
      <c r="Q63">
        <v>-99</v>
      </c>
      <c r="R63" t="s">
        <v>689</v>
      </c>
    </row>
    <row r="64" spans="1:18" x14ac:dyDescent="0.2">
      <c r="A64">
        <v>63</v>
      </c>
      <c r="B64">
        <v>-99</v>
      </c>
      <c r="C64" t="s">
        <v>170</v>
      </c>
      <c r="D64" t="s">
        <v>73</v>
      </c>
      <c r="E64" t="s">
        <v>596</v>
      </c>
      <c r="F64" t="s">
        <v>217</v>
      </c>
      <c r="G64" t="s">
        <v>667</v>
      </c>
      <c r="H64" t="s">
        <v>409</v>
      </c>
      <c r="I64">
        <v>383</v>
      </c>
      <c r="J64">
        <v>33</v>
      </c>
      <c r="K64" t="s">
        <v>392</v>
      </c>
      <c r="L64">
        <v>8270</v>
      </c>
      <c r="M64" t="s">
        <v>351</v>
      </c>
      <c r="N64" t="s">
        <v>413</v>
      </c>
      <c r="O64">
        <v>-99</v>
      </c>
      <c r="P64">
        <v>1</v>
      </c>
      <c r="Q64">
        <v>-99</v>
      </c>
      <c r="R64" t="s">
        <v>686</v>
      </c>
    </row>
    <row r="65" spans="1:18" x14ac:dyDescent="0.2">
      <c r="A65">
        <v>64</v>
      </c>
      <c r="B65">
        <v>103</v>
      </c>
      <c r="C65" t="s">
        <v>171</v>
      </c>
      <c r="D65" t="s">
        <v>65</v>
      </c>
      <c r="E65" t="s">
        <v>597</v>
      </c>
      <c r="F65" t="s">
        <v>598</v>
      </c>
      <c r="G65" t="s">
        <v>667</v>
      </c>
      <c r="H65" t="s">
        <v>409</v>
      </c>
      <c r="I65">
        <v>383</v>
      </c>
      <c r="J65">
        <v>34</v>
      </c>
      <c r="K65" t="s">
        <v>411</v>
      </c>
      <c r="L65">
        <v>8272</v>
      </c>
      <c r="M65" t="s">
        <v>339</v>
      </c>
      <c r="N65" t="s">
        <v>414</v>
      </c>
      <c r="O65">
        <v>1</v>
      </c>
      <c r="P65">
        <v>2</v>
      </c>
      <c r="Q65">
        <v>-99</v>
      </c>
      <c r="R65" t="s">
        <v>689</v>
      </c>
    </row>
    <row r="66" spans="1:18" x14ac:dyDescent="0.2">
      <c r="A66">
        <v>65</v>
      </c>
      <c r="B66">
        <v>104</v>
      </c>
      <c r="C66" t="s">
        <v>172</v>
      </c>
      <c r="D66" t="s">
        <v>55</v>
      </c>
      <c r="E66" t="s">
        <v>599</v>
      </c>
      <c r="F66" t="s">
        <v>600</v>
      </c>
      <c r="G66" t="s">
        <v>667</v>
      </c>
      <c r="H66" t="s">
        <v>409</v>
      </c>
      <c r="I66">
        <v>383</v>
      </c>
      <c r="J66">
        <v>34</v>
      </c>
      <c r="K66" t="s">
        <v>411</v>
      </c>
      <c r="L66">
        <v>8221</v>
      </c>
      <c r="M66" t="s">
        <v>339</v>
      </c>
      <c r="N66" t="s">
        <v>414</v>
      </c>
      <c r="O66">
        <v>1</v>
      </c>
      <c r="P66">
        <v>2</v>
      </c>
      <c r="Q66">
        <v>-99</v>
      </c>
      <c r="R66" t="s">
        <v>689</v>
      </c>
    </row>
    <row r="67" spans="1:18" x14ac:dyDescent="0.2">
      <c r="A67">
        <v>66</v>
      </c>
      <c r="B67">
        <v>196</v>
      </c>
      <c r="C67" t="s">
        <v>173</v>
      </c>
      <c r="D67" t="s">
        <v>67</v>
      </c>
      <c r="E67" t="s">
        <v>601</v>
      </c>
      <c r="F67" t="s">
        <v>602</v>
      </c>
      <c r="G67" t="s">
        <v>667</v>
      </c>
      <c r="H67" t="s">
        <v>409</v>
      </c>
      <c r="I67">
        <v>383</v>
      </c>
      <c r="J67">
        <v>34</v>
      </c>
      <c r="K67" t="s">
        <v>411</v>
      </c>
      <c r="L67">
        <v>8202</v>
      </c>
      <c r="M67" t="s">
        <v>352</v>
      </c>
      <c r="N67" t="s">
        <v>433</v>
      </c>
      <c r="O67">
        <v>1</v>
      </c>
      <c r="P67">
        <v>2</v>
      </c>
      <c r="Q67">
        <v>-99</v>
      </c>
      <c r="R67" t="s">
        <v>689</v>
      </c>
    </row>
    <row r="68" spans="1:18" x14ac:dyDescent="0.2">
      <c r="A68">
        <v>67</v>
      </c>
      <c r="B68">
        <v>110</v>
      </c>
      <c r="C68" t="s">
        <v>174</v>
      </c>
      <c r="D68" t="s">
        <v>76</v>
      </c>
      <c r="E68" t="s">
        <v>603</v>
      </c>
      <c r="F68" t="s">
        <v>604</v>
      </c>
      <c r="G68" t="s">
        <v>667</v>
      </c>
      <c r="H68" t="s">
        <v>409</v>
      </c>
      <c r="I68">
        <v>383</v>
      </c>
      <c r="J68">
        <v>34</v>
      </c>
      <c r="K68" t="s">
        <v>411</v>
      </c>
      <c r="L68">
        <v>8203</v>
      </c>
      <c r="M68" t="s">
        <v>336</v>
      </c>
      <c r="N68" t="s">
        <v>83</v>
      </c>
      <c r="O68">
        <v>1</v>
      </c>
      <c r="P68">
        <v>1</v>
      </c>
      <c r="Q68">
        <v>-99</v>
      </c>
      <c r="R68" t="s">
        <v>689</v>
      </c>
    </row>
    <row r="69" spans="1:18" x14ac:dyDescent="0.2">
      <c r="A69">
        <v>68</v>
      </c>
      <c r="B69">
        <v>-99</v>
      </c>
      <c r="C69" t="s">
        <v>174</v>
      </c>
      <c r="D69" t="s">
        <v>76</v>
      </c>
      <c r="E69" t="s">
        <v>605</v>
      </c>
      <c r="F69" t="s">
        <v>606</v>
      </c>
      <c r="G69" t="s">
        <v>667</v>
      </c>
      <c r="H69" t="s">
        <v>409</v>
      </c>
      <c r="I69">
        <v>383</v>
      </c>
      <c r="J69">
        <v>34</v>
      </c>
      <c r="K69" t="s">
        <v>411</v>
      </c>
      <c r="L69">
        <v>8203</v>
      </c>
      <c r="M69" t="s">
        <v>336</v>
      </c>
      <c r="N69" t="s">
        <v>83</v>
      </c>
      <c r="O69">
        <v>-99</v>
      </c>
      <c r="P69">
        <v>1</v>
      </c>
      <c r="Q69">
        <v>-99</v>
      </c>
      <c r="R69" t="s">
        <v>405</v>
      </c>
    </row>
    <row r="70" spans="1:18" x14ac:dyDescent="0.2">
      <c r="A70">
        <v>69</v>
      </c>
      <c r="B70">
        <v>111</v>
      </c>
      <c r="C70" t="s">
        <v>175</v>
      </c>
      <c r="D70" t="s">
        <v>37</v>
      </c>
      <c r="E70" t="s">
        <v>607</v>
      </c>
      <c r="F70" t="s">
        <v>608</v>
      </c>
      <c r="G70" t="s">
        <v>667</v>
      </c>
      <c r="H70" t="s">
        <v>409</v>
      </c>
      <c r="I70">
        <v>383</v>
      </c>
      <c r="J70">
        <v>34</v>
      </c>
      <c r="K70" t="s">
        <v>411</v>
      </c>
      <c r="L70">
        <v>8204</v>
      </c>
      <c r="M70" t="s">
        <v>341</v>
      </c>
      <c r="N70" t="s">
        <v>415</v>
      </c>
      <c r="O70">
        <v>1</v>
      </c>
      <c r="P70">
        <v>2</v>
      </c>
      <c r="Q70">
        <v>-99</v>
      </c>
      <c r="R70" t="s">
        <v>689</v>
      </c>
    </row>
    <row r="71" spans="1:18" x14ac:dyDescent="0.2">
      <c r="A71">
        <v>70</v>
      </c>
      <c r="B71">
        <v>112</v>
      </c>
      <c r="C71" t="s">
        <v>176</v>
      </c>
      <c r="D71" t="s">
        <v>69</v>
      </c>
      <c r="E71" t="s">
        <v>609</v>
      </c>
      <c r="F71" t="s">
        <v>610</v>
      </c>
      <c r="G71" t="s">
        <v>667</v>
      </c>
      <c r="H71" t="s">
        <v>409</v>
      </c>
      <c r="I71">
        <v>383</v>
      </c>
      <c r="J71">
        <v>34</v>
      </c>
      <c r="K71" t="s">
        <v>411</v>
      </c>
      <c r="L71">
        <v>8205</v>
      </c>
      <c r="M71" t="s">
        <v>358</v>
      </c>
      <c r="N71" t="s">
        <v>416</v>
      </c>
      <c r="O71">
        <v>1</v>
      </c>
      <c r="P71">
        <v>2</v>
      </c>
      <c r="Q71">
        <v>-99</v>
      </c>
      <c r="R71" t="s">
        <v>689</v>
      </c>
    </row>
    <row r="72" spans="1:18" x14ac:dyDescent="0.2">
      <c r="A72">
        <v>71</v>
      </c>
      <c r="B72">
        <v>113</v>
      </c>
      <c r="C72" t="s">
        <v>177</v>
      </c>
      <c r="D72" t="s">
        <v>82</v>
      </c>
      <c r="E72" t="s">
        <v>611</v>
      </c>
      <c r="F72" t="s">
        <v>612</v>
      </c>
      <c r="G72" t="s">
        <v>665</v>
      </c>
      <c r="H72" t="s">
        <v>393</v>
      </c>
      <c r="I72">
        <v>382</v>
      </c>
      <c r="J72">
        <v>33</v>
      </c>
      <c r="K72" t="s">
        <v>392</v>
      </c>
      <c r="L72">
        <v>8206</v>
      </c>
      <c r="M72" t="s">
        <v>334</v>
      </c>
      <c r="N72" t="s">
        <v>417</v>
      </c>
      <c r="O72">
        <v>1</v>
      </c>
      <c r="P72">
        <v>2</v>
      </c>
      <c r="Q72">
        <v>-99</v>
      </c>
      <c r="R72" t="s">
        <v>689</v>
      </c>
    </row>
    <row r="73" spans="1:18" x14ac:dyDescent="0.2">
      <c r="A73">
        <v>72</v>
      </c>
      <c r="B73">
        <v>114</v>
      </c>
      <c r="C73" t="s">
        <v>178</v>
      </c>
      <c r="D73" t="s">
        <v>54</v>
      </c>
      <c r="E73" t="s">
        <v>613</v>
      </c>
      <c r="F73" t="s">
        <v>614</v>
      </c>
      <c r="G73" t="s">
        <v>665</v>
      </c>
      <c r="H73" t="s">
        <v>393</v>
      </c>
      <c r="I73">
        <v>382</v>
      </c>
      <c r="J73">
        <v>33</v>
      </c>
      <c r="K73" t="s">
        <v>392</v>
      </c>
      <c r="L73">
        <v>8207</v>
      </c>
      <c r="M73" t="s">
        <v>322</v>
      </c>
      <c r="N73" t="s">
        <v>418</v>
      </c>
      <c r="O73">
        <v>1</v>
      </c>
      <c r="P73">
        <v>2</v>
      </c>
      <c r="Q73">
        <v>-99</v>
      </c>
      <c r="R73" t="s">
        <v>689</v>
      </c>
    </row>
    <row r="74" spans="1:18" x14ac:dyDescent="0.2">
      <c r="A74">
        <v>73</v>
      </c>
      <c r="B74">
        <v>115</v>
      </c>
      <c r="C74" t="s">
        <v>179</v>
      </c>
      <c r="D74" t="s">
        <v>27</v>
      </c>
      <c r="E74" t="s">
        <v>615</v>
      </c>
      <c r="F74" t="s">
        <v>616</v>
      </c>
      <c r="G74" t="s">
        <v>665</v>
      </c>
      <c r="H74" t="s">
        <v>393</v>
      </c>
      <c r="I74">
        <v>382</v>
      </c>
      <c r="J74">
        <v>33</v>
      </c>
      <c r="K74" t="s">
        <v>392</v>
      </c>
      <c r="L74">
        <v>8208</v>
      </c>
      <c r="M74" t="s">
        <v>345</v>
      </c>
      <c r="N74" t="s">
        <v>419</v>
      </c>
      <c r="O74">
        <v>1</v>
      </c>
      <c r="P74">
        <v>2</v>
      </c>
      <c r="Q74">
        <v>-99</v>
      </c>
      <c r="R74" t="s">
        <v>689</v>
      </c>
    </row>
    <row r="75" spans="1:18" x14ac:dyDescent="0.2">
      <c r="A75">
        <v>74</v>
      </c>
      <c r="B75">
        <v>116</v>
      </c>
      <c r="C75" t="s">
        <v>180</v>
      </c>
      <c r="D75" t="s">
        <v>71</v>
      </c>
      <c r="E75" t="s">
        <v>617</v>
      </c>
      <c r="F75" t="s">
        <v>618</v>
      </c>
      <c r="G75" t="s">
        <v>667</v>
      </c>
      <c r="H75" t="s">
        <v>409</v>
      </c>
      <c r="I75">
        <v>383</v>
      </c>
      <c r="J75">
        <v>34</v>
      </c>
      <c r="K75" t="s">
        <v>411</v>
      </c>
      <c r="L75">
        <v>8210</v>
      </c>
      <c r="M75" t="s">
        <v>335</v>
      </c>
      <c r="N75" t="s">
        <v>420</v>
      </c>
      <c r="O75">
        <v>1</v>
      </c>
      <c r="P75">
        <v>2</v>
      </c>
      <c r="Q75">
        <v>-99</v>
      </c>
      <c r="R75" t="s">
        <v>689</v>
      </c>
    </row>
    <row r="76" spans="1:18" x14ac:dyDescent="0.2">
      <c r="A76">
        <v>75</v>
      </c>
      <c r="B76">
        <v>197</v>
      </c>
      <c r="C76" t="s">
        <v>181</v>
      </c>
      <c r="D76" t="s">
        <v>75</v>
      </c>
      <c r="E76" t="s">
        <v>619</v>
      </c>
      <c r="F76" t="s">
        <v>620</v>
      </c>
      <c r="G76" t="s">
        <v>664</v>
      </c>
      <c r="H76" t="s">
        <v>384</v>
      </c>
      <c r="I76">
        <v>381</v>
      </c>
      <c r="J76">
        <v>31</v>
      </c>
      <c r="K76" t="s">
        <v>387</v>
      </c>
      <c r="L76">
        <v>8211</v>
      </c>
      <c r="M76" t="s">
        <v>338</v>
      </c>
      <c r="N76" t="s">
        <v>434</v>
      </c>
      <c r="O76">
        <v>1</v>
      </c>
      <c r="P76">
        <v>2</v>
      </c>
      <c r="Q76">
        <v>-99</v>
      </c>
      <c r="R76" t="s">
        <v>689</v>
      </c>
    </row>
    <row r="77" spans="1:18" x14ac:dyDescent="0.2">
      <c r="A77">
        <v>76</v>
      </c>
      <c r="B77">
        <v>119</v>
      </c>
      <c r="C77" t="s">
        <v>182</v>
      </c>
      <c r="D77" t="s">
        <v>58</v>
      </c>
      <c r="E77" t="s">
        <v>621</v>
      </c>
      <c r="F77" t="s">
        <v>622</v>
      </c>
      <c r="G77" t="s">
        <v>667</v>
      </c>
      <c r="H77" t="s">
        <v>409</v>
      </c>
      <c r="I77">
        <v>383</v>
      </c>
      <c r="J77">
        <v>34</v>
      </c>
      <c r="K77" t="s">
        <v>411</v>
      </c>
      <c r="L77">
        <v>8223</v>
      </c>
      <c r="M77" t="s">
        <v>623</v>
      </c>
      <c r="N77" t="s">
        <v>624</v>
      </c>
      <c r="O77">
        <v>1</v>
      </c>
      <c r="P77">
        <v>2</v>
      </c>
      <c r="Q77">
        <v>-99</v>
      </c>
      <c r="R77" t="s">
        <v>689</v>
      </c>
    </row>
    <row r="78" spans="1:18" x14ac:dyDescent="0.2">
      <c r="A78">
        <v>77</v>
      </c>
      <c r="B78">
        <v>131</v>
      </c>
      <c r="C78" t="s">
        <v>183</v>
      </c>
      <c r="D78" t="s">
        <v>49</v>
      </c>
      <c r="E78" t="s">
        <v>625</v>
      </c>
      <c r="F78" t="s">
        <v>626</v>
      </c>
      <c r="G78" t="s">
        <v>665</v>
      </c>
      <c r="H78" t="s">
        <v>393</v>
      </c>
      <c r="I78">
        <v>382</v>
      </c>
      <c r="J78">
        <v>33</v>
      </c>
      <c r="K78" t="s">
        <v>392</v>
      </c>
      <c r="L78">
        <v>8226</v>
      </c>
      <c r="M78" t="s">
        <v>334</v>
      </c>
      <c r="N78" t="s">
        <v>417</v>
      </c>
      <c r="O78">
        <v>1</v>
      </c>
      <c r="P78">
        <v>2</v>
      </c>
      <c r="Q78">
        <v>-99</v>
      </c>
      <c r="R78" t="s">
        <v>689</v>
      </c>
    </row>
    <row r="79" spans="1:18" x14ac:dyDescent="0.2">
      <c r="A79">
        <v>78</v>
      </c>
      <c r="B79">
        <v>132</v>
      </c>
      <c r="C79" t="s">
        <v>676</v>
      </c>
      <c r="D79" t="s">
        <v>437</v>
      </c>
      <c r="E79" t="s">
        <v>627</v>
      </c>
      <c r="F79" t="s">
        <v>677</v>
      </c>
      <c r="G79" t="s">
        <v>664</v>
      </c>
      <c r="H79" t="s">
        <v>384</v>
      </c>
      <c r="I79">
        <v>381</v>
      </c>
      <c r="J79">
        <v>30</v>
      </c>
      <c r="K79" t="s">
        <v>376</v>
      </c>
      <c r="L79">
        <v>8229</v>
      </c>
      <c r="M79" t="s">
        <v>353</v>
      </c>
      <c r="N79" t="s">
        <v>421</v>
      </c>
      <c r="O79">
        <v>1</v>
      </c>
      <c r="P79">
        <v>2</v>
      </c>
      <c r="Q79">
        <v>-99</v>
      </c>
      <c r="R79" t="s">
        <v>689</v>
      </c>
    </row>
    <row r="80" spans="1:18" x14ac:dyDescent="0.2">
      <c r="A80">
        <v>79</v>
      </c>
      <c r="B80">
        <v>143</v>
      </c>
      <c r="C80" t="s">
        <v>184</v>
      </c>
      <c r="D80" t="s">
        <v>57</v>
      </c>
      <c r="E80" t="s">
        <v>628</v>
      </c>
      <c r="F80" t="s">
        <v>629</v>
      </c>
      <c r="G80" t="s">
        <v>663</v>
      </c>
      <c r="H80" t="s">
        <v>377</v>
      </c>
      <c r="I80">
        <v>380</v>
      </c>
      <c r="J80">
        <v>30</v>
      </c>
      <c r="K80" t="s">
        <v>376</v>
      </c>
      <c r="L80">
        <v>8230</v>
      </c>
      <c r="M80" t="s">
        <v>366</v>
      </c>
      <c r="N80" t="s">
        <v>422</v>
      </c>
      <c r="O80">
        <v>1</v>
      </c>
      <c r="P80">
        <v>2</v>
      </c>
      <c r="Q80">
        <v>-99</v>
      </c>
      <c r="R80" t="s">
        <v>689</v>
      </c>
    </row>
    <row r="81" spans="1:18" x14ac:dyDescent="0.2">
      <c r="A81">
        <v>80</v>
      </c>
      <c r="B81">
        <v>144</v>
      </c>
      <c r="C81" t="s">
        <v>678</v>
      </c>
      <c r="D81" t="s">
        <v>496</v>
      </c>
      <c r="E81" t="s">
        <v>678</v>
      </c>
      <c r="F81" t="s">
        <v>496</v>
      </c>
      <c r="G81" t="s">
        <v>675</v>
      </c>
      <c r="H81" t="s">
        <v>8</v>
      </c>
      <c r="I81">
        <v>-99</v>
      </c>
      <c r="J81">
        <v>35</v>
      </c>
      <c r="K81" t="s">
        <v>8</v>
      </c>
      <c r="L81">
        <v>8215</v>
      </c>
      <c r="M81" t="s">
        <v>346</v>
      </c>
      <c r="N81" t="s">
        <v>404</v>
      </c>
      <c r="O81">
        <v>1</v>
      </c>
      <c r="P81">
        <v>2</v>
      </c>
      <c r="Q81">
        <v>-99</v>
      </c>
      <c r="R81" t="s">
        <v>661</v>
      </c>
    </row>
    <row r="82" spans="1:18" x14ac:dyDescent="0.2">
      <c r="A82">
        <v>81</v>
      </c>
      <c r="B82">
        <v>145</v>
      </c>
      <c r="C82" t="s">
        <v>185</v>
      </c>
      <c r="D82" t="s">
        <v>74</v>
      </c>
      <c r="E82" t="s">
        <v>630</v>
      </c>
      <c r="F82" t="s">
        <v>631</v>
      </c>
      <c r="G82" t="s">
        <v>667</v>
      </c>
      <c r="H82" t="s">
        <v>409</v>
      </c>
      <c r="I82">
        <v>383</v>
      </c>
      <c r="J82">
        <v>34</v>
      </c>
      <c r="K82" t="s">
        <v>411</v>
      </c>
      <c r="L82">
        <v>8231</v>
      </c>
      <c r="M82" t="s">
        <v>339</v>
      </c>
      <c r="N82" t="s">
        <v>414</v>
      </c>
      <c r="O82">
        <v>1</v>
      </c>
      <c r="P82">
        <v>1</v>
      </c>
      <c r="Q82">
        <v>-99</v>
      </c>
      <c r="R82" t="s">
        <v>689</v>
      </c>
    </row>
    <row r="83" spans="1:18" x14ac:dyDescent="0.2">
      <c r="A83">
        <v>82</v>
      </c>
      <c r="B83">
        <v>-99</v>
      </c>
      <c r="C83" t="s">
        <v>185</v>
      </c>
      <c r="D83" t="s">
        <v>74</v>
      </c>
      <c r="E83" t="s">
        <v>632</v>
      </c>
      <c r="F83" t="s">
        <v>963</v>
      </c>
      <c r="G83" t="s">
        <v>667</v>
      </c>
      <c r="H83" t="s">
        <v>409</v>
      </c>
      <c r="I83">
        <v>383</v>
      </c>
      <c r="J83">
        <v>34</v>
      </c>
      <c r="K83" t="s">
        <v>411</v>
      </c>
      <c r="L83">
        <v>8231</v>
      </c>
      <c r="M83" t="s">
        <v>339</v>
      </c>
      <c r="N83" t="s">
        <v>414</v>
      </c>
      <c r="O83">
        <v>-99</v>
      </c>
      <c r="P83">
        <v>1</v>
      </c>
      <c r="Q83">
        <v>-99</v>
      </c>
      <c r="R83" t="s">
        <v>687</v>
      </c>
    </row>
    <row r="84" spans="1:18" x14ac:dyDescent="0.2">
      <c r="A84">
        <v>83</v>
      </c>
      <c r="B84">
        <v>151</v>
      </c>
      <c r="C84" t="s">
        <v>679</v>
      </c>
      <c r="D84" t="s">
        <v>1064</v>
      </c>
      <c r="E84" t="s">
        <v>679</v>
      </c>
      <c r="F84" t="s">
        <v>497</v>
      </c>
      <c r="G84" t="s">
        <v>675</v>
      </c>
      <c r="H84" t="s">
        <v>8</v>
      </c>
      <c r="I84">
        <v>380</v>
      </c>
      <c r="J84">
        <v>35</v>
      </c>
      <c r="K84" t="s">
        <v>8</v>
      </c>
      <c r="L84">
        <v>3180155</v>
      </c>
      <c r="M84" t="s">
        <v>353</v>
      </c>
      <c r="N84" t="s">
        <v>421</v>
      </c>
      <c r="O84">
        <v>1</v>
      </c>
      <c r="P84">
        <v>2</v>
      </c>
      <c r="Q84">
        <v>-99</v>
      </c>
      <c r="R84" t="s">
        <v>661</v>
      </c>
    </row>
    <row r="85" spans="1:18" x14ac:dyDescent="0.2">
      <c r="A85">
        <v>84</v>
      </c>
      <c r="B85">
        <v>152</v>
      </c>
      <c r="C85" t="s">
        <v>186</v>
      </c>
      <c r="D85" t="s">
        <v>81</v>
      </c>
      <c r="E85" t="s">
        <v>633</v>
      </c>
      <c r="F85" t="s">
        <v>634</v>
      </c>
      <c r="G85" t="s">
        <v>663</v>
      </c>
      <c r="H85" t="s">
        <v>377</v>
      </c>
      <c r="I85">
        <v>380</v>
      </c>
      <c r="J85">
        <v>30</v>
      </c>
      <c r="K85" t="s">
        <v>376</v>
      </c>
      <c r="L85">
        <v>8234</v>
      </c>
      <c r="M85" t="s">
        <v>359</v>
      </c>
      <c r="N85" t="s">
        <v>423</v>
      </c>
      <c r="O85">
        <v>1</v>
      </c>
      <c r="P85">
        <v>2</v>
      </c>
      <c r="Q85">
        <v>-99</v>
      </c>
      <c r="R85" t="s">
        <v>689</v>
      </c>
    </row>
    <row r="86" spans="1:18" x14ac:dyDescent="0.2">
      <c r="A86">
        <v>85</v>
      </c>
      <c r="B86">
        <v>153</v>
      </c>
      <c r="C86" t="s">
        <v>92</v>
      </c>
      <c r="D86" t="s">
        <v>141</v>
      </c>
      <c r="E86" t="s">
        <v>635</v>
      </c>
      <c r="F86" t="s">
        <v>636</v>
      </c>
      <c r="G86" t="s">
        <v>663</v>
      </c>
      <c r="H86" t="s">
        <v>377</v>
      </c>
      <c r="I86">
        <v>380</v>
      </c>
      <c r="J86">
        <v>30</v>
      </c>
      <c r="K86" t="s">
        <v>376</v>
      </c>
      <c r="L86">
        <v>8236</v>
      </c>
      <c r="M86" t="s">
        <v>372</v>
      </c>
      <c r="N86" t="s">
        <v>424</v>
      </c>
      <c r="O86">
        <v>1</v>
      </c>
      <c r="P86">
        <v>2</v>
      </c>
      <c r="Q86">
        <v>-99</v>
      </c>
      <c r="R86" t="s">
        <v>689</v>
      </c>
    </row>
    <row r="87" spans="1:18" x14ac:dyDescent="0.2">
      <c r="A87">
        <v>86</v>
      </c>
      <c r="B87">
        <v>154</v>
      </c>
      <c r="C87" t="s">
        <v>188</v>
      </c>
      <c r="D87" t="s">
        <v>187</v>
      </c>
      <c r="E87" t="s">
        <v>637</v>
      </c>
      <c r="F87" t="s">
        <v>638</v>
      </c>
      <c r="G87" t="s">
        <v>667</v>
      </c>
      <c r="H87" t="s">
        <v>409</v>
      </c>
      <c r="I87">
        <v>383</v>
      </c>
      <c r="J87">
        <v>33</v>
      </c>
      <c r="K87" t="s">
        <v>392</v>
      </c>
      <c r="L87">
        <v>8265</v>
      </c>
      <c r="M87" t="s">
        <v>365</v>
      </c>
      <c r="N87" t="s">
        <v>425</v>
      </c>
      <c r="O87">
        <v>1</v>
      </c>
      <c r="P87">
        <v>2</v>
      </c>
      <c r="Q87">
        <v>-99</v>
      </c>
      <c r="R87" t="s">
        <v>689</v>
      </c>
    </row>
    <row r="88" spans="1:18" x14ac:dyDescent="0.2">
      <c r="A88">
        <v>87</v>
      </c>
      <c r="B88">
        <v>155</v>
      </c>
      <c r="C88" t="s">
        <v>189</v>
      </c>
      <c r="D88" t="s">
        <v>46</v>
      </c>
      <c r="E88" t="s">
        <v>639</v>
      </c>
      <c r="F88" t="s">
        <v>640</v>
      </c>
      <c r="G88" t="s">
        <v>665</v>
      </c>
      <c r="H88" t="s">
        <v>393</v>
      </c>
      <c r="I88">
        <v>382</v>
      </c>
      <c r="J88">
        <v>32</v>
      </c>
      <c r="K88" t="s">
        <v>397</v>
      </c>
      <c r="L88">
        <v>8266</v>
      </c>
      <c r="M88" t="s">
        <v>330</v>
      </c>
      <c r="N88" t="s">
        <v>426</v>
      </c>
      <c r="O88">
        <v>1</v>
      </c>
      <c r="P88">
        <v>2</v>
      </c>
      <c r="Q88">
        <v>-99</v>
      </c>
      <c r="R88" t="s">
        <v>689</v>
      </c>
    </row>
    <row r="89" spans="1:18" x14ac:dyDescent="0.2">
      <c r="A89">
        <v>88</v>
      </c>
      <c r="B89">
        <v>156</v>
      </c>
      <c r="C89" t="s">
        <v>190</v>
      </c>
      <c r="D89" t="s">
        <v>77</v>
      </c>
      <c r="E89" t="s">
        <v>641</v>
      </c>
      <c r="F89" t="s">
        <v>642</v>
      </c>
      <c r="G89" t="s">
        <v>665</v>
      </c>
      <c r="H89" t="s">
        <v>393</v>
      </c>
      <c r="I89">
        <v>382</v>
      </c>
      <c r="J89">
        <v>32</v>
      </c>
      <c r="K89" t="s">
        <v>397</v>
      </c>
      <c r="L89">
        <v>8267</v>
      </c>
      <c r="M89" t="s">
        <v>348</v>
      </c>
      <c r="N89" t="s">
        <v>427</v>
      </c>
      <c r="O89">
        <v>1</v>
      </c>
      <c r="P89">
        <v>2</v>
      </c>
      <c r="Q89">
        <v>-99</v>
      </c>
      <c r="R89" t="s">
        <v>689</v>
      </c>
    </row>
    <row r="90" spans="1:18" x14ac:dyDescent="0.2">
      <c r="A90">
        <v>89</v>
      </c>
      <c r="B90">
        <v>157</v>
      </c>
      <c r="C90" t="s">
        <v>680</v>
      </c>
      <c r="D90" t="s">
        <v>39</v>
      </c>
      <c r="E90" t="s">
        <v>643</v>
      </c>
      <c r="F90" t="s">
        <v>644</v>
      </c>
      <c r="G90" t="s">
        <v>667</v>
      </c>
      <c r="H90" t="s">
        <v>409</v>
      </c>
      <c r="I90">
        <v>383</v>
      </c>
      <c r="J90">
        <v>33</v>
      </c>
      <c r="K90" t="s">
        <v>392</v>
      </c>
      <c r="L90">
        <v>8271</v>
      </c>
      <c r="M90" t="s">
        <v>326</v>
      </c>
      <c r="N90" t="s">
        <v>428</v>
      </c>
      <c r="O90">
        <v>1</v>
      </c>
      <c r="P90">
        <v>2</v>
      </c>
      <c r="Q90">
        <v>-99</v>
      </c>
      <c r="R90" t="s">
        <v>689</v>
      </c>
    </row>
    <row r="91" spans="1:18" x14ac:dyDescent="0.2">
      <c r="A91">
        <v>90</v>
      </c>
      <c r="B91">
        <v>158</v>
      </c>
      <c r="C91" t="s">
        <v>191</v>
      </c>
      <c r="D91" t="s">
        <v>84</v>
      </c>
      <c r="E91" t="s">
        <v>645</v>
      </c>
      <c r="F91" t="s">
        <v>646</v>
      </c>
      <c r="G91" t="s">
        <v>665</v>
      </c>
      <c r="H91" t="s">
        <v>393</v>
      </c>
      <c r="I91">
        <v>382</v>
      </c>
      <c r="J91">
        <v>32</v>
      </c>
      <c r="K91" t="s">
        <v>397</v>
      </c>
      <c r="L91">
        <v>8209</v>
      </c>
      <c r="M91" t="s">
        <v>371</v>
      </c>
      <c r="N91" t="s">
        <v>429</v>
      </c>
      <c r="O91">
        <v>1</v>
      </c>
      <c r="P91">
        <v>2</v>
      </c>
      <c r="Q91">
        <v>-99</v>
      </c>
      <c r="R91" t="s">
        <v>689</v>
      </c>
    </row>
    <row r="92" spans="1:18" x14ac:dyDescent="0.2">
      <c r="A92">
        <v>91</v>
      </c>
      <c r="B92">
        <v>198</v>
      </c>
      <c r="C92" t="s">
        <v>192</v>
      </c>
      <c r="D92" t="s">
        <v>48</v>
      </c>
      <c r="E92" t="s">
        <v>647</v>
      </c>
      <c r="F92" t="s">
        <v>648</v>
      </c>
      <c r="G92" t="s">
        <v>667</v>
      </c>
      <c r="H92" t="s">
        <v>409</v>
      </c>
      <c r="I92">
        <v>383</v>
      </c>
      <c r="J92">
        <v>34</v>
      </c>
      <c r="K92" t="s">
        <v>411</v>
      </c>
      <c r="L92">
        <v>8224</v>
      </c>
      <c r="M92" t="s">
        <v>368</v>
      </c>
      <c r="N92" t="s">
        <v>435</v>
      </c>
      <c r="O92">
        <v>1</v>
      </c>
      <c r="P92">
        <v>2</v>
      </c>
      <c r="Q92">
        <v>-99</v>
      </c>
      <c r="R92" t="s">
        <v>689</v>
      </c>
    </row>
    <row r="93" spans="1:18" x14ac:dyDescent="0.2">
      <c r="A93">
        <v>92</v>
      </c>
      <c r="B93">
        <v>161</v>
      </c>
      <c r="C93" t="s">
        <v>193</v>
      </c>
      <c r="D93" t="s">
        <v>85</v>
      </c>
      <c r="E93" t="s">
        <v>649</v>
      </c>
      <c r="F93" t="s">
        <v>650</v>
      </c>
      <c r="G93" t="s">
        <v>663</v>
      </c>
      <c r="H93" t="s">
        <v>377</v>
      </c>
      <c r="I93">
        <v>380</v>
      </c>
      <c r="J93">
        <v>30</v>
      </c>
      <c r="K93" t="s">
        <v>376</v>
      </c>
      <c r="L93">
        <v>8225</v>
      </c>
      <c r="M93" t="s">
        <v>331</v>
      </c>
      <c r="N93" t="s">
        <v>430</v>
      </c>
      <c r="O93">
        <v>1</v>
      </c>
      <c r="P93">
        <v>2</v>
      </c>
      <c r="Q93">
        <v>-99</v>
      </c>
      <c r="R93" t="s">
        <v>689</v>
      </c>
    </row>
    <row r="94" spans="1:18" x14ac:dyDescent="0.2">
      <c r="A94">
        <v>93</v>
      </c>
      <c r="B94">
        <v>162</v>
      </c>
      <c r="C94" t="s">
        <v>194</v>
      </c>
      <c r="D94" t="s">
        <v>35</v>
      </c>
      <c r="E94" t="s">
        <v>651</v>
      </c>
      <c r="F94" t="s">
        <v>652</v>
      </c>
      <c r="G94" t="s">
        <v>667</v>
      </c>
      <c r="H94" t="s">
        <v>409</v>
      </c>
      <c r="I94">
        <v>383</v>
      </c>
      <c r="J94">
        <v>34</v>
      </c>
      <c r="K94" t="s">
        <v>411</v>
      </c>
      <c r="L94">
        <v>8227</v>
      </c>
      <c r="M94" t="s">
        <v>484</v>
      </c>
      <c r="N94" t="s">
        <v>431</v>
      </c>
      <c r="O94">
        <v>1</v>
      </c>
      <c r="P94">
        <v>2</v>
      </c>
      <c r="Q94">
        <v>-99</v>
      </c>
      <c r="R94" t="s">
        <v>689</v>
      </c>
    </row>
    <row r="95" spans="1:18" x14ac:dyDescent="0.2">
      <c r="A95">
        <v>94</v>
      </c>
      <c r="B95">
        <v>-99</v>
      </c>
      <c r="C95" t="s">
        <v>681</v>
      </c>
      <c r="D95" t="s">
        <v>8</v>
      </c>
      <c r="E95" t="s">
        <v>682</v>
      </c>
      <c r="F95" t="s">
        <v>230</v>
      </c>
      <c r="G95" t="s">
        <v>661</v>
      </c>
      <c r="H95" t="s">
        <v>8</v>
      </c>
      <c r="I95">
        <v>-99</v>
      </c>
      <c r="J95">
        <v>-99</v>
      </c>
      <c r="K95" t="s">
        <v>8</v>
      </c>
      <c r="L95">
        <v>-99</v>
      </c>
      <c r="M95" t="s">
        <v>661</v>
      </c>
      <c r="N95" t="s">
        <v>661</v>
      </c>
      <c r="O95">
        <v>-99</v>
      </c>
      <c r="P95">
        <v>-99</v>
      </c>
      <c r="Q95">
        <v>-99</v>
      </c>
      <c r="R95" t="s">
        <v>214</v>
      </c>
    </row>
    <row r="96" spans="1:18" x14ac:dyDescent="0.2">
      <c r="A96">
        <v>95</v>
      </c>
      <c r="B96">
        <v>-99</v>
      </c>
      <c r="C96" t="s">
        <v>681</v>
      </c>
      <c r="D96" t="s">
        <v>8</v>
      </c>
      <c r="E96" t="s">
        <v>683</v>
      </c>
      <c r="F96" t="s">
        <v>314</v>
      </c>
      <c r="G96" t="s">
        <v>661</v>
      </c>
      <c r="H96" t="s">
        <v>8</v>
      </c>
      <c r="I96">
        <v>-99</v>
      </c>
      <c r="J96">
        <v>-99</v>
      </c>
      <c r="K96" t="s">
        <v>8</v>
      </c>
      <c r="L96">
        <v>-99</v>
      </c>
      <c r="M96" t="s">
        <v>661</v>
      </c>
      <c r="N96" t="s">
        <v>661</v>
      </c>
      <c r="O96">
        <v>-99</v>
      </c>
      <c r="P96">
        <v>-99</v>
      </c>
      <c r="Q96">
        <v>-99</v>
      </c>
      <c r="R96" t="s">
        <v>686</v>
      </c>
    </row>
    <row r="97" spans="1:18" x14ac:dyDescent="0.2">
      <c r="A97">
        <v>96</v>
      </c>
      <c r="B97">
        <v>-99</v>
      </c>
      <c r="C97" t="s">
        <v>681</v>
      </c>
      <c r="D97" t="s">
        <v>8</v>
      </c>
      <c r="E97" t="s">
        <v>684</v>
      </c>
      <c r="F97" t="s">
        <v>313</v>
      </c>
      <c r="G97" t="s">
        <v>661</v>
      </c>
      <c r="H97" t="s">
        <v>8</v>
      </c>
      <c r="I97">
        <v>-99</v>
      </c>
      <c r="J97">
        <v>-99</v>
      </c>
      <c r="K97" t="s">
        <v>8</v>
      </c>
      <c r="L97">
        <v>-99</v>
      </c>
      <c r="M97" t="s">
        <v>661</v>
      </c>
      <c r="N97" t="s">
        <v>661</v>
      </c>
      <c r="O97">
        <v>-99</v>
      </c>
      <c r="P97">
        <v>-99</v>
      </c>
      <c r="Q97">
        <v>-99</v>
      </c>
      <c r="R97" t="s">
        <v>687</v>
      </c>
    </row>
    <row r="98" spans="1:18" x14ac:dyDescent="0.2">
      <c r="A98">
        <v>97</v>
      </c>
      <c r="B98">
        <v>-99</v>
      </c>
      <c r="C98" t="s">
        <v>673</v>
      </c>
      <c r="D98" t="s">
        <v>1063</v>
      </c>
      <c r="E98" t="s">
        <v>673</v>
      </c>
      <c r="F98" t="s">
        <v>1063</v>
      </c>
      <c r="G98" t="s">
        <v>661</v>
      </c>
      <c r="H98" t="s">
        <v>661</v>
      </c>
      <c r="I98">
        <v>-99</v>
      </c>
      <c r="J98">
        <v>35</v>
      </c>
      <c r="K98" t="s">
        <v>8</v>
      </c>
      <c r="L98">
        <v>-99</v>
      </c>
      <c r="M98" t="s">
        <v>661</v>
      </c>
      <c r="N98" t="s">
        <v>661</v>
      </c>
      <c r="O98">
        <v>-99</v>
      </c>
      <c r="P98">
        <v>-99</v>
      </c>
      <c r="Q98">
        <v>3</v>
      </c>
      <c r="R98" t="s">
        <v>661</v>
      </c>
    </row>
    <row r="99" spans="1:18" x14ac:dyDescent="0.2">
      <c r="A99">
        <v>98</v>
      </c>
      <c r="B99">
        <v>-99</v>
      </c>
      <c r="C99" t="s">
        <v>681</v>
      </c>
      <c r="D99" t="s">
        <v>8</v>
      </c>
      <c r="E99" t="s">
        <v>692</v>
      </c>
      <c r="F99" t="s">
        <v>693</v>
      </c>
      <c r="G99" t="s">
        <v>661</v>
      </c>
      <c r="H99" t="s">
        <v>8</v>
      </c>
      <c r="I99">
        <v>-99</v>
      </c>
      <c r="J99">
        <v>-99</v>
      </c>
      <c r="K99" t="s">
        <v>8</v>
      </c>
      <c r="L99">
        <v>-99</v>
      </c>
      <c r="M99" t="s">
        <v>661</v>
      </c>
      <c r="N99" t="s">
        <v>661</v>
      </c>
      <c r="O99">
        <v>-99</v>
      </c>
      <c r="P99">
        <v>-99</v>
      </c>
      <c r="Q99">
        <v>-99</v>
      </c>
      <c r="R99" t="s">
        <v>689</v>
      </c>
    </row>
    <row r="100" spans="1:18" x14ac:dyDescent="0.2">
      <c r="A100">
        <v>99</v>
      </c>
      <c r="B100">
        <v>250</v>
      </c>
      <c r="C100" t="s">
        <v>661</v>
      </c>
      <c r="D100" t="s">
        <v>35</v>
      </c>
      <c r="E100" t="s">
        <v>728</v>
      </c>
      <c r="F100" t="s">
        <v>694</v>
      </c>
      <c r="G100" t="s">
        <v>661</v>
      </c>
      <c r="H100" t="s">
        <v>409</v>
      </c>
      <c r="I100">
        <v>-99</v>
      </c>
      <c r="J100">
        <v>-99</v>
      </c>
      <c r="K100" t="s">
        <v>411</v>
      </c>
      <c r="L100">
        <v>-99</v>
      </c>
      <c r="M100" t="s">
        <v>661</v>
      </c>
      <c r="N100" t="s">
        <v>661</v>
      </c>
      <c r="O100">
        <v>-99</v>
      </c>
      <c r="P100">
        <v>-99</v>
      </c>
      <c r="Q100">
        <v>-99</v>
      </c>
      <c r="R100" t="s">
        <v>695</v>
      </c>
    </row>
    <row r="101" spans="1:18" x14ac:dyDescent="0.2">
      <c r="A101">
        <v>100</v>
      </c>
      <c r="B101">
        <v>256</v>
      </c>
      <c r="C101" t="s">
        <v>661</v>
      </c>
      <c r="D101" t="s">
        <v>218</v>
      </c>
      <c r="E101" t="s">
        <v>729</v>
      </c>
      <c r="F101" t="s">
        <v>696</v>
      </c>
      <c r="G101" t="s">
        <v>661</v>
      </c>
      <c r="H101" t="s">
        <v>393</v>
      </c>
      <c r="I101">
        <v>-99</v>
      </c>
      <c r="J101">
        <v>-99</v>
      </c>
      <c r="K101" t="s">
        <v>397</v>
      </c>
      <c r="L101">
        <v>-99</v>
      </c>
      <c r="M101" t="s">
        <v>661</v>
      </c>
      <c r="N101" t="s">
        <v>661</v>
      </c>
      <c r="O101">
        <v>-99</v>
      </c>
      <c r="P101">
        <v>-99</v>
      </c>
      <c r="Q101">
        <v>-99</v>
      </c>
      <c r="R101" t="s">
        <v>695</v>
      </c>
    </row>
    <row r="102" spans="1:18" x14ac:dyDescent="0.2">
      <c r="A102">
        <v>101</v>
      </c>
      <c r="B102">
        <v>257</v>
      </c>
      <c r="C102" t="s">
        <v>661</v>
      </c>
      <c r="D102" t="s">
        <v>215</v>
      </c>
      <c r="E102" t="s">
        <v>730</v>
      </c>
      <c r="F102" t="s">
        <v>697</v>
      </c>
      <c r="G102" t="s">
        <v>661</v>
      </c>
      <c r="H102" t="s">
        <v>393</v>
      </c>
      <c r="I102">
        <v>-99</v>
      </c>
      <c r="J102">
        <v>-99</v>
      </c>
      <c r="K102" t="s">
        <v>397</v>
      </c>
      <c r="L102">
        <v>-99</v>
      </c>
      <c r="M102" t="s">
        <v>661</v>
      </c>
      <c r="N102" t="s">
        <v>661</v>
      </c>
      <c r="O102">
        <v>-99</v>
      </c>
      <c r="P102">
        <v>-99</v>
      </c>
      <c r="Q102">
        <v>-99</v>
      </c>
      <c r="R102" t="s">
        <v>695</v>
      </c>
    </row>
    <row r="103" spans="1:18" x14ac:dyDescent="0.2">
      <c r="A103">
        <v>102</v>
      </c>
      <c r="B103">
        <v>258</v>
      </c>
      <c r="C103" t="s">
        <v>661</v>
      </c>
      <c r="D103" t="s">
        <v>216</v>
      </c>
      <c r="E103" t="s">
        <v>731</v>
      </c>
      <c r="F103" t="s">
        <v>698</v>
      </c>
      <c r="G103" t="s">
        <v>661</v>
      </c>
      <c r="H103" t="s">
        <v>377</v>
      </c>
      <c r="I103">
        <v>-99</v>
      </c>
      <c r="J103">
        <v>-99</v>
      </c>
      <c r="K103" t="s">
        <v>376</v>
      </c>
      <c r="L103">
        <v>-99</v>
      </c>
      <c r="M103" t="s">
        <v>661</v>
      </c>
      <c r="N103" t="s">
        <v>661</v>
      </c>
      <c r="O103">
        <v>-99</v>
      </c>
      <c r="P103">
        <v>-99</v>
      </c>
      <c r="Q103">
        <v>-99</v>
      </c>
      <c r="R103" t="s">
        <v>695</v>
      </c>
    </row>
    <row r="104" spans="1:18" x14ac:dyDescent="0.2">
      <c r="A104">
        <v>103</v>
      </c>
      <c r="B104">
        <v>259</v>
      </c>
      <c r="C104" t="s">
        <v>661</v>
      </c>
      <c r="D104" t="s">
        <v>141</v>
      </c>
      <c r="E104" t="s">
        <v>732</v>
      </c>
      <c r="F104" t="s">
        <v>699</v>
      </c>
      <c r="G104" t="s">
        <v>661</v>
      </c>
      <c r="H104" t="s">
        <v>377</v>
      </c>
      <c r="I104">
        <v>-99</v>
      </c>
      <c r="J104">
        <v>-99</v>
      </c>
      <c r="K104" t="s">
        <v>376</v>
      </c>
      <c r="L104">
        <v>-99</v>
      </c>
      <c r="M104" t="s">
        <v>661</v>
      </c>
      <c r="N104" t="s">
        <v>661</v>
      </c>
      <c r="O104">
        <v>-99</v>
      </c>
      <c r="P104">
        <v>-99</v>
      </c>
      <c r="Q104">
        <v>-99</v>
      </c>
      <c r="R104" t="s">
        <v>695</v>
      </c>
    </row>
    <row r="105" spans="1:18" x14ac:dyDescent="0.2">
      <c r="A105">
        <v>104</v>
      </c>
      <c r="B105">
        <v>260</v>
      </c>
      <c r="C105" t="s">
        <v>661</v>
      </c>
      <c r="D105" t="s">
        <v>49</v>
      </c>
      <c r="E105" t="s">
        <v>733</v>
      </c>
      <c r="F105" t="s">
        <v>700</v>
      </c>
      <c r="G105" t="s">
        <v>661</v>
      </c>
      <c r="H105" t="s">
        <v>393</v>
      </c>
      <c r="I105">
        <v>-99</v>
      </c>
      <c r="J105">
        <v>-99</v>
      </c>
      <c r="K105" t="s">
        <v>392</v>
      </c>
      <c r="L105">
        <v>-99</v>
      </c>
      <c r="M105" t="s">
        <v>661</v>
      </c>
      <c r="N105" t="s">
        <v>661</v>
      </c>
      <c r="O105">
        <v>-99</v>
      </c>
      <c r="P105">
        <v>-99</v>
      </c>
      <c r="Q105">
        <v>-99</v>
      </c>
      <c r="R105" t="s">
        <v>695</v>
      </c>
    </row>
    <row r="106" spans="1:18" x14ac:dyDescent="0.2">
      <c r="A106">
        <v>105</v>
      </c>
      <c r="B106">
        <v>261</v>
      </c>
      <c r="C106" t="s">
        <v>661</v>
      </c>
      <c r="D106" t="s">
        <v>68</v>
      </c>
      <c r="E106" t="s">
        <v>734</v>
      </c>
      <c r="F106" t="s">
        <v>701</v>
      </c>
      <c r="G106" t="s">
        <v>661</v>
      </c>
      <c r="H106" t="s">
        <v>377</v>
      </c>
      <c r="I106">
        <v>-99</v>
      </c>
      <c r="J106">
        <v>-99</v>
      </c>
      <c r="K106" t="s">
        <v>376</v>
      </c>
      <c r="L106">
        <v>-99</v>
      </c>
      <c r="M106" t="s">
        <v>661</v>
      </c>
      <c r="N106" t="s">
        <v>661</v>
      </c>
      <c r="O106">
        <v>-99</v>
      </c>
      <c r="P106">
        <v>-99</v>
      </c>
      <c r="Q106">
        <v>-99</v>
      </c>
      <c r="R106" t="s">
        <v>695</v>
      </c>
    </row>
  </sheetData>
  <sheetProtection autoFilter="0"/>
  <conditionalFormatting sqref="A2:A106">
    <cfRule type="duplicateValues" dxfId="3" priority="2"/>
  </conditionalFormatting>
  <conditionalFormatting sqref="B2:B106">
    <cfRule type="duplicateValues" dxfId="2"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470</v>
      </c>
      <c r="B1" t="s">
        <v>464</v>
      </c>
      <c r="C1" t="s">
        <v>471</v>
      </c>
      <c r="D1" t="s">
        <v>472</v>
      </c>
      <c r="E1" t="s">
        <v>499</v>
      </c>
    </row>
    <row r="2" spans="1:5" x14ac:dyDescent="0.2">
      <c r="A2" t="s">
        <v>332</v>
      </c>
      <c r="B2" t="s">
        <v>378</v>
      </c>
      <c r="C2" t="s">
        <v>378</v>
      </c>
      <c r="D2" t="s">
        <v>473</v>
      </c>
      <c r="E2" t="s">
        <v>376</v>
      </c>
    </row>
    <row r="3" spans="1:5" x14ac:dyDescent="0.2">
      <c r="A3" t="s">
        <v>364</v>
      </c>
      <c r="B3" t="s">
        <v>381</v>
      </c>
      <c r="C3" t="s">
        <v>381</v>
      </c>
      <c r="D3" t="s">
        <v>473</v>
      </c>
      <c r="E3" t="s">
        <v>376</v>
      </c>
    </row>
    <row r="4" spans="1:5" x14ac:dyDescent="0.2">
      <c r="A4" t="s">
        <v>359</v>
      </c>
      <c r="B4" t="s">
        <v>423</v>
      </c>
      <c r="C4" t="s">
        <v>423</v>
      </c>
      <c r="D4" t="s">
        <v>473</v>
      </c>
      <c r="E4" t="s">
        <v>376</v>
      </c>
    </row>
    <row r="5" spans="1:5" x14ac:dyDescent="0.2">
      <c r="A5" t="s">
        <v>338</v>
      </c>
      <c r="B5" t="s">
        <v>434</v>
      </c>
      <c r="C5" t="s">
        <v>434</v>
      </c>
      <c r="D5" t="s">
        <v>474</v>
      </c>
      <c r="E5" t="s">
        <v>387</v>
      </c>
    </row>
    <row r="6" spans="1:5" x14ac:dyDescent="0.2">
      <c r="A6" t="s">
        <v>362</v>
      </c>
      <c r="B6" t="s">
        <v>396</v>
      </c>
      <c r="C6" t="s">
        <v>396</v>
      </c>
      <c r="D6" t="s">
        <v>474</v>
      </c>
      <c r="E6" t="s">
        <v>392</v>
      </c>
    </row>
    <row r="7" spans="1:5" x14ac:dyDescent="0.2">
      <c r="A7" t="s">
        <v>365</v>
      </c>
      <c r="B7" t="s">
        <v>425</v>
      </c>
      <c r="C7" t="s">
        <v>425</v>
      </c>
      <c r="D7" t="s">
        <v>476</v>
      </c>
      <c r="E7" t="s">
        <v>392</v>
      </c>
    </row>
    <row r="8" spans="1:5" x14ac:dyDescent="0.2">
      <c r="A8" t="s">
        <v>340</v>
      </c>
      <c r="B8" t="s">
        <v>408</v>
      </c>
      <c r="C8" t="s">
        <v>408</v>
      </c>
      <c r="D8" t="s">
        <v>477</v>
      </c>
      <c r="E8" t="s">
        <v>397</v>
      </c>
    </row>
    <row r="9" spans="1:5" x14ac:dyDescent="0.2">
      <c r="A9" t="s">
        <v>357</v>
      </c>
      <c r="B9" t="s">
        <v>410</v>
      </c>
      <c r="C9" t="s">
        <v>410</v>
      </c>
      <c r="D9" t="s">
        <v>476</v>
      </c>
      <c r="E9" t="s">
        <v>392</v>
      </c>
    </row>
    <row r="10" spans="1:5" x14ac:dyDescent="0.2">
      <c r="A10" t="s">
        <v>485</v>
      </c>
      <c r="B10" t="s">
        <v>486</v>
      </c>
      <c r="C10" t="s">
        <v>315</v>
      </c>
      <c r="D10" t="s">
        <v>461</v>
      </c>
      <c r="E10" t="s">
        <v>8</v>
      </c>
    </row>
    <row r="11" spans="1:5" x14ac:dyDescent="0.2">
      <c r="A11" t="s">
        <v>366</v>
      </c>
      <c r="B11" t="s">
        <v>422</v>
      </c>
      <c r="C11" t="s">
        <v>422</v>
      </c>
      <c r="D11" t="s">
        <v>473</v>
      </c>
      <c r="E11" t="s">
        <v>376</v>
      </c>
    </row>
    <row r="12" spans="1:5" x14ac:dyDescent="0.2">
      <c r="A12" t="s">
        <v>344</v>
      </c>
      <c r="B12" t="s">
        <v>386</v>
      </c>
      <c r="C12" t="s">
        <v>386</v>
      </c>
      <c r="D12" t="s">
        <v>474</v>
      </c>
      <c r="E12" t="s">
        <v>376</v>
      </c>
    </row>
    <row r="13" spans="1:5" x14ac:dyDescent="0.2">
      <c r="A13" t="s">
        <v>349</v>
      </c>
      <c r="B13" t="s">
        <v>383</v>
      </c>
      <c r="C13" t="s">
        <v>383</v>
      </c>
      <c r="D13" t="s">
        <v>473</v>
      </c>
      <c r="E13" t="s">
        <v>376</v>
      </c>
    </row>
    <row r="14" spans="1:5" x14ac:dyDescent="0.2">
      <c r="A14" t="s">
        <v>347</v>
      </c>
      <c r="B14" t="s">
        <v>390</v>
      </c>
      <c r="C14" t="s">
        <v>390</v>
      </c>
      <c r="D14" t="s">
        <v>474</v>
      </c>
      <c r="E14" t="s">
        <v>387</v>
      </c>
    </row>
    <row r="15" spans="1:5" x14ac:dyDescent="0.2">
      <c r="A15" t="s">
        <v>337</v>
      </c>
      <c r="B15" t="s">
        <v>399</v>
      </c>
      <c r="C15" t="s">
        <v>399</v>
      </c>
      <c r="D15" t="s">
        <v>473</v>
      </c>
      <c r="E15" t="s">
        <v>397</v>
      </c>
    </row>
    <row r="16" spans="1:5" x14ac:dyDescent="0.2">
      <c r="A16" t="s">
        <v>351</v>
      </c>
      <c r="B16" t="s">
        <v>413</v>
      </c>
      <c r="C16" t="s">
        <v>413</v>
      </c>
      <c r="D16" t="s">
        <v>476</v>
      </c>
      <c r="E16" t="s">
        <v>392</v>
      </c>
    </row>
    <row r="17" spans="1:5" x14ac:dyDescent="0.2">
      <c r="A17" t="s">
        <v>487</v>
      </c>
      <c r="B17" t="s">
        <v>488</v>
      </c>
      <c r="C17" t="s">
        <v>315</v>
      </c>
      <c r="D17" t="s">
        <v>461</v>
      </c>
      <c r="E17" t="s">
        <v>8</v>
      </c>
    </row>
    <row r="18" spans="1:5" x14ac:dyDescent="0.2">
      <c r="A18" t="s">
        <v>363</v>
      </c>
      <c r="B18" t="s">
        <v>398</v>
      </c>
      <c r="C18" t="s">
        <v>398</v>
      </c>
      <c r="D18" t="s">
        <v>473</v>
      </c>
      <c r="E18" t="s">
        <v>397</v>
      </c>
    </row>
    <row r="19" spans="1:5" x14ac:dyDescent="0.2">
      <c r="A19" t="s">
        <v>356</v>
      </c>
      <c r="B19" t="s">
        <v>401</v>
      </c>
      <c r="C19" t="s">
        <v>401</v>
      </c>
      <c r="D19" t="s">
        <v>477</v>
      </c>
      <c r="E19" t="s">
        <v>397</v>
      </c>
    </row>
    <row r="20" spans="1:5" x14ac:dyDescent="0.2">
      <c r="A20" t="s">
        <v>346</v>
      </c>
      <c r="B20" t="s">
        <v>404</v>
      </c>
      <c r="C20" t="s">
        <v>404</v>
      </c>
      <c r="D20" t="s">
        <v>477</v>
      </c>
      <c r="E20" t="s">
        <v>397</v>
      </c>
    </row>
    <row r="21" spans="1:5" x14ac:dyDescent="0.2">
      <c r="A21" t="s">
        <v>371</v>
      </c>
      <c r="B21" t="s">
        <v>429</v>
      </c>
      <c r="C21" t="s">
        <v>429</v>
      </c>
      <c r="D21" t="s">
        <v>477</v>
      </c>
      <c r="E21" t="s">
        <v>397</v>
      </c>
    </row>
    <row r="22" spans="1:5" x14ac:dyDescent="0.2">
      <c r="A22" t="s">
        <v>342</v>
      </c>
      <c r="B22" t="s">
        <v>63</v>
      </c>
      <c r="C22" t="s">
        <v>63</v>
      </c>
      <c r="D22" t="s">
        <v>473</v>
      </c>
      <c r="E22" t="s">
        <v>376</v>
      </c>
    </row>
    <row r="23" spans="1:5" x14ac:dyDescent="0.2">
      <c r="A23" t="s">
        <v>355</v>
      </c>
      <c r="B23" t="s">
        <v>389</v>
      </c>
      <c r="C23" t="s">
        <v>389</v>
      </c>
      <c r="D23" t="s">
        <v>315</v>
      </c>
      <c r="E23" t="s">
        <v>376</v>
      </c>
    </row>
    <row r="24" spans="1:5" x14ac:dyDescent="0.2">
      <c r="A24" t="s">
        <v>350</v>
      </c>
      <c r="B24" t="s">
        <v>391</v>
      </c>
      <c r="C24" t="s">
        <v>391</v>
      </c>
      <c r="D24" t="s">
        <v>474</v>
      </c>
      <c r="E24" t="s">
        <v>387</v>
      </c>
    </row>
    <row r="25" spans="1:5" x14ac:dyDescent="0.2">
      <c r="A25" t="s">
        <v>348</v>
      </c>
      <c r="B25" t="s">
        <v>427</v>
      </c>
      <c r="C25" t="s">
        <v>427</v>
      </c>
      <c r="D25" t="s">
        <v>477</v>
      </c>
      <c r="E25" t="s">
        <v>397</v>
      </c>
    </row>
    <row r="26" spans="1:5" x14ac:dyDescent="0.2">
      <c r="A26" t="s">
        <v>325</v>
      </c>
      <c r="B26" t="s">
        <v>412</v>
      </c>
      <c r="C26" t="s">
        <v>412</v>
      </c>
      <c r="D26" t="s">
        <v>476</v>
      </c>
      <c r="E26" t="s">
        <v>411</v>
      </c>
    </row>
    <row r="27" spans="1:5" x14ac:dyDescent="0.2">
      <c r="A27" t="s">
        <v>326</v>
      </c>
      <c r="B27" t="s">
        <v>428</v>
      </c>
      <c r="C27" t="s">
        <v>428</v>
      </c>
      <c r="D27" t="s">
        <v>476</v>
      </c>
      <c r="E27" t="s">
        <v>392</v>
      </c>
    </row>
    <row r="28" spans="1:5" x14ac:dyDescent="0.2">
      <c r="A28" t="s">
        <v>360</v>
      </c>
      <c r="B28" t="s">
        <v>380</v>
      </c>
      <c r="C28" t="s">
        <v>380</v>
      </c>
      <c r="D28" t="s">
        <v>473</v>
      </c>
      <c r="E28" t="s">
        <v>376</v>
      </c>
    </row>
    <row r="29" spans="1:5" x14ac:dyDescent="0.2">
      <c r="A29" t="s">
        <v>475</v>
      </c>
      <c r="B29" t="s">
        <v>461</v>
      </c>
      <c r="C29" t="s">
        <v>315</v>
      </c>
      <c r="D29" t="s">
        <v>461</v>
      </c>
      <c r="E29" t="s">
        <v>8</v>
      </c>
    </row>
    <row r="30" spans="1:5" x14ac:dyDescent="0.2">
      <c r="A30" t="s">
        <v>372</v>
      </c>
      <c r="B30" t="s">
        <v>424</v>
      </c>
      <c r="C30" t="s">
        <v>424</v>
      </c>
      <c r="D30" t="s">
        <v>473</v>
      </c>
      <c r="E30" t="s">
        <v>376</v>
      </c>
    </row>
    <row r="31" spans="1:5" x14ac:dyDescent="0.2">
      <c r="A31" t="s">
        <v>353</v>
      </c>
      <c r="B31" t="s">
        <v>421</v>
      </c>
      <c r="C31" t="s">
        <v>421</v>
      </c>
      <c r="D31" t="s">
        <v>315</v>
      </c>
      <c r="E31" t="s">
        <v>376</v>
      </c>
    </row>
    <row r="32" spans="1:5" x14ac:dyDescent="0.2">
      <c r="A32" t="s">
        <v>333</v>
      </c>
      <c r="B32" t="s">
        <v>402</v>
      </c>
      <c r="C32" t="s">
        <v>402</v>
      </c>
      <c r="D32" t="s">
        <v>473</v>
      </c>
      <c r="E32" t="s">
        <v>397</v>
      </c>
    </row>
    <row r="33" spans="1:5" x14ac:dyDescent="0.2">
      <c r="A33" t="s">
        <v>330</v>
      </c>
      <c r="B33" t="s">
        <v>426</v>
      </c>
      <c r="C33" t="s">
        <v>426</v>
      </c>
      <c r="D33" t="s">
        <v>477</v>
      </c>
      <c r="E33" t="s">
        <v>397</v>
      </c>
    </row>
    <row r="34" spans="1:5" x14ac:dyDescent="0.2">
      <c r="A34" t="s">
        <v>352</v>
      </c>
      <c r="B34" t="s">
        <v>433</v>
      </c>
      <c r="C34" t="s">
        <v>433</v>
      </c>
      <c r="D34" t="s">
        <v>476</v>
      </c>
      <c r="E34" t="s">
        <v>411</v>
      </c>
    </row>
    <row r="35" spans="1:5" x14ac:dyDescent="0.2">
      <c r="A35" t="s">
        <v>341</v>
      </c>
      <c r="B35" t="s">
        <v>415</v>
      </c>
      <c r="C35" t="s">
        <v>415</v>
      </c>
      <c r="D35" t="s">
        <v>476</v>
      </c>
      <c r="E35" t="s">
        <v>411</v>
      </c>
    </row>
    <row r="36" spans="1:5" x14ac:dyDescent="0.2">
      <c r="A36" t="s">
        <v>368</v>
      </c>
      <c r="B36" t="s">
        <v>435</v>
      </c>
      <c r="C36" t="s">
        <v>435</v>
      </c>
      <c r="D36" t="s">
        <v>476</v>
      </c>
      <c r="E36" t="s">
        <v>411</v>
      </c>
    </row>
    <row r="37" spans="1:5" x14ac:dyDescent="0.2">
      <c r="A37" t="s">
        <v>484</v>
      </c>
      <c r="B37" t="s">
        <v>431</v>
      </c>
      <c r="C37" t="s">
        <v>431</v>
      </c>
      <c r="D37" t="s">
        <v>476</v>
      </c>
      <c r="E37" t="s">
        <v>411</v>
      </c>
    </row>
    <row r="38" spans="1:5" x14ac:dyDescent="0.2">
      <c r="A38" t="s">
        <v>482</v>
      </c>
      <c r="B38" t="s">
        <v>483</v>
      </c>
      <c r="C38" t="s">
        <v>315</v>
      </c>
      <c r="D38" t="s">
        <v>461</v>
      </c>
      <c r="E38" t="s">
        <v>8</v>
      </c>
    </row>
    <row r="39" spans="1:5" x14ac:dyDescent="0.2">
      <c r="A39" t="s">
        <v>358</v>
      </c>
      <c r="B39" t="s">
        <v>416</v>
      </c>
      <c r="C39" t="s">
        <v>416</v>
      </c>
      <c r="D39" t="s">
        <v>476</v>
      </c>
      <c r="E39" t="s">
        <v>411</v>
      </c>
    </row>
    <row r="40" spans="1:5" x14ac:dyDescent="0.2">
      <c r="A40" t="s">
        <v>491</v>
      </c>
      <c r="B40" t="s">
        <v>492</v>
      </c>
      <c r="C40" t="s">
        <v>315</v>
      </c>
      <c r="D40" t="s">
        <v>461</v>
      </c>
      <c r="E40" t="s">
        <v>8</v>
      </c>
    </row>
    <row r="41" spans="1:5" x14ac:dyDescent="0.2">
      <c r="A41" t="s">
        <v>478</v>
      </c>
      <c r="B41" t="s">
        <v>479</v>
      </c>
      <c r="C41" t="s">
        <v>315</v>
      </c>
      <c r="D41" t="s">
        <v>461</v>
      </c>
      <c r="E41" t="s">
        <v>8</v>
      </c>
    </row>
    <row r="42" spans="1:5" x14ac:dyDescent="0.2">
      <c r="A42" t="s">
        <v>367</v>
      </c>
      <c r="B42" t="s">
        <v>379</v>
      </c>
      <c r="C42" t="s">
        <v>379</v>
      </c>
      <c r="D42" t="s">
        <v>473</v>
      </c>
      <c r="E42" t="s">
        <v>376</v>
      </c>
    </row>
    <row r="43" spans="1:5" x14ac:dyDescent="0.2">
      <c r="A43" t="s">
        <v>328</v>
      </c>
      <c r="B43" t="s">
        <v>385</v>
      </c>
      <c r="C43" t="s">
        <v>385</v>
      </c>
      <c r="D43" t="s">
        <v>474</v>
      </c>
      <c r="E43" t="s">
        <v>376</v>
      </c>
    </row>
    <row r="44" spans="1:5" x14ac:dyDescent="0.2">
      <c r="A44" t="s">
        <v>331</v>
      </c>
      <c r="B44" t="s">
        <v>430</v>
      </c>
      <c r="C44" t="s">
        <v>430</v>
      </c>
      <c r="D44" t="s">
        <v>473</v>
      </c>
      <c r="E44" t="s">
        <v>376</v>
      </c>
    </row>
    <row r="45" spans="1:5" x14ac:dyDescent="0.2">
      <c r="A45" t="s">
        <v>361</v>
      </c>
      <c r="B45" t="s">
        <v>395</v>
      </c>
      <c r="C45" t="s">
        <v>395</v>
      </c>
      <c r="D45" t="s">
        <v>474</v>
      </c>
      <c r="E45" t="s">
        <v>387</v>
      </c>
    </row>
    <row r="46" spans="1:5" x14ac:dyDescent="0.2">
      <c r="A46" t="s">
        <v>343</v>
      </c>
      <c r="B46" t="s">
        <v>400</v>
      </c>
      <c r="C46" t="s">
        <v>400</v>
      </c>
      <c r="D46" t="s">
        <v>474</v>
      </c>
      <c r="E46" t="s">
        <v>387</v>
      </c>
    </row>
    <row r="47" spans="1:5" x14ac:dyDescent="0.2">
      <c r="A47" t="s">
        <v>370</v>
      </c>
      <c r="B47" t="s">
        <v>406</v>
      </c>
      <c r="C47" t="s">
        <v>406</v>
      </c>
      <c r="D47" t="s">
        <v>477</v>
      </c>
      <c r="E47" t="s">
        <v>397</v>
      </c>
    </row>
    <row r="48" spans="1:5" x14ac:dyDescent="0.2">
      <c r="A48" t="s">
        <v>345</v>
      </c>
      <c r="B48" t="s">
        <v>419</v>
      </c>
      <c r="C48" t="s">
        <v>419</v>
      </c>
      <c r="D48" t="s">
        <v>477</v>
      </c>
      <c r="E48" t="s">
        <v>392</v>
      </c>
    </row>
    <row r="49" spans="1:5" x14ac:dyDescent="0.2">
      <c r="A49" t="s">
        <v>334</v>
      </c>
      <c r="B49" t="s">
        <v>417</v>
      </c>
      <c r="C49" t="s">
        <v>417</v>
      </c>
      <c r="D49" t="s">
        <v>477</v>
      </c>
      <c r="E49" t="s">
        <v>392</v>
      </c>
    </row>
    <row r="50" spans="1:5" x14ac:dyDescent="0.2">
      <c r="A50" t="s">
        <v>339</v>
      </c>
      <c r="B50" t="s">
        <v>414</v>
      </c>
      <c r="C50" t="s">
        <v>414</v>
      </c>
      <c r="D50" t="s">
        <v>476</v>
      </c>
      <c r="E50" t="s">
        <v>411</v>
      </c>
    </row>
    <row r="51" spans="1:5" x14ac:dyDescent="0.2">
      <c r="A51" t="s">
        <v>327</v>
      </c>
      <c r="B51" t="s">
        <v>394</v>
      </c>
      <c r="C51" t="s">
        <v>394</v>
      </c>
      <c r="D51" t="s">
        <v>477</v>
      </c>
      <c r="E51" t="s">
        <v>392</v>
      </c>
    </row>
    <row r="52" spans="1:5" x14ac:dyDescent="0.2">
      <c r="A52" t="s">
        <v>480</v>
      </c>
      <c r="B52" t="s">
        <v>481</v>
      </c>
      <c r="C52" t="s">
        <v>315</v>
      </c>
      <c r="D52" t="s">
        <v>461</v>
      </c>
      <c r="E52" t="s">
        <v>8</v>
      </c>
    </row>
    <row r="53" spans="1:5" x14ac:dyDescent="0.2">
      <c r="A53" t="s">
        <v>489</v>
      </c>
      <c r="B53" t="s">
        <v>490</v>
      </c>
      <c r="C53" t="s">
        <v>315</v>
      </c>
      <c r="D53" t="s">
        <v>461</v>
      </c>
      <c r="E53" t="s">
        <v>8</v>
      </c>
    </row>
    <row r="54" spans="1:5" x14ac:dyDescent="0.2">
      <c r="A54" t="s">
        <v>354</v>
      </c>
      <c r="B54" t="s">
        <v>382</v>
      </c>
      <c r="C54" t="s">
        <v>382</v>
      </c>
      <c r="D54" t="s">
        <v>473</v>
      </c>
      <c r="E54" t="s">
        <v>376</v>
      </c>
    </row>
    <row r="55" spans="1:5" x14ac:dyDescent="0.2">
      <c r="A55" t="s">
        <v>369</v>
      </c>
      <c r="B55" t="s">
        <v>388</v>
      </c>
      <c r="C55" t="s">
        <v>388</v>
      </c>
      <c r="D55" t="s">
        <v>474</v>
      </c>
      <c r="E55" t="s">
        <v>387</v>
      </c>
    </row>
    <row r="56" spans="1:5" x14ac:dyDescent="0.2">
      <c r="A56" t="s">
        <v>324</v>
      </c>
      <c r="B56" t="s">
        <v>432</v>
      </c>
      <c r="C56" t="s">
        <v>432</v>
      </c>
      <c r="D56" t="s">
        <v>474</v>
      </c>
      <c r="E56" t="s">
        <v>387</v>
      </c>
    </row>
    <row r="57" spans="1:5" x14ac:dyDescent="0.2">
      <c r="A57" t="s">
        <v>323</v>
      </c>
      <c r="B57" t="s">
        <v>403</v>
      </c>
      <c r="C57" t="s">
        <v>403</v>
      </c>
      <c r="D57" t="s">
        <v>477</v>
      </c>
      <c r="E57" t="s">
        <v>397</v>
      </c>
    </row>
    <row r="58" spans="1:5" x14ac:dyDescent="0.2">
      <c r="A58" t="s">
        <v>329</v>
      </c>
      <c r="B58" t="s">
        <v>407</v>
      </c>
      <c r="C58" t="s">
        <v>407</v>
      </c>
      <c r="D58" t="s">
        <v>477</v>
      </c>
      <c r="E58" t="s">
        <v>397</v>
      </c>
    </row>
    <row r="59" spans="1:5" x14ac:dyDescent="0.2">
      <c r="A59" t="s">
        <v>335</v>
      </c>
      <c r="B59" t="s">
        <v>420</v>
      </c>
      <c r="C59" t="s">
        <v>420</v>
      </c>
      <c r="D59" t="s">
        <v>476</v>
      </c>
      <c r="E59" t="s">
        <v>411</v>
      </c>
    </row>
    <row r="60" spans="1:5" x14ac:dyDescent="0.2">
      <c r="A60" t="s">
        <v>322</v>
      </c>
      <c r="B60" t="s">
        <v>418</v>
      </c>
      <c r="C60" t="s">
        <v>418</v>
      </c>
      <c r="D60" t="s">
        <v>477</v>
      </c>
      <c r="E60" t="s">
        <v>392</v>
      </c>
    </row>
    <row r="61" spans="1:5" x14ac:dyDescent="0.2">
      <c r="A61" t="s">
        <v>336</v>
      </c>
      <c r="B61" t="s">
        <v>83</v>
      </c>
      <c r="C61" t="s">
        <v>83</v>
      </c>
      <c r="D61" t="s">
        <v>476</v>
      </c>
      <c r="E61" t="s">
        <v>411</v>
      </c>
    </row>
  </sheetData>
  <sheetProtection autoFilter="0"/>
  <conditionalFormatting sqref="A2:A61">
    <cfRule type="duplicateValues" dxfId="1"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 customWidth="1"/>
    <col min="4" max="4" width="1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1042</v>
      </c>
      <c r="C2" t="s">
        <v>444</v>
      </c>
      <c r="D2" t="s">
        <v>445</v>
      </c>
      <c r="E2" t="s">
        <v>446</v>
      </c>
      <c r="F2" t="s">
        <v>447</v>
      </c>
      <c r="G2" t="s">
        <v>448</v>
      </c>
      <c r="H2" t="s">
        <v>449</v>
      </c>
      <c r="I2" t="s">
        <v>450</v>
      </c>
      <c r="J2" t="s">
        <v>451</v>
      </c>
      <c r="K2" t="s">
        <v>452</v>
      </c>
      <c r="L2" t="s">
        <v>453</v>
      </c>
      <c r="M2" t="s">
        <v>454</v>
      </c>
      <c r="N2" t="s">
        <v>455</v>
      </c>
      <c r="O2" t="s">
        <v>456</v>
      </c>
      <c r="P2" t="s">
        <v>457</v>
      </c>
      <c r="Q2" t="s">
        <v>459</v>
      </c>
    </row>
    <row r="3" spans="2:33" x14ac:dyDescent="0.2">
      <c r="B3" t="s">
        <v>392</v>
      </c>
      <c r="C3" t="s">
        <v>418</v>
      </c>
      <c r="D3" t="s">
        <v>410</v>
      </c>
      <c r="E3" t="s">
        <v>394</v>
      </c>
      <c r="F3" t="s">
        <v>396</v>
      </c>
      <c r="G3" t="s">
        <v>425</v>
      </c>
      <c r="H3" t="s">
        <v>419</v>
      </c>
      <c r="I3" t="s">
        <v>417</v>
      </c>
      <c r="J3" t="s">
        <v>413</v>
      </c>
      <c r="K3" t="s">
        <v>428</v>
      </c>
      <c r="L3" t="s">
        <v>458</v>
      </c>
      <c r="M3" t="s">
        <v>458</v>
      </c>
      <c r="N3" t="s">
        <v>458</v>
      </c>
      <c r="O3" t="s">
        <v>458</v>
      </c>
      <c r="P3" t="s">
        <v>458</v>
      </c>
      <c r="Q3" t="s">
        <v>458</v>
      </c>
      <c r="S3" s="14" t="s">
        <v>418</v>
      </c>
      <c r="T3" s="14" t="s">
        <v>410</v>
      </c>
      <c r="U3" s="14" t="s">
        <v>394</v>
      </c>
      <c r="V3" s="14" t="s">
        <v>396</v>
      </c>
      <c r="W3" s="14" t="s">
        <v>425</v>
      </c>
      <c r="X3" s="14" t="s">
        <v>419</v>
      </c>
      <c r="Y3" s="14" t="s">
        <v>417</v>
      </c>
      <c r="Z3" s="14" t="s">
        <v>413</v>
      </c>
      <c r="AA3" s="14" t="s">
        <v>428</v>
      </c>
      <c r="AB3" s="14"/>
      <c r="AC3" s="14"/>
      <c r="AD3" s="14"/>
      <c r="AE3" s="14"/>
      <c r="AF3" s="15"/>
      <c r="AG3" s="15"/>
    </row>
    <row r="4" spans="2:33" x14ac:dyDescent="0.2">
      <c r="B4" t="s">
        <v>397</v>
      </c>
      <c r="C4" t="s">
        <v>401</v>
      </c>
      <c r="D4" t="s">
        <v>399</v>
      </c>
      <c r="E4" t="s">
        <v>406</v>
      </c>
      <c r="F4" t="s">
        <v>429</v>
      </c>
      <c r="G4" t="s">
        <v>402</v>
      </c>
      <c r="H4" t="s">
        <v>408</v>
      </c>
      <c r="I4" t="s">
        <v>404</v>
      </c>
      <c r="J4" t="s">
        <v>407</v>
      </c>
      <c r="K4" t="s">
        <v>426</v>
      </c>
      <c r="L4" t="s">
        <v>398</v>
      </c>
      <c r="M4" t="s">
        <v>427</v>
      </c>
      <c r="N4" t="s">
        <v>403</v>
      </c>
      <c r="O4" t="s">
        <v>458</v>
      </c>
      <c r="P4" t="s">
        <v>458</v>
      </c>
      <c r="Q4" t="s">
        <v>458</v>
      </c>
      <c r="S4" s="14" t="s">
        <v>401</v>
      </c>
      <c r="T4" s="14" t="s">
        <v>399</v>
      </c>
      <c r="U4" s="14" t="s">
        <v>406</v>
      </c>
      <c r="V4" s="14" t="s">
        <v>429</v>
      </c>
      <c r="W4" s="14" t="s">
        <v>402</v>
      </c>
      <c r="X4" s="14" t="s">
        <v>408</v>
      </c>
      <c r="Y4" s="14" t="s">
        <v>404</v>
      </c>
      <c r="Z4" s="14" t="s">
        <v>407</v>
      </c>
      <c r="AA4" s="14" t="s">
        <v>426</v>
      </c>
      <c r="AB4" s="14" t="s">
        <v>398</v>
      </c>
      <c r="AC4" s="14" t="s">
        <v>427</v>
      </c>
      <c r="AD4" s="14" t="s">
        <v>403</v>
      </c>
      <c r="AE4" s="14"/>
      <c r="AF4" s="15"/>
      <c r="AG4" s="15"/>
    </row>
    <row r="5" spans="2:33" x14ac:dyDescent="0.2">
      <c r="B5" t="s">
        <v>376</v>
      </c>
      <c r="C5" t="s">
        <v>380</v>
      </c>
      <c r="D5" t="s">
        <v>430</v>
      </c>
      <c r="E5" t="s">
        <v>421</v>
      </c>
      <c r="F5" t="s">
        <v>423</v>
      </c>
      <c r="G5" t="s">
        <v>383</v>
      </c>
      <c r="H5" t="s">
        <v>378</v>
      </c>
      <c r="I5" t="s">
        <v>422</v>
      </c>
      <c r="J5" t="s">
        <v>381</v>
      </c>
      <c r="K5" t="s">
        <v>63</v>
      </c>
      <c r="L5" t="s">
        <v>389</v>
      </c>
      <c r="M5" t="s">
        <v>382</v>
      </c>
      <c r="N5" t="s">
        <v>379</v>
      </c>
      <c r="O5" t="s">
        <v>424</v>
      </c>
      <c r="P5" t="s">
        <v>385</v>
      </c>
      <c r="Q5" t="s">
        <v>386</v>
      </c>
      <c r="S5" s="14" t="s">
        <v>380</v>
      </c>
      <c r="T5" s="14" t="s">
        <v>430</v>
      </c>
      <c r="U5" s="14" t="s">
        <v>421</v>
      </c>
      <c r="V5" s="14" t="s">
        <v>423</v>
      </c>
      <c r="W5" s="14" t="s">
        <v>383</v>
      </c>
      <c r="X5" s="14" t="s">
        <v>378</v>
      </c>
      <c r="Y5" s="14" t="s">
        <v>422</v>
      </c>
      <c r="Z5" s="14" t="s">
        <v>381</v>
      </c>
      <c r="AA5" s="14" t="s">
        <v>63</v>
      </c>
      <c r="AB5" s="14" t="s">
        <v>389</v>
      </c>
      <c r="AC5" s="14" t="s">
        <v>382</v>
      </c>
      <c r="AD5" s="14" t="s">
        <v>379</v>
      </c>
      <c r="AE5" s="14" t="s">
        <v>424</v>
      </c>
      <c r="AF5" s="15" t="s">
        <v>385</v>
      </c>
      <c r="AG5" s="15" t="s">
        <v>386</v>
      </c>
    </row>
    <row r="6" spans="2:33" x14ac:dyDescent="0.2">
      <c r="B6" t="s">
        <v>411</v>
      </c>
      <c r="C6" t="s">
        <v>431</v>
      </c>
      <c r="D6" t="s">
        <v>433</v>
      </c>
      <c r="E6" t="s">
        <v>414</v>
      </c>
      <c r="F6" t="s">
        <v>435</v>
      </c>
      <c r="G6" t="s">
        <v>415</v>
      </c>
      <c r="H6" t="s">
        <v>420</v>
      </c>
      <c r="I6" t="s">
        <v>412</v>
      </c>
      <c r="J6" t="s">
        <v>416</v>
      </c>
      <c r="K6" t="s">
        <v>83</v>
      </c>
      <c r="L6" t="s">
        <v>458</v>
      </c>
      <c r="M6" t="s">
        <v>458</v>
      </c>
      <c r="N6" t="s">
        <v>458</v>
      </c>
      <c r="O6" t="s">
        <v>458</v>
      </c>
      <c r="P6" t="s">
        <v>458</v>
      </c>
      <c r="Q6" t="s">
        <v>458</v>
      </c>
      <c r="S6" s="14" t="s">
        <v>431</v>
      </c>
      <c r="T6" s="14" t="s">
        <v>433</v>
      </c>
      <c r="U6" s="14" t="s">
        <v>414</v>
      </c>
      <c r="V6" s="14" t="s">
        <v>435</v>
      </c>
      <c r="W6" s="14" t="s">
        <v>415</v>
      </c>
      <c r="X6" s="14" t="s">
        <v>420</v>
      </c>
      <c r="Y6" s="14" t="s">
        <v>412</v>
      </c>
      <c r="Z6" s="14" t="s">
        <v>416</v>
      </c>
      <c r="AA6" s="14" t="s">
        <v>83</v>
      </c>
      <c r="AB6" s="14"/>
      <c r="AC6" s="14"/>
      <c r="AD6" s="14"/>
      <c r="AE6" s="14"/>
      <c r="AF6" s="15"/>
      <c r="AG6" s="15"/>
    </row>
    <row r="7" spans="2:33" x14ac:dyDescent="0.2">
      <c r="B7" t="s">
        <v>387</v>
      </c>
      <c r="C7" t="s">
        <v>395</v>
      </c>
      <c r="D7" t="s">
        <v>432</v>
      </c>
      <c r="E7" t="s">
        <v>388</v>
      </c>
      <c r="F7" t="s">
        <v>400</v>
      </c>
      <c r="G7" t="s">
        <v>434</v>
      </c>
      <c r="H7" t="s">
        <v>390</v>
      </c>
      <c r="I7" t="s">
        <v>391</v>
      </c>
      <c r="J7" t="s">
        <v>458</v>
      </c>
      <c r="K7" t="s">
        <v>458</v>
      </c>
      <c r="L7" t="s">
        <v>458</v>
      </c>
      <c r="M7" t="s">
        <v>458</v>
      </c>
      <c r="N7" t="s">
        <v>458</v>
      </c>
      <c r="O7" t="s">
        <v>458</v>
      </c>
      <c r="P7" t="s">
        <v>458</v>
      </c>
      <c r="Q7" t="s">
        <v>458</v>
      </c>
      <c r="S7" s="14" t="s">
        <v>395</v>
      </c>
      <c r="T7" s="14" t="s">
        <v>432</v>
      </c>
      <c r="U7" s="14" t="s">
        <v>388</v>
      </c>
      <c r="V7" s="14" t="s">
        <v>400</v>
      </c>
      <c r="W7" s="14" t="s">
        <v>434</v>
      </c>
      <c r="X7" s="14" t="s">
        <v>390</v>
      </c>
      <c r="Y7" s="14" t="s">
        <v>391</v>
      </c>
      <c r="Z7" s="14"/>
      <c r="AA7" s="14"/>
      <c r="AB7" s="14"/>
      <c r="AC7" s="14"/>
      <c r="AD7" s="14"/>
      <c r="AE7" s="14"/>
      <c r="AF7" s="15"/>
      <c r="AG7" s="15"/>
    </row>
    <row r="8" spans="2:33" x14ac:dyDescent="0.2">
      <c r="B8" t="s">
        <v>8</v>
      </c>
      <c r="C8" t="s">
        <v>8</v>
      </c>
      <c r="D8" t="s">
        <v>458</v>
      </c>
      <c r="E8" t="s">
        <v>458</v>
      </c>
      <c r="F8" t="s">
        <v>458</v>
      </c>
      <c r="G8" t="s">
        <v>458</v>
      </c>
      <c r="H8" t="s">
        <v>458</v>
      </c>
      <c r="I8" t="s">
        <v>458</v>
      </c>
      <c r="J8" t="s">
        <v>458</v>
      </c>
      <c r="K8" t="s">
        <v>458</v>
      </c>
      <c r="L8" t="s">
        <v>458</v>
      </c>
      <c r="M8" t="s">
        <v>458</v>
      </c>
      <c r="N8" t="s">
        <v>458</v>
      </c>
      <c r="O8" t="s">
        <v>458</v>
      </c>
      <c r="P8" t="s">
        <v>458</v>
      </c>
      <c r="Q8" t="s">
        <v>458</v>
      </c>
      <c r="S8" s="16" t="s">
        <v>8</v>
      </c>
      <c r="T8" s="16"/>
      <c r="U8" s="16"/>
      <c r="V8" s="16"/>
      <c r="W8" s="16"/>
      <c r="X8" s="16"/>
      <c r="Y8" s="16"/>
      <c r="Z8" s="16"/>
      <c r="AA8" s="16"/>
      <c r="AB8" s="16"/>
      <c r="AC8" s="16"/>
      <c r="AD8" s="16"/>
      <c r="AE8" s="16"/>
      <c r="AF8" s="17"/>
      <c r="AG8" s="17"/>
    </row>
    <row r="10" spans="2:33" x14ac:dyDescent="0.2">
      <c r="B10" t="s">
        <v>443</v>
      </c>
      <c r="C10" t="s">
        <v>444</v>
      </c>
      <c r="D10" t="s">
        <v>445</v>
      </c>
      <c r="E10" t="s">
        <v>446</v>
      </c>
      <c r="F10" t="s">
        <v>447</v>
      </c>
      <c r="G10" t="s">
        <v>448</v>
      </c>
      <c r="H10" t="s">
        <v>449</v>
      </c>
      <c r="I10" t="s">
        <v>450</v>
      </c>
      <c r="J10" t="s">
        <v>451</v>
      </c>
      <c r="K10" t="s">
        <v>452</v>
      </c>
      <c r="L10" t="s">
        <v>453</v>
      </c>
      <c r="M10" t="s">
        <v>454</v>
      </c>
      <c r="N10" t="s">
        <v>455</v>
      </c>
      <c r="O10" t="s">
        <v>456</v>
      </c>
      <c r="P10" t="s">
        <v>457</v>
      </c>
      <c r="Q10" t="s">
        <v>459</v>
      </c>
      <c r="R10" t="s">
        <v>460</v>
      </c>
    </row>
    <row r="11" spans="2:33" x14ac:dyDescent="0.2">
      <c r="B11" t="s">
        <v>392</v>
      </c>
      <c r="C11" t="s">
        <v>644</v>
      </c>
      <c r="D11" t="s">
        <v>591</v>
      </c>
      <c r="E11" t="s">
        <v>638</v>
      </c>
      <c r="F11" t="s">
        <v>626</v>
      </c>
      <c r="G11" t="s">
        <v>562</v>
      </c>
      <c r="H11" t="s">
        <v>614</v>
      </c>
      <c r="I11" t="s">
        <v>616</v>
      </c>
      <c r="J11" t="s">
        <v>558</v>
      </c>
      <c r="K11" t="s">
        <v>595</v>
      </c>
      <c r="L11" t="s">
        <v>612</v>
      </c>
      <c r="M11" t="s">
        <v>458</v>
      </c>
      <c r="N11" t="s">
        <v>458</v>
      </c>
      <c r="O11" t="s">
        <v>458</v>
      </c>
      <c r="P11" t="s">
        <v>458</v>
      </c>
      <c r="Q11" t="s">
        <v>458</v>
      </c>
      <c r="R11" t="s">
        <v>458</v>
      </c>
    </row>
    <row r="12" spans="2:33" x14ac:dyDescent="0.2">
      <c r="B12" t="s">
        <v>397</v>
      </c>
      <c r="C12" t="s">
        <v>574</v>
      </c>
      <c r="D12" t="s">
        <v>566</v>
      </c>
      <c r="E12" t="s">
        <v>583</v>
      </c>
      <c r="F12" t="s">
        <v>576</v>
      </c>
      <c r="G12" t="s">
        <v>640</v>
      </c>
      <c r="H12" t="s">
        <v>568</v>
      </c>
      <c r="I12" t="s">
        <v>585</v>
      </c>
      <c r="J12" t="s">
        <v>578</v>
      </c>
      <c r="K12" t="s">
        <v>642</v>
      </c>
      <c r="L12" t="s">
        <v>581</v>
      </c>
      <c r="M12" t="s">
        <v>587</v>
      </c>
      <c r="N12" t="s">
        <v>646</v>
      </c>
      <c r="O12" t="s">
        <v>458</v>
      </c>
      <c r="P12" t="s">
        <v>458</v>
      </c>
      <c r="Q12" t="s">
        <v>458</v>
      </c>
      <c r="R12" t="s">
        <v>458</v>
      </c>
    </row>
    <row r="13" spans="2:33" x14ac:dyDescent="0.2">
      <c r="B13" t="s">
        <v>376</v>
      </c>
      <c r="C13" t="s">
        <v>540</v>
      </c>
      <c r="D13" t="s">
        <v>519</v>
      </c>
      <c r="E13" t="s">
        <v>527</v>
      </c>
      <c r="F13" t="s">
        <v>529</v>
      </c>
      <c r="G13" t="s">
        <v>544</v>
      </c>
      <c r="H13" t="s">
        <v>629</v>
      </c>
      <c r="I13" t="s">
        <v>525</v>
      </c>
      <c r="J13" t="s">
        <v>531</v>
      </c>
      <c r="K13" t="s">
        <v>533</v>
      </c>
      <c r="L13" t="s">
        <v>536</v>
      </c>
      <c r="M13" t="s">
        <v>521</v>
      </c>
      <c r="N13" t="s">
        <v>542</v>
      </c>
      <c r="O13" t="s">
        <v>634</v>
      </c>
      <c r="P13" t="s">
        <v>636</v>
      </c>
      <c r="Q13" t="s">
        <v>650</v>
      </c>
      <c r="R13" t="s">
        <v>550</v>
      </c>
    </row>
    <row r="14" spans="2:33" x14ac:dyDescent="0.2">
      <c r="B14" t="s">
        <v>411</v>
      </c>
      <c r="C14" t="s">
        <v>593</v>
      </c>
      <c r="D14" t="s">
        <v>652</v>
      </c>
      <c r="E14" t="s">
        <v>608</v>
      </c>
      <c r="F14" t="s">
        <v>648</v>
      </c>
      <c r="G14" t="s">
        <v>600</v>
      </c>
      <c r="H14" t="s">
        <v>622</v>
      </c>
      <c r="I14" t="s">
        <v>598</v>
      </c>
      <c r="J14" t="s">
        <v>602</v>
      </c>
      <c r="K14" t="s">
        <v>610</v>
      </c>
      <c r="L14" t="s">
        <v>618</v>
      </c>
      <c r="M14" t="s">
        <v>631</v>
      </c>
      <c r="N14" t="s">
        <v>604</v>
      </c>
      <c r="O14" t="s">
        <v>458</v>
      </c>
      <c r="P14" t="s">
        <v>458</v>
      </c>
      <c r="Q14" t="s">
        <v>458</v>
      </c>
      <c r="R14" t="s">
        <v>458</v>
      </c>
    </row>
    <row r="15" spans="2:33" x14ac:dyDescent="0.2">
      <c r="B15" t="s">
        <v>387</v>
      </c>
      <c r="C15" t="s">
        <v>546</v>
      </c>
      <c r="D15" t="s">
        <v>554</v>
      </c>
      <c r="E15" t="s">
        <v>570</v>
      </c>
      <c r="F15" t="s">
        <v>560</v>
      </c>
      <c r="G15" t="s">
        <v>556</v>
      </c>
      <c r="H15" t="s">
        <v>620</v>
      </c>
      <c r="I15" t="s">
        <v>548</v>
      </c>
      <c r="J15" t="s">
        <v>458</v>
      </c>
      <c r="K15" t="s">
        <v>458</v>
      </c>
      <c r="L15" t="s">
        <v>458</v>
      </c>
      <c r="M15" t="s">
        <v>458</v>
      </c>
      <c r="N15" t="s">
        <v>458</v>
      </c>
      <c r="O15" t="s">
        <v>458</v>
      </c>
      <c r="P15" t="s">
        <v>458</v>
      </c>
      <c r="Q15" t="s">
        <v>458</v>
      </c>
      <c r="R15" t="s">
        <v>458</v>
      </c>
    </row>
    <row r="16" spans="2:33" x14ac:dyDescent="0.2">
      <c r="B16" t="s">
        <v>8</v>
      </c>
      <c r="C16" t="s">
        <v>458</v>
      </c>
      <c r="D16" t="s">
        <v>458</v>
      </c>
      <c r="E16" t="s">
        <v>458</v>
      </c>
      <c r="F16" t="s">
        <v>458</v>
      </c>
      <c r="G16" t="s">
        <v>458</v>
      </c>
      <c r="H16" t="s">
        <v>458</v>
      </c>
      <c r="I16" t="s">
        <v>458</v>
      </c>
      <c r="J16" t="s">
        <v>458</v>
      </c>
      <c r="K16" t="s">
        <v>458</v>
      </c>
      <c r="L16" t="s">
        <v>458</v>
      </c>
      <c r="M16" t="s">
        <v>458</v>
      </c>
      <c r="N16" t="s">
        <v>458</v>
      </c>
      <c r="O16" t="s">
        <v>458</v>
      </c>
      <c r="P16" t="s">
        <v>458</v>
      </c>
      <c r="Q16" t="s">
        <v>458</v>
      </c>
      <c r="R16" t="s">
        <v>458</v>
      </c>
    </row>
    <row r="19" spans="2:4" x14ac:dyDescent="0.2">
      <c r="B19" t="s">
        <v>980</v>
      </c>
      <c r="C19" t="s">
        <v>981</v>
      </c>
      <c r="D19" t="s">
        <v>982</v>
      </c>
    </row>
    <row r="20" spans="2:4" x14ac:dyDescent="0.2">
      <c r="B20" s="152">
        <v>42308</v>
      </c>
      <c r="C20">
        <v>24045</v>
      </c>
      <c r="D20">
        <v>10</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371243</CP_Inventory>
    <Fiscal_Year xmlns="c9744be7-b815-40bc-84fa-afc9c406d9bc">2016</Fiscal_Year>
    <CP_Backlog xmlns="c9744be7-b815-40bc-84fa-afc9c406d9bc">75473</CP_Backlog>
    <Creation_date xmlns="c9744be7-b815-40bc-84fa-afc9c406d9bc">2015-10-19T00:00:00-04:00</Creation_date>
    <Data_date xmlns="c9744be7-b815-40bc-84fa-afc9c406d9bc">2015-10-17T00:00:00-04:00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fef9c9dc-374b-4157-9e06-089f148416e5"/>
    <ds:schemaRef ds:uri="http://schemas.openxmlformats.org/package/2006/metadata/core-properties"/>
    <ds:schemaRef ds:uri="http://schemas.microsoft.com/office/infopath/2007/PartnerControls"/>
    <ds:schemaRef ds:uri="http://purl.org/dc/elements/1.1/"/>
    <ds:schemaRef ds:uri="http://purl.org/dc/dcmitype/"/>
    <ds:schemaRef ds:uri="http://purl.org/dc/terms/"/>
    <ds:schemaRef ds:uri="c9744be7-b815-40bc-84fa-afc9c406d9bc"/>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October 19,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Mikuliak, Alex, VBAVACO</cp:lastModifiedBy>
  <cp:lastPrinted>2015-06-19T18:10:05Z</cp:lastPrinted>
  <dcterms:created xsi:type="dcterms:W3CDTF">2009-08-25T18:46:26Z</dcterms:created>
  <dcterms:modified xsi:type="dcterms:W3CDTF">2015-11-02T22:32:23Z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Date Reviewed">
    <vt:lpwstr>20150302</vt:lpwstr>
  </property>
  <property fmtid="{D5CDD505-2E9C-101B-9397-08002B2CF9AE}" pid="6" name="Type">
    <vt:lpwstr>Report</vt:lpwstr>
  </property>
  <property fmtid="{D5CDD505-2E9C-101B-9397-08002B2CF9AE}" pid="7" name="ContentTypeId">
    <vt:lpwstr>0x0101005FE5213B5EDB884398141553EBAD7133</vt:lpwstr>
  </property>
  <property fmtid="{D5CDD505-2E9C-101B-9397-08002B2CF9AE}" pid="8" name="_dlc_DocIdItemGuid">
    <vt:lpwstr>b35c4e0f-4bb3-4860-9a7e-1b9831f94b05</vt:lpwstr>
  </property>
</Properties>
</file>