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<sst xmlns="http://schemas.openxmlformats.org/spreadsheetml/2006/main" count="4090" uniqueCount="1066">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</sst>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3" t="s">
        <v>309</v>
      </c>
      <c r="B1" s="274"/>
      <c r="C1" s="274"/>
      <c r="D1" s="274"/>
      <c r="E1" s="274"/>
      <c r="F1" s="274"/>
      <c r="G1" s="274"/>
      <c r="H1" s="274"/>
      <c r="I1" s="274"/>
      <c r="J1" s="274"/>
      <c r="K1" s="274"/>
      <c r="L1" s="274"/>
      <c r="M1" s="274"/>
      <c r="N1" s="274"/>
      <c r="O1" s="274"/>
      <c r="P1" s="275"/>
    </row>
    <row r="2" spans="1:16" ht="29.25" customHeight="1" x14ac:dyDescent="0.2">
      <c r="A2" s="267" t="s">
        <v>311</v>
      </c>
      <c r="B2" s="268"/>
      <c r="C2" s="268"/>
      <c r="D2" s="268"/>
      <c r="E2" s="268"/>
      <c r="F2" s="268"/>
      <c r="G2" s="268"/>
      <c r="H2" s="268"/>
      <c r="I2" s="268"/>
      <c r="J2" s="268"/>
      <c r="K2" s="268"/>
      <c r="L2" s="268"/>
      <c r="M2" s="268"/>
      <c r="N2" s="269"/>
      <c r="O2" s="276"/>
      <c r="P2" s="277"/>
    </row>
    <row r="3" spans="1:16" x14ac:dyDescent="0.2">
      <c r="A3" s="267"/>
      <c r="B3" s="268"/>
      <c r="C3" s="268"/>
      <c r="D3" s="268"/>
      <c r="E3" s="268"/>
      <c r="F3" s="268"/>
      <c r="G3" s="268"/>
      <c r="H3" s="268"/>
      <c r="I3" s="268"/>
      <c r="J3" s="268"/>
      <c r="K3" s="268"/>
      <c r="L3" s="268"/>
      <c r="M3" s="268"/>
      <c r="N3" s="269"/>
      <c r="O3" s="278"/>
      <c r="P3" s="279"/>
    </row>
    <row r="4" spans="1:16" x14ac:dyDescent="0.2">
      <c r="A4" s="267"/>
      <c r="B4" s="268"/>
      <c r="C4" s="268"/>
      <c r="D4" s="268"/>
      <c r="E4" s="268"/>
      <c r="F4" s="268"/>
      <c r="G4" s="268"/>
      <c r="H4" s="268"/>
      <c r="I4" s="268"/>
      <c r="J4" s="268"/>
      <c r="K4" s="268"/>
      <c r="L4" s="268"/>
      <c r="M4" s="268"/>
      <c r="N4" s="269"/>
      <c r="O4" s="278"/>
      <c r="P4" s="279"/>
    </row>
    <row r="5" spans="1:16" x14ac:dyDescent="0.2">
      <c r="A5" s="267"/>
      <c r="B5" s="268"/>
      <c r="C5" s="268"/>
      <c r="D5" s="268"/>
      <c r="E5" s="268"/>
      <c r="F5" s="268"/>
      <c r="G5" s="268"/>
      <c r="H5" s="268"/>
      <c r="I5" s="268"/>
      <c r="J5" s="268"/>
      <c r="K5" s="268"/>
      <c r="L5" s="268"/>
      <c r="M5" s="268"/>
      <c r="N5" s="269"/>
      <c r="O5" s="278"/>
      <c r="P5" s="279"/>
    </row>
    <row r="6" spans="1:16" x14ac:dyDescent="0.2">
      <c r="A6" s="267"/>
      <c r="B6" s="268"/>
      <c r="C6" s="268"/>
      <c r="D6" s="268"/>
      <c r="E6" s="268"/>
      <c r="F6" s="268"/>
      <c r="G6" s="268"/>
      <c r="H6" s="268"/>
      <c r="I6" s="268"/>
      <c r="J6" s="268"/>
      <c r="K6" s="268"/>
      <c r="L6" s="268"/>
      <c r="M6" s="268"/>
      <c r="N6" s="269"/>
      <c r="O6" s="278"/>
      <c r="P6" s="279"/>
    </row>
    <row r="7" spans="1:16" ht="18" customHeight="1" thickBot="1" x14ac:dyDescent="0.25">
      <c r="A7" s="270"/>
      <c r="B7" s="271"/>
      <c r="C7" s="271"/>
      <c r="D7" s="271"/>
      <c r="E7" s="271"/>
      <c r="F7" s="271"/>
      <c r="G7" s="271"/>
      <c r="H7" s="271"/>
      <c r="I7" s="271"/>
      <c r="J7" s="271"/>
      <c r="K7" s="271"/>
      <c r="L7" s="271"/>
      <c r="M7" s="271"/>
      <c r="N7" s="272"/>
      <c r="O7" s="280"/>
      <c r="P7" s="281"/>
    </row>
    <row r="8" spans="1:16" ht="18.75" thickBot="1" x14ac:dyDescent="0.25">
      <c r="A8" s="264" t="s">
        <v>307</v>
      </c>
      <c r="B8" s="265"/>
      <c r="C8" s="265"/>
      <c r="D8" s="265"/>
      <c r="E8" s="265"/>
      <c r="F8" s="265"/>
      <c r="G8" s="266"/>
      <c r="H8" s="264" t="s">
        <v>308</v>
      </c>
      <c r="I8" s="265"/>
      <c r="J8" s="265"/>
      <c r="K8" s="265"/>
      <c r="L8" s="265"/>
      <c r="M8" s="265"/>
      <c r="N8" s="265"/>
      <c r="O8" s="265"/>
      <c r="P8" s="266"/>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1056</v>
      </c>
      <c r="C2" t="s">
        <v>509</v>
      </c>
      <c r="D2" t="s">
        <v>925</v>
      </c>
      <c r="E2" t="s">
        <v>926</v>
      </c>
      <c r="F2" t="s">
        <v>927</v>
      </c>
      <c r="G2" t="s">
        <v>928</v>
      </c>
      <c r="H2" t="s">
        <v>930</v>
      </c>
      <c r="I2" t="s">
        <v>1050</v>
      </c>
      <c r="J2" t="s">
        <v>931</v>
      </c>
      <c r="K2" t="s">
        <v>932</v>
      </c>
      <c r="L2" t="s">
        <v>929</v>
      </c>
      <c r="M2" t="s">
        <v>934</v>
      </c>
      <c r="N2" t="s">
        <v>935</v>
      </c>
      <c r="O2" t="s">
        <v>936</v>
      </c>
      <c r="P2" t="s">
        <v>937</v>
      </c>
    </row>
    <row r="3" spans="2:16" x14ac:dyDescent="0.2">
      <c r="B3" t="s">
        <v>593</v>
      </c>
      <c r="C3" t="s">
        <v>411</v>
      </c>
      <c r="D3" s="18">
        <v>42293.601226851853</v>
      </c>
      <c r="E3" t="s">
        <v>169</v>
      </c>
      <c r="F3" s="19">
        <v>0.96797110409321563</v>
      </c>
      <c r="G3" s="19">
        <v>0.92283333333333351</v>
      </c>
      <c r="H3" s="19">
        <v>0.9062129422537113</v>
      </c>
      <c r="I3" s="19">
        <v>4.6353766498341782E-2</v>
      </c>
      <c r="J3" s="19">
        <v>0.92378408343733143</v>
      </c>
      <c r="K3" s="19">
        <v>4.2955199808108094E-2</v>
      </c>
      <c r="L3" s="19"/>
      <c r="M3" s="19"/>
      <c r="N3" s="19"/>
      <c r="O3" s="19"/>
      <c r="P3" s="19"/>
    </row>
    <row r="4" spans="2:16" x14ac:dyDescent="0.2">
      <c r="B4" t="s">
        <v>652</v>
      </c>
      <c r="C4" t="s">
        <v>411</v>
      </c>
      <c r="D4" s="18">
        <v>42293.601226851853</v>
      </c>
      <c r="E4" t="s">
        <v>194</v>
      </c>
      <c r="F4" s="19">
        <v>0.90466359104919902</v>
      </c>
      <c r="G4" s="19">
        <v>0.89911601496967331</v>
      </c>
      <c r="H4" s="19">
        <v>0.88044685361639852</v>
      </c>
      <c r="I4" s="19">
        <v>4.5274671545728611E-2</v>
      </c>
      <c r="J4" s="19">
        <v>0.94982690711255913</v>
      </c>
      <c r="K4" s="19">
        <v>3.4722083912323287E-2</v>
      </c>
      <c r="L4" s="19"/>
      <c r="M4" s="19"/>
      <c r="N4" s="19"/>
      <c r="O4" s="19"/>
      <c r="P4" s="19"/>
    </row>
    <row r="5" spans="2:16" x14ac:dyDescent="0.2">
      <c r="B5" t="s">
        <v>546</v>
      </c>
      <c r="C5" t="s">
        <v>387</v>
      </c>
      <c r="D5" s="18">
        <v>42293.601226851853</v>
      </c>
      <c r="E5" t="s">
        <v>151</v>
      </c>
      <c r="F5" s="19">
        <v>0.96069554459116213</v>
      </c>
      <c r="G5" s="19">
        <v>0.86346697741038814</v>
      </c>
      <c r="H5" s="19">
        <v>0.89813067632161281</v>
      </c>
      <c r="I5" s="19">
        <v>4.3881677125413458E-2</v>
      </c>
      <c r="J5" s="19">
        <v>0.84072597794297566</v>
      </c>
      <c r="K5" s="19">
        <v>5.220369904191742E-2</v>
      </c>
      <c r="L5" s="19"/>
      <c r="M5" s="19"/>
      <c r="N5" s="19"/>
      <c r="O5" s="19"/>
      <c r="P5" s="19"/>
    </row>
    <row r="6" spans="2:16" x14ac:dyDescent="0.2">
      <c r="B6" t="s">
        <v>540</v>
      </c>
      <c r="C6" t="s">
        <v>376</v>
      </c>
      <c r="D6" s="18">
        <v>42293.601226851853</v>
      </c>
      <c r="E6" t="s">
        <v>149</v>
      </c>
      <c r="F6" s="19">
        <v>0.95129643599938585</v>
      </c>
      <c r="G6" s="19">
        <v>0.8283526549305853</v>
      </c>
      <c r="H6" s="19">
        <v>0.84502927317503596</v>
      </c>
      <c r="I6" s="19">
        <v>4.6513856373376752E-2</v>
      </c>
      <c r="J6" s="19">
        <v>0.86853960915422723</v>
      </c>
      <c r="K6" s="19">
        <v>4.8847158340241704E-2</v>
      </c>
      <c r="L6" s="19"/>
      <c r="M6" s="19"/>
      <c r="N6" s="19"/>
      <c r="O6" s="19"/>
      <c r="P6" s="19"/>
    </row>
    <row r="7" spans="2:16" x14ac:dyDescent="0.2">
      <c r="B7" t="s">
        <v>608</v>
      </c>
      <c r="C7" t="s">
        <v>411</v>
      </c>
      <c r="D7" s="18">
        <v>42293.601226851853</v>
      </c>
      <c r="E7" t="s">
        <v>175</v>
      </c>
      <c r="F7" s="19">
        <v>0.97016067742161516</v>
      </c>
      <c r="G7" s="19">
        <v>0.89006410256410262</v>
      </c>
      <c r="H7" s="19">
        <v>0.91526581526581519</v>
      </c>
      <c r="I7" s="19">
        <v>4.9181130589180028E-2</v>
      </c>
      <c r="J7" s="19">
        <v>0.96642755048961548</v>
      </c>
      <c r="K7" s="19">
        <v>2.7604763078109756E-2</v>
      </c>
      <c r="L7" s="19"/>
      <c r="M7" s="19"/>
      <c r="N7" s="19"/>
      <c r="O7" s="19"/>
      <c r="P7" s="19"/>
    </row>
    <row r="8" spans="2:16" x14ac:dyDescent="0.2">
      <c r="B8" t="s">
        <v>519</v>
      </c>
      <c r="C8" t="s">
        <v>376</v>
      </c>
      <c r="D8" s="18">
        <v>42293.601226851853</v>
      </c>
      <c r="E8" t="s">
        <v>142</v>
      </c>
      <c r="F8" s="19">
        <v>0.88119549824849064</v>
      </c>
      <c r="G8" s="19">
        <v>0.76483451785188605</v>
      </c>
      <c r="H8" s="19">
        <v>0.8372912299048858</v>
      </c>
      <c r="I8" s="19">
        <v>5.8340780926119606E-2</v>
      </c>
      <c r="J8" s="19">
        <v>0.90632496806665086</v>
      </c>
      <c r="K8" s="19">
        <v>5.7508076754825624E-2</v>
      </c>
      <c r="L8" s="19"/>
      <c r="M8" s="19"/>
      <c r="N8" s="19"/>
      <c r="O8" s="19"/>
      <c r="P8" s="19"/>
    </row>
    <row r="9" spans="2:16" x14ac:dyDescent="0.2">
      <c r="B9" t="s">
        <v>527</v>
      </c>
      <c r="C9" t="s">
        <v>376</v>
      </c>
      <c r="D9" s="18">
        <v>42293.601226851853</v>
      </c>
      <c r="E9" t="s">
        <v>145</v>
      </c>
      <c r="F9" s="19">
        <v>0.96937473063024249</v>
      </c>
      <c r="G9" s="19">
        <v>0.90978136798665388</v>
      </c>
      <c r="H9" s="19">
        <v>0.88751142508285352</v>
      </c>
      <c r="I9" s="19">
        <v>4.8995721940674031E-2</v>
      </c>
      <c r="J9" s="19">
        <v>0.86573608077914377</v>
      </c>
      <c r="K9" s="19">
        <v>4.9172621505335384E-2</v>
      </c>
      <c r="L9" s="19"/>
      <c r="M9" s="19"/>
      <c r="N9" s="19"/>
      <c r="O9" s="19"/>
      <c r="P9" s="19"/>
    </row>
    <row r="10" spans="2:16" x14ac:dyDescent="0.2">
      <c r="B10" t="s">
        <v>644</v>
      </c>
      <c r="C10" t="s">
        <v>392</v>
      </c>
      <c r="D10" s="18">
        <v>42293.601226851853</v>
      </c>
      <c r="E10" t="s">
        <v>680</v>
      </c>
      <c r="F10" s="19">
        <v>0.96905167609225473</v>
      </c>
      <c r="G10" s="19">
        <v>0.85032982890125752</v>
      </c>
      <c r="H10" s="19">
        <v>0.86974010692490988</v>
      </c>
      <c r="I10" s="19">
        <v>5.4614404906171858E-2</v>
      </c>
      <c r="J10" s="19">
        <v>0.90321658105660196</v>
      </c>
      <c r="K10" s="19">
        <v>5.1005827449674614E-2</v>
      </c>
      <c r="L10" s="19"/>
      <c r="M10" s="19"/>
      <c r="N10" s="19"/>
      <c r="O10" s="19"/>
      <c r="P10" s="19"/>
    </row>
    <row r="11" spans="2:16" x14ac:dyDescent="0.2">
      <c r="B11" t="s">
        <v>574</v>
      </c>
      <c r="C11" t="s">
        <v>397</v>
      </c>
      <c r="D11" s="18">
        <v>42293.601226851853</v>
      </c>
      <c r="E11" t="s">
        <v>161</v>
      </c>
      <c r="F11" s="19">
        <v>0.9548604441908265</v>
      </c>
      <c r="G11" s="19">
        <v>0.95978835978835975</v>
      </c>
      <c r="H11" s="19">
        <v>0.88685355377728869</v>
      </c>
      <c r="I11" s="19">
        <v>4.4179895405580961E-2</v>
      </c>
      <c r="J11" s="19">
        <v>0.86138947167652091</v>
      </c>
      <c r="K11" s="19">
        <v>5.0156159234771562E-2</v>
      </c>
      <c r="L11" s="253"/>
      <c r="M11" s="253"/>
      <c r="N11" s="253"/>
      <c r="O11" s="253"/>
      <c r="P11" s="253"/>
    </row>
    <row r="12" spans="2:16" x14ac:dyDescent="0.2">
      <c r="B12" t="s">
        <v>566</v>
      </c>
      <c r="C12" t="s">
        <v>397</v>
      </c>
      <c r="D12" s="18">
        <v>42293.601226851853</v>
      </c>
      <c r="E12" t="s">
        <v>158</v>
      </c>
      <c r="F12" s="19">
        <v>0.96843143513881236</v>
      </c>
      <c r="G12" s="19">
        <v>0.87372065646423369</v>
      </c>
      <c r="H12" s="19">
        <v>0.92344015434430271</v>
      </c>
      <c r="I12" s="19">
        <v>4.0232346017986843E-2</v>
      </c>
      <c r="J12" s="19">
        <v>0.8734984070599322</v>
      </c>
      <c r="K12" s="19">
        <v>5.9955974690668372E-2</v>
      </c>
      <c r="L12" s="19"/>
      <c r="M12" s="19"/>
      <c r="N12" s="19"/>
      <c r="O12" s="19"/>
      <c r="P12" s="19"/>
    </row>
    <row r="13" spans="2:16" x14ac:dyDescent="0.2">
      <c r="B13" t="s">
        <v>554</v>
      </c>
      <c r="C13" t="s">
        <v>387</v>
      </c>
      <c r="D13" s="18">
        <v>42293.601226851853</v>
      </c>
      <c r="E13" t="s">
        <v>154</v>
      </c>
      <c r="F13" s="19">
        <v>1</v>
      </c>
      <c r="G13" s="19">
        <v>1</v>
      </c>
      <c r="H13" s="19">
        <v>0.94533290070766252</v>
      </c>
      <c r="I13" s="19">
        <v>4.3127880680073713E-2</v>
      </c>
      <c r="J13" s="19">
        <v>0.92783849995928902</v>
      </c>
      <c r="K13" s="19">
        <v>4.8781437780752272E-2</v>
      </c>
      <c r="L13" s="19"/>
      <c r="M13" s="19"/>
      <c r="N13" s="19"/>
      <c r="O13" s="19"/>
      <c r="P13" s="19"/>
    </row>
    <row r="14" spans="2:16" x14ac:dyDescent="0.2">
      <c r="B14" t="s">
        <v>392</v>
      </c>
      <c r="C14" t="s">
        <v>392</v>
      </c>
      <c r="D14" s="18">
        <v>42293.601226851853</v>
      </c>
      <c r="E14" t="s">
        <v>671</v>
      </c>
      <c r="F14" s="19">
        <v>0.96029184534789747</v>
      </c>
      <c r="G14" s="19">
        <v>0.8687391714842333</v>
      </c>
      <c r="H14" s="19">
        <v>0.90460862129339181</v>
      </c>
      <c r="I14" s="19">
        <v>1.6975766961293388E-2</v>
      </c>
      <c r="J14" s="19">
        <v>0.93469946941093307</v>
      </c>
      <c r="K14" s="19">
        <v>1.5358198552636182E-2</v>
      </c>
      <c r="L14" s="19"/>
      <c r="M14" s="19"/>
      <c r="N14" s="19"/>
      <c r="O14" s="19"/>
      <c r="P14" s="19"/>
    </row>
    <row r="15" spans="2:16" x14ac:dyDescent="0.2">
      <c r="B15" t="s">
        <v>591</v>
      </c>
      <c r="C15" t="s">
        <v>392</v>
      </c>
      <c r="D15" s="18">
        <v>42293.601226851853</v>
      </c>
      <c r="E15" t="s">
        <v>168</v>
      </c>
      <c r="F15" s="19">
        <v>0.96474675316921421</v>
      </c>
      <c r="G15" s="19">
        <v>0.86690082399668045</v>
      </c>
      <c r="H15" s="19">
        <v>0.91838513094019691</v>
      </c>
      <c r="I15" s="19">
        <v>4.2442060627029293E-2</v>
      </c>
      <c r="J15" s="19">
        <v>0.92411153971093074</v>
      </c>
      <c r="K15" s="19">
        <v>4.2705890814400432E-2</v>
      </c>
      <c r="L15" s="19"/>
      <c r="M15" s="19"/>
      <c r="N15" s="19"/>
      <c r="O15" s="19"/>
      <c r="P15" s="19"/>
    </row>
    <row r="16" spans="2:16" x14ac:dyDescent="0.2">
      <c r="B16" t="s">
        <v>583</v>
      </c>
      <c r="C16" t="s">
        <v>397</v>
      </c>
      <c r="D16" s="18">
        <v>42293.601226851853</v>
      </c>
      <c r="E16" t="s">
        <v>165</v>
      </c>
      <c r="F16" s="19">
        <v>0.99551109401051685</v>
      </c>
      <c r="G16" s="19">
        <v>0.97703663203936575</v>
      </c>
      <c r="H16" s="19">
        <v>0.98087392030195242</v>
      </c>
      <c r="I16" s="19">
        <v>1.7376408418948514E-2</v>
      </c>
      <c r="J16" s="19">
        <v>0.98027368534592152</v>
      </c>
      <c r="K16" s="19">
        <v>1.9492886486699206E-2</v>
      </c>
      <c r="L16" s="253"/>
      <c r="M16" s="253"/>
      <c r="N16" s="253"/>
      <c r="O16" s="253"/>
      <c r="P16" s="253"/>
    </row>
    <row r="17" spans="2:16" x14ac:dyDescent="0.2">
      <c r="B17" t="s">
        <v>576</v>
      </c>
      <c r="C17" t="s">
        <v>397</v>
      </c>
      <c r="D17" s="18">
        <v>42293.601226851853</v>
      </c>
      <c r="E17" t="s">
        <v>162</v>
      </c>
      <c r="F17" s="19">
        <v>0.94852743179973265</v>
      </c>
      <c r="G17" s="19">
        <v>0.92795041856074723</v>
      </c>
      <c r="H17" s="19">
        <v>0.89277216711261931</v>
      </c>
      <c r="I17" s="19">
        <v>4.4408532287767102E-2</v>
      </c>
      <c r="J17" s="19">
        <v>0.9028147885034622</v>
      </c>
      <c r="K17" s="19">
        <v>4.6630587337581207E-2</v>
      </c>
      <c r="L17" s="19"/>
      <c r="M17" s="19"/>
      <c r="N17" s="19"/>
      <c r="O17" s="19"/>
      <c r="P17" s="19"/>
    </row>
    <row r="18" spans="2:16" x14ac:dyDescent="0.2">
      <c r="B18" t="s">
        <v>640</v>
      </c>
      <c r="C18" t="s">
        <v>397</v>
      </c>
      <c r="D18" s="18">
        <v>42293.601226851853</v>
      </c>
      <c r="E18" t="s">
        <v>189</v>
      </c>
      <c r="F18" s="19">
        <v>0.97551850549892005</v>
      </c>
      <c r="G18" s="19">
        <v>0.89130434782608692</v>
      </c>
      <c r="H18" s="19">
        <v>0.94326833381528319</v>
      </c>
      <c r="I18" s="19">
        <v>3.806375403095643E-2</v>
      </c>
      <c r="J18" s="19">
        <v>0.96429132330050737</v>
      </c>
      <c r="K18" s="19">
        <v>3.1005006212520527E-2</v>
      </c>
      <c r="L18" s="19"/>
      <c r="M18" s="19"/>
      <c r="N18" s="19"/>
      <c r="O18" s="19"/>
      <c r="P18" s="19"/>
    </row>
    <row r="19" spans="2:16" x14ac:dyDescent="0.2">
      <c r="B19" t="s">
        <v>638</v>
      </c>
      <c r="C19" t="s">
        <v>392</v>
      </c>
      <c r="D19" s="18">
        <v>42293.601226851853</v>
      </c>
      <c r="E19" t="s">
        <v>188</v>
      </c>
      <c r="F19" s="19">
        <v>0.95953166931864087</v>
      </c>
      <c r="G19" s="19">
        <v>0.93309278350515457</v>
      </c>
      <c r="H19" s="19">
        <v>0.93198433782895651</v>
      </c>
      <c r="I19" s="19">
        <v>4.2809610502929446E-2</v>
      </c>
      <c r="J19" s="19">
        <v>0.95512829551917511</v>
      </c>
      <c r="K19" s="19">
        <v>3.0338053570317953E-2</v>
      </c>
      <c r="L19" s="19"/>
      <c r="M19" s="19"/>
      <c r="N19" s="19"/>
      <c r="O19" s="19"/>
      <c r="P19" s="19"/>
    </row>
    <row r="20" spans="2:16" x14ac:dyDescent="0.2">
      <c r="B20" t="s">
        <v>529</v>
      </c>
      <c r="C20" t="s">
        <v>376</v>
      </c>
      <c r="D20" s="18">
        <v>42293.601226851853</v>
      </c>
      <c r="E20" t="s">
        <v>146</v>
      </c>
      <c r="F20" s="19">
        <v>0.9548573103987491</v>
      </c>
      <c r="G20" s="19">
        <v>0.81594896331738442</v>
      </c>
      <c r="H20" s="19">
        <v>0.90311218120916648</v>
      </c>
      <c r="I20" s="19">
        <v>4.7503614568745078E-2</v>
      </c>
      <c r="J20" s="19">
        <v>0.98479530297712115</v>
      </c>
      <c r="K20" s="19">
        <v>1.9002226756790749E-2</v>
      </c>
      <c r="L20" s="19"/>
      <c r="M20" s="19"/>
      <c r="N20" s="19"/>
      <c r="O20" s="19"/>
      <c r="P20" s="19"/>
    </row>
    <row r="21" spans="2:16" x14ac:dyDescent="0.2">
      <c r="B21" t="s">
        <v>648</v>
      </c>
      <c r="C21" t="s">
        <v>411</v>
      </c>
      <c r="D21" s="18">
        <v>42293.601226851853</v>
      </c>
      <c r="E21" t="s">
        <v>192</v>
      </c>
      <c r="F21" s="19">
        <v>0.96632438570634716</v>
      </c>
      <c r="G21" s="19">
        <v>0.84060606060606058</v>
      </c>
      <c r="H21" s="19">
        <v>0.89200649973570367</v>
      </c>
      <c r="I21" s="19">
        <v>4.459483491812833E-2</v>
      </c>
      <c r="J21" s="19">
        <v>0.95994982234397463</v>
      </c>
      <c r="K21" s="19">
        <v>2.9959165595914571E-2</v>
      </c>
      <c r="L21" s="19"/>
      <c r="M21" s="19"/>
      <c r="N21" s="19"/>
      <c r="O21" s="19"/>
      <c r="P21" s="19"/>
    </row>
    <row r="22" spans="2:16" x14ac:dyDescent="0.2">
      <c r="B22" t="s">
        <v>626</v>
      </c>
      <c r="C22" t="s">
        <v>392</v>
      </c>
      <c r="D22" s="18">
        <v>42293.601226851853</v>
      </c>
      <c r="E22" t="s">
        <v>183</v>
      </c>
      <c r="F22" s="19">
        <v>0.96535527301418245</v>
      </c>
      <c r="G22" s="19">
        <v>0.88429692531950232</v>
      </c>
      <c r="H22" s="19">
        <v>0.8899604847296555</v>
      </c>
      <c r="I22" s="19">
        <v>4.1471782561121773E-2</v>
      </c>
      <c r="J22" s="19">
        <v>0.91053541199722066</v>
      </c>
      <c r="K22" s="19">
        <v>4.5422034692391054E-2</v>
      </c>
      <c r="L22" s="19"/>
      <c r="M22" s="19"/>
      <c r="N22" s="19"/>
      <c r="O22" s="19"/>
      <c r="P22" s="19"/>
    </row>
    <row r="23" spans="2:16" x14ac:dyDescent="0.2">
      <c r="B23" t="s">
        <v>544</v>
      </c>
      <c r="C23" t="s">
        <v>376</v>
      </c>
      <c r="D23" s="18">
        <v>42293.601226851853</v>
      </c>
      <c r="E23" t="s">
        <v>150</v>
      </c>
      <c r="F23" s="19">
        <v>0.97379004779937894</v>
      </c>
      <c r="G23" s="19">
        <v>0.91297665716322163</v>
      </c>
      <c r="H23" s="19">
        <v>0.89601158131045056</v>
      </c>
      <c r="I23" s="19">
        <v>4.4272498373342725E-2</v>
      </c>
      <c r="J23" s="19">
        <v>0.90085604842621403</v>
      </c>
      <c r="K23" s="19">
        <v>4.9385725990458554E-2</v>
      </c>
      <c r="L23" s="19"/>
      <c r="M23" s="19"/>
      <c r="N23" s="19"/>
      <c r="O23" s="19"/>
      <c r="P23" s="19"/>
    </row>
    <row r="24" spans="2:16" x14ac:dyDescent="0.2">
      <c r="B24" t="s">
        <v>568</v>
      </c>
      <c r="C24" t="s">
        <v>397</v>
      </c>
      <c r="D24" s="18">
        <v>42293.601226851853</v>
      </c>
      <c r="E24" t="s">
        <v>159</v>
      </c>
      <c r="F24" s="19">
        <v>0.96527893001680853</v>
      </c>
      <c r="G24" s="19">
        <v>0.89102128623188404</v>
      </c>
      <c r="H24" s="19">
        <v>0.92078402961642136</v>
      </c>
      <c r="I24" s="19">
        <v>4.3737614203998021E-2</v>
      </c>
      <c r="J24" s="19">
        <v>0.92388887576283951</v>
      </c>
      <c r="K24" s="19">
        <v>3.5974153888862333E-2</v>
      </c>
      <c r="L24" s="19"/>
      <c r="M24" s="19"/>
      <c r="N24" s="19"/>
      <c r="O24" s="19"/>
      <c r="P24" s="19"/>
    </row>
    <row r="25" spans="2:16" x14ac:dyDescent="0.2">
      <c r="B25" t="s">
        <v>562</v>
      </c>
      <c r="C25" t="s">
        <v>392</v>
      </c>
      <c r="D25" s="18">
        <v>42293.601226851853</v>
      </c>
      <c r="E25" t="s">
        <v>157</v>
      </c>
      <c r="F25" s="19">
        <v>0.97894945480374629</v>
      </c>
      <c r="G25" s="19">
        <v>0.93369097146193714</v>
      </c>
      <c r="H25" s="19">
        <v>0.90996778606713702</v>
      </c>
      <c r="I25" s="19">
        <v>3.8939200602746381E-2</v>
      </c>
      <c r="J25" s="19">
        <v>0.88786966740561124</v>
      </c>
      <c r="K25" s="19">
        <v>5.3494358543249944E-2</v>
      </c>
      <c r="L25" s="19"/>
      <c r="M25" s="19"/>
      <c r="N25" s="19"/>
      <c r="O25" s="19"/>
      <c r="P25" s="19"/>
    </row>
    <row r="26" spans="2:16" x14ac:dyDescent="0.2">
      <c r="B26" t="s">
        <v>585</v>
      </c>
      <c r="C26" t="s">
        <v>397</v>
      </c>
      <c r="D26" s="18">
        <v>42293.601226851853</v>
      </c>
      <c r="E26" t="s">
        <v>166</v>
      </c>
      <c r="F26" s="19">
        <v>1</v>
      </c>
      <c r="G26" s="19">
        <v>1</v>
      </c>
      <c r="H26" s="19">
        <v>0.98180794701986751</v>
      </c>
      <c r="I26" s="19">
        <v>2.1988304450674647E-2</v>
      </c>
      <c r="J26" s="19">
        <v>0.97387158791741724</v>
      </c>
      <c r="K26" s="19">
        <v>2.7541750774138053E-2</v>
      </c>
      <c r="L26" s="19"/>
      <c r="M26" s="19"/>
      <c r="N26" s="19"/>
      <c r="O26" s="19"/>
      <c r="P26" s="19"/>
    </row>
    <row r="27" spans="2:16" x14ac:dyDescent="0.2">
      <c r="B27" t="s">
        <v>614</v>
      </c>
      <c r="C27" t="s">
        <v>392</v>
      </c>
      <c r="D27" s="18">
        <v>42293.601226851853</v>
      </c>
      <c r="E27" t="s">
        <v>178</v>
      </c>
      <c r="F27" s="19">
        <v>0.94560662026534048</v>
      </c>
      <c r="G27" s="19">
        <v>0.85821879021879033</v>
      </c>
      <c r="H27" s="19">
        <v>0.88676903077052105</v>
      </c>
      <c r="I27" s="19">
        <v>5.1784088846586585E-2</v>
      </c>
      <c r="J27" s="19">
        <v>0.92935828149960931</v>
      </c>
      <c r="K27" s="19">
        <v>4.6224053498571678E-2</v>
      </c>
      <c r="L27" s="19"/>
      <c r="M27" s="19"/>
      <c r="N27" s="19"/>
      <c r="O27" s="19"/>
      <c r="P27" s="19"/>
    </row>
    <row r="28" spans="2:16" x14ac:dyDescent="0.2">
      <c r="B28" t="s">
        <v>600</v>
      </c>
      <c r="C28" t="s">
        <v>411</v>
      </c>
      <c r="D28" s="18">
        <v>42293.601226851853</v>
      </c>
      <c r="E28" t="s">
        <v>172</v>
      </c>
      <c r="F28" s="19">
        <v>0.96119908620846584</v>
      </c>
      <c r="G28" s="19">
        <v>0.89906071019473088</v>
      </c>
      <c r="H28" s="19">
        <v>0.88584247028031049</v>
      </c>
      <c r="I28" s="19">
        <v>4.4940950026995455E-2</v>
      </c>
      <c r="J28" s="19">
        <v>0.90293745927494617</v>
      </c>
      <c r="K28" s="19">
        <v>4.3297039122754982E-2</v>
      </c>
      <c r="L28" s="19"/>
      <c r="M28" s="19"/>
      <c r="N28" s="19"/>
      <c r="O28" s="19"/>
      <c r="P28" s="19"/>
    </row>
    <row r="29" spans="2:16" x14ac:dyDescent="0.2">
      <c r="B29" t="s">
        <v>570</v>
      </c>
      <c r="C29" t="s">
        <v>387</v>
      </c>
      <c r="D29" s="18">
        <v>42293.601226851853</v>
      </c>
      <c r="E29" t="s">
        <v>160</v>
      </c>
      <c r="F29" s="19">
        <v>0.97315068274263472</v>
      </c>
      <c r="G29" s="19">
        <v>0.8913948002003651</v>
      </c>
      <c r="H29" s="19">
        <v>0.91134477340355402</v>
      </c>
      <c r="I29" s="19">
        <v>4.4662602197162615E-2</v>
      </c>
      <c r="J29" s="19">
        <v>0.90115545347225956</v>
      </c>
      <c r="K29" s="19">
        <v>4.8018133646672609E-2</v>
      </c>
      <c r="L29" s="19"/>
      <c r="M29" s="19"/>
      <c r="N29" s="19"/>
      <c r="O29" s="19"/>
      <c r="P29" s="19"/>
    </row>
    <row r="30" spans="2:16" x14ac:dyDescent="0.2">
      <c r="B30" t="s">
        <v>629</v>
      </c>
      <c r="C30" t="s">
        <v>376</v>
      </c>
      <c r="D30" s="18">
        <v>42293.601226851853</v>
      </c>
      <c r="E30" t="s">
        <v>184</v>
      </c>
      <c r="F30" s="19">
        <v>0.97234211947155058</v>
      </c>
      <c r="G30" s="19">
        <v>0.95747294748337131</v>
      </c>
      <c r="H30" s="19">
        <v>0.91646977444530531</v>
      </c>
      <c r="I30" s="19">
        <v>3.9361522831223822E-2</v>
      </c>
      <c r="J30" s="19">
        <v>0.92775358511527128</v>
      </c>
      <c r="K30" s="19">
        <v>4.0266680775589377E-2</v>
      </c>
      <c r="L30" s="19"/>
      <c r="M30" s="19"/>
      <c r="N30" s="19"/>
      <c r="O30" s="19"/>
      <c r="P30" s="19"/>
    </row>
    <row r="31" spans="2:16" x14ac:dyDescent="0.2">
      <c r="B31" t="s">
        <v>622</v>
      </c>
      <c r="C31" t="s">
        <v>411</v>
      </c>
      <c r="D31" s="18">
        <v>42293.601226851853</v>
      </c>
      <c r="E31" t="s">
        <v>182</v>
      </c>
      <c r="F31" s="19">
        <v>0.96034685652886054</v>
      </c>
      <c r="G31" s="19">
        <v>0.91592607330768905</v>
      </c>
      <c r="H31" s="19">
        <v>0.93921195290115767</v>
      </c>
      <c r="I31" s="19">
        <v>4.0586647322872975E-2</v>
      </c>
      <c r="J31" s="19">
        <v>0.96924141008478371</v>
      </c>
      <c r="K31" s="19">
        <v>2.6313030879554021E-2</v>
      </c>
      <c r="L31" s="19"/>
      <c r="M31" s="19"/>
      <c r="N31" s="19"/>
      <c r="O31" s="19"/>
      <c r="P31" s="19"/>
    </row>
    <row r="32" spans="2:16" x14ac:dyDescent="0.2">
      <c r="B32" t="s">
        <v>397</v>
      </c>
      <c r="C32" t="s">
        <v>397</v>
      </c>
      <c r="D32" s="18">
        <v>42293.601226851853</v>
      </c>
      <c r="E32" t="s">
        <v>670</v>
      </c>
      <c r="F32" s="19">
        <v>0.97057071730645783</v>
      </c>
      <c r="G32" s="19">
        <v>0.92591291368868245</v>
      </c>
      <c r="H32" s="19">
        <v>0.93024393699454877</v>
      </c>
      <c r="I32" s="19">
        <v>1.2829575393808029E-2</v>
      </c>
      <c r="J32" s="19">
        <v>0.90002196509673349</v>
      </c>
      <c r="K32" s="19">
        <v>2.1469062759496112E-2</v>
      </c>
      <c r="L32" s="19"/>
      <c r="M32" s="19"/>
      <c r="N32" s="19"/>
      <c r="O32" s="19"/>
      <c r="P32" s="19"/>
    </row>
    <row r="33" spans="2:16" x14ac:dyDescent="0.2">
      <c r="B33" t="s">
        <v>215</v>
      </c>
      <c r="C33" t="s">
        <v>397</v>
      </c>
      <c r="D33" s="18">
        <v>42293.601226851853</v>
      </c>
      <c r="E33" t="s">
        <v>163</v>
      </c>
      <c r="F33" s="19">
        <v>0.9837450107016833</v>
      </c>
      <c r="G33" s="19">
        <v>0.96024669603524226</v>
      </c>
      <c r="H33" s="19">
        <v>0.96007587903790725</v>
      </c>
      <c r="I33" s="19">
        <v>3.7329592888053043E-2</v>
      </c>
      <c r="J33" s="19">
        <v>0.91907882101333971</v>
      </c>
      <c r="K33" s="19">
        <v>5.5895784309308215E-2</v>
      </c>
      <c r="L33" s="19">
        <v>0.96443507808926343</v>
      </c>
      <c r="M33" s="19">
        <v>0.94246724745958388</v>
      </c>
      <c r="N33" s="19">
        <v>3.65270119796854E-2</v>
      </c>
      <c r="O33" s="19">
        <v>0.98916148473289089</v>
      </c>
      <c r="P33" s="19">
        <v>1.3449144113758749E-2</v>
      </c>
    </row>
    <row r="34" spans="2:16" x14ac:dyDescent="0.2">
      <c r="B34" t="s">
        <v>578</v>
      </c>
      <c r="C34" t="s">
        <v>397</v>
      </c>
      <c r="D34" s="18">
        <v>42293.601226851853</v>
      </c>
      <c r="E34" t="s">
        <v>163</v>
      </c>
      <c r="F34" s="19">
        <v>0.9837450107016833</v>
      </c>
      <c r="G34" s="19">
        <v>0.96024669603524226</v>
      </c>
      <c r="H34" s="19">
        <v>0.96007587903790725</v>
      </c>
      <c r="I34" s="19">
        <v>3.7329592888053043E-2</v>
      </c>
      <c r="J34" s="19">
        <v>0.91907882101333971</v>
      </c>
      <c r="K34" s="19">
        <v>5.5895784309308215E-2</v>
      </c>
      <c r="L34" s="19">
        <v>0.96443507808926343</v>
      </c>
      <c r="M34" s="19">
        <v>0.94246724745958388</v>
      </c>
      <c r="N34" s="19">
        <v>3.65270119796854E-2</v>
      </c>
      <c r="O34" s="19">
        <v>0.98916148473289089</v>
      </c>
      <c r="P34" s="19">
        <v>1.3449144113758749E-2</v>
      </c>
    </row>
    <row r="35" spans="2:16" x14ac:dyDescent="0.2">
      <c r="B35" t="s">
        <v>560</v>
      </c>
      <c r="C35" t="s">
        <v>387</v>
      </c>
      <c r="D35" s="18">
        <v>42293.601226851853</v>
      </c>
      <c r="E35" t="s">
        <v>156</v>
      </c>
      <c r="F35" s="19">
        <v>0.95819955211396823</v>
      </c>
      <c r="G35" s="19">
        <v>0.84776744339997345</v>
      </c>
      <c r="H35" s="19">
        <v>0.91239259629670588</v>
      </c>
      <c r="I35" s="19">
        <v>3.9635479121445626E-2</v>
      </c>
      <c r="J35" s="19">
        <v>0.92186765247846136</v>
      </c>
      <c r="K35" s="19">
        <v>3.6008122400641225E-2</v>
      </c>
      <c r="L35" s="19"/>
      <c r="M35" s="19"/>
      <c r="N35" s="19"/>
      <c r="O35" s="19"/>
      <c r="P35" s="19"/>
    </row>
    <row r="36" spans="2:16" x14ac:dyDescent="0.2">
      <c r="B36" t="s">
        <v>616</v>
      </c>
      <c r="C36" t="s">
        <v>392</v>
      </c>
      <c r="D36" s="18">
        <v>42293.601226851853</v>
      </c>
      <c r="E36" t="s">
        <v>179</v>
      </c>
      <c r="F36" s="19">
        <v>0.94511322911755546</v>
      </c>
      <c r="G36" s="19">
        <v>0.8697100385391815</v>
      </c>
      <c r="H36" s="19">
        <v>0.92957563541679211</v>
      </c>
      <c r="I36" s="19">
        <v>4.5260887984598597E-2</v>
      </c>
      <c r="J36" s="19">
        <v>0.96997397551909148</v>
      </c>
      <c r="K36" s="19">
        <v>3.1914669574187829E-2</v>
      </c>
      <c r="L36" s="19"/>
      <c r="M36" s="19"/>
      <c r="N36" s="19"/>
      <c r="O36" s="19"/>
      <c r="P36" s="19"/>
    </row>
    <row r="37" spans="2:16" x14ac:dyDescent="0.2">
      <c r="B37" t="s">
        <v>556</v>
      </c>
      <c r="C37" t="s">
        <v>387</v>
      </c>
      <c r="D37" s="18">
        <v>42293.601226851853</v>
      </c>
      <c r="E37" t="s">
        <v>94</v>
      </c>
      <c r="F37" s="19">
        <v>0.99376177361625162</v>
      </c>
      <c r="G37" s="19">
        <v>1</v>
      </c>
      <c r="H37" s="19">
        <v>0.93222177240344617</v>
      </c>
      <c r="I37" s="19">
        <v>3.6212628691601481E-2</v>
      </c>
      <c r="J37" s="19">
        <v>0.94718800058249608</v>
      </c>
      <c r="K37" s="19">
        <v>3.3905592446925328E-2</v>
      </c>
      <c r="L37" s="19"/>
      <c r="M37" s="19"/>
      <c r="N37" s="19"/>
      <c r="O37" s="19"/>
      <c r="P37" s="19"/>
    </row>
    <row r="38" spans="2:16" x14ac:dyDescent="0.2">
      <c r="B38" t="s">
        <v>558</v>
      </c>
      <c r="C38" t="s">
        <v>392</v>
      </c>
      <c r="D38" s="18">
        <v>42293.601226851853</v>
      </c>
      <c r="E38" t="s">
        <v>155</v>
      </c>
      <c r="F38" s="19">
        <v>0.91891626967789997</v>
      </c>
      <c r="G38" s="19">
        <v>0.89843610366398574</v>
      </c>
      <c r="H38" s="19">
        <v>0.91451007941964879</v>
      </c>
      <c r="I38" s="19">
        <v>4.369168989575762E-2</v>
      </c>
      <c r="J38" s="19">
        <v>0.94530619639415336</v>
      </c>
      <c r="K38" s="19">
        <v>3.3571396504289905E-2</v>
      </c>
      <c r="L38" s="19"/>
      <c r="M38" s="19"/>
      <c r="N38" s="19"/>
      <c r="O38" s="19"/>
      <c r="P38" s="19"/>
    </row>
    <row r="39" spans="2:16" x14ac:dyDescent="0.2">
      <c r="B39" t="s">
        <v>525</v>
      </c>
      <c r="C39" t="s">
        <v>376</v>
      </c>
      <c r="D39" s="18">
        <v>42293.601226851853</v>
      </c>
      <c r="E39" t="s">
        <v>144</v>
      </c>
      <c r="F39" s="19">
        <v>0.92762088921360031</v>
      </c>
      <c r="G39" s="19">
        <v>0.83374746133859789</v>
      </c>
      <c r="H39" s="19">
        <v>0.90122804377362342</v>
      </c>
      <c r="I39" s="19">
        <v>4.6615854786643499E-2</v>
      </c>
      <c r="J39" s="19">
        <v>0.92420400509008116</v>
      </c>
      <c r="K39" s="19">
        <v>4.0540646149701584E-2</v>
      </c>
      <c r="L39" s="19"/>
      <c r="M39" s="19"/>
      <c r="N39" s="19"/>
      <c r="O39" s="19"/>
      <c r="P39" s="19"/>
    </row>
    <row r="40" spans="2:16" x14ac:dyDescent="0.2">
      <c r="B40" t="s">
        <v>531</v>
      </c>
      <c r="C40" t="s">
        <v>376</v>
      </c>
      <c r="D40" s="18">
        <v>42293.601226851853</v>
      </c>
      <c r="E40" t="s">
        <v>147</v>
      </c>
      <c r="F40" s="19">
        <v>0.94757185634220265</v>
      </c>
      <c r="G40" s="19">
        <v>0.87498899889989001</v>
      </c>
      <c r="H40" s="19">
        <v>0.88175720246046263</v>
      </c>
      <c r="I40" s="19">
        <v>4.3699791311454843E-2</v>
      </c>
      <c r="J40" s="19">
        <v>0.89000864779677613</v>
      </c>
      <c r="K40" s="19">
        <v>4.1832471669698917E-2</v>
      </c>
      <c r="L40" s="19"/>
      <c r="M40" s="19"/>
      <c r="N40" s="19"/>
      <c r="O40" s="19"/>
      <c r="P40" s="19"/>
    </row>
    <row r="41" spans="2:16" x14ac:dyDescent="0.2">
      <c r="B41" t="s">
        <v>376</v>
      </c>
      <c r="C41" t="s">
        <v>376</v>
      </c>
      <c r="D41" s="18">
        <v>42293.601226851853</v>
      </c>
      <c r="E41" t="s">
        <v>669</v>
      </c>
      <c r="F41" s="19">
        <v>0.95778857039061238</v>
      </c>
      <c r="G41" s="19">
        <v>0.87836340800168822</v>
      </c>
      <c r="H41" s="19">
        <v>0.8775453719867089</v>
      </c>
      <c r="I41" s="19">
        <v>1.6307426192625697E-2</v>
      </c>
      <c r="J41" s="19">
        <v>0.89986077826019018</v>
      </c>
      <c r="K41" s="19">
        <v>1.4925297438005317E-2</v>
      </c>
      <c r="L41" s="19"/>
      <c r="M41" s="19"/>
      <c r="N41" s="19"/>
      <c r="O41" s="19"/>
      <c r="P41" s="19"/>
    </row>
    <row r="42" spans="2:16" x14ac:dyDescent="0.2">
      <c r="B42" t="s">
        <v>598</v>
      </c>
      <c r="C42" t="s">
        <v>411</v>
      </c>
      <c r="D42" s="18">
        <v>42293.601226851853</v>
      </c>
      <c r="E42" t="s">
        <v>171</v>
      </c>
      <c r="F42" s="19">
        <v>0.96563107635560197</v>
      </c>
      <c r="G42" s="19">
        <v>0.90975874749275676</v>
      </c>
      <c r="H42" s="19">
        <v>0.95130430660167475</v>
      </c>
      <c r="I42" s="19">
        <v>3.2742063051814513E-2</v>
      </c>
      <c r="J42" s="19">
        <v>0.89710732003713067</v>
      </c>
      <c r="K42" s="19">
        <v>5.2323139181164109E-2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411</v>
      </c>
      <c r="C44" t="s">
        <v>411</v>
      </c>
      <c r="D44" s="18">
        <v>42293.601226851853</v>
      </c>
      <c r="E44" t="s">
        <v>672</v>
      </c>
      <c r="F44" s="19">
        <v>0.96467410546842114</v>
      </c>
      <c r="G44" s="19">
        <v>0.8950604220266194</v>
      </c>
      <c r="H44" s="19">
        <v>0.91194387739231619</v>
      </c>
      <c r="I44" s="19">
        <v>1.5438411945237008E-2</v>
      </c>
      <c r="J44" s="19">
        <v>0.93329474476096463</v>
      </c>
      <c r="K44" s="19">
        <v>1.4816846304626523E-2</v>
      </c>
      <c r="L44" s="19"/>
      <c r="M44" s="19"/>
      <c r="N44" s="19"/>
      <c r="O44" s="19"/>
      <c r="P44" s="19"/>
    </row>
    <row r="45" spans="2:16" x14ac:dyDescent="0.2">
      <c r="B45" t="s">
        <v>216</v>
      </c>
      <c r="C45" t="s">
        <v>376</v>
      </c>
      <c r="D45" s="18">
        <v>42293.601226851853</v>
      </c>
      <c r="E45" t="s">
        <v>102</v>
      </c>
      <c r="F45" s="19">
        <v>0.93847158096847338</v>
      </c>
      <c r="G45" s="19">
        <v>0.87801642423061244</v>
      </c>
      <c r="H45" s="19">
        <v>0.86373632207941298</v>
      </c>
      <c r="I45" s="19">
        <v>4.9808351949732384E-2</v>
      </c>
      <c r="J45" s="19">
        <v>0.89697460289753872</v>
      </c>
      <c r="K45" s="19">
        <v>5.0612065522264944E-2</v>
      </c>
      <c r="L45" s="19">
        <v>0.88344205262013464</v>
      </c>
      <c r="M45" s="19">
        <v>0.95086237848457134</v>
      </c>
      <c r="N45" s="19">
        <v>3.6346171305150603E-2</v>
      </c>
      <c r="O45" s="19">
        <v>0.93329754203073223</v>
      </c>
      <c r="P45" s="19">
        <v>4.5983312047488949E-2</v>
      </c>
    </row>
    <row r="46" spans="2:16" x14ac:dyDescent="0.2">
      <c r="B46" t="s">
        <v>533</v>
      </c>
      <c r="C46" t="s">
        <v>376</v>
      </c>
      <c r="D46" s="18">
        <v>42293.601226851853</v>
      </c>
      <c r="E46" t="s">
        <v>102</v>
      </c>
      <c r="F46" s="19">
        <v>0.93847158096847338</v>
      </c>
      <c r="G46" s="19">
        <v>0.87801642423061244</v>
      </c>
      <c r="H46" s="19">
        <v>0.86373632207941298</v>
      </c>
      <c r="I46" s="19">
        <v>4.9808351949732384E-2</v>
      </c>
      <c r="J46" s="19">
        <v>0.89697460289753872</v>
      </c>
      <c r="K46" s="19">
        <v>5.0612065522264944E-2</v>
      </c>
      <c r="L46" s="19">
        <v>0.88344205262013464</v>
      </c>
      <c r="M46" s="19">
        <v>0.95086237848457134</v>
      </c>
      <c r="N46" s="19">
        <v>3.6346171305150603E-2</v>
      </c>
      <c r="O46" s="19">
        <v>0.93329754203073223</v>
      </c>
      <c r="P46" s="19">
        <v>4.5983312047488949E-2</v>
      </c>
    </row>
    <row r="47" spans="2:16" x14ac:dyDescent="0.2">
      <c r="B47" t="s">
        <v>602</v>
      </c>
      <c r="C47" t="s">
        <v>411</v>
      </c>
      <c r="D47" s="18">
        <v>42293.601226851853</v>
      </c>
      <c r="E47" t="s">
        <v>173</v>
      </c>
      <c r="F47" s="19">
        <v>0.89141383258153117</v>
      </c>
      <c r="G47" s="19">
        <v>0.87603508771929828</v>
      </c>
      <c r="H47" s="19">
        <v>0.90656096763648264</v>
      </c>
      <c r="I47" s="19">
        <v>4.8682327212119673E-2</v>
      </c>
      <c r="J47" s="19">
        <v>0.92700115612047174</v>
      </c>
      <c r="K47" s="19">
        <v>4.2950393874098013E-2</v>
      </c>
      <c r="L47" s="19"/>
      <c r="M47" s="19"/>
      <c r="N47" s="19"/>
      <c r="O47" s="19"/>
      <c r="P47" s="19"/>
    </row>
    <row r="48" spans="2:16" x14ac:dyDescent="0.2">
      <c r="B48" t="s">
        <v>536</v>
      </c>
      <c r="C48" t="s">
        <v>376</v>
      </c>
      <c r="D48" s="18">
        <v>42293.601226851853</v>
      </c>
      <c r="E48" t="s">
        <v>148</v>
      </c>
      <c r="F48" s="19">
        <v>0.94858893021220736</v>
      </c>
      <c r="G48" s="19">
        <v>0.93268259845169976</v>
      </c>
      <c r="H48" s="19">
        <v>0.91041230955110364</v>
      </c>
      <c r="I48" s="19">
        <v>4.3674640168291888E-2</v>
      </c>
      <c r="J48" s="19">
        <v>0.92300128444351914</v>
      </c>
      <c r="K48" s="19">
        <v>4.6679149656925462E-2</v>
      </c>
      <c r="L48" s="19"/>
      <c r="M48" s="19"/>
      <c r="N48" s="19"/>
      <c r="O48" s="19"/>
      <c r="P48" s="19"/>
    </row>
    <row r="49" spans="2:16" x14ac:dyDescent="0.2">
      <c r="B49" t="s">
        <v>610</v>
      </c>
      <c r="C49" t="s">
        <v>411</v>
      </c>
      <c r="D49" s="18">
        <v>42293.601226851853</v>
      </c>
      <c r="E49" t="s">
        <v>176</v>
      </c>
      <c r="F49" s="19">
        <v>0.94239794668979227</v>
      </c>
      <c r="G49" s="19">
        <v>0.87301883274286785</v>
      </c>
      <c r="H49" s="19">
        <v>0.92005175187285682</v>
      </c>
      <c r="I49" s="19">
        <v>4.3802115729408016E-2</v>
      </c>
      <c r="J49" s="19">
        <v>0.95453377067839762</v>
      </c>
      <c r="K49" s="19">
        <v>3.4010895167628161E-2</v>
      </c>
      <c r="L49" s="19"/>
      <c r="M49" s="19"/>
      <c r="N49" s="19"/>
      <c r="O49" s="19"/>
      <c r="P49" s="19"/>
    </row>
    <row r="50" spans="2:16" x14ac:dyDescent="0.2">
      <c r="B50" t="s">
        <v>521</v>
      </c>
      <c r="C50" t="s">
        <v>376</v>
      </c>
      <c r="D50" s="18">
        <v>42293.601226851853</v>
      </c>
      <c r="E50" t="s">
        <v>143</v>
      </c>
      <c r="F50" s="19">
        <v>0.9800127755325132</v>
      </c>
      <c r="G50" s="19">
        <v>0.85638326585695013</v>
      </c>
      <c r="H50" s="19">
        <v>0.86922098710218321</v>
      </c>
      <c r="I50" s="19">
        <v>5.8931356640570129E-2</v>
      </c>
      <c r="J50" s="19">
        <v>0.95831631986978105</v>
      </c>
      <c r="K50" s="19">
        <v>3.3399802629907001E-2</v>
      </c>
      <c r="L50" s="19"/>
      <c r="M50" s="19"/>
      <c r="N50" s="19"/>
      <c r="O50" s="19"/>
      <c r="P50" s="19"/>
    </row>
    <row r="51" spans="2:16" x14ac:dyDescent="0.2">
      <c r="B51" t="s">
        <v>618</v>
      </c>
      <c r="C51" t="s">
        <v>411</v>
      </c>
      <c r="D51" s="18">
        <v>42293.601226851853</v>
      </c>
      <c r="E51" t="s">
        <v>180</v>
      </c>
      <c r="F51" s="19">
        <v>0.93637721127985185</v>
      </c>
      <c r="G51" s="19">
        <v>0.8516068496364062</v>
      </c>
      <c r="H51" s="19">
        <v>0.90490054551938659</v>
      </c>
      <c r="I51" s="19">
        <v>4.7386673833364486E-2</v>
      </c>
      <c r="J51" s="19">
        <v>0.95103102751827961</v>
      </c>
      <c r="K51" s="19">
        <v>2.9553340833753765E-2</v>
      </c>
      <c r="L51" s="19"/>
      <c r="M51" s="19"/>
      <c r="N51" s="19"/>
      <c r="O51" s="19"/>
      <c r="P51" s="19"/>
    </row>
    <row r="52" spans="2:16" x14ac:dyDescent="0.2">
      <c r="B52" t="s">
        <v>542</v>
      </c>
      <c r="C52" t="s">
        <v>376</v>
      </c>
      <c r="D52" s="18">
        <v>42293.601226851853</v>
      </c>
      <c r="E52" t="s">
        <v>108</v>
      </c>
      <c r="F52" s="19">
        <v>0.98019304856245926</v>
      </c>
      <c r="G52" s="19">
        <v>0.96886134779240896</v>
      </c>
      <c r="H52" s="19">
        <v>0.92939080470501678</v>
      </c>
      <c r="I52" s="19">
        <v>4.3893721253619587E-2</v>
      </c>
      <c r="J52" s="19">
        <v>0.91554323665372994</v>
      </c>
      <c r="K52" s="19">
        <v>4.5373338504892689E-2</v>
      </c>
      <c r="L52" s="19"/>
      <c r="M52" s="19"/>
      <c r="N52" s="19"/>
      <c r="O52" s="19"/>
      <c r="P52" s="19"/>
    </row>
    <row r="53" spans="2:16" x14ac:dyDescent="0.2">
      <c r="B53" t="s">
        <v>595</v>
      </c>
      <c r="C53" t="s">
        <v>392</v>
      </c>
      <c r="D53" s="18">
        <v>42293.601226851853</v>
      </c>
      <c r="E53" t="s">
        <v>170</v>
      </c>
      <c r="F53" s="19">
        <v>0.97682086411092306</v>
      </c>
      <c r="G53" s="19">
        <v>0.90615776269185355</v>
      </c>
      <c r="H53" s="19">
        <v>0.90894373493957847</v>
      </c>
      <c r="I53" s="19">
        <v>4.1348487454119578E-2</v>
      </c>
      <c r="J53" s="19">
        <v>0.94844315133034418</v>
      </c>
      <c r="K53" s="19">
        <v>3.4547643600920636E-2</v>
      </c>
      <c r="L53" s="253"/>
      <c r="M53" s="253"/>
      <c r="N53" s="253"/>
      <c r="O53" s="253"/>
      <c r="P53" s="253"/>
    </row>
    <row r="54" spans="2:16" x14ac:dyDescent="0.2">
      <c r="B54" t="s">
        <v>631</v>
      </c>
      <c r="C54" t="s">
        <v>411</v>
      </c>
      <c r="D54" s="18">
        <v>42293.601226851853</v>
      </c>
      <c r="E54" t="s">
        <v>185</v>
      </c>
      <c r="F54" s="19">
        <v>0.98038179185088237</v>
      </c>
      <c r="G54" s="19">
        <v>0.82804689811815702</v>
      </c>
      <c r="H54" s="19">
        <v>0.89154197985254069</v>
      </c>
      <c r="I54" s="19">
        <v>4.1363667192651193E-2</v>
      </c>
      <c r="J54" s="19">
        <v>0.94223745329698061</v>
      </c>
      <c r="K54" s="19">
        <v>3.8222524089259198E-2</v>
      </c>
      <c r="L54" s="19"/>
      <c r="M54" s="19"/>
      <c r="N54" s="19"/>
      <c r="O54" s="19"/>
      <c r="P54" s="19"/>
    </row>
    <row r="55" spans="2:16" x14ac:dyDescent="0.2">
      <c r="B55" t="s">
        <v>620</v>
      </c>
      <c r="C55" t="s">
        <v>387</v>
      </c>
      <c r="D55" s="18">
        <v>42293.601226851853</v>
      </c>
      <c r="E55" t="s">
        <v>181</v>
      </c>
      <c r="F55" s="19">
        <v>0.92757878766079616</v>
      </c>
      <c r="G55" s="19">
        <v>0.87340098060900984</v>
      </c>
      <c r="H55" s="19">
        <v>0.87784366429662142</v>
      </c>
      <c r="I55" s="19">
        <v>4.8733770478017108E-2</v>
      </c>
      <c r="J55" s="19">
        <v>0.88182208268689721</v>
      </c>
      <c r="K55" s="19">
        <v>5.2542242555550518E-2</v>
      </c>
      <c r="L55" s="19"/>
      <c r="M55" s="19"/>
      <c r="N55" s="19"/>
      <c r="O55" s="19"/>
      <c r="P55" s="19"/>
    </row>
    <row r="56" spans="2:16" x14ac:dyDescent="0.2">
      <c r="B56" t="s">
        <v>604</v>
      </c>
      <c r="C56" t="s">
        <v>411</v>
      </c>
      <c r="D56" s="18">
        <v>42293.601226851853</v>
      </c>
      <c r="E56" t="s">
        <v>174</v>
      </c>
      <c r="F56" s="19">
        <v>0.97864348306549798</v>
      </c>
      <c r="G56" s="19">
        <v>0.96415733736762477</v>
      </c>
      <c r="H56" s="19">
        <v>0.92583927683278622</v>
      </c>
      <c r="I56" s="19">
        <v>3.7752533098961365E-2</v>
      </c>
      <c r="J56" s="19">
        <v>0.9283170070720107</v>
      </c>
      <c r="K56" s="19">
        <v>4.400434049320303E-2</v>
      </c>
      <c r="L56" s="19"/>
      <c r="M56" s="19"/>
      <c r="N56" s="19"/>
      <c r="O56" s="19"/>
      <c r="P56" s="19"/>
    </row>
    <row r="57" spans="2:16" x14ac:dyDescent="0.2">
      <c r="B57" t="s">
        <v>642</v>
      </c>
      <c r="C57" t="s">
        <v>397</v>
      </c>
      <c r="D57" s="18">
        <v>42293.601226851853</v>
      </c>
      <c r="E57" t="s">
        <v>190</v>
      </c>
      <c r="F57" s="19">
        <v>0.89310011803841627</v>
      </c>
      <c r="G57" s="19">
        <v>0.81781970649895186</v>
      </c>
      <c r="H57" s="19">
        <v>0.94479746980788504</v>
      </c>
      <c r="I57" s="19">
        <v>3.5521448263797877E-2</v>
      </c>
      <c r="J57" s="19">
        <v>0.94839654120154848</v>
      </c>
      <c r="K57" s="19">
        <v>3.0801147915062471E-2</v>
      </c>
      <c r="L57" s="19"/>
      <c r="M57" s="19"/>
      <c r="N57" s="19"/>
      <c r="O57" s="19"/>
      <c r="P57" s="19"/>
    </row>
    <row r="58" spans="2:16" x14ac:dyDescent="0.2">
      <c r="B58" t="s">
        <v>387</v>
      </c>
      <c r="C58" t="s">
        <v>387</v>
      </c>
      <c r="D58" s="18">
        <v>42293.601226851853</v>
      </c>
      <c r="E58" t="s">
        <v>668</v>
      </c>
      <c r="F58" s="19">
        <v>0.95919843189438858</v>
      </c>
      <c r="G58" s="19">
        <v>0.88838772591087789</v>
      </c>
      <c r="H58" s="19">
        <v>0.90291534732041101</v>
      </c>
      <c r="I58" s="19">
        <v>2.0284968485728996E-2</v>
      </c>
      <c r="J58" s="19">
        <v>0.89313042598819015</v>
      </c>
      <c r="K58" s="19">
        <v>2.659548018204461E-2</v>
      </c>
      <c r="L58" s="19"/>
      <c r="M58" s="19"/>
      <c r="N58" s="19"/>
      <c r="O58" s="19"/>
      <c r="P58" s="19"/>
    </row>
    <row r="59" spans="2:16" x14ac:dyDescent="0.2">
      <c r="B59" t="s">
        <v>581</v>
      </c>
      <c r="C59" t="s">
        <v>397</v>
      </c>
      <c r="D59" s="18">
        <v>42293.601226851853</v>
      </c>
      <c r="E59" t="s">
        <v>164</v>
      </c>
      <c r="F59" s="19">
        <v>0.97494983986819728</v>
      </c>
      <c r="G59" s="19">
        <v>0.93339504268229978</v>
      </c>
      <c r="H59" s="19">
        <v>0.91050103316038966</v>
      </c>
      <c r="I59" s="19">
        <v>4.2705903751730931E-2</v>
      </c>
      <c r="J59" s="19">
        <v>0.85097553289656203</v>
      </c>
      <c r="K59" s="19">
        <v>5.4661101278370407E-2</v>
      </c>
      <c r="L59" s="19"/>
      <c r="M59" s="19"/>
      <c r="N59" s="19"/>
      <c r="O59" s="19"/>
      <c r="P59" s="19"/>
    </row>
    <row r="60" spans="2:16" x14ac:dyDescent="0.2">
      <c r="B60" t="s">
        <v>218</v>
      </c>
      <c r="C60" t="s">
        <v>397</v>
      </c>
      <c r="D60" s="18">
        <v>42293.601226851853</v>
      </c>
      <c r="E60" t="s">
        <v>167</v>
      </c>
      <c r="F60" s="19">
        <v>0.97144116044959827</v>
      </c>
      <c r="G60" s="19">
        <v>0.91167149372482426</v>
      </c>
      <c r="H60" s="19">
        <v>0.93670516707347662</v>
      </c>
      <c r="I60" s="19">
        <v>3.8301837710436361E-2</v>
      </c>
      <c r="J60" s="19">
        <v>0.86771105316321029</v>
      </c>
      <c r="K60" s="19">
        <v>6.1831602513086281E-2</v>
      </c>
      <c r="L60" s="19">
        <v>1</v>
      </c>
      <c r="M60" s="19">
        <v>0.99183479661474583</v>
      </c>
      <c r="N60" s="19">
        <v>9.7910430844567742E-3</v>
      </c>
      <c r="O60" s="19">
        <v>0.96758764966882405</v>
      </c>
      <c r="P60" s="19">
        <v>3.2715751039337063E-2</v>
      </c>
    </row>
    <row r="61" spans="2:16" x14ac:dyDescent="0.2">
      <c r="B61" t="s">
        <v>587</v>
      </c>
      <c r="C61" t="s">
        <v>397</v>
      </c>
      <c r="D61" s="18">
        <v>42293.601226851853</v>
      </c>
      <c r="E61" t="s">
        <v>167</v>
      </c>
      <c r="F61" s="19">
        <v>0.97144116044959827</v>
      </c>
      <c r="G61" s="19">
        <v>0.91167149372482426</v>
      </c>
      <c r="H61" s="19">
        <v>0.93670516707347662</v>
      </c>
      <c r="I61" s="19">
        <v>3.8301837710436361E-2</v>
      </c>
      <c r="J61" s="19">
        <v>0.86771105316321029</v>
      </c>
      <c r="K61" s="19">
        <v>6.1831602513086281E-2</v>
      </c>
      <c r="L61" s="19">
        <v>1</v>
      </c>
      <c r="M61" s="19">
        <v>0.99183479661474583</v>
      </c>
      <c r="N61" s="19">
        <v>9.7910430844567742E-3</v>
      </c>
      <c r="O61" s="19">
        <v>0.96758764966882405</v>
      </c>
      <c r="P61" s="19">
        <v>3.2715751039337063E-2</v>
      </c>
    </row>
    <row r="62" spans="2:16" x14ac:dyDescent="0.2">
      <c r="B62" t="s">
        <v>548</v>
      </c>
      <c r="C62" t="s">
        <v>387</v>
      </c>
      <c r="D62" s="18">
        <v>42293.601226851853</v>
      </c>
      <c r="E62" t="s">
        <v>152</v>
      </c>
      <c r="F62" s="19">
        <v>0.92309558140550596</v>
      </c>
      <c r="G62" s="19">
        <v>0.80823804309229563</v>
      </c>
      <c r="H62" s="19">
        <v>0.87033622954481227</v>
      </c>
      <c r="I62" s="19">
        <v>5.4873721278692E-2</v>
      </c>
      <c r="J62" s="19">
        <v>0.87942800589422876</v>
      </c>
      <c r="K62" s="19">
        <v>5.8322805634560521E-2</v>
      </c>
      <c r="L62" s="19"/>
      <c r="M62" s="19"/>
      <c r="N62" s="19"/>
      <c r="O62" s="19"/>
      <c r="P62" s="19"/>
    </row>
    <row r="63" spans="2:16" x14ac:dyDescent="0.2">
      <c r="B63" t="s">
        <v>634</v>
      </c>
      <c r="C63" t="s">
        <v>376</v>
      </c>
      <c r="D63" s="18">
        <v>42293.601226851853</v>
      </c>
      <c r="E63" t="s">
        <v>186</v>
      </c>
      <c r="F63" s="19">
        <v>0.95502946108662379</v>
      </c>
      <c r="G63" s="19">
        <v>0.8291744840525328</v>
      </c>
      <c r="H63" s="19">
        <v>0.86390867966092122</v>
      </c>
      <c r="I63" s="19">
        <v>6.0097717726135542E-2</v>
      </c>
      <c r="J63" s="19">
        <v>0.96309565047955137</v>
      </c>
      <c r="K63" s="19">
        <v>3.5935553262145488E-2</v>
      </c>
      <c r="L63" s="19"/>
      <c r="M63" s="19"/>
      <c r="N63" s="19"/>
      <c r="O63" s="19"/>
      <c r="P63" s="19"/>
    </row>
    <row r="64" spans="2:16" x14ac:dyDescent="0.2">
      <c r="B64" t="s">
        <v>703</v>
      </c>
      <c r="C64" t="s">
        <v>6</v>
      </c>
      <c r="D64" s="18">
        <v>42293.601226851853</v>
      </c>
      <c r="E64" t="s">
        <v>444</v>
      </c>
      <c r="F64" s="19"/>
      <c r="G64" s="19"/>
      <c r="H64" s="19"/>
      <c r="I64" s="19"/>
      <c r="J64" s="19"/>
      <c r="K64" s="19"/>
      <c r="L64" s="19">
        <v>0.95160262468609058</v>
      </c>
      <c r="M64" s="19">
        <v>0.96399894169750566</v>
      </c>
      <c r="N64" s="19">
        <v>1.6489981077915702E-2</v>
      </c>
      <c r="O64" s="19">
        <v>0.96300643857320334</v>
      </c>
      <c r="P64" s="19">
        <v>1.9719875218875204E-2</v>
      </c>
    </row>
    <row r="65" spans="2:16" x14ac:dyDescent="0.2">
      <c r="B65" t="s">
        <v>705</v>
      </c>
      <c r="C65" t="s">
        <v>6</v>
      </c>
      <c r="D65" s="18">
        <v>42293.601226851853</v>
      </c>
      <c r="E65" t="s">
        <v>444</v>
      </c>
      <c r="F65" s="19">
        <v>0.96197517057151161</v>
      </c>
      <c r="G65" s="19">
        <v>0.89083669187831571</v>
      </c>
      <c r="H65" s="19">
        <v>0.90443172791620985</v>
      </c>
      <c r="I65" s="19">
        <v>7.428510364121124E-3</v>
      </c>
      <c r="J65" s="19">
        <v>0.91007123385233935</v>
      </c>
      <c r="K65" s="19">
        <v>8.7197515642858294E-3</v>
      </c>
      <c r="L65" s="19">
        <v>0.95160262468609058</v>
      </c>
      <c r="M65" s="19">
        <v>0.96399894169750566</v>
      </c>
      <c r="N65" s="19">
        <v>1.6489981077915702E-2</v>
      </c>
      <c r="O65" s="19">
        <v>0.96300643857320334</v>
      </c>
      <c r="P65" s="19">
        <v>1.9719875218875204E-2</v>
      </c>
    </row>
    <row r="66" spans="2:16" x14ac:dyDescent="0.2">
      <c r="B66" t="s">
        <v>612</v>
      </c>
      <c r="C66" t="s">
        <v>392</v>
      </c>
      <c r="D66" s="18">
        <v>42293.601226851853</v>
      </c>
      <c r="E66" t="s">
        <v>177</v>
      </c>
      <c r="F66" s="19">
        <v>0.95915367429098963</v>
      </c>
      <c r="G66" s="19">
        <v>0.81735360660280154</v>
      </c>
      <c r="H66" s="19">
        <v>0.8923725820597288</v>
      </c>
      <c r="I66" s="19">
        <v>4.5699906181186446E-2</v>
      </c>
      <c r="J66" s="19">
        <v>0.91673964566109944</v>
      </c>
      <c r="K66" s="19">
        <v>4.5532114445199737E-2</v>
      </c>
      <c r="L66" s="19"/>
      <c r="M66" s="19"/>
      <c r="N66" s="19"/>
      <c r="O66" s="19"/>
      <c r="P66" s="19"/>
    </row>
    <row r="67" spans="2:16" x14ac:dyDescent="0.2">
      <c r="B67" t="s">
        <v>677</v>
      </c>
      <c r="C67" t="s">
        <v>376</v>
      </c>
      <c r="D67" s="18">
        <v>42293.601226851853</v>
      </c>
      <c r="E67" t="s">
        <v>676</v>
      </c>
      <c r="F67" s="152">
        <v>0.94564441915236841</v>
      </c>
      <c r="G67" s="152">
        <v>0.86986023078173247</v>
      </c>
      <c r="H67" s="152">
        <v>0.90455304928989155</v>
      </c>
      <c r="I67" s="152">
        <v>0.11605551170701922</v>
      </c>
      <c r="J67" s="152">
        <v>0.83732001033383141</v>
      </c>
      <c r="K67" s="152">
        <v>3.5133790882765935E-2</v>
      </c>
      <c r="L67" s="152"/>
      <c r="M67" s="152"/>
      <c r="N67" s="152"/>
      <c r="O67" s="152"/>
      <c r="P67" s="152"/>
    </row>
    <row r="68" spans="2:16" x14ac:dyDescent="0.2">
      <c r="B68" t="s">
        <v>636</v>
      </c>
      <c r="C68" t="s">
        <v>376</v>
      </c>
      <c r="D68" s="18">
        <v>42293.601226851853</v>
      </c>
      <c r="E68" t="s">
        <v>92</v>
      </c>
      <c r="F68" s="152">
        <v>0.91123054114158641</v>
      </c>
      <c r="G68" s="152">
        <v>0.87345615479621264</v>
      </c>
      <c r="H68" s="152">
        <v>0.84419915601575757</v>
      </c>
      <c r="I68" s="152">
        <v>5.1845298671013042E-2</v>
      </c>
      <c r="J68" s="152">
        <v>0.91283465244663509</v>
      </c>
      <c r="K68" s="152">
        <v>3.4927324923456876E-2</v>
      </c>
      <c r="L68" s="152"/>
      <c r="M68" s="152"/>
      <c r="N68" s="152"/>
      <c r="O68" s="152"/>
      <c r="P68" s="152"/>
    </row>
    <row r="69" spans="2:16" x14ac:dyDescent="0.2">
      <c r="B69" t="s">
        <v>646</v>
      </c>
      <c r="C69" t="s">
        <v>397</v>
      </c>
      <c r="D69" s="18">
        <v>42293.601226851853</v>
      </c>
      <c r="E69" t="s">
        <v>191</v>
      </c>
      <c r="F69" s="152">
        <v>0.99004700572543525</v>
      </c>
      <c r="G69" s="152">
        <v>0.9572758037225042</v>
      </c>
      <c r="H69" s="152">
        <v>0.92865445890437248</v>
      </c>
      <c r="I69" s="152">
        <v>3.851836648649147E-2</v>
      </c>
      <c r="J69" s="152">
        <v>0.91007925069827456</v>
      </c>
      <c r="K69" s="152">
        <v>5.4734787745189022E-2</v>
      </c>
      <c r="L69" s="152"/>
      <c r="M69" s="152"/>
      <c r="N69" s="152"/>
      <c r="O69" s="152"/>
      <c r="P69" s="152"/>
    </row>
    <row r="70" spans="2:16" x14ac:dyDescent="0.2">
      <c r="B70" t="s">
        <v>650</v>
      </c>
      <c r="C70" t="s">
        <v>376</v>
      </c>
      <c r="D70" s="18">
        <v>42293.601226851853</v>
      </c>
      <c r="E70" t="s">
        <v>193</v>
      </c>
      <c r="F70" s="152">
        <v>0.94593067372737683</v>
      </c>
      <c r="G70" s="152">
        <v>0.85256410256410253</v>
      </c>
      <c r="H70" s="152">
        <v>0.85562553660788376</v>
      </c>
      <c r="I70" s="152">
        <v>4.6982260482152115E-2</v>
      </c>
      <c r="J70" s="152">
        <v>0.88517869804523708</v>
      </c>
      <c r="K70" s="152">
        <v>5.2727461847557819E-2</v>
      </c>
      <c r="L70" s="152"/>
      <c r="M70" s="152"/>
      <c r="N70" s="152"/>
      <c r="O70" s="152"/>
      <c r="P70" s="152"/>
    </row>
    <row r="71" spans="2:16" x14ac:dyDescent="0.2">
      <c r="B71" t="s">
        <v>550</v>
      </c>
      <c r="C71" t="s">
        <v>376</v>
      </c>
      <c r="D71" s="18">
        <v>42293.601226851853</v>
      </c>
      <c r="E71" t="s">
        <v>153</v>
      </c>
      <c r="F71" s="152">
        <v>0.95325332820193764</v>
      </c>
      <c r="G71" s="152">
        <v>0.8671306385221268</v>
      </c>
      <c r="H71" s="152">
        <v>0.84527408971012141</v>
      </c>
      <c r="I71" s="152">
        <v>5.0945282127898395E-2</v>
      </c>
      <c r="J71" s="152">
        <v>0.94947295147140531</v>
      </c>
      <c r="K71" s="152">
        <v>3.5021400766322944E-2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957</v>
      </c>
      <c r="C2" t="s">
        <v>958</v>
      </c>
      <c r="D2" t="s">
        <v>139</v>
      </c>
      <c r="F2" t="s">
        <v>952</v>
      </c>
      <c r="G2" t="s">
        <v>939</v>
      </c>
      <c r="H2" t="s">
        <v>940</v>
      </c>
      <c r="I2" t="s">
        <v>941</v>
      </c>
      <c r="J2" t="s">
        <v>942</v>
      </c>
      <c r="K2" t="s">
        <v>943</v>
      </c>
      <c r="L2" t="s">
        <v>944</v>
      </c>
      <c r="M2" t="s">
        <v>945</v>
      </c>
      <c r="N2" t="s">
        <v>946</v>
      </c>
      <c r="O2" t="s">
        <v>947</v>
      </c>
      <c r="P2" t="s">
        <v>948</v>
      </c>
      <c r="Q2" t="s">
        <v>949</v>
      </c>
      <c r="R2" t="s">
        <v>950</v>
      </c>
      <c r="S2" t="s">
        <v>951</v>
      </c>
      <c r="V2" t="s">
        <v>953</v>
      </c>
      <c r="W2" t="s">
        <v>939</v>
      </c>
      <c r="X2" t="s">
        <v>940</v>
      </c>
      <c r="Y2" t="s">
        <v>941</v>
      </c>
      <c r="Z2" t="s">
        <v>942</v>
      </c>
      <c r="AA2" t="s">
        <v>943</v>
      </c>
      <c r="AB2" t="s">
        <v>944</v>
      </c>
      <c r="AC2" t="s">
        <v>945</v>
      </c>
      <c r="AD2" t="s">
        <v>946</v>
      </c>
      <c r="AE2" t="s">
        <v>947</v>
      </c>
      <c r="AF2" t="s">
        <v>948</v>
      </c>
      <c r="AG2" t="s">
        <v>949</v>
      </c>
      <c r="AH2" t="s">
        <v>950</v>
      </c>
      <c r="AI2" t="s">
        <v>951</v>
      </c>
      <c r="AL2" t="s">
        <v>954</v>
      </c>
      <c r="AM2" t="s">
        <v>939</v>
      </c>
      <c r="AN2" t="s">
        <v>940</v>
      </c>
      <c r="AO2" t="s">
        <v>941</v>
      </c>
      <c r="AP2" t="s">
        <v>942</v>
      </c>
      <c r="AQ2" t="s">
        <v>943</v>
      </c>
      <c r="AR2" t="s">
        <v>944</v>
      </c>
      <c r="AS2" t="s">
        <v>945</v>
      </c>
      <c r="AT2" t="s">
        <v>946</v>
      </c>
      <c r="AU2" t="s">
        <v>947</v>
      </c>
      <c r="AV2" t="s">
        <v>948</v>
      </c>
      <c r="AW2" t="s">
        <v>949</v>
      </c>
      <c r="AX2" t="s">
        <v>950</v>
      </c>
      <c r="AY2" t="s">
        <v>951</v>
      </c>
    </row>
    <row r="3" spans="2:51" x14ac:dyDescent="0.2">
      <c r="B3" t="s">
        <v>960</v>
      </c>
      <c r="C3">
        <v>387653</v>
      </c>
      <c r="D3">
        <v>411.82318314349999</v>
      </c>
      <c r="F3" t="s">
        <v>8</v>
      </c>
      <c r="G3">
        <v>11115</v>
      </c>
      <c r="P3">
        <v>11115</v>
      </c>
      <c r="Q3">
        <v>177.56068376069999</v>
      </c>
      <c r="V3" t="s">
        <v>315</v>
      </c>
      <c r="W3">
        <v>402</v>
      </c>
      <c r="X3">
        <v>267</v>
      </c>
      <c r="Y3">
        <v>363.30337078650001</v>
      </c>
      <c r="Z3">
        <v>18</v>
      </c>
      <c r="AA3">
        <v>563.44444444440001</v>
      </c>
      <c r="AB3">
        <v>75</v>
      </c>
      <c r="AC3">
        <v>583.30666666670004</v>
      </c>
      <c r="AD3">
        <v>36</v>
      </c>
      <c r="AE3">
        <v>694.66666666670005</v>
      </c>
      <c r="AF3">
        <v>23</v>
      </c>
      <c r="AG3">
        <v>168.69565217389999</v>
      </c>
      <c r="AH3">
        <v>1</v>
      </c>
      <c r="AI3">
        <v>124</v>
      </c>
      <c r="AL3" t="s">
        <v>315</v>
      </c>
      <c r="AM3">
        <v>8</v>
      </c>
      <c r="AN3">
        <v>5</v>
      </c>
      <c r="AO3">
        <v>398.8</v>
      </c>
      <c r="AP3">
        <v>3</v>
      </c>
      <c r="AQ3">
        <v>554.66666666670005</v>
      </c>
      <c r="AR3">
        <v>2</v>
      </c>
      <c r="AS3">
        <v>294</v>
      </c>
      <c r="AT3">
        <v>1</v>
      </c>
      <c r="AU3">
        <v>87</v>
      </c>
    </row>
    <row r="4" spans="2:51" x14ac:dyDescent="0.2">
      <c r="B4" t="s">
        <v>959</v>
      </c>
      <c r="C4">
        <v>36354</v>
      </c>
      <c r="D4">
        <v>411.82318314349999</v>
      </c>
      <c r="F4" t="s">
        <v>8</v>
      </c>
      <c r="G4">
        <v>11115</v>
      </c>
      <c r="P4">
        <v>11115</v>
      </c>
      <c r="Q4">
        <v>177.56068376069999</v>
      </c>
      <c r="V4" t="s">
        <v>8</v>
      </c>
      <c r="W4">
        <v>4873</v>
      </c>
      <c r="X4">
        <v>3631</v>
      </c>
      <c r="Y4">
        <v>429.12861470669998</v>
      </c>
      <c r="Z4">
        <v>391</v>
      </c>
      <c r="AA4">
        <v>412.92583120199998</v>
      </c>
      <c r="AB4">
        <v>490</v>
      </c>
      <c r="AC4">
        <v>544.98571428570006</v>
      </c>
      <c r="AD4">
        <v>705</v>
      </c>
      <c r="AE4">
        <v>811.6921985816</v>
      </c>
      <c r="AF4">
        <v>45</v>
      </c>
      <c r="AG4">
        <v>259.73333333329998</v>
      </c>
      <c r="AH4">
        <v>2</v>
      </c>
      <c r="AI4">
        <v>766</v>
      </c>
      <c r="AL4" t="s">
        <v>8</v>
      </c>
      <c r="AM4">
        <v>59</v>
      </c>
      <c r="AN4">
        <v>48</v>
      </c>
      <c r="AO4">
        <v>301.1458333333</v>
      </c>
      <c r="AP4">
        <v>10</v>
      </c>
      <c r="AQ4">
        <v>448.8</v>
      </c>
      <c r="AR4">
        <v>11</v>
      </c>
      <c r="AS4">
        <v>215</v>
      </c>
    </row>
    <row r="5" spans="2:51" x14ac:dyDescent="0.2">
      <c r="B5" t="s">
        <v>971</v>
      </c>
      <c r="C5">
        <v>20487</v>
      </c>
      <c r="D5">
        <v>559.44559964860002</v>
      </c>
      <c r="F5" t="s">
        <v>46</v>
      </c>
      <c r="G5">
        <v>567</v>
      </c>
      <c r="H5">
        <v>467</v>
      </c>
      <c r="I5">
        <v>227.38972162740001</v>
      </c>
      <c r="J5">
        <v>18</v>
      </c>
      <c r="K5">
        <v>719.5</v>
      </c>
      <c r="L5">
        <v>74</v>
      </c>
      <c r="M5">
        <v>177</v>
      </c>
      <c r="N5">
        <v>26</v>
      </c>
      <c r="O5">
        <v>217.8461538462</v>
      </c>
      <c r="V5" t="s">
        <v>8</v>
      </c>
      <c r="W5">
        <v>5275</v>
      </c>
      <c r="X5">
        <v>3898</v>
      </c>
      <c r="Y5">
        <v>424.61980502820001</v>
      </c>
      <c r="Z5">
        <v>409</v>
      </c>
      <c r="AA5">
        <v>419.55012224939998</v>
      </c>
      <c r="AB5">
        <v>565</v>
      </c>
      <c r="AC5">
        <v>550.07256637169996</v>
      </c>
      <c r="AD5">
        <v>741</v>
      </c>
      <c r="AE5">
        <v>806.0067476383</v>
      </c>
      <c r="AF5">
        <v>68</v>
      </c>
      <c r="AG5">
        <v>228.9411764706</v>
      </c>
      <c r="AH5">
        <v>3</v>
      </c>
      <c r="AI5">
        <v>552</v>
      </c>
      <c r="AL5" t="s">
        <v>8</v>
      </c>
      <c r="AM5">
        <v>67</v>
      </c>
      <c r="AN5">
        <v>53</v>
      </c>
      <c r="AO5">
        <v>310.358490566</v>
      </c>
      <c r="AP5">
        <v>13</v>
      </c>
      <c r="AQ5">
        <v>473.23076923079998</v>
      </c>
      <c r="AR5">
        <v>13</v>
      </c>
      <c r="AS5">
        <v>227.1538461538</v>
      </c>
      <c r="AT5">
        <v>1</v>
      </c>
      <c r="AU5">
        <v>87</v>
      </c>
    </row>
    <row r="6" spans="2:51" x14ac:dyDescent="0.2">
      <c r="B6" t="s">
        <v>247</v>
      </c>
      <c r="C6">
        <v>55103</v>
      </c>
      <c r="D6">
        <v>618.04678511149996</v>
      </c>
      <c r="F6" t="s">
        <v>40</v>
      </c>
      <c r="G6">
        <v>7881</v>
      </c>
      <c r="H6">
        <v>5964</v>
      </c>
      <c r="I6">
        <v>445.18125419180001</v>
      </c>
      <c r="J6">
        <v>215</v>
      </c>
      <c r="K6">
        <v>954.14883720930004</v>
      </c>
      <c r="L6">
        <v>1349</v>
      </c>
      <c r="M6">
        <v>558.99925871020002</v>
      </c>
      <c r="N6">
        <v>547</v>
      </c>
      <c r="O6">
        <v>623.11517367459999</v>
      </c>
      <c r="R6">
        <v>21</v>
      </c>
      <c r="S6">
        <v>663.33333333329995</v>
      </c>
      <c r="V6" t="s">
        <v>406</v>
      </c>
      <c r="W6">
        <v>1246</v>
      </c>
      <c r="X6">
        <v>631</v>
      </c>
      <c r="Y6">
        <v>172.01743264660001</v>
      </c>
      <c r="Z6">
        <v>229</v>
      </c>
      <c r="AA6">
        <v>278.4061135371</v>
      </c>
      <c r="AB6">
        <v>411</v>
      </c>
      <c r="AC6">
        <v>257.82968369830002</v>
      </c>
      <c r="AD6">
        <v>119</v>
      </c>
      <c r="AE6">
        <v>282.68907563030001</v>
      </c>
      <c r="AF6">
        <v>83</v>
      </c>
      <c r="AG6">
        <v>158.8192771084</v>
      </c>
      <c r="AH6">
        <v>2</v>
      </c>
      <c r="AI6">
        <v>231.5</v>
      </c>
      <c r="AL6" t="s">
        <v>406</v>
      </c>
      <c r="AM6">
        <v>25</v>
      </c>
      <c r="AN6">
        <v>14</v>
      </c>
      <c r="AO6">
        <v>123.2857142857</v>
      </c>
      <c r="AP6">
        <v>19</v>
      </c>
      <c r="AQ6">
        <v>219.36842105260001</v>
      </c>
      <c r="AR6">
        <v>6</v>
      </c>
      <c r="AS6">
        <v>138.5</v>
      </c>
      <c r="AT6">
        <v>5</v>
      </c>
      <c r="AU6">
        <v>92.6</v>
      </c>
    </row>
    <row r="7" spans="2:51" x14ac:dyDescent="0.2">
      <c r="B7" t="s">
        <v>246</v>
      </c>
      <c r="C7">
        <v>231794</v>
      </c>
      <c r="D7">
        <v>395.32417577680002</v>
      </c>
      <c r="F7" t="s">
        <v>45</v>
      </c>
      <c r="G7">
        <v>5901</v>
      </c>
      <c r="H7">
        <v>4249</v>
      </c>
      <c r="I7">
        <v>395.35914332779998</v>
      </c>
      <c r="J7">
        <v>609</v>
      </c>
      <c r="K7">
        <v>470.38095238099999</v>
      </c>
      <c r="L7">
        <v>1050</v>
      </c>
      <c r="M7">
        <v>647.79809523810002</v>
      </c>
      <c r="N7">
        <v>596</v>
      </c>
      <c r="O7">
        <v>435.7432885906</v>
      </c>
      <c r="R7">
        <v>6</v>
      </c>
      <c r="S7">
        <v>652.83333333329995</v>
      </c>
      <c r="V7" t="s">
        <v>398</v>
      </c>
      <c r="W7">
        <v>13955</v>
      </c>
      <c r="X7">
        <v>10201</v>
      </c>
      <c r="Y7">
        <v>629.61229291250004</v>
      </c>
      <c r="Z7">
        <v>335</v>
      </c>
      <c r="AA7">
        <v>1170.8447761194</v>
      </c>
      <c r="AB7">
        <v>2657</v>
      </c>
      <c r="AC7">
        <v>1325.5299209635</v>
      </c>
      <c r="AD7">
        <v>875</v>
      </c>
      <c r="AE7">
        <v>833.55085714289999</v>
      </c>
      <c r="AF7">
        <v>200</v>
      </c>
      <c r="AG7">
        <v>233.68</v>
      </c>
      <c r="AH7">
        <v>22</v>
      </c>
      <c r="AI7">
        <v>675.18181818180005</v>
      </c>
      <c r="AL7" t="s">
        <v>398</v>
      </c>
      <c r="AM7">
        <v>444</v>
      </c>
      <c r="AN7">
        <v>357</v>
      </c>
      <c r="AO7">
        <v>561.82913165269997</v>
      </c>
      <c r="AP7">
        <v>39</v>
      </c>
      <c r="AQ7">
        <v>863.23076923079998</v>
      </c>
      <c r="AR7">
        <v>84</v>
      </c>
      <c r="AS7">
        <v>755.22619047620003</v>
      </c>
      <c r="AT7">
        <v>3</v>
      </c>
      <c r="AU7">
        <v>182</v>
      </c>
    </row>
    <row r="8" spans="2:51" x14ac:dyDescent="0.2">
      <c r="B8" t="s">
        <v>248</v>
      </c>
      <c r="C8">
        <v>24794</v>
      </c>
      <c r="D8">
        <v>516.20053238690002</v>
      </c>
      <c r="F8" t="s">
        <v>53</v>
      </c>
      <c r="G8">
        <v>1275</v>
      </c>
      <c r="H8">
        <v>376</v>
      </c>
      <c r="I8">
        <v>98.343085106399997</v>
      </c>
      <c r="J8">
        <v>355</v>
      </c>
      <c r="K8">
        <v>196.86197183100001</v>
      </c>
      <c r="L8">
        <v>658</v>
      </c>
      <c r="M8">
        <v>236.8875379939</v>
      </c>
      <c r="N8">
        <v>238</v>
      </c>
      <c r="O8">
        <v>227.0210084034</v>
      </c>
      <c r="R8">
        <v>3</v>
      </c>
      <c r="S8">
        <v>253.3333333333</v>
      </c>
      <c r="V8" t="s">
        <v>429</v>
      </c>
      <c r="W8">
        <v>1361</v>
      </c>
      <c r="X8">
        <v>907</v>
      </c>
      <c r="Y8">
        <v>210.88643880929999</v>
      </c>
      <c r="Z8">
        <v>218</v>
      </c>
      <c r="AA8">
        <v>386.371559633</v>
      </c>
      <c r="AB8">
        <v>157</v>
      </c>
      <c r="AC8">
        <v>150.07643312100001</v>
      </c>
      <c r="AD8">
        <v>195</v>
      </c>
      <c r="AE8">
        <v>365.03076923079999</v>
      </c>
      <c r="AF8">
        <v>99</v>
      </c>
      <c r="AG8">
        <v>175.30303030300001</v>
      </c>
      <c r="AH8">
        <v>3</v>
      </c>
      <c r="AI8">
        <v>132.6666666667</v>
      </c>
      <c r="AL8" t="s">
        <v>429</v>
      </c>
      <c r="AM8">
        <v>23</v>
      </c>
      <c r="AN8">
        <v>12</v>
      </c>
      <c r="AO8">
        <v>157.6666666667</v>
      </c>
      <c r="AP8">
        <v>7</v>
      </c>
      <c r="AQ8">
        <v>212.28571428570001</v>
      </c>
      <c r="AR8">
        <v>9</v>
      </c>
      <c r="AS8">
        <v>120.44444444440001</v>
      </c>
      <c r="AT8">
        <v>2</v>
      </c>
      <c r="AU8">
        <v>170</v>
      </c>
    </row>
    <row r="9" spans="2:51" x14ac:dyDescent="0.2">
      <c r="B9" t="s">
        <v>249</v>
      </c>
      <c r="C9">
        <v>11115</v>
      </c>
      <c r="D9">
        <v>177.56068376069999</v>
      </c>
      <c r="F9" t="s">
        <v>84</v>
      </c>
      <c r="G9">
        <v>1236</v>
      </c>
      <c r="H9">
        <v>874</v>
      </c>
      <c r="I9">
        <v>208.53203661329999</v>
      </c>
      <c r="J9">
        <v>235</v>
      </c>
      <c r="K9">
        <v>385.57446808510002</v>
      </c>
      <c r="L9">
        <v>153</v>
      </c>
      <c r="M9">
        <v>119.5816993464</v>
      </c>
      <c r="N9">
        <v>206</v>
      </c>
      <c r="O9">
        <v>352.90776699029999</v>
      </c>
      <c r="R9">
        <v>3</v>
      </c>
      <c r="S9">
        <v>132.6666666667</v>
      </c>
      <c r="V9" t="s">
        <v>399</v>
      </c>
      <c r="W9">
        <v>8225</v>
      </c>
      <c r="X9">
        <v>6305</v>
      </c>
      <c r="Y9">
        <v>496.87200634419997</v>
      </c>
      <c r="Z9">
        <v>175</v>
      </c>
      <c r="AA9">
        <v>812.66857142859999</v>
      </c>
      <c r="AB9">
        <v>1339</v>
      </c>
      <c r="AC9">
        <v>974.2486930545</v>
      </c>
      <c r="AD9">
        <v>419</v>
      </c>
      <c r="AE9">
        <v>662.99284009550001</v>
      </c>
      <c r="AF9">
        <v>158</v>
      </c>
      <c r="AG9">
        <v>159.65189873419999</v>
      </c>
      <c r="AH9">
        <v>4</v>
      </c>
      <c r="AI9">
        <v>305.5</v>
      </c>
      <c r="AL9" t="s">
        <v>399</v>
      </c>
      <c r="AM9">
        <v>211</v>
      </c>
      <c r="AN9">
        <v>193</v>
      </c>
      <c r="AO9">
        <v>552.9585492228</v>
      </c>
      <c r="AP9">
        <v>14</v>
      </c>
      <c r="AQ9">
        <v>753.71428571429999</v>
      </c>
      <c r="AR9">
        <v>16</v>
      </c>
      <c r="AS9">
        <v>545.0625</v>
      </c>
      <c r="AT9">
        <v>2</v>
      </c>
      <c r="AU9">
        <v>110</v>
      </c>
    </row>
    <row r="10" spans="2:51" x14ac:dyDescent="0.2">
      <c r="B10" t="s">
        <v>955</v>
      </c>
      <c r="C10">
        <v>445</v>
      </c>
      <c r="D10">
        <v>447.54382022470003</v>
      </c>
      <c r="F10" t="s">
        <v>79</v>
      </c>
      <c r="G10">
        <v>1767</v>
      </c>
      <c r="H10">
        <v>731</v>
      </c>
      <c r="I10">
        <v>118.3474692202</v>
      </c>
      <c r="J10">
        <v>499</v>
      </c>
      <c r="K10">
        <v>204.26052104210001</v>
      </c>
      <c r="L10">
        <v>942</v>
      </c>
      <c r="M10">
        <v>286.38853503180002</v>
      </c>
      <c r="N10">
        <v>94</v>
      </c>
      <c r="O10">
        <v>130.31914893620001</v>
      </c>
      <c r="V10" t="s">
        <v>401</v>
      </c>
      <c r="W10">
        <v>8067</v>
      </c>
      <c r="X10">
        <v>5893</v>
      </c>
      <c r="Y10">
        <v>442.85847615820001</v>
      </c>
      <c r="Z10">
        <v>224</v>
      </c>
      <c r="AA10">
        <v>909.49553571429999</v>
      </c>
      <c r="AB10">
        <v>1347</v>
      </c>
      <c r="AC10">
        <v>565.31180400890003</v>
      </c>
      <c r="AD10">
        <v>544</v>
      </c>
      <c r="AE10">
        <v>610.24816176469994</v>
      </c>
      <c r="AF10">
        <v>262</v>
      </c>
      <c r="AG10">
        <v>197.75954198470001</v>
      </c>
      <c r="AH10">
        <v>21</v>
      </c>
      <c r="AI10">
        <v>663.33333333329995</v>
      </c>
      <c r="AL10" t="s">
        <v>401</v>
      </c>
      <c r="AM10">
        <v>370</v>
      </c>
      <c r="AN10">
        <v>258</v>
      </c>
      <c r="AO10">
        <v>396.64728682169999</v>
      </c>
      <c r="AP10">
        <v>29</v>
      </c>
      <c r="AQ10">
        <v>477.79310344829997</v>
      </c>
      <c r="AR10">
        <v>99</v>
      </c>
      <c r="AS10">
        <v>460.20202020200003</v>
      </c>
      <c r="AT10">
        <v>13</v>
      </c>
      <c r="AU10">
        <v>168.1538461538</v>
      </c>
    </row>
    <row r="11" spans="2:51" x14ac:dyDescent="0.2">
      <c r="F11" t="s">
        <v>41</v>
      </c>
      <c r="G11">
        <v>13906</v>
      </c>
      <c r="H11">
        <v>10327</v>
      </c>
      <c r="I11">
        <v>634.94364287789995</v>
      </c>
      <c r="J11">
        <v>322</v>
      </c>
      <c r="K11">
        <v>1204.2639751552999</v>
      </c>
      <c r="L11">
        <v>2697</v>
      </c>
      <c r="M11">
        <v>1341.8672599183999</v>
      </c>
      <c r="N11">
        <v>859</v>
      </c>
      <c r="O11">
        <v>849.29802095460002</v>
      </c>
      <c r="R11">
        <v>23</v>
      </c>
      <c r="S11">
        <v>647.21739130430001</v>
      </c>
      <c r="V11" t="s">
        <v>402</v>
      </c>
      <c r="W11">
        <v>6177</v>
      </c>
      <c r="X11">
        <v>4220</v>
      </c>
      <c r="Y11">
        <v>399.54715639810001</v>
      </c>
      <c r="Z11">
        <v>594</v>
      </c>
      <c r="AA11">
        <v>470.82323232319999</v>
      </c>
      <c r="AB11">
        <v>1057</v>
      </c>
      <c r="AC11">
        <v>658.28003784299995</v>
      </c>
      <c r="AD11">
        <v>596</v>
      </c>
      <c r="AE11">
        <v>448.09395973149998</v>
      </c>
      <c r="AF11">
        <v>298</v>
      </c>
      <c r="AG11">
        <v>179.8926174497</v>
      </c>
      <c r="AH11">
        <v>6</v>
      </c>
      <c r="AI11">
        <v>652.83333333329995</v>
      </c>
      <c r="AL11" t="s">
        <v>402</v>
      </c>
      <c r="AM11">
        <v>284</v>
      </c>
      <c r="AN11">
        <v>231</v>
      </c>
      <c r="AO11">
        <v>374.84848484849999</v>
      </c>
      <c r="AP11">
        <v>17</v>
      </c>
      <c r="AQ11">
        <v>537.52941176469994</v>
      </c>
      <c r="AR11">
        <v>47</v>
      </c>
      <c r="AS11">
        <v>393.5319148936</v>
      </c>
      <c r="AT11">
        <v>5</v>
      </c>
      <c r="AU11">
        <v>405.8</v>
      </c>
      <c r="AV11">
        <v>1</v>
      </c>
      <c r="AW11">
        <v>95</v>
      </c>
    </row>
    <row r="12" spans="2:51" x14ac:dyDescent="0.2">
      <c r="F12" t="s">
        <v>59</v>
      </c>
      <c r="G12">
        <v>3337</v>
      </c>
      <c r="H12">
        <v>2800</v>
      </c>
      <c r="I12">
        <v>281.73678571430003</v>
      </c>
      <c r="J12">
        <v>170</v>
      </c>
      <c r="K12">
        <v>550.8823529412</v>
      </c>
      <c r="L12">
        <v>479</v>
      </c>
      <c r="M12">
        <v>307.85177453030002</v>
      </c>
      <c r="N12">
        <v>58</v>
      </c>
      <c r="O12">
        <v>120.2413793103</v>
      </c>
      <c r="V12" t="s">
        <v>404</v>
      </c>
      <c r="W12">
        <v>6925</v>
      </c>
      <c r="X12">
        <v>5674</v>
      </c>
      <c r="Y12">
        <v>292.49911878749998</v>
      </c>
      <c r="Z12">
        <v>364</v>
      </c>
      <c r="AA12">
        <v>572.54120879120001</v>
      </c>
      <c r="AB12">
        <v>398</v>
      </c>
      <c r="AC12">
        <v>229.02010050249999</v>
      </c>
      <c r="AD12">
        <v>521</v>
      </c>
      <c r="AE12">
        <v>352.96353166990002</v>
      </c>
      <c r="AF12">
        <v>322</v>
      </c>
      <c r="AG12">
        <v>150.49689440989999</v>
      </c>
      <c r="AH12">
        <v>10</v>
      </c>
      <c r="AI12">
        <v>349.9</v>
      </c>
      <c r="AL12" t="s">
        <v>404</v>
      </c>
      <c r="AM12">
        <v>218</v>
      </c>
      <c r="AN12">
        <v>186</v>
      </c>
      <c r="AO12">
        <v>352.8333333333</v>
      </c>
      <c r="AP12">
        <v>14</v>
      </c>
      <c r="AQ12">
        <v>503.71428571429999</v>
      </c>
      <c r="AR12">
        <v>32</v>
      </c>
      <c r="AS12">
        <v>196.5625</v>
      </c>
    </row>
    <row r="13" spans="2:51" x14ac:dyDescent="0.2">
      <c r="F13" t="s">
        <v>78</v>
      </c>
      <c r="G13">
        <v>6507</v>
      </c>
      <c r="H13">
        <v>5616</v>
      </c>
      <c r="I13">
        <v>287.99893162389998</v>
      </c>
      <c r="J13">
        <v>354</v>
      </c>
      <c r="K13">
        <v>579.21751412430001</v>
      </c>
      <c r="L13">
        <v>367</v>
      </c>
      <c r="M13">
        <v>206.49318801090001</v>
      </c>
      <c r="N13">
        <v>515</v>
      </c>
      <c r="O13">
        <v>354.59029126209998</v>
      </c>
      <c r="R13">
        <v>9</v>
      </c>
      <c r="S13">
        <v>357.2222222222</v>
      </c>
      <c r="V13" t="s">
        <v>407</v>
      </c>
      <c r="W13">
        <v>1431</v>
      </c>
      <c r="X13">
        <v>405</v>
      </c>
      <c r="Y13">
        <v>123.2888888889</v>
      </c>
      <c r="Z13">
        <v>353</v>
      </c>
      <c r="AA13">
        <v>203.56657223799999</v>
      </c>
      <c r="AB13">
        <v>650</v>
      </c>
      <c r="AC13">
        <v>241.39230769229999</v>
      </c>
      <c r="AD13">
        <v>232</v>
      </c>
      <c r="AE13">
        <v>229</v>
      </c>
      <c r="AF13">
        <v>142</v>
      </c>
      <c r="AG13">
        <v>190.09154929580001</v>
      </c>
      <c r="AH13">
        <v>2</v>
      </c>
      <c r="AI13">
        <v>238</v>
      </c>
      <c r="AL13" t="s">
        <v>407</v>
      </c>
      <c r="AM13">
        <v>21</v>
      </c>
      <c r="AN13">
        <v>12</v>
      </c>
      <c r="AO13">
        <v>122.5833333333</v>
      </c>
      <c r="AP13">
        <v>10</v>
      </c>
      <c r="AQ13">
        <v>255.9</v>
      </c>
      <c r="AR13">
        <v>6</v>
      </c>
      <c r="AS13">
        <v>85</v>
      </c>
      <c r="AT13">
        <v>3</v>
      </c>
      <c r="AU13">
        <v>129.3333333333</v>
      </c>
    </row>
    <row r="14" spans="2:51" x14ac:dyDescent="0.2">
      <c r="F14" t="s">
        <v>44</v>
      </c>
      <c r="G14">
        <v>1130</v>
      </c>
      <c r="H14">
        <v>594</v>
      </c>
      <c r="I14">
        <v>146.73232323229999</v>
      </c>
      <c r="J14">
        <v>237</v>
      </c>
      <c r="K14">
        <v>277.80168776369999</v>
      </c>
      <c r="L14">
        <v>414</v>
      </c>
      <c r="M14">
        <v>259.69806763290001</v>
      </c>
      <c r="N14">
        <v>120</v>
      </c>
      <c r="O14">
        <v>295.05833333330003</v>
      </c>
      <c r="R14">
        <v>2</v>
      </c>
      <c r="S14">
        <v>231.5</v>
      </c>
      <c r="V14" t="s">
        <v>408</v>
      </c>
      <c r="W14">
        <v>2200</v>
      </c>
      <c r="X14">
        <v>929</v>
      </c>
      <c r="Y14">
        <v>162.97739504840001</v>
      </c>
      <c r="Z14">
        <v>501</v>
      </c>
      <c r="AA14">
        <v>212.39720558880001</v>
      </c>
      <c r="AB14">
        <v>976</v>
      </c>
      <c r="AC14">
        <v>299.07786885249999</v>
      </c>
      <c r="AD14">
        <v>103</v>
      </c>
      <c r="AE14">
        <v>188.94174757280001</v>
      </c>
      <c r="AF14">
        <v>192</v>
      </c>
      <c r="AG14">
        <v>167.4739583333</v>
      </c>
      <c r="AL14" t="s">
        <v>408</v>
      </c>
      <c r="AM14">
        <v>23</v>
      </c>
      <c r="AN14">
        <v>15</v>
      </c>
      <c r="AO14">
        <v>63.666666666700003</v>
      </c>
      <c r="AP14">
        <v>22</v>
      </c>
      <c r="AQ14">
        <v>188.36363636359999</v>
      </c>
      <c r="AR14">
        <v>4</v>
      </c>
      <c r="AS14">
        <v>93.25</v>
      </c>
      <c r="AT14">
        <v>4</v>
      </c>
      <c r="AU14">
        <v>103.75</v>
      </c>
    </row>
    <row r="15" spans="2:51" x14ac:dyDescent="0.2">
      <c r="F15" t="s">
        <v>77</v>
      </c>
      <c r="G15">
        <v>226</v>
      </c>
      <c r="H15">
        <v>94</v>
      </c>
      <c r="I15">
        <v>100.8510638298</v>
      </c>
      <c r="J15">
        <v>114</v>
      </c>
      <c r="K15">
        <v>167.3333333333</v>
      </c>
      <c r="L15">
        <v>86</v>
      </c>
      <c r="M15">
        <v>194.90697674419999</v>
      </c>
      <c r="N15">
        <v>37</v>
      </c>
      <c r="O15">
        <v>260.54054054049999</v>
      </c>
      <c r="R15">
        <v>9</v>
      </c>
      <c r="S15">
        <v>188.1111111111</v>
      </c>
      <c r="V15" t="s">
        <v>403</v>
      </c>
      <c r="W15">
        <v>3453</v>
      </c>
      <c r="X15">
        <v>2799</v>
      </c>
      <c r="Y15">
        <v>289.73026080739999</v>
      </c>
      <c r="Z15">
        <v>182</v>
      </c>
      <c r="AA15">
        <v>554.95054945050003</v>
      </c>
      <c r="AB15">
        <v>469</v>
      </c>
      <c r="AC15">
        <v>305.2153518124</v>
      </c>
      <c r="AD15">
        <v>74</v>
      </c>
      <c r="AE15">
        <v>178.14864864859999</v>
      </c>
      <c r="AF15">
        <v>111</v>
      </c>
      <c r="AG15">
        <v>132.73873873869999</v>
      </c>
      <c r="AL15" t="s">
        <v>403</v>
      </c>
      <c r="AM15">
        <v>87</v>
      </c>
      <c r="AN15">
        <v>65</v>
      </c>
      <c r="AO15">
        <v>260.2769230769</v>
      </c>
      <c r="AP15">
        <v>6</v>
      </c>
      <c r="AQ15">
        <v>349</v>
      </c>
      <c r="AR15">
        <v>17</v>
      </c>
      <c r="AS15">
        <v>266.23529411760001</v>
      </c>
      <c r="AT15">
        <v>5</v>
      </c>
      <c r="AU15">
        <v>265.39999999999998</v>
      </c>
    </row>
    <row r="16" spans="2:51" x14ac:dyDescent="0.2">
      <c r="F16" t="s">
        <v>51</v>
      </c>
      <c r="G16">
        <v>8309</v>
      </c>
      <c r="H16">
        <v>6539</v>
      </c>
      <c r="I16">
        <v>498.1569047255</v>
      </c>
      <c r="J16">
        <v>181</v>
      </c>
      <c r="K16">
        <v>836.57458563540001</v>
      </c>
      <c r="L16">
        <v>1359</v>
      </c>
      <c r="M16">
        <v>978.95511405449997</v>
      </c>
      <c r="N16">
        <v>407</v>
      </c>
      <c r="O16">
        <v>666.17936117939996</v>
      </c>
      <c r="R16">
        <v>4</v>
      </c>
      <c r="S16">
        <v>305.5</v>
      </c>
      <c r="V16" t="s">
        <v>426</v>
      </c>
      <c r="W16">
        <v>451</v>
      </c>
      <c r="X16">
        <v>349</v>
      </c>
      <c r="Y16">
        <v>234.8080229226</v>
      </c>
      <c r="Z16">
        <v>13</v>
      </c>
      <c r="AA16">
        <v>789.46153846150003</v>
      </c>
      <c r="AB16">
        <v>61</v>
      </c>
      <c r="AC16">
        <v>261.67213114750001</v>
      </c>
      <c r="AD16">
        <v>16</v>
      </c>
      <c r="AE16">
        <v>199.125</v>
      </c>
      <c r="AF16">
        <v>25</v>
      </c>
      <c r="AG16">
        <v>120.52</v>
      </c>
      <c r="AL16" t="s">
        <v>426</v>
      </c>
      <c r="AM16">
        <v>5</v>
      </c>
      <c r="AN16">
        <v>4</v>
      </c>
      <c r="AO16">
        <v>313.75</v>
      </c>
      <c r="AP16">
        <v>4</v>
      </c>
      <c r="AQ16">
        <v>346.75</v>
      </c>
      <c r="AR16">
        <v>1</v>
      </c>
      <c r="AS16">
        <v>45</v>
      </c>
    </row>
    <row r="17" spans="6:51" x14ac:dyDescent="0.2">
      <c r="F17" t="s">
        <v>397</v>
      </c>
      <c r="G17">
        <v>52042</v>
      </c>
      <c r="H17">
        <v>38631</v>
      </c>
      <c r="I17">
        <v>441.72540187930002</v>
      </c>
      <c r="J17">
        <v>3309</v>
      </c>
      <c r="K17">
        <v>510.66122695680002</v>
      </c>
      <c r="L17">
        <v>9628</v>
      </c>
      <c r="M17">
        <v>746.59939759040003</v>
      </c>
      <c r="N17">
        <v>3703</v>
      </c>
      <c r="O17">
        <v>534.83877936809995</v>
      </c>
      <c r="R17">
        <v>80</v>
      </c>
      <c r="S17">
        <v>506.05</v>
      </c>
      <c r="V17" t="s">
        <v>427</v>
      </c>
      <c r="W17">
        <v>199</v>
      </c>
      <c r="X17">
        <v>52</v>
      </c>
      <c r="Y17">
        <v>265.01923076920002</v>
      </c>
      <c r="Z17">
        <v>29</v>
      </c>
      <c r="AA17">
        <v>298.10344827590001</v>
      </c>
      <c r="AB17">
        <v>45</v>
      </c>
      <c r="AC17">
        <v>351.93333333330003</v>
      </c>
      <c r="AD17">
        <v>39</v>
      </c>
      <c r="AE17">
        <v>283.58974358969999</v>
      </c>
      <c r="AF17">
        <v>54</v>
      </c>
      <c r="AG17">
        <v>216.2222222222</v>
      </c>
      <c r="AH17">
        <v>9</v>
      </c>
      <c r="AI17">
        <v>188.1111111111</v>
      </c>
      <c r="AL17" t="s">
        <v>427</v>
      </c>
      <c r="AM17">
        <v>7</v>
      </c>
      <c r="AN17">
        <v>5</v>
      </c>
      <c r="AO17">
        <v>172.8</v>
      </c>
      <c r="AP17">
        <v>4</v>
      </c>
      <c r="AQ17">
        <v>178.75</v>
      </c>
      <c r="AR17">
        <v>2</v>
      </c>
      <c r="AS17">
        <v>171</v>
      </c>
    </row>
    <row r="18" spans="6:51" x14ac:dyDescent="0.2">
      <c r="F18" t="s">
        <v>71</v>
      </c>
      <c r="G18">
        <v>2993</v>
      </c>
      <c r="H18">
        <v>2433</v>
      </c>
      <c r="I18">
        <v>264.91861898889999</v>
      </c>
      <c r="J18">
        <v>160</v>
      </c>
      <c r="K18">
        <v>591.70000000000005</v>
      </c>
      <c r="L18">
        <v>318</v>
      </c>
      <c r="M18">
        <v>293.21698113209999</v>
      </c>
      <c r="N18">
        <v>238</v>
      </c>
      <c r="O18">
        <v>502.10504201679998</v>
      </c>
      <c r="R18">
        <v>4</v>
      </c>
      <c r="S18">
        <v>786.75</v>
      </c>
      <c r="V18" t="s">
        <v>397</v>
      </c>
      <c r="W18">
        <v>53690</v>
      </c>
      <c r="X18">
        <v>38365</v>
      </c>
      <c r="Y18">
        <v>440.99533428910001</v>
      </c>
      <c r="Z18">
        <v>3217</v>
      </c>
      <c r="AA18">
        <v>519.86757848929994</v>
      </c>
      <c r="AB18">
        <v>9567</v>
      </c>
      <c r="AC18">
        <v>745.07776732520006</v>
      </c>
      <c r="AD18">
        <v>3733</v>
      </c>
      <c r="AE18">
        <v>534.40208947229996</v>
      </c>
      <c r="AF18">
        <v>1946</v>
      </c>
      <c r="AG18">
        <v>177.26104830419999</v>
      </c>
      <c r="AH18">
        <v>79</v>
      </c>
      <c r="AI18">
        <v>512.05063291140004</v>
      </c>
      <c r="AL18" t="s">
        <v>397</v>
      </c>
      <c r="AM18">
        <v>1718</v>
      </c>
      <c r="AN18">
        <v>1352</v>
      </c>
      <c r="AO18">
        <v>434.11760355029998</v>
      </c>
      <c r="AP18">
        <v>185</v>
      </c>
      <c r="AQ18">
        <v>490.90270270270003</v>
      </c>
      <c r="AR18">
        <v>323</v>
      </c>
      <c r="AS18">
        <v>465.0681114551</v>
      </c>
      <c r="AT18">
        <v>42</v>
      </c>
      <c r="AU18">
        <v>188.42857142860001</v>
      </c>
      <c r="AV18">
        <v>1</v>
      </c>
      <c r="AW18">
        <v>95</v>
      </c>
    </row>
    <row r="19" spans="6:51" x14ac:dyDescent="0.2">
      <c r="F19" t="s">
        <v>37</v>
      </c>
      <c r="G19">
        <v>914</v>
      </c>
      <c r="H19">
        <v>587</v>
      </c>
      <c r="I19">
        <v>248.15843270869999</v>
      </c>
      <c r="J19">
        <v>87</v>
      </c>
      <c r="K19">
        <v>437.71264367819998</v>
      </c>
      <c r="L19">
        <v>151</v>
      </c>
      <c r="M19">
        <v>247.37748344369999</v>
      </c>
      <c r="N19">
        <v>173</v>
      </c>
      <c r="O19">
        <v>579.97109826589997</v>
      </c>
      <c r="R19">
        <v>3</v>
      </c>
      <c r="S19">
        <v>342.6666666667</v>
      </c>
      <c r="V19" t="s">
        <v>415</v>
      </c>
      <c r="W19">
        <v>1001</v>
      </c>
      <c r="X19">
        <v>616</v>
      </c>
      <c r="Y19">
        <v>265.07305194809999</v>
      </c>
      <c r="Z19">
        <v>92</v>
      </c>
      <c r="AA19">
        <v>454.76086956519998</v>
      </c>
      <c r="AB19">
        <v>155</v>
      </c>
      <c r="AC19">
        <v>251.10322580650001</v>
      </c>
      <c r="AD19">
        <v>166</v>
      </c>
      <c r="AE19">
        <v>578.98795180720003</v>
      </c>
      <c r="AF19">
        <v>61</v>
      </c>
      <c r="AG19">
        <v>155.86885245900001</v>
      </c>
      <c r="AH19">
        <v>3</v>
      </c>
      <c r="AI19">
        <v>342.6666666667</v>
      </c>
      <c r="AL19" t="s">
        <v>415</v>
      </c>
      <c r="AM19">
        <v>11</v>
      </c>
      <c r="AN19">
        <v>10</v>
      </c>
      <c r="AO19">
        <v>133.9</v>
      </c>
      <c r="AP19">
        <v>8</v>
      </c>
      <c r="AQ19">
        <v>214.25</v>
      </c>
      <c r="AR19">
        <v>1</v>
      </c>
      <c r="AS19">
        <v>74</v>
      </c>
    </row>
    <row r="20" spans="6:51" x14ac:dyDescent="0.2">
      <c r="F20" t="s">
        <v>58</v>
      </c>
      <c r="G20">
        <v>1003</v>
      </c>
      <c r="H20">
        <v>450</v>
      </c>
      <c r="I20">
        <v>189.6177777778</v>
      </c>
      <c r="J20">
        <v>148</v>
      </c>
      <c r="K20">
        <v>347.18243243239999</v>
      </c>
      <c r="L20">
        <v>181</v>
      </c>
      <c r="M20">
        <v>323.1325966851</v>
      </c>
      <c r="N20">
        <v>369</v>
      </c>
      <c r="O20">
        <v>550.26287262870005</v>
      </c>
      <c r="R20">
        <v>3</v>
      </c>
      <c r="S20">
        <v>547</v>
      </c>
      <c r="V20" t="s">
        <v>431</v>
      </c>
      <c r="W20">
        <v>271</v>
      </c>
      <c r="X20">
        <v>115</v>
      </c>
      <c r="Y20">
        <v>210.6782608696</v>
      </c>
      <c r="Z20">
        <v>123</v>
      </c>
      <c r="AA20">
        <v>225.38211382110001</v>
      </c>
      <c r="AB20">
        <v>63</v>
      </c>
      <c r="AC20">
        <v>211.68253968249999</v>
      </c>
      <c r="AD20">
        <v>53</v>
      </c>
      <c r="AE20">
        <v>469.22641509430002</v>
      </c>
      <c r="AF20">
        <v>39</v>
      </c>
      <c r="AG20">
        <v>93.435897435900003</v>
      </c>
      <c r="AH20">
        <v>1</v>
      </c>
      <c r="AI20">
        <v>687</v>
      </c>
      <c r="AL20" t="s">
        <v>431</v>
      </c>
      <c r="AM20">
        <v>2</v>
      </c>
      <c r="AN20">
        <v>2</v>
      </c>
      <c r="AO20">
        <v>76.5</v>
      </c>
      <c r="AP20">
        <v>1</v>
      </c>
      <c r="AQ20">
        <v>239</v>
      </c>
    </row>
    <row r="21" spans="6:51" x14ac:dyDescent="0.2">
      <c r="F21" t="s">
        <v>65</v>
      </c>
      <c r="G21">
        <v>8776</v>
      </c>
      <c r="H21">
        <v>7089</v>
      </c>
      <c r="I21">
        <v>380.70828043450001</v>
      </c>
      <c r="J21">
        <v>550</v>
      </c>
      <c r="K21">
        <v>688.72909090910002</v>
      </c>
      <c r="L21">
        <v>1263</v>
      </c>
      <c r="M21">
        <v>699.19477434680005</v>
      </c>
      <c r="N21">
        <v>415</v>
      </c>
      <c r="O21">
        <v>581.71807228919999</v>
      </c>
      <c r="R21">
        <v>9</v>
      </c>
      <c r="S21">
        <v>401.7777777778</v>
      </c>
      <c r="V21" t="s">
        <v>435</v>
      </c>
      <c r="W21">
        <v>1099</v>
      </c>
      <c r="X21">
        <v>829</v>
      </c>
      <c r="Y21">
        <v>286.96984318459999</v>
      </c>
      <c r="Z21">
        <v>75</v>
      </c>
      <c r="AA21">
        <v>534.72</v>
      </c>
      <c r="AB21">
        <v>167</v>
      </c>
      <c r="AC21">
        <v>381.36526946110001</v>
      </c>
      <c r="AD21">
        <v>58</v>
      </c>
      <c r="AE21">
        <v>510.79310344829997</v>
      </c>
      <c r="AF21">
        <v>44</v>
      </c>
      <c r="AG21">
        <v>157.9090909091</v>
      </c>
      <c r="AH21">
        <v>1</v>
      </c>
      <c r="AI21">
        <v>263</v>
      </c>
      <c r="AL21" t="s">
        <v>435</v>
      </c>
      <c r="AM21">
        <v>11</v>
      </c>
      <c r="AN21">
        <v>9</v>
      </c>
      <c r="AO21">
        <v>364.44444444440001</v>
      </c>
      <c r="AP21">
        <v>5</v>
      </c>
      <c r="AQ21">
        <v>198</v>
      </c>
      <c r="AR21">
        <v>1</v>
      </c>
      <c r="AS21">
        <v>80</v>
      </c>
      <c r="AT21">
        <v>1</v>
      </c>
      <c r="AU21">
        <v>193</v>
      </c>
    </row>
    <row r="22" spans="6:51" x14ac:dyDescent="0.2">
      <c r="F22" t="s">
        <v>67</v>
      </c>
      <c r="G22">
        <v>7133</v>
      </c>
      <c r="H22">
        <v>5277</v>
      </c>
      <c r="I22">
        <v>358.24862611330002</v>
      </c>
      <c r="J22">
        <v>271</v>
      </c>
      <c r="K22">
        <v>665.815498155</v>
      </c>
      <c r="L22">
        <v>1483</v>
      </c>
      <c r="M22">
        <v>762.35198921109998</v>
      </c>
      <c r="N22">
        <v>359</v>
      </c>
      <c r="O22">
        <v>578.33426183840004</v>
      </c>
      <c r="R22">
        <v>14</v>
      </c>
      <c r="S22">
        <v>532.78571428570001</v>
      </c>
      <c r="V22" t="s">
        <v>420</v>
      </c>
      <c r="W22">
        <v>3080</v>
      </c>
      <c r="X22">
        <v>2399</v>
      </c>
      <c r="Y22">
        <v>269.8837015423</v>
      </c>
      <c r="Z22">
        <v>154</v>
      </c>
      <c r="AA22">
        <v>587.75974025970004</v>
      </c>
      <c r="AB22">
        <v>329</v>
      </c>
      <c r="AC22">
        <v>330.75379939210001</v>
      </c>
      <c r="AD22">
        <v>241</v>
      </c>
      <c r="AE22">
        <v>482.07883817430002</v>
      </c>
      <c r="AF22">
        <v>107</v>
      </c>
      <c r="AG22">
        <v>219.68224299069999</v>
      </c>
      <c r="AH22">
        <v>4</v>
      </c>
      <c r="AI22">
        <v>786.75</v>
      </c>
      <c r="AL22" t="s">
        <v>420</v>
      </c>
      <c r="AM22">
        <v>33</v>
      </c>
      <c r="AN22">
        <v>18</v>
      </c>
      <c r="AO22">
        <v>197.3333333333</v>
      </c>
      <c r="AP22">
        <v>29</v>
      </c>
      <c r="AQ22">
        <v>346.24137931029998</v>
      </c>
      <c r="AR22">
        <v>7</v>
      </c>
      <c r="AS22">
        <v>84.142857142899999</v>
      </c>
      <c r="AT22">
        <v>7</v>
      </c>
      <c r="AU22">
        <v>207.28571428570001</v>
      </c>
      <c r="AV22">
        <v>1</v>
      </c>
      <c r="AW22">
        <v>115</v>
      </c>
    </row>
    <row r="23" spans="6:51" x14ac:dyDescent="0.2">
      <c r="F23" t="s">
        <v>76</v>
      </c>
      <c r="G23">
        <v>5048</v>
      </c>
      <c r="H23">
        <v>4013</v>
      </c>
      <c r="I23">
        <v>255.67206578619999</v>
      </c>
      <c r="J23">
        <v>387</v>
      </c>
      <c r="K23">
        <v>495.79328165369998</v>
      </c>
      <c r="L23">
        <v>779</v>
      </c>
      <c r="M23">
        <v>388.77663671369999</v>
      </c>
      <c r="N23">
        <v>252</v>
      </c>
      <c r="O23">
        <v>457.22619047619997</v>
      </c>
      <c r="R23">
        <v>4</v>
      </c>
      <c r="S23">
        <v>346</v>
      </c>
      <c r="V23" t="s">
        <v>416</v>
      </c>
      <c r="W23">
        <v>5439</v>
      </c>
      <c r="X23">
        <v>3614</v>
      </c>
      <c r="Y23">
        <v>368.8422800221</v>
      </c>
      <c r="Z23">
        <v>293</v>
      </c>
      <c r="AA23">
        <v>628.11945392489997</v>
      </c>
      <c r="AB23">
        <v>1467</v>
      </c>
      <c r="AC23">
        <v>557.84730743010005</v>
      </c>
      <c r="AD23">
        <v>227</v>
      </c>
      <c r="AE23">
        <v>461.48017621150001</v>
      </c>
      <c r="AF23">
        <v>128</v>
      </c>
      <c r="AG23">
        <v>153.859375</v>
      </c>
      <c r="AH23">
        <v>3</v>
      </c>
      <c r="AI23">
        <v>312.6666666667</v>
      </c>
      <c r="AL23" t="s">
        <v>416</v>
      </c>
      <c r="AM23">
        <v>58</v>
      </c>
      <c r="AN23">
        <v>42</v>
      </c>
      <c r="AO23">
        <v>423.52380952380003</v>
      </c>
      <c r="AP23">
        <v>25</v>
      </c>
      <c r="AQ23">
        <v>302.2</v>
      </c>
      <c r="AR23">
        <v>14</v>
      </c>
      <c r="AS23">
        <v>180.57142857139999</v>
      </c>
      <c r="AT23">
        <v>1</v>
      </c>
      <c r="AU23">
        <v>73</v>
      </c>
      <c r="AV23">
        <v>1</v>
      </c>
      <c r="AW23">
        <v>81</v>
      </c>
    </row>
    <row r="24" spans="6:51" x14ac:dyDescent="0.2">
      <c r="F24" t="s">
        <v>48</v>
      </c>
      <c r="G24">
        <v>1339</v>
      </c>
      <c r="H24">
        <v>1036</v>
      </c>
      <c r="I24">
        <v>287.70559845560001</v>
      </c>
      <c r="J24">
        <v>90</v>
      </c>
      <c r="K24">
        <v>518.51111111110004</v>
      </c>
      <c r="L24">
        <v>228</v>
      </c>
      <c r="M24">
        <v>442.27631578950002</v>
      </c>
      <c r="N24">
        <v>73</v>
      </c>
      <c r="O24">
        <v>538.45205479449999</v>
      </c>
      <c r="R24">
        <v>2</v>
      </c>
      <c r="S24">
        <v>193.5</v>
      </c>
      <c r="V24" t="s">
        <v>433</v>
      </c>
      <c r="W24">
        <v>7238</v>
      </c>
      <c r="X24">
        <v>5271</v>
      </c>
      <c r="Y24">
        <v>359.3542022387</v>
      </c>
      <c r="Z24">
        <v>285</v>
      </c>
      <c r="AA24">
        <v>643.85263157889995</v>
      </c>
      <c r="AB24">
        <v>1437</v>
      </c>
      <c r="AC24">
        <v>742.36325678499998</v>
      </c>
      <c r="AD24">
        <v>372</v>
      </c>
      <c r="AE24">
        <v>571.28225806449996</v>
      </c>
      <c r="AF24">
        <v>143</v>
      </c>
      <c r="AG24">
        <v>218.30069930069999</v>
      </c>
      <c r="AH24">
        <v>15</v>
      </c>
      <c r="AI24">
        <v>543.6</v>
      </c>
      <c r="AL24" t="s">
        <v>433</v>
      </c>
      <c r="AM24">
        <v>163</v>
      </c>
      <c r="AN24">
        <v>109</v>
      </c>
      <c r="AO24">
        <v>320.00917431189998</v>
      </c>
      <c r="AP24">
        <v>43</v>
      </c>
      <c r="AQ24">
        <v>304.27906976740002</v>
      </c>
      <c r="AR24">
        <v>52</v>
      </c>
      <c r="AS24">
        <v>421.59615384620002</v>
      </c>
      <c r="AT24">
        <v>2</v>
      </c>
      <c r="AU24">
        <v>155.5</v>
      </c>
    </row>
    <row r="25" spans="6:51" x14ac:dyDescent="0.2">
      <c r="F25" t="s">
        <v>69</v>
      </c>
      <c r="G25">
        <v>5395</v>
      </c>
      <c r="H25">
        <v>3651</v>
      </c>
      <c r="I25">
        <v>369.9652150096</v>
      </c>
      <c r="J25">
        <v>293</v>
      </c>
      <c r="K25">
        <v>629.76109215020006</v>
      </c>
      <c r="L25">
        <v>1516</v>
      </c>
      <c r="M25">
        <v>566.22097625330002</v>
      </c>
      <c r="N25">
        <v>224</v>
      </c>
      <c r="O25">
        <v>462.69196428570001</v>
      </c>
      <c r="R25">
        <v>4</v>
      </c>
      <c r="S25">
        <v>342.5</v>
      </c>
      <c r="V25" t="s">
        <v>414</v>
      </c>
      <c r="W25">
        <v>18498</v>
      </c>
      <c r="X25">
        <v>14512</v>
      </c>
      <c r="Y25">
        <v>323.39898015440002</v>
      </c>
      <c r="Z25">
        <v>1552</v>
      </c>
      <c r="AA25">
        <v>509.29510309279999</v>
      </c>
      <c r="AB25">
        <v>2445</v>
      </c>
      <c r="AC25">
        <v>496.2703476483</v>
      </c>
      <c r="AD25">
        <v>893</v>
      </c>
      <c r="AE25">
        <v>462.7737961926</v>
      </c>
      <c r="AF25">
        <v>631</v>
      </c>
      <c r="AG25">
        <v>161.3724247227</v>
      </c>
      <c r="AH25">
        <v>17</v>
      </c>
      <c r="AI25">
        <v>314.8823529412</v>
      </c>
      <c r="AL25" t="s">
        <v>414</v>
      </c>
      <c r="AM25">
        <v>436</v>
      </c>
      <c r="AN25">
        <v>337</v>
      </c>
      <c r="AO25">
        <v>398.9614243323</v>
      </c>
      <c r="AP25">
        <v>153</v>
      </c>
      <c r="AQ25">
        <v>263.5359477124</v>
      </c>
      <c r="AR25">
        <v>88</v>
      </c>
      <c r="AS25">
        <v>248.2727272727</v>
      </c>
      <c r="AT25">
        <v>11</v>
      </c>
      <c r="AU25">
        <v>113.9090909091</v>
      </c>
    </row>
    <row r="26" spans="6:51" x14ac:dyDescent="0.2">
      <c r="F26" t="s">
        <v>35</v>
      </c>
      <c r="G26">
        <v>201</v>
      </c>
      <c r="H26">
        <v>85</v>
      </c>
      <c r="I26">
        <v>130</v>
      </c>
      <c r="J26">
        <v>123</v>
      </c>
      <c r="K26">
        <v>209.79674796750001</v>
      </c>
      <c r="L26">
        <v>56</v>
      </c>
      <c r="M26">
        <v>125.8392857143</v>
      </c>
      <c r="N26">
        <v>59</v>
      </c>
      <c r="O26">
        <v>442.91525423730002</v>
      </c>
      <c r="R26">
        <v>1</v>
      </c>
      <c r="S26">
        <v>687</v>
      </c>
      <c r="V26" t="s">
        <v>412</v>
      </c>
      <c r="W26">
        <v>1923</v>
      </c>
      <c r="X26">
        <v>1463</v>
      </c>
      <c r="Y26">
        <v>298.90157211209998</v>
      </c>
      <c r="Z26">
        <v>215</v>
      </c>
      <c r="AA26">
        <v>489.03720930230003</v>
      </c>
      <c r="AB26">
        <v>263</v>
      </c>
      <c r="AC26">
        <v>304.35361216730001</v>
      </c>
      <c r="AD26">
        <v>115</v>
      </c>
      <c r="AE26">
        <v>374.54782608699998</v>
      </c>
      <c r="AF26">
        <v>82</v>
      </c>
      <c r="AG26">
        <v>158.13414634150001</v>
      </c>
      <c r="AL26" t="s">
        <v>412</v>
      </c>
      <c r="AM26">
        <v>35</v>
      </c>
      <c r="AN26">
        <v>23</v>
      </c>
      <c r="AO26">
        <v>377.26086956519998</v>
      </c>
      <c r="AP26">
        <v>22</v>
      </c>
      <c r="AQ26">
        <v>203.3181818182</v>
      </c>
      <c r="AR26">
        <v>11</v>
      </c>
      <c r="AS26">
        <v>263.45454545450002</v>
      </c>
      <c r="AT26">
        <v>1</v>
      </c>
      <c r="AU26">
        <v>390</v>
      </c>
    </row>
    <row r="27" spans="6:51" x14ac:dyDescent="0.2">
      <c r="F27" t="s">
        <v>74</v>
      </c>
      <c r="G27">
        <v>4369</v>
      </c>
      <c r="H27">
        <v>3861</v>
      </c>
      <c r="I27">
        <v>205.2411292411</v>
      </c>
      <c r="J27">
        <v>463</v>
      </c>
      <c r="K27">
        <v>381.42332613389999</v>
      </c>
      <c r="L27">
        <v>325</v>
      </c>
      <c r="M27">
        <v>156.33538461539999</v>
      </c>
      <c r="N27">
        <v>177</v>
      </c>
      <c r="O27">
        <v>217.90960451980001</v>
      </c>
      <c r="R27">
        <v>6</v>
      </c>
      <c r="S27">
        <v>199.3333333333</v>
      </c>
      <c r="V27" t="s">
        <v>83</v>
      </c>
      <c r="W27">
        <v>5242</v>
      </c>
      <c r="X27">
        <v>4030</v>
      </c>
      <c r="Y27">
        <v>263.99379652610003</v>
      </c>
      <c r="Z27">
        <v>382</v>
      </c>
      <c r="AA27">
        <v>498.66230366489998</v>
      </c>
      <c r="AB27">
        <v>797</v>
      </c>
      <c r="AC27">
        <v>427.20326223339998</v>
      </c>
      <c r="AD27">
        <v>261</v>
      </c>
      <c r="AE27">
        <v>466.75095785439999</v>
      </c>
      <c r="AF27">
        <v>151</v>
      </c>
      <c r="AG27">
        <v>148.4900662252</v>
      </c>
      <c r="AH27">
        <v>3</v>
      </c>
      <c r="AI27">
        <v>229.6666666667</v>
      </c>
      <c r="AL27" t="s">
        <v>83</v>
      </c>
      <c r="AM27">
        <v>79</v>
      </c>
      <c r="AN27">
        <v>58</v>
      </c>
      <c r="AO27">
        <v>242.4137931034</v>
      </c>
      <c r="AP27">
        <v>48</v>
      </c>
      <c r="AQ27">
        <v>276.625</v>
      </c>
      <c r="AR27">
        <v>15</v>
      </c>
      <c r="AS27">
        <v>236.86666666670001</v>
      </c>
      <c r="AT27">
        <v>4</v>
      </c>
      <c r="AU27">
        <v>214.5</v>
      </c>
      <c r="AV27">
        <v>2</v>
      </c>
      <c r="AW27">
        <v>248</v>
      </c>
    </row>
    <row r="28" spans="6:51" x14ac:dyDescent="0.2">
      <c r="F28" t="s">
        <v>34</v>
      </c>
      <c r="G28">
        <v>1738</v>
      </c>
      <c r="H28">
        <v>1363</v>
      </c>
      <c r="I28">
        <v>299.54292002929998</v>
      </c>
      <c r="J28">
        <v>223</v>
      </c>
      <c r="K28">
        <v>509.4977578475</v>
      </c>
      <c r="L28">
        <v>265</v>
      </c>
      <c r="M28">
        <v>300.58490566040001</v>
      </c>
      <c r="N28">
        <v>110</v>
      </c>
      <c r="O28">
        <v>350.21818181819998</v>
      </c>
      <c r="V28" t="s">
        <v>411</v>
      </c>
      <c r="W28">
        <v>43791</v>
      </c>
      <c r="X28">
        <v>32849</v>
      </c>
      <c r="Y28">
        <v>319.47298243479997</v>
      </c>
      <c r="Z28">
        <v>3171</v>
      </c>
      <c r="AA28">
        <v>521.53074739830004</v>
      </c>
      <c r="AB28">
        <v>7123</v>
      </c>
      <c r="AC28">
        <v>525.59427207639999</v>
      </c>
      <c r="AD28">
        <v>2386</v>
      </c>
      <c r="AE28">
        <v>487.09681475270003</v>
      </c>
      <c r="AF28">
        <v>1386</v>
      </c>
      <c r="AG28">
        <v>167.19480519480001</v>
      </c>
      <c r="AH28">
        <v>47</v>
      </c>
      <c r="AI28">
        <v>431.04255319150002</v>
      </c>
      <c r="AL28" t="s">
        <v>411</v>
      </c>
      <c r="AM28">
        <v>828</v>
      </c>
      <c r="AN28">
        <v>608</v>
      </c>
      <c r="AO28">
        <v>358.84868421049998</v>
      </c>
      <c r="AP28">
        <v>334</v>
      </c>
      <c r="AQ28">
        <v>274.5359281437</v>
      </c>
      <c r="AR28">
        <v>189</v>
      </c>
      <c r="AS28">
        <v>283.03174603169998</v>
      </c>
      <c r="AT28">
        <v>27</v>
      </c>
      <c r="AU28">
        <v>167.74074074070001</v>
      </c>
      <c r="AV28">
        <v>4</v>
      </c>
      <c r="AW28">
        <v>173</v>
      </c>
    </row>
    <row r="29" spans="6:51" x14ac:dyDescent="0.2">
      <c r="F29" t="s">
        <v>55</v>
      </c>
      <c r="G29">
        <v>4692</v>
      </c>
      <c r="H29">
        <v>3647</v>
      </c>
      <c r="I29">
        <v>324.60542911980002</v>
      </c>
      <c r="J29">
        <v>542</v>
      </c>
      <c r="K29">
        <v>443.13653136530002</v>
      </c>
      <c r="L29">
        <v>818</v>
      </c>
      <c r="M29">
        <v>310.24694376529999</v>
      </c>
      <c r="N29">
        <v>227</v>
      </c>
      <c r="O29">
        <v>356.85022026429999</v>
      </c>
      <c r="V29" t="s">
        <v>395</v>
      </c>
      <c r="W29">
        <v>10577</v>
      </c>
      <c r="X29">
        <v>5310</v>
      </c>
      <c r="Y29">
        <v>279.96120527310001</v>
      </c>
      <c r="Z29">
        <v>731</v>
      </c>
      <c r="AA29">
        <v>608.33105335159996</v>
      </c>
      <c r="AB29">
        <v>3585</v>
      </c>
      <c r="AC29">
        <v>831.59302649929998</v>
      </c>
      <c r="AD29">
        <v>1217</v>
      </c>
      <c r="AE29">
        <v>526.59572719799996</v>
      </c>
      <c r="AF29">
        <v>444</v>
      </c>
      <c r="AG29">
        <v>180.7792792793</v>
      </c>
      <c r="AH29">
        <v>21</v>
      </c>
      <c r="AI29">
        <v>480.85714285709997</v>
      </c>
      <c r="AL29" t="s">
        <v>395</v>
      </c>
      <c r="AM29">
        <v>292</v>
      </c>
      <c r="AN29">
        <v>205</v>
      </c>
      <c r="AO29">
        <v>338.66341463409998</v>
      </c>
      <c r="AP29">
        <v>31</v>
      </c>
      <c r="AQ29">
        <v>551.80645161289999</v>
      </c>
      <c r="AR29">
        <v>80</v>
      </c>
      <c r="AS29">
        <v>689</v>
      </c>
      <c r="AT29">
        <v>7</v>
      </c>
      <c r="AU29">
        <v>104.7142857143</v>
      </c>
    </row>
    <row r="30" spans="6:51" x14ac:dyDescent="0.2">
      <c r="F30" t="s">
        <v>411</v>
      </c>
      <c r="G30">
        <v>43601</v>
      </c>
      <c r="H30">
        <v>33492</v>
      </c>
      <c r="I30">
        <v>314.5610892153</v>
      </c>
      <c r="J30">
        <v>3337</v>
      </c>
      <c r="K30">
        <v>516.22205573869996</v>
      </c>
      <c r="L30">
        <v>7383</v>
      </c>
      <c r="M30">
        <v>522.29649194089995</v>
      </c>
      <c r="N30">
        <v>2676</v>
      </c>
      <c r="O30">
        <v>491.15097159940001</v>
      </c>
      <c r="R30">
        <v>50</v>
      </c>
      <c r="S30">
        <v>438.3</v>
      </c>
      <c r="V30" t="s">
        <v>432</v>
      </c>
      <c r="W30">
        <v>30056</v>
      </c>
      <c r="X30">
        <v>25618</v>
      </c>
      <c r="Y30">
        <v>442.67144195489999</v>
      </c>
      <c r="Z30">
        <v>1403</v>
      </c>
      <c r="AA30">
        <v>751.4932287954</v>
      </c>
      <c r="AB30">
        <v>1481</v>
      </c>
      <c r="AC30">
        <v>309.47670492909998</v>
      </c>
      <c r="AD30">
        <v>1986</v>
      </c>
      <c r="AE30">
        <v>334.09566968780001</v>
      </c>
      <c r="AF30">
        <v>962</v>
      </c>
      <c r="AG30">
        <v>176.58835758839999</v>
      </c>
      <c r="AH30">
        <v>9</v>
      </c>
      <c r="AI30">
        <v>255.6666666667</v>
      </c>
      <c r="AL30" t="s">
        <v>432</v>
      </c>
      <c r="AM30">
        <v>621</v>
      </c>
      <c r="AN30">
        <v>551</v>
      </c>
      <c r="AO30">
        <v>356.60254083479998</v>
      </c>
      <c r="AP30">
        <v>110</v>
      </c>
      <c r="AQ30">
        <v>470.8545454545</v>
      </c>
      <c r="AR30">
        <v>60</v>
      </c>
      <c r="AS30">
        <v>252.85</v>
      </c>
      <c r="AT30">
        <v>9</v>
      </c>
      <c r="AU30">
        <v>178.2222222222</v>
      </c>
      <c r="AX30">
        <v>1</v>
      </c>
      <c r="AY30">
        <v>51</v>
      </c>
    </row>
    <row r="31" spans="6:51" x14ac:dyDescent="0.2">
      <c r="F31" t="s">
        <v>25</v>
      </c>
      <c r="G31">
        <v>17284</v>
      </c>
      <c r="H31">
        <v>14823</v>
      </c>
      <c r="I31">
        <v>543.75180462790001</v>
      </c>
      <c r="J31">
        <v>536</v>
      </c>
      <c r="K31">
        <v>910.45895522390003</v>
      </c>
      <c r="L31">
        <v>1539</v>
      </c>
      <c r="M31">
        <v>569.79532163739998</v>
      </c>
      <c r="N31">
        <v>899</v>
      </c>
      <c r="O31">
        <v>368.70634037820003</v>
      </c>
      <c r="R31">
        <v>23</v>
      </c>
      <c r="S31">
        <v>358.08695652170002</v>
      </c>
      <c r="V31" t="s">
        <v>388</v>
      </c>
      <c r="W31">
        <v>17777</v>
      </c>
      <c r="X31">
        <v>14704</v>
      </c>
      <c r="Y31">
        <v>540.98993471159997</v>
      </c>
      <c r="Z31">
        <v>566</v>
      </c>
      <c r="AA31">
        <v>888.20671378090003</v>
      </c>
      <c r="AB31">
        <v>1605</v>
      </c>
      <c r="AC31">
        <v>585.6722741433</v>
      </c>
      <c r="AD31">
        <v>937</v>
      </c>
      <c r="AE31">
        <v>368.6574172892</v>
      </c>
      <c r="AF31">
        <v>508</v>
      </c>
      <c r="AG31">
        <v>169.6200787402</v>
      </c>
      <c r="AH31">
        <v>23</v>
      </c>
      <c r="AI31">
        <v>358.08695652170002</v>
      </c>
      <c r="AL31" t="s">
        <v>388</v>
      </c>
      <c r="AM31">
        <v>391</v>
      </c>
      <c r="AN31">
        <v>318</v>
      </c>
      <c r="AO31">
        <v>416.83018867919998</v>
      </c>
      <c r="AP31">
        <v>86</v>
      </c>
      <c r="AQ31">
        <v>541.93023255809999</v>
      </c>
      <c r="AR31">
        <v>53</v>
      </c>
      <c r="AS31">
        <v>309.0188679245</v>
      </c>
      <c r="AT31">
        <v>19</v>
      </c>
      <c r="AU31">
        <v>190.47368421050001</v>
      </c>
      <c r="AV31">
        <v>1</v>
      </c>
      <c r="AW31">
        <v>137</v>
      </c>
    </row>
    <row r="32" spans="6:51" x14ac:dyDescent="0.2">
      <c r="F32" t="s">
        <v>42</v>
      </c>
      <c r="G32">
        <v>12585</v>
      </c>
      <c r="H32">
        <v>9857</v>
      </c>
      <c r="I32">
        <v>339.05204423250001</v>
      </c>
      <c r="J32">
        <v>304</v>
      </c>
      <c r="K32">
        <v>690.85526315790003</v>
      </c>
      <c r="L32">
        <v>1816</v>
      </c>
      <c r="M32">
        <v>530.7488986784</v>
      </c>
      <c r="N32">
        <v>892</v>
      </c>
      <c r="O32">
        <v>550.96636771299995</v>
      </c>
      <c r="R32">
        <v>20</v>
      </c>
      <c r="S32">
        <v>526.15</v>
      </c>
      <c r="V32" t="s">
        <v>400</v>
      </c>
      <c r="W32">
        <v>3346</v>
      </c>
      <c r="X32">
        <v>2181</v>
      </c>
      <c r="Y32">
        <v>471.24667583680002</v>
      </c>
      <c r="Z32">
        <v>334</v>
      </c>
      <c r="AA32">
        <v>436.36526946110001</v>
      </c>
      <c r="AB32">
        <v>540</v>
      </c>
      <c r="AC32">
        <v>639.38518518520004</v>
      </c>
      <c r="AD32">
        <v>484</v>
      </c>
      <c r="AE32">
        <v>566.86570247930001</v>
      </c>
      <c r="AF32">
        <v>136</v>
      </c>
      <c r="AG32">
        <v>174.0367647059</v>
      </c>
      <c r="AH32">
        <v>5</v>
      </c>
      <c r="AI32">
        <v>671.6</v>
      </c>
      <c r="AL32" t="s">
        <v>400</v>
      </c>
      <c r="AM32">
        <v>148</v>
      </c>
      <c r="AN32">
        <v>116</v>
      </c>
      <c r="AO32">
        <v>453.1637931034</v>
      </c>
      <c r="AP32">
        <v>8</v>
      </c>
      <c r="AQ32">
        <v>394.125</v>
      </c>
      <c r="AR32">
        <v>27</v>
      </c>
      <c r="AS32">
        <v>379.8888888889</v>
      </c>
      <c r="AT32">
        <v>4</v>
      </c>
      <c r="AU32">
        <v>449.5</v>
      </c>
      <c r="AV32">
        <v>1</v>
      </c>
      <c r="AW32">
        <v>570</v>
      </c>
    </row>
    <row r="33" spans="6:51" x14ac:dyDescent="0.2">
      <c r="F33" t="s">
        <v>75</v>
      </c>
      <c r="G33">
        <v>6257</v>
      </c>
      <c r="H33">
        <v>3012</v>
      </c>
      <c r="I33">
        <v>379.61719787520002</v>
      </c>
      <c r="J33">
        <v>252</v>
      </c>
      <c r="K33">
        <v>550.29761904760005</v>
      </c>
      <c r="L33">
        <v>2217</v>
      </c>
      <c r="M33">
        <v>706.43391971129995</v>
      </c>
      <c r="N33">
        <v>1027</v>
      </c>
      <c r="O33">
        <v>967.18695228820002</v>
      </c>
      <c r="R33">
        <v>1</v>
      </c>
      <c r="S33">
        <v>1510</v>
      </c>
      <c r="V33" t="s">
        <v>391</v>
      </c>
      <c r="W33">
        <v>6903</v>
      </c>
      <c r="X33">
        <v>4255</v>
      </c>
      <c r="Y33">
        <v>271.2096357227</v>
      </c>
      <c r="Z33">
        <v>565</v>
      </c>
      <c r="AA33">
        <v>559.17522123890001</v>
      </c>
      <c r="AB33">
        <v>1427</v>
      </c>
      <c r="AC33">
        <v>400.55571128240001</v>
      </c>
      <c r="AD33">
        <v>821</v>
      </c>
      <c r="AE33">
        <v>443.94640682099998</v>
      </c>
      <c r="AF33">
        <v>388</v>
      </c>
      <c r="AG33">
        <v>192.17783505150001</v>
      </c>
      <c r="AH33">
        <v>12</v>
      </c>
      <c r="AI33">
        <v>444.9166666667</v>
      </c>
      <c r="AL33" t="s">
        <v>391</v>
      </c>
      <c r="AM33">
        <v>246</v>
      </c>
      <c r="AN33">
        <v>186</v>
      </c>
      <c r="AO33">
        <v>279.90860215049997</v>
      </c>
      <c r="AP33">
        <v>30</v>
      </c>
      <c r="AQ33">
        <v>576.03333333329999</v>
      </c>
      <c r="AR33">
        <v>50</v>
      </c>
      <c r="AS33">
        <v>337.6</v>
      </c>
      <c r="AT33">
        <v>9</v>
      </c>
      <c r="AU33">
        <v>356.7777777778</v>
      </c>
      <c r="AV33">
        <v>1</v>
      </c>
      <c r="AW33">
        <v>1</v>
      </c>
    </row>
    <row r="34" spans="6:51" x14ac:dyDescent="0.2">
      <c r="F34" t="s">
        <v>61</v>
      </c>
      <c r="G34">
        <v>6337</v>
      </c>
      <c r="H34">
        <v>4128</v>
      </c>
      <c r="I34">
        <v>250.20033914730001</v>
      </c>
      <c r="J34">
        <v>566</v>
      </c>
      <c r="K34">
        <v>552.31272084809996</v>
      </c>
      <c r="L34">
        <v>1374</v>
      </c>
      <c r="M34">
        <v>365.50509461429999</v>
      </c>
      <c r="N34">
        <v>823</v>
      </c>
      <c r="O34">
        <v>437.68408262449998</v>
      </c>
      <c r="R34">
        <v>12</v>
      </c>
      <c r="S34">
        <v>444.3333333333</v>
      </c>
      <c r="V34" t="s">
        <v>434</v>
      </c>
      <c r="W34">
        <v>6325</v>
      </c>
      <c r="X34">
        <v>2919</v>
      </c>
      <c r="Y34">
        <v>380.44878383010001</v>
      </c>
      <c r="Z34">
        <v>251</v>
      </c>
      <c r="AA34">
        <v>550.5139442231</v>
      </c>
      <c r="AB34">
        <v>2153</v>
      </c>
      <c r="AC34">
        <v>706.4941941477</v>
      </c>
      <c r="AD34">
        <v>999</v>
      </c>
      <c r="AE34">
        <v>965.21521521520003</v>
      </c>
      <c r="AF34">
        <v>253</v>
      </c>
      <c r="AG34">
        <v>170.73517786560001</v>
      </c>
      <c r="AH34">
        <v>1</v>
      </c>
      <c r="AI34">
        <v>1510</v>
      </c>
      <c r="AL34" t="s">
        <v>434</v>
      </c>
      <c r="AM34">
        <v>138</v>
      </c>
      <c r="AN34">
        <v>98</v>
      </c>
      <c r="AO34">
        <v>281.14285714290003</v>
      </c>
      <c r="AP34">
        <v>21</v>
      </c>
      <c r="AQ34">
        <v>457.47619047619997</v>
      </c>
      <c r="AR34">
        <v>32</v>
      </c>
      <c r="AS34">
        <v>371.34375</v>
      </c>
      <c r="AT34">
        <v>7</v>
      </c>
      <c r="AU34">
        <v>176.1428571429</v>
      </c>
      <c r="AV34">
        <v>1</v>
      </c>
      <c r="AW34">
        <v>1</v>
      </c>
    </row>
    <row r="35" spans="6:51" x14ac:dyDescent="0.2">
      <c r="F35" t="s">
        <v>56</v>
      </c>
      <c r="G35">
        <v>4790</v>
      </c>
      <c r="H35">
        <v>3241</v>
      </c>
      <c r="I35">
        <v>493.38383215060003</v>
      </c>
      <c r="J35">
        <v>466</v>
      </c>
      <c r="K35">
        <v>446.57939914159999</v>
      </c>
      <c r="L35">
        <v>854</v>
      </c>
      <c r="M35">
        <v>610.3348946136</v>
      </c>
      <c r="N35">
        <v>687</v>
      </c>
      <c r="O35">
        <v>582.2081513828</v>
      </c>
      <c r="R35">
        <v>8</v>
      </c>
      <c r="S35">
        <v>627.25</v>
      </c>
      <c r="V35" t="s">
        <v>390</v>
      </c>
      <c r="W35">
        <v>12873</v>
      </c>
      <c r="X35">
        <v>9765</v>
      </c>
      <c r="Y35">
        <v>343.12309267789999</v>
      </c>
      <c r="Z35">
        <v>314</v>
      </c>
      <c r="AA35">
        <v>686.66242038220003</v>
      </c>
      <c r="AB35">
        <v>1818</v>
      </c>
      <c r="AC35">
        <v>532.3146314631</v>
      </c>
      <c r="AD35">
        <v>890</v>
      </c>
      <c r="AE35">
        <v>546.90449438200005</v>
      </c>
      <c r="AF35">
        <v>379</v>
      </c>
      <c r="AG35">
        <v>169.0131926121</v>
      </c>
      <c r="AH35">
        <v>21</v>
      </c>
      <c r="AI35">
        <v>560.23809523809996</v>
      </c>
      <c r="AL35" t="s">
        <v>390</v>
      </c>
      <c r="AM35">
        <v>167</v>
      </c>
      <c r="AN35">
        <v>135</v>
      </c>
      <c r="AO35">
        <v>301.63703703700003</v>
      </c>
      <c r="AP35">
        <v>33</v>
      </c>
      <c r="AQ35">
        <v>388.75757575760002</v>
      </c>
      <c r="AR35">
        <v>27</v>
      </c>
      <c r="AS35">
        <v>293.2962962963</v>
      </c>
      <c r="AT35">
        <v>5</v>
      </c>
      <c r="AU35">
        <v>300.39999999999998</v>
      </c>
    </row>
    <row r="36" spans="6:51" x14ac:dyDescent="0.2">
      <c r="F36" t="s">
        <v>60</v>
      </c>
      <c r="G36">
        <v>10171</v>
      </c>
      <c r="H36">
        <v>5288</v>
      </c>
      <c r="I36">
        <v>272.21785173979998</v>
      </c>
      <c r="J36">
        <v>740</v>
      </c>
      <c r="K36">
        <v>610.97702702699996</v>
      </c>
      <c r="L36">
        <v>3645</v>
      </c>
      <c r="M36">
        <v>835.19753086419996</v>
      </c>
      <c r="N36">
        <v>1217</v>
      </c>
      <c r="O36">
        <v>522.95480690219995</v>
      </c>
      <c r="R36">
        <v>21</v>
      </c>
      <c r="S36">
        <v>480.85714285709997</v>
      </c>
      <c r="V36" t="s">
        <v>387</v>
      </c>
      <c r="W36">
        <v>87857</v>
      </c>
      <c r="X36">
        <v>64752</v>
      </c>
      <c r="Y36">
        <v>423.532554979</v>
      </c>
      <c r="Z36">
        <v>4164</v>
      </c>
      <c r="AA36">
        <v>676.56844380400003</v>
      </c>
      <c r="AB36">
        <v>12609</v>
      </c>
      <c r="AC36">
        <v>617.43921008799998</v>
      </c>
      <c r="AD36">
        <v>7334</v>
      </c>
      <c r="AE36">
        <v>509.90605399510002</v>
      </c>
      <c r="AF36">
        <v>3070</v>
      </c>
      <c r="AG36">
        <v>176.48110749189999</v>
      </c>
      <c r="AH36">
        <v>92</v>
      </c>
      <c r="AI36">
        <v>463.11956521740001</v>
      </c>
      <c r="AL36" t="s">
        <v>387</v>
      </c>
      <c r="AM36">
        <v>2003</v>
      </c>
      <c r="AN36">
        <v>1609</v>
      </c>
      <c r="AO36">
        <v>355.10814170290001</v>
      </c>
      <c r="AP36">
        <v>319</v>
      </c>
      <c r="AQ36">
        <v>496.47648902819998</v>
      </c>
      <c r="AR36">
        <v>329</v>
      </c>
      <c r="AS36">
        <v>406.10334346500002</v>
      </c>
      <c r="AT36">
        <v>60</v>
      </c>
      <c r="AU36">
        <v>228.3333333333</v>
      </c>
      <c r="AV36">
        <v>4</v>
      </c>
      <c r="AW36">
        <v>177.25</v>
      </c>
      <c r="AX36">
        <v>1</v>
      </c>
      <c r="AY36">
        <v>51</v>
      </c>
    </row>
    <row r="37" spans="6:51" x14ac:dyDescent="0.2">
      <c r="F37" t="s">
        <v>80</v>
      </c>
      <c r="G37">
        <v>29218</v>
      </c>
      <c r="H37">
        <v>26015</v>
      </c>
      <c r="I37">
        <v>442.86496252159998</v>
      </c>
      <c r="J37">
        <v>1386</v>
      </c>
      <c r="K37">
        <v>750.64430014430002</v>
      </c>
      <c r="L37">
        <v>1287</v>
      </c>
      <c r="M37">
        <v>245.66433566430001</v>
      </c>
      <c r="N37">
        <v>1911</v>
      </c>
      <c r="O37">
        <v>313.46677132389999</v>
      </c>
      <c r="R37">
        <v>5</v>
      </c>
      <c r="S37">
        <v>211.6</v>
      </c>
      <c r="V37" t="s">
        <v>413</v>
      </c>
      <c r="W37">
        <v>614</v>
      </c>
      <c r="X37">
        <v>305</v>
      </c>
      <c r="Y37">
        <v>108.24918032790001</v>
      </c>
      <c r="Z37">
        <v>217</v>
      </c>
      <c r="AA37">
        <v>213.8110599078</v>
      </c>
      <c r="AB37">
        <v>132</v>
      </c>
      <c r="AC37">
        <v>161.4772727273</v>
      </c>
      <c r="AD37">
        <v>122</v>
      </c>
      <c r="AE37">
        <v>194.7459016393</v>
      </c>
      <c r="AF37">
        <v>51</v>
      </c>
      <c r="AG37">
        <v>172.6862745098</v>
      </c>
      <c r="AH37">
        <v>4</v>
      </c>
      <c r="AI37">
        <v>275</v>
      </c>
      <c r="AL37" t="s">
        <v>413</v>
      </c>
      <c r="AM37">
        <v>22</v>
      </c>
      <c r="AN37">
        <v>16</v>
      </c>
      <c r="AO37">
        <v>70.625</v>
      </c>
      <c r="AP37">
        <v>11</v>
      </c>
      <c r="AQ37">
        <v>200.63636363640001</v>
      </c>
      <c r="AR37">
        <v>6</v>
      </c>
      <c r="AS37">
        <v>221</v>
      </c>
    </row>
    <row r="38" spans="6:51" x14ac:dyDescent="0.2">
      <c r="F38" t="s">
        <v>387</v>
      </c>
      <c r="G38">
        <v>86642</v>
      </c>
      <c r="H38">
        <v>66364</v>
      </c>
      <c r="I38">
        <v>423.99463564579997</v>
      </c>
      <c r="J38">
        <v>4250</v>
      </c>
      <c r="K38">
        <v>670.57223529409998</v>
      </c>
      <c r="L38">
        <v>12732</v>
      </c>
      <c r="M38">
        <v>611.90810556079998</v>
      </c>
      <c r="N38">
        <v>7456</v>
      </c>
      <c r="O38">
        <v>511.2516094421</v>
      </c>
      <c r="R38">
        <v>90</v>
      </c>
      <c r="S38">
        <v>464.1666666667</v>
      </c>
      <c r="V38" t="s">
        <v>417</v>
      </c>
      <c r="W38">
        <v>40269</v>
      </c>
      <c r="X38">
        <v>28563</v>
      </c>
      <c r="Y38">
        <v>451.36711829990003</v>
      </c>
      <c r="Z38">
        <v>2018</v>
      </c>
      <c r="AA38">
        <v>697.98959365710004</v>
      </c>
      <c r="AB38">
        <v>8092</v>
      </c>
      <c r="AC38">
        <v>745.78868017800005</v>
      </c>
      <c r="AD38">
        <v>2377</v>
      </c>
      <c r="AE38">
        <v>555.64282709300005</v>
      </c>
      <c r="AF38">
        <v>1157</v>
      </c>
      <c r="AG38">
        <v>181.4727744166</v>
      </c>
      <c r="AH38">
        <v>80</v>
      </c>
      <c r="AI38">
        <v>429.28750000000002</v>
      </c>
      <c r="AL38" t="s">
        <v>417</v>
      </c>
      <c r="AM38">
        <v>812</v>
      </c>
      <c r="AN38">
        <v>611</v>
      </c>
      <c r="AO38">
        <v>477.79705400979998</v>
      </c>
      <c r="AP38">
        <v>229</v>
      </c>
      <c r="AQ38">
        <v>431.34497816589999</v>
      </c>
      <c r="AR38">
        <v>191</v>
      </c>
      <c r="AS38">
        <v>515.0942408377</v>
      </c>
      <c r="AT38">
        <v>10</v>
      </c>
      <c r="AU38">
        <v>270.8</v>
      </c>
    </row>
    <row r="39" spans="6:51" x14ac:dyDescent="0.2">
      <c r="F39" t="s">
        <v>82</v>
      </c>
      <c r="G39">
        <v>19562</v>
      </c>
      <c r="H39">
        <v>14559</v>
      </c>
      <c r="I39">
        <v>393.02884813520001</v>
      </c>
      <c r="J39">
        <v>1061</v>
      </c>
      <c r="K39">
        <v>677.63430725729995</v>
      </c>
      <c r="L39">
        <v>3796</v>
      </c>
      <c r="M39">
        <v>792.09668071650003</v>
      </c>
      <c r="N39">
        <v>1156</v>
      </c>
      <c r="O39">
        <v>553.8762975779</v>
      </c>
      <c r="R39">
        <v>51</v>
      </c>
      <c r="S39">
        <v>476.54901960780001</v>
      </c>
      <c r="V39" t="s">
        <v>425</v>
      </c>
      <c r="W39">
        <v>385</v>
      </c>
      <c r="X39">
        <v>172</v>
      </c>
      <c r="Y39">
        <v>168.2034883721</v>
      </c>
      <c r="Z39">
        <v>85</v>
      </c>
      <c r="AA39">
        <v>222.07058823529999</v>
      </c>
      <c r="AB39">
        <v>124</v>
      </c>
      <c r="AC39">
        <v>283.29838709680001</v>
      </c>
      <c r="AD39">
        <v>61</v>
      </c>
      <c r="AE39">
        <v>409.09836065569999</v>
      </c>
      <c r="AF39">
        <v>27</v>
      </c>
      <c r="AG39">
        <v>224.4814814815</v>
      </c>
      <c r="AH39">
        <v>1</v>
      </c>
      <c r="AI39">
        <v>655</v>
      </c>
      <c r="AL39" t="s">
        <v>425</v>
      </c>
      <c r="AM39">
        <v>5</v>
      </c>
      <c r="AN39">
        <v>4</v>
      </c>
      <c r="AO39">
        <v>216.75</v>
      </c>
      <c r="AP39">
        <v>3</v>
      </c>
      <c r="AQ39">
        <v>122.3333333333</v>
      </c>
      <c r="AR39">
        <v>1</v>
      </c>
      <c r="AS39">
        <v>75</v>
      </c>
    </row>
    <row r="40" spans="6:51" x14ac:dyDescent="0.2">
      <c r="F40" t="s">
        <v>43</v>
      </c>
      <c r="G40">
        <v>6020</v>
      </c>
      <c r="H40">
        <v>3251</v>
      </c>
      <c r="I40">
        <v>244.52752999079999</v>
      </c>
      <c r="J40">
        <v>228</v>
      </c>
      <c r="K40">
        <v>527.55701754389997</v>
      </c>
      <c r="L40">
        <v>2396</v>
      </c>
      <c r="M40">
        <v>692.06051752919996</v>
      </c>
      <c r="N40">
        <v>362</v>
      </c>
      <c r="O40">
        <v>394.27624309390001</v>
      </c>
      <c r="R40">
        <v>11</v>
      </c>
      <c r="S40">
        <v>255.8181818182</v>
      </c>
      <c r="V40" t="s">
        <v>428</v>
      </c>
      <c r="W40">
        <v>353</v>
      </c>
      <c r="X40">
        <v>263</v>
      </c>
      <c r="Y40">
        <v>288.68821292780001</v>
      </c>
      <c r="Z40">
        <v>24</v>
      </c>
      <c r="AA40">
        <v>626.66666666670005</v>
      </c>
      <c r="AB40">
        <v>29</v>
      </c>
      <c r="AC40">
        <v>548.86206896550004</v>
      </c>
      <c r="AD40">
        <v>33</v>
      </c>
      <c r="AE40">
        <v>339.90909090909997</v>
      </c>
      <c r="AF40">
        <v>27</v>
      </c>
      <c r="AG40">
        <v>172.5925925926</v>
      </c>
      <c r="AH40">
        <v>1</v>
      </c>
      <c r="AI40">
        <v>365</v>
      </c>
      <c r="AL40" t="s">
        <v>428</v>
      </c>
      <c r="AM40">
        <v>7</v>
      </c>
      <c r="AN40">
        <v>2</v>
      </c>
      <c r="AO40">
        <v>425.5</v>
      </c>
      <c r="AP40">
        <v>1</v>
      </c>
      <c r="AQ40">
        <v>457</v>
      </c>
      <c r="AR40">
        <v>5</v>
      </c>
      <c r="AS40">
        <v>181.4</v>
      </c>
    </row>
    <row r="41" spans="6:51" x14ac:dyDescent="0.2">
      <c r="F41" t="s">
        <v>49</v>
      </c>
      <c r="G41">
        <v>19623</v>
      </c>
      <c r="H41">
        <v>14055</v>
      </c>
      <c r="I41">
        <v>519.04745642119997</v>
      </c>
      <c r="J41">
        <v>965</v>
      </c>
      <c r="K41">
        <v>723.12953367880004</v>
      </c>
      <c r="L41">
        <v>4338</v>
      </c>
      <c r="M41">
        <v>711.26579068700005</v>
      </c>
      <c r="N41">
        <v>1203</v>
      </c>
      <c r="O41">
        <v>570.67830423939995</v>
      </c>
      <c r="R41">
        <v>27</v>
      </c>
      <c r="S41">
        <v>355.1851851852</v>
      </c>
      <c r="V41" t="s">
        <v>418</v>
      </c>
      <c r="W41">
        <v>5260</v>
      </c>
      <c r="X41">
        <v>4017</v>
      </c>
      <c r="Y41">
        <v>478.63654468509998</v>
      </c>
      <c r="Z41">
        <v>260</v>
      </c>
      <c r="AA41">
        <v>818.54230769230003</v>
      </c>
      <c r="AB41">
        <v>532</v>
      </c>
      <c r="AC41">
        <v>325.43609022560003</v>
      </c>
      <c r="AD41">
        <v>468</v>
      </c>
      <c r="AE41">
        <v>583.62820512819997</v>
      </c>
      <c r="AF41">
        <v>238</v>
      </c>
      <c r="AG41">
        <v>197.0084033613</v>
      </c>
      <c r="AH41">
        <v>5</v>
      </c>
      <c r="AI41">
        <v>516.6</v>
      </c>
      <c r="AL41" t="s">
        <v>418</v>
      </c>
      <c r="AM41">
        <v>189</v>
      </c>
      <c r="AN41">
        <v>157</v>
      </c>
      <c r="AO41">
        <v>428.54777070059998</v>
      </c>
      <c r="AP41">
        <v>10</v>
      </c>
      <c r="AQ41">
        <v>704.6</v>
      </c>
      <c r="AR41">
        <v>30</v>
      </c>
      <c r="AS41">
        <v>305</v>
      </c>
      <c r="AT41">
        <v>2</v>
      </c>
      <c r="AU41">
        <v>202.5</v>
      </c>
    </row>
    <row r="42" spans="6:51" x14ac:dyDescent="0.2">
      <c r="F42" t="s">
        <v>52</v>
      </c>
      <c r="G42">
        <v>4602</v>
      </c>
      <c r="H42">
        <v>3028</v>
      </c>
      <c r="I42">
        <v>299.77642007930001</v>
      </c>
      <c r="J42">
        <v>265</v>
      </c>
      <c r="K42">
        <v>583.5358490566</v>
      </c>
      <c r="L42">
        <v>1023</v>
      </c>
      <c r="M42">
        <v>402.80840664710001</v>
      </c>
      <c r="N42">
        <v>545</v>
      </c>
      <c r="O42">
        <v>596.46605504590002</v>
      </c>
      <c r="R42">
        <v>6</v>
      </c>
      <c r="S42">
        <v>577.5</v>
      </c>
      <c r="V42" t="s">
        <v>410</v>
      </c>
      <c r="W42">
        <v>6184</v>
      </c>
      <c r="X42">
        <v>3266</v>
      </c>
      <c r="Y42">
        <v>254.17973055729999</v>
      </c>
      <c r="Z42">
        <v>218</v>
      </c>
      <c r="AA42">
        <v>548.59633027519999</v>
      </c>
      <c r="AB42">
        <v>2297</v>
      </c>
      <c r="AC42">
        <v>681.74140182849999</v>
      </c>
      <c r="AD42">
        <v>360</v>
      </c>
      <c r="AE42">
        <v>411.87222222219998</v>
      </c>
      <c r="AF42">
        <v>250</v>
      </c>
      <c r="AG42">
        <v>193.22399999999999</v>
      </c>
      <c r="AH42">
        <v>11</v>
      </c>
      <c r="AI42">
        <v>255.8181818182</v>
      </c>
      <c r="AL42" t="s">
        <v>410</v>
      </c>
      <c r="AM42">
        <v>114</v>
      </c>
      <c r="AN42">
        <v>56</v>
      </c>
      <c r="AO42">
        <v>247.67857142860001</v>
      </c>
      <c r="AP42">
        <v>29</v>
      </c>
      <c r="AQ42">
        <v>215.03448275860001</v>
      </c>
      <c r="AR42">
        <v>56</v>
      </c>
      <c r="AS42">
        <v>687.64285714289997</v>
      </c>
      <c r="AT42">
        <v>2</v>
      </c>
      <c r="AU42">
        <v>178.5</v>
      </c>
    </row>
    <row r="43" spans="6:51" x14ac:dyDescent="0.2">
      <c r="F43" t="s">
        <v>39</v>
      </c>
      <c r="G43">
        <v>311</v>
      </c>
      <c r="H43">
        <v>261</v>
      </c>
      <c r="I43">
        <v>295.89655172409999</v>
      </c>
      <c r="J43">
        <v>22</v>
      </c>
      <c r="K43">
        <v>579.40909090909997</v>
      </c>
      <c r="L43">
        <v>15</v>
      </c>
      <c r="M43">
        <v>519.26666666669996</v>
      </c>
      <c r="N43">
        <v>34</v>
      </c>
      <c r="O43">
        <v>332.5294117647</v>
      </c>
      <c r="R43">
        <v>1</v>
      </c>
      <c r="S43">
        <v>365</v>
      </c>
      <c r="V43" t="s">
        <v>419</v>
      </c>
      <c r="W43">
        <v>4532</v>
      </c>
      <c r="X43">
        <v>2565</v>
      </c>
      <c r="Y43">
        <v>178.73645224169999</v>
      </c>
      <c r="Z43">
        <v>555</v>
      </c>
      <c r="AA43">
        <v>301.0630630631</v>
      </c>
      <c r="AB43">
        <v>1091</v>
      </c>
      <c r="AC43">
        <v>240.86801099909999</v>
      </c>
      <c r="AD43">
        <v>578</v>
      </c>
      <c r="AE43">
        <v>292.4117647059</v>
      </c>
      <c r="AF43">
        <v>295</v>
      </c>
      <c r="AG43">
        <v>174.61355932199999</v>
      </c>
      <c r="AH43">
        <v>3</v>
      </c>
      <c r="AI43">
        <v>311.3333333333</v>
      </c>
      <c r="AL43" t="s">
        <v>419</v>
      </c>
      <c r="AM43">
        <v>94</v>
      </c>
      <c r="AN43">
        <v>62</v>
      </c>
      <c r="AO43">
        <v>174.5</v>
      </c>
      <c r="AP43">
        <v>44</v>
      </c>
      <c r="AQ43">
        <v>192.2272727273</v>
      </c>
      <c r="AR43">
        <v>25</v>
      </c>
      <c r="AS43">
        <v>141.56</v>
      </c>
      <c r="AT43">
        <v>6</v>
      </c>
      <c r="AU43">
        <v>196.8333333333</v>
      </c>
      <c r="AV43">
        <v>1</v>
      </c>
      <c r="AW43">
        <v>101</v>
      </c>
    </row>
    <row r="44" spans="6:51" x14ac:dyDescent="0.2">
      <c r="F44" t="s">
        <v>27</v>
      </c>
      <c r="G44">
        <v>4182</v>
      </c>
      <c r="H44">
        <v>2503</v>
      </c>
      <c r="I44">
        <v>167.73032361169999</v>
      </c>
      <c r="J44">
        <v>567</v>
      </c>
      <c r="K44">
        <v>298.80246913579998</v>
      </c>
      <c r="L44">
        <v>1084</v>
      </c>
      <c r="M44">
        <v>233.34686346859999</v>
      </c>
      <c r="N44">
        <v>592</v>
      </c>
      <c r="O44">
        <v>284.27533783780001</v>
      </c>
      <c r="R44">
        <v>3</v>
      </c>
      <c r="S44">
        <v>311.3333333333</v>
      </c>
      <c r="V44" t="s">
        <v>394</v>
      </c>
      <c r="W44">
        <v>5930</v>
      </c>
      <c r="X44">
        <v>4812</v>
      </c>
      <c r="Y44">
        <v>427.3717788861</v>
      </c>
      <c r="Z44">
        <v>353</v>
      </c>
      <c r="AA44">
        <v>740.17280453260003</v>
      </c>
      <c r="AB44">
        <v>549</v>
      </c>
      <c r="AC44">
        <v>430.01639344260002</v>
      </c>
      <c r="AD44">
        <v>378</v>
      </c>
      <c r="AE44">
        <v>426.45238095240001</v>
      </c>
      <c r="AF44">
        <v>178</v>
      </c>
      <c r="AG44">
        <v>200.95505617980001</v>
      </c>
      <c r="AH44">
        <v>13</v>
      </c>
      <c r="AI44">
        <v>365.38461538460001</v>
      </c>
      <c r="AL44" t="s">
        <v>394</v>
      </c>
      <c r="AM44">
        <v>197</v>
      </c>
      <c r="AN44">
        <v>158</v>
      </c>
      <c r="AO44">
        <v>395.75949367089999</v>
      </c>
      <c r="AP44">
        <v>21</v>
      </c>
      <c r="AQ44">
        <v>679.85714285710003</v>
      </c>
      <c r="AR44">
        <v>37</v>
      </c>
      <c r="AS44">
        <v>236.027027027</v>
      </c>
      <c r="AT44">
        <v>2</v>
      </c>
      <c r="AU44">
        <v>73.5</v>
      </c>
    </row>
    <row r="45" spans="6:51" x14ac:dyDescent="0.2">
      <c r="F45" t="s">
        <v>54</v>
      </c>
      <c r="G45">
        <v>5171</v>
      </c>
      <c r="H45">
        <v>4157</v>
      </c>
      <c r="I45">
        <v>480.5477507818</v>
      </c>
      <c r="J45">
        <v>263</v>
      </c>
      <c r="K45">
        <v>822.2585551331</v>
      </c>
      <c r="L45">
        <v>532</v>
      </c>
      <c r="M45">
        <v>314.57706766920001</v>
      </c>
      <c r="N45">
        <v>476</v>
      </c>
      <c r="O45">
        <v>602.53781512609999</v>
      </c>
      <c r="R45">
        <v>6</v>
      </c>
      <c r="S45">
        <v>493.1666666667</v>
      </c>
      <c r="V45" t="s">
        <v>396</v>
      </c>
      <c r="W45">
        <v>4833</v>
      </c>
      <c r="X45">
        <v>3084</v>
      </c>
      <c r="Y45">
        <v>306.97405966280002</v>
      </c>
      <c r="Z45">
        <v>276</v>
      </c>
      <c r="AA45">
        <v>582.52173913039996</v>
      </c>
      <c r="AB45">
        <v>1022</v>
      </c>
      <c r="AC45">
        <v>411.86986301370001</v>
      </c>
      <c r="AD45">
        <v>549</v>
      </c>
      <c r="AE45">
        <v>597.54644808739999</v>
      </c>
      <c r="AF45">
        <v>172</v>
      </c>
      <c r="AG45">
        <v>217.88372093020001</v>
      </c>
      <c r="AH45">
        <v>6</v>
      </c>
      <c r="AI45">
        <v>577.5</v>
      </c>
      <c r="AL45" t="s">
        <v>396</v>
      </c>
      <c r="AM45">
        <v>161</v>
      </c>
      <c r="AN45">
        <v>121</v>
      </c>
      <c r="AO45">
        <v>330.11570247930001</v>
      </c>
      <c r="AP45">
        <v>11</v>
      </c>
      <c r="AQ45">
        <v>429.36363636359999</v>
      </c>
      <c r="AR45">
        <v>39</v>
      </c>
      <c r="AS45">
        <v>362</v>
      </c>
      <c r="AT45">
        <v>1</v>
      </c>
      <c r="AU45">
        <v>463</v>
      </c>
    </row>
    <row r="46" spans="6:51" x14ac:dyDescent="0.2">
      <c r="F46" t="s">
        <v>62</v>
      </c>
      <c r="G46">
        <v>5775</v>
      </c>
      <c r="H46">
        <v>4842</v>
      </c>
      <c r="I46">
        <v>427.19929781079998</v>
      </c>
      <c r="J46">
        <v>356</v>
      </c>
      <c r="K46">
        <v>735.95224719099997</v>
      </c>
      <c r="L46">
        <v>543</v>
      </c>
      <c r="M46">
        <v>401.4585635359</v>
      </c>
      <c r="N46">
        <v>377</v>
      </c>
      <c r="O46">
        <v>435.95755968169999</v>
      </c>
      <c r="R46">
        <v>13</v>
      </c>
      <c r="S46">
        <v>365.38461538460001</v>
      </c>
      <c r="V46" t="s">
        <v>392</v>
      </c>
      <c r="W46">
        <v>68360</v>
      </c>
      <c r="X46">
        <v>47047</v>
      </c>
      <c r="Y46">
        <v>409.05445618210001</v>
      </c>
      <c r="Z46">
        <v>4006</v>
      </c>
      <c r="AA46">
        <v>601.70194707940004</v>
      </c>
      <c r="AB46">
        <v>13868</v>
      </c>
      <c r="AC46">
        <v>632.115085088</v>
      </c>
      <c r="AD46">
        <v>4926</v>
      </c>
      <c r="AE46">
        <v>499.46650426309998</v>
      </c>
      <c r="AF46">
        <v>2395</v>
      </c>
      <c r="AG46">
        <v>187.6588726514</v>
      </c>
      <c r="AH46">
        <v>124</v>
      </c>
      <c r="AI46">
        <v>411.36290322579998</v>
      </c>
      <c r="AL46" t="s">
        <v>392</v>
      </c>
      <c r="AM46">
        <v>1601</v>
      </c>
      <c r="AN46">
        <v>1187</v>
      </c>
      <c r="AO46">
        <v>412.15417017689998</v>
      </c>
      <c r="AP46">
        <v>359</v>
      </c>
      <c r="AQ46">
        <v>397.07242339829997</v>
      </c>
      <c r="AR46">
        <v>390</v>
      </c>
      <c r="AS46">
        <v>448.04871794870002</v>
      </c>
      <c r="AT46">
        <v>23</v>
      </c>
      <c r="AU46">
        <v>228.73913043479999</v>
      </c>
      <c r="AV46">
        <v>1</v>
      </c>
      <c r="AW46">
        <v>101</v>
      </c>
    </row>
    <row r="47" spans="6:51" x14ac:dyDescent="0.2">
      <c r="F47" t="s">
        <v>187</v>
      </c>
      <c r="G47">
        <v>312</v>
      </c>
      <c r="H47">
        <v>137</v>
      </c>
      <c r="I47">
        <v>98.890510948900001</v>
      </c>
      <c r="J47">
        <v>84</v>
      </c>
      <c r="K47">
        <v>204.70238095240001</v>
      </c>
      <c r="L47">
        <v>114</v>
      </c>
      <c r="M47">
        <v>263.48245614040002</v>
      </c>
      <c r="N47">
        <v>60</v>
      </c>
      <c r="O47">
        <v>403.51666666670002</v>
      </c>
      <c r="R47">
        <v>1</v>
      </c>
      <c r="S47">
        <v>655</v>
      </c>
      <c r="V47" t="s">
        <v>423</v>
      </c>
      <c r="W47">
        <v>422</v>
      </c>
      <c r="X47">
        <v>282</v>
      </c>
      <c r="Y47">
        <v>275.68439716310002</v>
      </c>
      <c r="Z47">
        <v>37</v>
      </c>
      <c r="AA47">
        <v>352.75675675679997</v>
      </c>
      <c r="AB47">
        <v>45</v>
      </c>
      <c r="AC47">
        <v>414.17777777779997</v>
      </c>
      <c r="AD47">
        <v>71</v>
      </c>
      <c r="AE47">
        <v>250.33802816900001</v>
      </c>
      <c r="AF47">
        <v>22</v>
      </c>
      <c r="AG47">
        <v>187.54545454550001</v>
      </c>
      <c r="AH47">
        <v>2</v>
      </c>
      <c r="AI47">
        <v>144</v>
      </c>
      <c r="AL47" t="s">
        <v>423</v>
      </c>
      <c r="AM47">
        <v>22</v>
      </c>
      <c r="AN47">
        <v>20</v>
      </c>
      <c r="AO47">
        <v>257.75</v>
      </c>
      <c r="AP47">
        <v>4</v>
      </c>
      <c r="AQ47">
        <v>212</v>
      </c>
      <c r="AR47">
        <v>1</v>
      </c>
      <c r="AS47">
        <v>61</v>
      </c>
      <c r="AT47">
        <v>1</v>
      </c>
      <c r="AU47">
        <v>8</v>
      </c>
    </row>
    <row r="48" spans="6:51" x14ac:dyDescent="0.2">
      <c r="F48" t="s">
        <v>73</v>
      </c>
      <c r="G48">
        <v>735</v>
      </c>
      <c r="H48">
        <v>479</v>
      </c>
      <c r="I48">
        <v>108.496868476</v>
      </c>
      <c r="J48">
        <v>222</v>
      </c>
      <c r="K48">
        <v>206.12162162160001</v>
      </c>
      <c r="L48">
        <v>126</v>
      </c>
      <c r="M48">
        <v>119.3888888889</v>
      </c>
      <c r="N48">
        <v>127</v>
      </c>
      <c r="O48">
        <v>181.75590551179999</v>
      </c>
      <c r="R48">
        <v>3</v>
      </c>
      <c r="S48">
        <v>134</v>
      </c>
      <c r="V48" t="s">
        <v>424</v>
      </c>
      <c r="W48">
        <v>154</v>
      </c>
      <c r="X48">
        <v>105</v>
      </c>
      <c r="Y48">
        <v>201.1428571429</v>
      </c>
      <c r="Z48">
        <v>33</v>
      </c>
      <c r="AA48">
        <v>318.57575757580003</v>
      </c>
      <c r="AB48">
        <v>5</v>
      </c>
      <c r="AC48">
        <v>515.79999999999995</v>
      </c>
      <c r="AD48">
        <v>25</v>
      </c>
      <c r="AE48">
        <v>339.8</v>
      </c>
      <c r="AF48">
        <v>18</v>
      </c>
      <c r="AG48">
        <v>150.7222222222</v>
      </c>
      <c r="AH48">
        <v>1</v>
      </c>
      <c r="AI48">
        <v>87</v>
      </c>
      <c r="AL48" t="s">
        <v>424</v>
      </c>
      <c r="AM48">
        <v>8</v>
      </c>
      <c r="AN48">
        <v>7</v>
      </c>
      <c r="AO48">
        <v>170</v>
      </c>
      <c r="AP48">
        <v>1</v>
      </c>
      <c r="AQ48">
        <v>207</v>
      </c>
      <c r="AT48">
        <v>1</v>
      </c>
      <c r="AU48">
        <v>527</v>
      </c>
    </row>
    <row r="49" spans="6:51" x14ac:dyDescent="0.2">
      <c r="F49" t="s">
        <v>392</v>
      </c>
      <c r="G49">
        <v>66293</v>
      </c>
      <c r="H49">
        <v>47272</v>
      </c>
      <c r="I49">
        <v>409.30599509220002</v>
      </c>
      <c r="J49">
        <v>4033</v>
      </c>
      <c r="K49">
        <v>598.8308951153</v>
      </c>
      <c r="L49">
        <v>13967</v>
      </c>
      <c r="M49">
        <v>633.90019331279996</v>
      </c>
      <c r="N49">
        <v>4932</v>
      </c>
      <c r="O49">
        <v>501.35117599350002</v>
      </c>
      <c r="R49">
        <v>122</v>
      </c>
      <c r="S49">
        <v>411.78688524590001</v>
      </c>
      <c r="V49" t="s">
        <v>430</v>
      </c>
      <c r="W49">
        <v>545</v>
      </c>
      <c r="X49">
        <v>332</v>
      </c>
      <c r="Y49">
        <v>373.55120481929998</v>
      </c>
      <c r="Z49">
        <v>43</v>
      </c>
      <c r="AA49">
        <v>577.48837209299995</v>
      </c>
      <c r="AB49">
        <v>116</v>
      </c>
      <c r="AC49">
        <v>471.44827586209999</v>
      </c>
      <c r="AD49">
        <v>69</v>
      </c>
      <c r="AE49">
        <v>556.11594202900005</v>
      </c>
      <c r="AF49">
        <v>26</v>
      </c>
      <c r="AG49">
        <v>135.76923076919999</v>
      </c>
      <c r="AH49">
        <v>2</v>
      </c>
      <c r="AI49">
        <v>220.5</v>
      </c>
      <c r="AL49" t="s">
        <v>430</v>
      </c>
      <c r="AM49">
        <v>19</v>
      </c>
      <c r="AN49">
        <v>16</v>
      </c>
      <c r="AO49">
        <v>280.6875</v>
      </c>
      <c r="AP49">
        <v>3</v>
      </c>
      <c r="AQ49">
        <v>318.3333333333</v>
      </c>
      <c r="AR49">
        <v>1</v>
      </c>
      <c r="AS49">
        <v>75</v>
      </c>
      <c r="AT49">
        <v>1</v>
      </c>
      <c r="AU49">
        <v>502</v>
      </c>
      <c r="AV49">
        <v>1</v>
      </c>
      <c r="AW49">
        <v>386</v>
      </c>
    </row>
    <row r="50" spans="6:51" x14ac:dyDescent="0.2">
      <c r="F50" t="s">
        <v>218</v>
      </c>
      <c r="G50">
        <v>1982</v>
      </c>
      <c r="H50">
        <v>1411</v>
      </c>
      <c r="I50">
        <v>385.91708008500001</v>
      </c>
      <c r="J50">
        <v>729</v>
      </c>
      <c r="K50">
        <v>313.7105624143</v>
      </c>
      <c r="L50">
        <v>511</v>
      </c>
      <c r="M50">
        <v>398.93346379650001</v>
      </c>
      <c r="N50">
        <v>60</v>
      </c>
      <c r="O50">
        <v>178.96666666670001</v>
      </c>
      <c r="V50" t="s">
        <v>383</v>
      </c>
      <c r="W50">
        <v>5431</v>
      </c>
      <c r="X50">
        <v>4130</v>
      </c>
      <c r="Y50">
        <v>558.35278450359999</v>
      </c>
      <c r="Z50">
        <v>204</v>
      </c>
      <c r="AA50">
        <v>1056.6617647058999</v>
      </c>
      <c r="AB50">
        <v>961</v>
      </c>
      <c r="AC50">
        <v>837.30072840790001</v>
      </c>
      <c r="AD50">
        <v>253</v>
      </c>
      <c r="AE50">
        <v>628.2687747036</v>
      </c>
      <c r="AF50">
        <v>84</v>
      </c>
      <c r="AG50">
        <v>175.69047619049999</v>
      </c>
      <c r="AH50">
        <v>3</v>
      </c>
      <c r="AI50">
        <v>624</v>
      </c>
      <c r="AL50" t="s">
        <v>383</v>
      </c>
      <c r="AM50">
        <v>85</v>
      </c>
      <c r="AN50">
        <v>70</v>
      </c>
      <c r="AO50">
        <v>244.05714285709999</v>
      </c>
      <c r="AP50">
        <v>16</v>
      </c>
      <c r="AQ50">
        <v>327.0625</v>
      </c>
      <c r="AR50">
        <v>13</v>
      </c>
      <c r="AS50">
        <v>222.92307692310001</v>
      </c>
      <c r="AT50">
        <v>2</v>
      </c>
      <c r="AU50">
        <v>428</v>
      </c>
    </row>
    <row r="51" spans="6:51" x14ac:dyDescent="0.2">
      <c r="F51" t="s">
        <v>215</v>
      </c>
      <c r="G51">
        <v>2862</v>
      </c>
      <c r="H51">
        <v>2251</v>
      </c>
      <c r="I51">
        <v>414.04575744110002</v>
      </c>
      <c r="J51">
        <v>222</v>
      </c>
      <c r="K51">
        <v>618.19819819819998</v>
      </c>
      <c r="L51">
        <v>557</v>
      </c>
      <c r="M51">
        <v>465.45780969480001</v>
      </c>
      <c r="N51">
        <v>54</v>
      </c>
      <c r="O51">
        <v>244.6111111111</v>
      </c>
      <c r="V51" t="s">
        <v>63</v>
      </c>
      <c r="W51">
        <v>5519</v>
      </c>
      <c r="X51">
        <v>3696</v>
      </c>
      <c r="Y51">
        <v>255.0156926407</v>
      </c>
      <c r="Z51">
        <v>682</v>
      </c>
      <c r="AA51">
        <v>455.80058651029998</v>
      </c>
      <c r="AB51">
        <v>909</v>
      </c>
      <c r="AC51">
        <v>314.83608360839997</v>
      </c>
      <c r="AD51">
        <v>628</v>
      </c>
      <c r="AE51">
        <v>605.84235668789995</v>
      </c>
      <c r="AF51">
        <v>246</v>
      </c>
      <c r="AG51">
        <v>181.20325203249999</v>
      </c>
      <c r="AH51">
        <v>40</v>
      </c>
      <c r="AI51">
        <v>597.4</v>
      </c>
      <c r="AL51" t="s">
        <v>63</v>
      </c>
      <c r="AM51">
        <v>247</v>
      </c>
      <c r="AN51">
        <v>198</v>
      </c>
      <c r="AO51">
        <v>290.46464646459998</v>
      </c>
      <c r="AP51">
        <v>45</v>
      </c>
      <c r="AQ51">
        <v>414.48888888890002</v>
      </c>
      <c r="AR51">
        <v>41</v>
      </c>
      <c r="AS51">
        <v>242.21951219510001</v>
      </c>
      <c r="AT51">
        <v>6</v>
      </c>
      <c r="AU51">
        <v>212</v>
      </c>
      <c r="AV51">
        <v>2</v>
      </c>
      <c r="AW51">
        <v>1</v>
      </c>
    </row>
    <row r="52" spans="6:51" x14ac:dyDescent="0.2">
      <c r="F52" t="s">
        <v>216</v>
      </c>
      <c r="G52">
        <v>2787</v>
      </c>
      <c r="H52">
        <v>2327</v>
      </c>
      <c r="I52">
        <v>305.97851310700003</v>
      </c>
      <c r="J52">
        <v>533</v>
      </c>
      <c r="K52">
        <v>412.44465290810001</v>
      </c>
      <c r="L52">
        <v>360</v>
      </c>
      <c r="M52">
        <v>270.75</v>
      </c>
      <c r="N52">
        <v>99</v>
      </c>
      <c r="O52">
        <v>220.55555555559999</v>
      </c>
      <c r="R52">
        <v>1</v>
      </c>
      <c r="S52">
        <v>51</v>
      </c>
      <c r="V52" t="s">
        <v>385</v>
      </c>
      <c r="W52">
        <v>14893</v>
      </c>
      <c r="X52">
        <v>10092</v>
      </c>
      <c r="Y52">
        <v>358.94936583430001</v>
      </c>
      <c r="Z52">
        <v>450</v>
      </c>
      <c r="AA52">
        <v>772.93111111109999</v>
      </c>
      <c r="AB52">
        <v>3728</v>
      </c>
      <c r="AC52">
        <v>793.83074034330002</v>
      </c>
      <c r="AD52">
        <v>747</v>
      </c>
      <c r="AE52">
        <v>544.05488621150005</v>
      </c>
      <c r="AF52">
        <v>323</v>
      </c>
      <c r="AG52">
        <v>171.50154798759999</v>
      </c>
      <c r="AH52">
        <v>3</v>
      </c>
      <c r="AI52">
        <v>131.6666666667</v>
      </c>
      <c r="AL52" t="s">
        <v>385</v>
      </c>
      <c r="AM52">
        <v>165</v>
      </c>
      <c r="AN52">
        <v>137</v>
      </c>
      <c r="AO52">
        <v>243.05839416059999</v>
      </c>
      <c r="AP52">
        <v>34</v>
      </c>
      <c r="AQ52">
        <v>352.8823529412</v>
      </c>
      <c r="AR52">
        <v>17</v>
      </c>
      <c r="AS52">
        <v>237.4705882353</v>
      </c>
      <c r="AT52">
        <v>10</v>
      </c>
      <c r="AU52">
        <v>193.9</v>
      </c>
      <c r="AV52">
        <v>1</v>
      </c>
      <c r="AW52">
        <v>1</v>
      </c>
    </row>
    <row r="53" spans="6:51" x14ac:dyDescent="0.2">
      <c r="F53" t="s">
        <v>469</v>
      </c>
      <c r="G53">
        <v>7631</v>
      </c>
      <c r="H53">
        <v>5989</v>
      </c>
      <c r="I53">
        <v>365.42962097179998</v>
      </c>
      <c r="J53">
        <v>1484</v>
      </c>
      <c r="K53">
        <v>394.72237196769998</v>
      </c>
      <c r="L53">
        <v>1428</v>
      </c>
      <c r="M53">
        <v>392.56652661060002</v>
      </c>
      <c r="N53">
        <v>213</v>
      </c>
      <c r="O53">
        <v>214.93896713620001</v>
      </c>
      <c r="R53">
        <v>1</v>
      </c>
      <c r="S53">
        <v>51</v>
      </c>
      <c r="V53" t="s">
        <v>381</v>
      </c>
      <c r="W53">
        <v>4174</v>
      </c>
      <c r="X53">
        <v>2897</v>
      </c>
      <c r="Y53">
        <v>327.8322402485</v>
      </c>
      <c r="Z53">
        <v>344</v>
      </c>
      <c r="AA53">
        <v>537.33720930230004</v>
      </c>
      <c r="AB53">
        <v>567</v>
      </c>
      <c r="AC53">
        <v>303.13051146380002</v>
      </c>
      <c r="AD53">
        <v>545</v>
      </c>
      <c r="AE53">
        <v>485.51559633030001</v>
      </c>
      <c r="AF53">
        <v>160</v>
      </c>
      <c r="AG53">
        <v>204.0625</v>
      </c>
      <c r="AH53">
        <v>5</v>
      </c>
      <c r="AI53">
        <v>583.6</v>
      </c>
      <c r="AL53" t="s">
        <v>381</v>
      </c>
      <c r="AM53">
        <v>163</v>
      </c>
      <c r="AN53">
        <v>134</v>
      </c>
      <c r="AO53">
        <v>231.64179104479999</v>
      </c>
      <c r="AP53">
        <v>36</v>
      </c>
      <c r="AQ53">
        <v>370.05555555559999</v>
      </c>
      <c r="AR53">
        <v>23</v>
      </c>
      <c r="AS53">
        <v>290.04347826089997</v>
      </c>
      <c r="AT53">
        <v>5</v>
      </c>
      <c r="AU53">
        <v>271.2</v>
      </c>
      <c r="AV53">
        <v>1</v>
      </c>
      <c r="AW53">
        <v>255</v>
      </c>
    </row>
    <row r="54" spans="6:51" x14ac:dyDescent="0.2">
      <c r="F54" t="s">
        <v>81</v>
      </c>
      <c r="G54">
        <v>392</v>
      </c>
      <c r="H54">
        <v>289</v>
      </c>
      <c r="I54">
        <v>221.30449826989999</v>
      </c>
      <c r="J54">
        <v>35</v>
      </c>
      <c r="K54">
        <v>288.82857142860001</v>
      </c>
      <c r="L54">
        <v>34</v>
      </c>
      <c r="M54">
        <v>332.5882352941</v>
      </c>
      <c r="N54">
        <v>67</v>
      </c>
      <c r="O54">
        <v>229.3731343284</v>
      </c>
      <c r="R54">
        <v>2</v>
      </c>
      <c r="S54">
        <v>144</v>
      </c>
      <c r="V54" t="s">
        <v>380</v>
      </c>
      <c r="W54">
        <v>1038</v>
      </c>
      <c r="X54">
        <v>612</v>
      </c>
      <c r="Y54">
        <v>178.5751633987</v>
      </c>
      <c r="Z54">
        <v>137</v>
      </c>
      <c r="AA54">
        <v>320.72262773720001</v>
      </c>
      <c r="AB54">
        <v>174</v>
      </c>
      <c r="AC54">
        <v>244.5747126437</v>
      </c>
      <c r="AD54">
        <v>161</v>
      </c>
      <c r="AE54">
        <v>291.0683229814</v>
      </c>
      <c r="AF54">
        <v>90</v>
      </c>
      <c r="AG54">
        <v>158.2888888889</v>
      </c>
      <c r="AH54">
        <v>1</v>
      </c>
      <c r="AI54">
        <v>625</v>
      </c>
      <c r="AL54" t="s">
        <v>380</v>
      </c>
      <c r="AM54">
        <v>53</v>
      </c>
      <c r="AN54">
        <v>47</v>
      </c>
      <c r="AO54">
        <v>228.85106382980001</v>
      </c>
      <c r="AP54">
        <v>7</v>
      </c>
      <c r="AQ54">
        <v>284.71428571429999</v>
      </c>
      <c r="AR54">
        <v>6</v>
      </c>
      <c r="AS54">
        <v>221.3333333333</v>
      </c>
    </row>
    <row r="55" spans="6:51" x14ac:dyDescent="0.2">
      <c r="F55" t="s">
        <v>38</v>
      </c>
      <c r="G55">
        <v>3335</v>
      </c>
      <c r="H55">
        <v>2203</v>
      </c>
      <c r="I55">
        <v>454.7639582388</v>
      </c>
      <c r="J55">
        <v>275</v>
      </c>
      <c r="K55">
        <v>621.1127272727</v>
      </c>
      <c r="L55">
        <v>795</v>
      </c>
      <c r="M55">
        <v>613.26037735850002</v>
      </c>
      <c r="N55">
        <v>324</v>
      </c>
      <c r="O55">
        <v>650.99074074069995</v>
      </c>
      <c r="R55">
        <v>13</v>
      </c>
      <c r="S55">
        <v>162.61538461539999</v>
      </c>
      <c r="V55" t="s">
        <v>382</v>
      </c>
      <c r="W55">
        <v>6867</v>
      </c>
      <c r="X55">
        <v>4685</v>
      </c>
      <c r="Y55">
        <v>388.1208110993</v>
      </c>
      <c r="Z55">
        <v>384</v>
      </c>
      <c r="AA55">
        <v>492.4036458333</v>
      </c>
      <c r="AB55">
        <v>922</v>
      </c>
      <c r="AC55">
        <v>499.03579175700003</v>
      </c>
      <c r="AD55">
        <v>950</v>
      </c>
      <c r="AE55">
        <v>654.99052631580003</v>
      </c>
      <c r="AF55">
        <v>303</v>
      </c>
      <c r="AG55">
        <v>172.20462046200001</v>
      </c>
      <c r="AH55">
        <v>7</v>
      </c>
      <c r="AI55">
        <v>502.42857142859998</v>
      </c>
      <c r="AL55" t="s">
        <v>382</v>
      </c>
      <c r="AM55">
        <v>255</v>
      </c>
      <c r="AN55">
        <v>213</v>
      </c>
      <c r="AO55">
        <v>256.07981220660002</v>
      </c>
      <c r="AP55">
        <v>56</v>
      </c>
      <c r="AQ55">
        <v>351.60714285709997</v>
      </c>
      <c r="AR55">
        <v>27</v>
      </c>
      <c r="AS55">
        <v>275</v>
      </c>
      <c r="AT55">
        <v>15</v>
      </c>
      <c r="AU55">
        <v>281.39999999999998</v>
      </c>
    </row>
    <row r="56" spans="6:51" x14ac:dyDescent="0.2">
      <c r="F56" t="s">
        <v>64</v>
      </c>
      <c r="G56">
        <v>2719</v>
      </c>
      <c r="H56">
        <v>2069</v>
      </c>
      <c r="I56">
        <v>343.09811503140003</v>
      </c>
      <c r="J56">
        <v>220</v>
      </c>
      <c r="K56">
        <v>613.5</v>
      </c>
      <c r="L56">
        <v>277</v>
      </c>
      <c r="M56">
        <v>101.0902527076</v>
      </c>
      <c r="N56">
        <v>371</v>
      </c>
      <c r="O56">
        <v>432.00808625339999</v>
      </c>
      <c r="R56">
        <v>2</v>
      </c>
      <c r="S56">
        <v>812.5</v>
      </c>
      <c r="V56" t="s">
        <v>379</v>
      </c>
      <c r="W56">
        <v>348</v>
      </c>
      <c r="X56">
        <v>165</v>
      </c>
      <c r="Y56">
        <v>120.5696969697</v>
      </c>
      <c r="Z56">
        <v>71</v>
      </c>
      <c r="AA56">
        <v>186.2112676056</v>
      </c>
      <c r="AB56">
        <v>84</v>
      </c>
      <c r="AC56">
        <v>156.38095238099999</v>
      </c>
      <c r="AD56">
        <v>41</v>
      </c>
      <c r="AE56">
        <v>213.43902439019999</v>
      </c>
      <c r="AF56">
        <v>57</v>
      </c>
      <c r="AG56">
        <v>163.03508771930001</v>
      </c>
      <c r="AH56">
        <v>1</v>
      </c>
      <c r="AI56">
        <v>113</v>
      </c>
      <c r="AL56" t="s">
        <v>379</v>
      </c>
      <c r="AM56">
        <v>20</v>
      </c>
      <c r="AN56">
        <v>15</v>
      </c>
      <c r="AO56">
        <v>282.06666666669997</v>
      </c>
      <c r="AP56">
        <v>5</v>
      </c>
      <c r="AQ56">
        <v>295.60000000000002</v>
      </c>
      <c r="AR56">
        <v>4</v>
      </c>
      <c r="AS56">
        <v>339.75</v>
      </c>
      <c r="AT56">
        <v>1</v>
      </c>
      <c r="AU56">
        <v>162</v>
      </c>
    </row>
    <row r="57" spans="6:51" x14ac:dyDescent="0.2">
      <c r="F57" t="s">
        <v>24</v>
      </c>
      <c r="G57">
        <v>1877</v>
      </c>
      <c r="H57">
        <v>1172</v>
      </c>
      <c r="I57">
        <v>190.6851535836</v>
      </c>
      <c r="J57">
        <v>294</v>
      </c>
      <c r="K57">
        <v>331.95918367349998</v>
      </c>
      <c r="L57">
        <v>495</v>
      </c>
      <c r="M57">
        <v>324.79191919189998</v>
      </c>
      <c r="N57">
        <v>194</v>
      </c>
      <c r="O57">
        <v>489.49484536080001</v>
      </c>
      <c r="R57">
        <v>16</v>
      </c>
      <c r="S57">
        <v>557.25</v>
      </c>
      <c r="V57" t="s">
        <v>378</v>
      </c>
      <c r="W57">
        <v>3466</v>
      </c>
      <c r="X57">
        <v>2109</v>
      </c>
      <c r="Y57">
        <v>441.32432432429999</v>
      </c>
      <c r="Z57">
        <v>322</v>
      </c>
      <c r="AA57">
        <v>524.69565217390004</v>
      </c>
      <c r="AB57">
        <v>823</v>
      </c>
      <c r="AC57">
        <v>554.20048602669999</v>
      </c>
      <c r="AD57">
        <v>370</v>
      </c>
      <c r="AE57">
        <v>582.37837837840004</v>
      </c>
      <c r="AF57">
        <v>150</v>
      </c>
      <c r="AG57">
        <v>167.02</v>
      </c>
      <c r="AH57">
        <v>14</v>
      </c>
      <c r="AI57">
        <v>173</v>
      </c>
      <c r="AL57" t="s">
        <v>378</v>
      </c>
      <c r="AM57">
        <v>100</v>
      </c>
      <c r="AN57">
        <v>82</v>
      </c>
      <c r="AO57">
        <v>283.75609756099999</v>
      </c>
      <c r="AP57">
        <v>19</v>
      </c>
      <c r="AQ57">
        <v>399.10526315790003</v>
      </c>
      <c r="AR57">
        <v>14</v>
      </c>
      <c r="AS57">
        <v>194.07142857139999</v>
      </c>
      <c r="AT57">
        <v>4</v>
      </c>
      <c r="AU57">
        <v>178.25</v>
      </c>
    </row>
    <row r="58" spans="6:51" x14ac:dyDescent="0.2">
      <c r="F58" t="s">
        <v>72</v>
      </c>
      <c r="G58">
        <v>15098</v>
      </c>
      <c r="H58">
        <v>10376</v>
      </c>
      <c r="I58">
        <v>351.59011179650003</v>
      </c>
      <c r="J58">
        <v>445</v>
      </c>
      <c r="K58">
        <v>772.75955056179998</v>
      </c>
      <c r="L58">
        <v>3969</v>
      </c>
      <c r="M58">
        <v>805.38951877049999</v>
      </c>
      <c r="N58">
        <v>750</v>
      </c>
      <c r="O58">
        <v>541.52666666669995</v>
      </c>
      <c r="R58">
        <v>3</v>
      </c>
      <c r="S58">
        <v>131.6666666667</v>
      </c>
      <c r="V58" t="s">
        <v>422</v>
      </c>
      <c r="W58">
        <v>697</v>
      </c>
      <c r="X58">
        <v>528</v>
      </c>
      <c r="Y58">
        <v>283.3806818182</v>
      </c>
      <c r="Z58">
        <v>74</v>
      </c>
      <c r="AA58">
        <v>595.51351351350002</v>
      </c>
      <c r="AB58">
        <v>82</v>
      </c>
      <c r="AC58">
        <v>166.91463414629999</v>
      </c>
      <c r="AD58">
        <v>49</v>
      </c>
      <c r="AE58">
        <v>300.71428571429999</v>
      </c>
      <c r="AF58">
        <v>38</v>
      </c>
      <c r="AG58">
        <v>200.15789473679999</v>
      </c>
      <c r="AL58" t="s">
        <v>422</v>
      </c>
      <c r="AM58">
        <v>14</v>
      </c>
      <c r="AN58">
        <v>12</v>
      </c>
      <c r="AO58">
        <v>344.3333333333</v>
      </c>
      <c r="AP58">
        <v>6</v>
      </c>
      <c r="AQ58">
        <v>205.8333333333</v>
      </c>
      <c r="AR58">
        <v>2</v>
      </c>
      <c r="AS58">
        <v>211</v>
      </c>
    </row>
    <row r="59" spans="6:51" x14ac:dyDescent="0.2">
      <c r="F59" t="s">
        <v>47</v>
      </c>
      <c r="G59">
        <v>897</v>
      </c>
      <c r="H59">
        <v>583</v>
      </c>
      <c r="I59">
        <v>159.60377358490001</v>
      </c>
      <c r="J59">
        <v>136</v>
      </c>
      <c r="K59">
        <v>300.91911764709999</v>
      </c>
      <c r="L59">
        <v>163</v>
      </c>
      <c r="M59">
        <v>202.1472392638</v>
      </c>
      <c r="N59">
        <v>150</v>
      </c>
      <c r="O59">
        <v>263.89333333330001</v>
      </c>
      <c r="R59">
        <v>1</v>
      </c>
      <c r="S59">
        <v>625</v>
      </c>
      <c r="V59" t="s">
        <v>386</v>
      </c>
      <c r="W59">
        <v>2219</v>
      </c>
      <c r="X59">
        <v>1431</v>
      </c>
      <c r="Y59">
        <v>374.04122990920001</v>
      </c>
      <c r="Z59">
        <v>300</v>
      </c>
      <c r="AA59">
        <v>400.95333333330001</v>
      </c>
      <c r="AB59">
        <v>130</v>
      </c>
      <c r="AC59">
        <v>343.37692307690003</v>
      </c>
      <c r="AD59">
        <v>518</v>
      </c>
      <c r="AE59">
        <v>459.77027027029999</v>
      </c>
      <c r="AF59">
        <v>136</v>
      </c>
      <c r="AG59">
        <v>172.58088235290001</v>
      </c>
      <c r="AH59">
        <v>4</v>
      </c>
      <c r="AI59">
        <v>530.25</v>
      </c>
      <c r="AL59" t="s">
        <v>386</v>
      </c>
      <c r="AM59">
        <v>43</v>
      </c>
      <c r="AN59">
        <v>32</v>
      </c>
      <c r="AO59">
        <v>238.40625</v>
      </c>
      <c r="AP59">
        <v>8</v>
      </c>
      <c r="AQ59">
        <v>392.75</v>
      </c>
      <c r="AR59">
        <v>9</v>
      </c>
      <c r="AS59">
        <v>202.1111111111</v>
      </c>
      <c r="AT59">
        <v>2</v>
      </c>
      <c r="AU59">
        <v>214.5</v>
      </c>
    </row>
    <row r="60" spans="6:51" x14ac:dyDescent="0.2">
      <c r="F60" t="s">
        <v>63</v>
      </c>
      <c r="G60">
        <v>3293</v>
      </c>
      <c r="H60">
        <v>2425</v>
      </c>
      <c r="I60">
        <v>269.14680412370001</v>
      </c>
      <c r="J60">
        <v>388</v>
      </c>
      <c r="K60">
        <v>561.79896907219995</v>
      </c>
      <c r="L60">
        <v>395</v>
      </c>
      <c r="M60">
        <v>265.07594936710001</v>
      </c>
      <c r="N60">
        <v>447</v>
      </c>
      <c r="O60">
        <v>656.32662192390001</v>
      </c>
      <c r="R60">
        <v>26</v>
      </c>
      <c r="S60">
        <v>609.73076923079998</v>
      </c>
      <c r="V60" t="s">
        <v>389</v>
      </c>
      <c r="W60">
        <v>10261</v>
      </c>
      <c r="X60">
        <v>7455</v>
      </c>
      <c r="Y60">
        <v>263.51844399729998</v>
      </c>
      <c r="Z60">
        <v>933</v>
      </c>
      <c r="AA60">
        <v>478.34405144689998</v>
      </c>
      <c r="AB60">
        <v>1228</v>
      </c>
      <c r="AC60">
        <v>231.4364820847</v>
      </c>
      <c r="AD60">
        <v>996</v>
      </c>
      <c r="AE60">
        <v>357.35642570279998</v>
      </c>
      <c r="AF60">
        <v>566</v>
      </c>
      <c r="AG60">
        <v>167.1784452297</v>
      </c>
      <c r="AH60">
        <v>16</v>
      </c>
      <c r="AI60">
        <v>276.75</v>
      </c>
      <c r="AL60" t="s">
        <v>389</v>
      </c>
      <c r="AM60">
        <v>224</v>
      </c>
      <c r="AN60">
        <v>185</v>
      </c>
      <c r="AO60">
        <v>261.04864864860002</v>
      </c>
      <c r="AP60">
        <v>33</v>
      </c>
      <c r="AQ60">
        <v>293.45454545450002</v>
      </c>
      <c r="AR60">
        <v>25</v>
      </c>
      <c r="AS60">
        <v>269.8</v>
      </c>
      <c r="AT60">
        <v>12</v>
      </c>
      <c r="AU60">
        <v>192.1666666667</v>
      </c>
      <c r="AV60">
        <v>2</v>
      </c>
      <c r="AW60">
        <v>300</v>
      </c>
    </row>
    <row r="61" spans="6:51" x14ac:dyDescent="0.2">
      <c r="F61" t="s">
        <v>36</v>
      </c>
      <c r="G61">
        <v>5467</v>
      </c>
      <c r="H61">
        <v>4204</v>
      </c>
      <c r="I61">
        <v>582.31588962889998</v>
      </c>
      <c r="J61">
        <v>210</v>
      </c>
      <c r="K61">
        <v>1099.8523809523999</v>
      </c>
      <c r="L61">
        <v>999</v>
      </c>
      <c r="M61">
        <v>843.7177177177</v>
      </c>
      <c r="N61">
        <v>260</v>
      </c>
      <c r="O61">
        <v>661.80384615380001</v>
      </c>
      <c r="R61">
        <v>4</v>
      </c>
      <c r="S61">
        <v>686.75</v>
      </c>
      <c r="V61" t="s">
        <v>421</v>
      </c>
      <c r="W61">
        <v>596</v>
      </c>
      <c r="X61">
        <v>375</v>
      </c>
      <c r="Y61">
        <v>363.13066666669999</v>
      </c>
      <c r="Z61">
        <v>22</v>
      </c>
      <c r="AA61">
        <v>765.54545454549998</v>
      </c>
      <c r="AB61">
        <v>169</v>
      </c>
      <c r="AC61">
        <v>881.4970414201</v>
      </c>
      <c r="AD61">
        <v>38</v>
      </c>
      <c r="AE61">
        <v>559.21052631580005</v>
      </c>
      <c r="AF61">
        <v>14</v>
      </c>
      <c r="AG61">
        <v>217</v>
      </c>
      <c r="AL61" t="s">
        <v>421</v>
      </c>
      <c r="AM61">
        <v>13</v>
      </c>
      <c r="AN61">
        <v>12</v>
      </c>
      <c r="AO61">
        <v>315</v>
      </c>
      <c r="AP61">
        <v>1</v>
      </c>
      <c r="AQ61">
        <v>159</v>
      </c>
      <c r="AR61">
        <v>1</v>
      </c>
      <c r="AS61">
        <v>87</v>
      </c>
    </row>
    <row r="62" spans="6:51" x14ac:dyDescent="0.2">
      <c r="F62" t="s">
        <v>50</v>
      </c>
      <c r="G62">
        <v>1863</v>
      </c>
      <c r="H62">
        <v>1264</v>
      </c>
      <c r="I62">
        <v>346.5213607595</v>
      </c>
      <c r="J62">
        <v>305</v>
      </c>
      <c r="K62">
        <v>401.0262295082</v>
      </c>
      <c r="L62">
        <v>104</v>
      </c>
      <c r="M62">
        <v>211.5384615385</v>
      </c>
      <c r="N62">
        <v>491</v>
      </c>
      <c r="O62">
        <v>429.58248472510002</v>
      </c>
      <c r="R62">
        <v>4</v>
      </c>
      <c r="S62">
        <v>530.25</v>
      </c>
      <c r="V62" t="s">
        <v>376</v>
      </c>
      <c r="W62">
        <v>56630</v>
      </c>
      <c r="X62">
        <v>38894</v>
      </c>
      <c r="Y62">
        <v>352.43294595570001</v>
      </c>
      <c r="Z62">
        <v>4036</v>
      </c>
      <c r="AA62">
        <v>532.74554013880004</v>
      </c>
      <c r="AB62">
        <v>9943</v>
      </c>
      <c r="AC62">
        <v>579.44543900229996</v>
      </c>
      <c r="AD62">
        <v>5461</v>
      </c>
      <c r="AE62">
        <v>512.44900201430005</v>
      </c>
      <c r="AF62">
        <v>2233</v>
      </c>
      <c r="AG62">
        <v>173.4240931482</v>
      </c>
      <c r="AH62">
        <v>99</v>
      </c>
      <c r="AI62">
        <v>435.58585858589998</v>
      </c>
      <c r="AL62" t="s">
        <v>376</v>
      </c>
      <c r="AM62">
        <v>1431</v>
      </c>
      <c r="AN62">
        <v>1180</v>
      </c>
      <c r="AO62">
        <v>259.66610169490002</v>
      </c>
      <c r="AP62">
        <v>274</v>
      </c>
      <c r="AQ62">
        <v>351.01824817519997</v>
      </c>
      <c r="AR62">
        <v>184</v>
      </c>
      <c r="AS62">
        <v>247.6902173913</v>
      </c>
      <c r="AT62">
        <v>60</v>
      </c>
      <c r="AU62">
        <v>238.1833333333</v>
      </c>
      <c r="AV62">
        <v>7</v>
      </c>
      <c r="AW62">
        <v>177.71428571429999</v>
      </c>
    </row>
    <row r="63" spans="6:51" x14ac:dyDescent="0.2">
      <c r="F63" t="s">
        <v>57</v>
      </c>
      <c r="G63">
        <v>633</v>
      </c>
      <c r="H63">
        <v>503</v>
      </c>
      <c r="I63">
        <v>266.33200795229999</v>
      </c>
      <c r="J63">
        <v>69</v>
      </c>
      <c r="K63">
        <v>598</v>
      </c>
      <c r="L63">
        <v>78</v>
      </c>
      <c r="M63">
        <v>83.371794871800006</v>
      </c>
      <c r="N63">
        <v>52</v>
      </c>
      <c r="O63">
        <v>268.05769230769999</v>
      </c>
      <c r="V63" t="s">
        <v>705</v>
      </c>
      <c r="W63">
        <v>315603</v>
      </c>
      <c r="X63">
        <v>225805</v>
      </c>
      <c r="Y63">
        <v>396.11706560969998</v>
      </c>
      <c r="Z63">
        <v>19003</v>
      </c>
      <c r="AA63">
        <v>572.3093195811</v>
      </c>
      <c r="AB63">
        <v>53675</v>
      </c>
      <c r="AC63">
        <v>624.04558919420003</v>
      </c>
      <c r="AD63">
        <v>24581</v>
      </c>
      <c r="AE63">
        <v>518.81103291160002</v>
      </c>
      <c r="AF63">
        <v>11098</v>
      </c>
      <c r="AG63">
        <v>177.57668048299999</v>
      </c>
      <c r="AH63">
        <v>444</v>
      </c>
      <c r="AI63">
        <v>448.4369369369</v>
      </c>
      <c r="AL63" t="s">
        <v>705</v>
      </c>
      <c r="AM63">
        <v>7648</v>
      </c>
      <c r="AN63">
        <v>5989</v>
      </c>
      <c r="AO63">
        <v>365.42962097179998</v>
      </c>
      <c r="AP63">
        <v>1484</v>
      </c>
      <c r="AQ63">
        <v>394.72237196769998</v>
      </c>
      <c r="AR63">
        <v>1428</v>
      </c>
      <c r="AS63">
        <v>392.56652661060002</v>
      </c>
      <c r="AT63">
        <v>213</v>
      </c>
      <c r="AU63">
        <v>214.93896713620001</v>
      </c>
      <c r="AV63">
        <v>17</v>
      </c>
      <c r="AW63">
        <v>167.1176470588</v>
      </c>
      <c r="AX63">
        <v>1</v>
      </c>
      <c r="AY63">
        <v>51</v>
      </c>
    </row>
    <row r="64" spans="6:51" x14ac:dyDescent="0.2">
      <c r="F64" t="s">
        <v>68</v>
      </c>
      <c r="G64">
        <v>5005</v>
      </c>
      <c r="H64">
        <v>3857</v>
      </c>
      <c r="I64">
        <v>563.74254602020005</v>
      </c>
      <c r="J64">
        <v>110</v>
      </c>
      <c r="K64">
        <v>955.9</v>
      </c>
      <c r="L64">
        <v>252</v>
      </c>
      <c r="M64">
        <v>621.68253968249996</v>
      </c>
      <c r="N64">
        <v>895</v>
      </c>
      <c r="O64">
        <v>863.79888268160005</v>
      </c>
      <c r="R64">
        <v>1</v>
      </c>
      <c r="S64">
        <v>1317</v>
      </c>
    </row>
    <row r="65" spans="6:19" x14ac:dyDescent="0.2">
      <c r="F65" t="s">
        <v>70</v>
      </c>
      <c r="G65">
        <v>488</v>
      </c>
      <c r="H65">
        <v>256</v>
      </c>
      <c r="I65">
        <v>92.82421875</v>
      </c>
      <c r="J65">
        <v>144</v>
      </c>
      <c r="K65">
        <v>197.8125</v>
      </c>
      <c r="L65">
        <v>142</v>
      </c>
      <c r="M65">
        <v>122.66901408450001</v>
      </c>
      <c r="N65">
        <v>87</v>
      </c>
      <c r="O65">
        <v>186.5747126437</v>
      </c>
      <c r="R65">
        <v>3</v>
      </c>
      <c r="S65">
        <v>169.3333333333</v>
      </c>
    </row>
    <row r="66" spans="6:19" x14ac:dyDescent="0.2">
      <c r="F66" t="s">
        <v>85</v>
      </c>
      <c r="G66">
        <v>180</v>
      </c>
      <c r="H66">
        <v>47</v>
      </c>
      <c r="I66">
        <v>1067.0212765957001</v>
      </c>
      <c r="J66">
        <v>14</v>
      </c>
      <c r="K66">
        <v>1116</v>
      </c>
      <c r="L66">
        <v>70</v>
      </c>
      <c r="M66">
        <v>607.75714285710001</v>
      </c>
      <c r="N66">
        <v>62</v>
      </c>
      <c r="O66">
        <v>599.19354838710001</v>
      </c>
      <c r="R66">
        <v>1</v>
      </c>
      <c r="S66">
        <v>341</v>
      </c>
    </row>
    <row r="67" spans="6:19" x14ac:dyDescent="0.2">
      <c r="F67" t="s">
        <v>66</v>
      </c>
      <c r="G67">
        <v>5184</v>
      </c>
      <c r="H67">
        <v>3480</v>
      </c>
      <c r="I67">
        <v>252.56781609199999</v>
      </c>
      <c r="J67">
        <v>483</v>
      </c>
      <c r="K67">
        <v>405.94616977229998</v>
      </c>
      <c r="L67">
        <v>1047</v>
      </c>
      <c r="M67">
        <v>464.25119388730002</v>
      </c>
      <c r="N67">
        <v>648</v>
      </c>
      <c r="O67">
        <v>584.35493827159996</v>
      </c>
      <c r="R67">
        <v>9</v>
      </c>
      <c r="S67">
        <v>346.55555555559999</v>
      </c>
    </row>
    <row r="68" spans="6:19" x14ac:dyDescent="0.2">
      <c r="F68" t="s">
        <v>437</v>
      </c>
      <c r="G68">
        <v>16</v>
      </c>
      <c r="H68">
        <v>6</v>
      </c>
      <c r="I68">
        <v>325.8333333333</v>
      </c>
      <c r="L68">
        <v>3</v>
      </c>
      <c r="M68">
        <v>318.6666666667</v>
      </c>
      <c r="N68">
        <v>6</v>
      </c>
      <c r="O68">
        <v>138.5</v>
      </c>
      <c r="R68">
        <v>1</v>
      </c>
      <c r="S68">
        <v>297</v>
      </c>
    </row>
    <row r="69" spans="6:19" x14ac:dyDescent="0.2">
      <c r="F69" t="s">
        <v>86</v>
      </c>
      <c r="G69">
        <v>9339</v>
      </c>
      <c r="H69">
        <v>7213</v>
      </c>
      <c r="I69">
        <v>249.50547622350001</v>
      </c>
      <c r="J69">
        <v>913</v>
      </c>
      <c r="K69">
        <v>472.63636363640001</v>
      </c>
      <c r="L69">
        <v>1132</v>
      </c>
      <c r="M69">
        <v>179.2924028269</v>
      </c>
      <c r="N69">
        <v>978</v>
      </c>
      <c r="O69">
        <v>344.8036809816</v>
      </c>
      <c r="R69">
        <v>16</v>
      </c>
      <c r="S69">
        <v>276.75</v>
      </c>
    </row>
    <row r="70" spans="6:19" x14ac:dyDescent="0.2">
      <c r="F70" t="s">
        <v>141</v>
      </c>
      <c r="G70">
        <v>141</v>
      </c>
      <c r="H70">
        <v>99</v>
      </c>
      <c r="I70">
        <v>172.69696969699999</v>
      </c>
      <c r="J70">
        <v>33</v>
      </c>
      <c r="K70">
        <v>318.57575757580003</v>
      </c>
      <c r="L70">
        <v>10</v>
      </c>
      <c r="M70">
        <v>691.6</v>
      </c>
      <c r="N70">
        <v>32</v>
      </c>
      <c r="O70">
        <v>398.46875</v>
      </c>
    </row>
    <row r="71" spans="6:19" x14ac:dyDescent="0.2">
      <c r="F71" t="s">
        <v>376</v>
      </c>
      <c r="G71">
        <v>55927</v>
      </c>
      <c r="H71">
        <v>40046</v>
      </c>
      <c r="I71">
        <v>358.56132947110001</v>
      </c>
      <c r="J71">
        <v>4074</v>
      </c>
      <c r="K71">
        <v>539.55964653900003</v>
      </c>
      <c r="L71">
        <v>9965</v>
      </c>
      <c r="M71">
        <v>582.71700953339996</v>
      </c>
      <c r="N71">
        <v>5814</v>
      </c>
      <c r="O71">
        <v>545.83935328519999</v>
      </c>
      <c r="R71">
        <v>102</v>
      </c>
      <c r="S71">
        <v>438.1764705882</v>
      </c>
    </row>
    <row r="72" spans="6:19" x14ac:dyDescent="0.2">
      <c r="F72" t="s">
        <v>705</v>
      </c>
      <c r="G72">
        <v>323251</v>
      </c>
      <c r="H72">
        <v>231794</v>
      </c>
      <c r="I72">
        <v>395.32417577680002</v>
      </c>
      <c r="J72">
        <v>20487</v>
      </c>
      <c r="K72">
        <v>559.44559964860002</v>
      </c>
      <c r="L72">
        <v>55103</v>
      </c>
      <c r="M72">
        <v>618.04678511149996</v>
      </c>
      <c r="N72">
        <v>24794</v>
      </c>
      <c r="O72">
        <v>516.20053238690002</v>
      </c>
      <c r="P72">
        <v>11115</v>
      </c>
      <c r="Q72">
        <v>177.56068376069999</v>
      </c>
      <c r="R72">
        <v>445</v>
      </c>
      <c r="S72">
        <v>447.54382022470003</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501</v>
      </c>
      <c r="B1" t="s">
        <v>373</v>
      </c>
      <c r="C1" t="s">
        <v>500</v>
      </c>
      <c r="D1" t="s">
        <v>502</v>
      </c>
      <c r="E1" t="s">
        <v>503</v>
      </c>
      <c r="F1" t="s">
        <v>504</v>
      </c>
      <c r="G1" t="s">
        <v>505</v>
      </c>
      <c r="H1" t="s">
        <v>506</v>
      </c>
      <c r="I1" t="s">
        <v>507</v>
      </c>
      <c r="J1" t="s">
        <v>508</v>
      </c>
      <c r="K1" t="s">
        <v>509</v>
      </c>
      <c r="L1" t="s">
        <v>374</v>
      </c>
      <c r="M1" t="s">
        <v>510</v>
      </c>
      <c r="N1" t="s">
        <v>511</v>
      </c>
      <c r="O1" t="s">
        <v>512</v>
      </c>
      <c r="P1" t="s">
        <v>513</v>
      </c>
      <c r="Q1" t="s">
        <v>514</v>
      </c>
      <c r="R1" t="s">
        <v>685</v>
      </c>
    </row>
    <row r="2" spans="1:18" x14ac:dyDescent="0.2">
      <c r="A2">
        <v>1</v>
      </c>
      <c r="B2">
        <v>-99</v>
      </c>
      <c r="C2" t="s">
        <v>444</v>
      </c>
      <c r="D2" t="s">
        <v>705</v>
      </c>
      <c r="E2" t="s">
        <v>444</v>
      </c>
      <c r="F2" t="s">
        <v>705</v>
      </c>
      <c r="G2" t="s">
        <v>444</v>
      </c>
      <c r="H2" t="s">
        <v>6</v>
      </c>
      <c r="I2">
        <v>-99</v>
      </c>
      <c r="J2">
        <v>1</v>
      </c>
      <c r="K2" t="s">
        <v>6</v>
      </c>
      <c r="L2">
        <v>-99</v>
      </c>
      <c r="M2" t="s">
        <v>661</v>
      </c>
      <c r="N2" t="s">
        <v>661</v>
      </c>
      <c r="O2">
        <v>-99</v>
      </c>
      <c r="P2">
        <v>-99</v>
      </c>
      <c r="Q2">
        <v>1</v>
      </c>
      <c r="R2" t="s">
        <v>661</v>
      </c>
    </row>
    <row r="3" spans="1:18" x14ac:dyDescent="0.2">
      <c r="A3">
        <v>2</v>
      </c>
      <c r="B3">
        <v>-99</v>
      </c>
      <c r="C3" t="s">
        <v>445</v>
      </c>
      <c r="D3" t="s">
        <v>6</v>
      </c>
      <c r="E3" t="s">
        <v>445</v>
      </c>
      <c r="F3" t="s">
        <v>1043</v>
      </c>
      <c r="G3" t="s">
        <v>444</v>
      </c>
      <c r="H3" t="s">
        <v>6</v>
      </c>
      <c r="I3">
        <v>-99</v>
      </c>
      <c r="J3">
        <v>1</v>
      </c>
      <c r="K3" t="s">
        <v>6</v>
      </c>
      <c r="L3">
        <v>-99</v>
      </c>
      <c r="M3" t="s">
        <v>661</v>
      </c>
      <c r="N3" t="s">
        <v>661</v>
      </c>
      <c r="O3">
        <v>-99</v>
      </c>
      <c r="P3">
        <v>-99</v>
      </c>
      <c r="Q3">
        <v>1</v>
      </c>
      <c r="R3" t="s">
        <v>661</v>
      </c>
    </row>
    <row r="4" spans="1:18" x14ac:dyDescent="0.2">
      <c r="A4">
        <v>3</v>
      </c>
      <c r="B4">
        <v>-99</v>
      </c>
      <c r="C4" t="s">
        <v>662</v>
      </c>
      <c r="D4" t="s">
        <v>6</v>
      </c>
      <c r="E4" t="s">
        <v>662</v>
      </c>
      <c r="F4" t="s">
        <v>1045</v>
      </c>
      <c r="G4" t="s">
        <v>444</v>
      </c>
      <c r="H4" t="s">
        <v>6</v>
      </c>
      <c r="I4">
        <v>-99</v>
      </c>
      <c r="J4">
        <v>1</v>
      </c>
      <c r="K4" t="s">
        <v>6</v>
      </c>
      <c r="L4">
        <v>-99</v>
      </c>
      <c r="M4" t="s">
        <v>661</v>
      </c>
      <c r="N4" t="s">
        <v>661</v>
      </c>
      <c r="O4">
        <v>-99</v>
      </c>
      <c r="P4">
        <v>-99</v>
      </c>
      <c r="Q4">
        <v>1</v>
      </c>
      <c r="R4" t="s">
        <v>214</v>
      </c>
    </row>
    <row r="5" spans="1:18" x14ac:dyDescent="0.2">
      <c r="A5">
        <v>4</v>
      </c>
      <c r="B5">
        <v>-99</v>
      </c>
      <c r="C5" t="s">
        <v>446</v>
      </c>
      <c r="D5" t="s">
        <v>6</v>
      </c>
      <c r="E5" t="s">
        <v>446</v>
      </c>
      <c r="F5" t="s">
        <v>1051</v>
      </c>
      <c r="G5" t="s">
        <v>444</v>
      </c>
      <c r="H5" t="s">
        <v>6</v>
      </c>
      <c r="I5">
        <v>-99</v>
      </c>
      <c r="J5">
        <v>1</v>
      </c>
      <c r="K5" t="s">
        <v>6</v>
      </c>
      <c r="L5">
        <v>-99</v>
      </c>
      <c r="M5" t="s">
        <v>661</v>
      </c>
      <c r="N5" t="s">
        <v>661</v>
      </c>
      <c r="O5">
        <v>-99</v>
      </c>
      <c r="P5">
        <v>-99</v>
      </c>
      <c r="Q5">
        <v>1</v>
      </c>
      <c r="R5" t="s">
        <v>690</v>
      </c>
    </row>
    <row r="6" spans="1:18" x14ac:dyDescent="0.2">
      <c r="A6">
        <v>5</v>
      </c>
      <c r="B6">
        <v>-99</v>
      </c>
      <c r="C6" t="s">
        <v>447</v>
      </c>
      <c r="D6" t="s">
        <v>6</v>
      </c>
      <c r="E6" t="s">
        <v>447</v>
      </c>
      <c r="F6" t="s">
        <v>702</v>
      </c>
      <c r="G6" t="s">
        <v>444</v>
      </c>
      <c r="H6" t="s">
        <v>6</v>
      </c>
      <c r="I6">
        <v>-99</v>
      </c>
      <c r="J6">
        <v>1</v>
      </c>
      <c r="K6" t="s">
        <v>6</v>
      </c>
      <c r="L6">
        <v>-99</v>
      </c>
      <c r="M6" t="s">
        <v>661</v>
      </c>
      <c r="N6" t="s">
        <v>661</v>
      </c>
      <c r="O6">
        <v>-99</v>
      </c>
      <c r="P6">
        <v>-99</v>
      </c>
      <c r="Q6">
        <v>1</v>
      </c>
      <c r="R6" t="s">
        <v>686</v>
      </c>
    </row>
    <row r="7" spans="1:18" x14ac:dyDescent="0.2">
      <c r="A7">
        <v>6</v>
      </c>
      <c r="B7">
        <v>-99</v>
      </c>
      <c r="C7" t="s">
        <v>448</v>
      </c>
      <c r="D7" t="s">
        <v>6</v>
      </c>
      <c r="E7" t="s">
        <v>448</v>
      </c>
      <c r="F7" t="s">
        <v>1046</v>
      </c>
      <c r="G7" t="s">
        <v>444</v>
      </c>
      <c r="H7" t="s">
        <v>6</v>
      </c>
      <c r="I7">
        <v>-99</v>
      </c>
      <c r="J7">
        <v>1</v>
      </c>
      <c r="K7" t="s">
        <v>6</v>
      </c>
      <c r="L7">
        <v>-99</v>
      </c>
      <c r="M7" t="s">
        <v>661</v>
      </c>
      <c r="N7" t="s">
        <v>661</v>
      </c>
      <c r="O7">
        <v>-99</v>
      </c>
      <c r="P7">
        <v>-99</v>
      </c>
      <c r="Q7">
        <v>1</v>
      </c>
      <c r="R7" t="s">
        <v>687</v>
      </c>
    </row>
    <row r="8" spans="1:18" x14ac:dyDescent="0.2">
      <c r="A8">
        <v>7</v>
      </c>
      <c r="B8">
        <v>-99</v>
      </c>
      <c r="C8" t="s">
        <v>449</v>
      </c>
      <c r="D8" t="s">
        <v>6</v>
      </c>
      <c r="E8" t="s">
        <v>449</v>
      </c>
      <c r="F8" t="s">
        <v>1052</v>
      </c>
      <c r="G8" t="s">
        <v>444</v>
      </c>
      <c r="H8" t="s">
        <v>6</v>
      </c>
      <c r="I8">
        <v>-99</v>
      </c>
      <c r="J8">
        <v>1</v>
      </c>
      <c r="K8" t="s">
        <v>6</v>
      </c>
      <c r="L8">
        <v>-99</v>
      </c>
      <c r="M8" t="s">
        <v>661</v>
      </c>
      <c r="N8" t="s">
        <v>661</v>
      </c>
      <c r="O8">
        <v>-99</v>
      </c>
      <c r="P8">
        <v>-99</v>
      </c>
      <c r="Q8">
        <v>1</v>
      </c>
      <c r="R8" t="s">
        <v>688</v>
      </c>
    </row>
    <row r="9" spans="1:18" x14ac:dyDescent="0.2">
      <c r="A9">
        <v>8</v>
      </c>
      <c r="B9">
        <v>-99</v>
      </c>
      <c r="C9" t="s">
        <v>450</v>
      </c>
      <c r="D9" t="s">
        <v>6</v>
      </c>
      <c r="E9" t="s">
        <v>450</v>
      </c>
      <c r="F9" t="s">
        <v>1053</v>
      </c>
      <c r="G9" t="s">
        <v>444</v>
      </c>
      <c r="H9" t="s">
        <v>6</v>
      </c>
      <c r="I9">
        <v>-99</v>
      </c>
      <c r="J9">
        <v>1</v>
      </c>
      <c r="K9" t="s">
        <v>6</v>
      </c>
      <c r="L9">
        <v>-99</v>
      </c>
      <c r="M9" t="s">
        <v>661</v>
      </c>
      <c r="N9" t="s">
        <v>661</v>
      </c>
      <c r="O9">
        <v>-99</v>
      </c>
      <c r="P9">
        <v>-99</v>
      </c>
      <c r="Q9">
        <v>1</v>
      </c>
      <c r="R9" t="s">
        <v>405</v>
      </c>
    </row>
    <row r="10" spans="1:18" x14ac:dyDescent="0.2">
      <c r="A10">
        <v>9</v>
      </c>
      <c r="B10">
        <v>-99</v>
      </c>
      <c r="C10" t="s">
        <v>451</v>
      </c>
      <c r="D10" t="s">
        <v>6</v>
      </c>
      <c r="E10" t="s">
        <v>451</v>
      </c>
      <c r="F10" t="s">
        <v>1054</v>
      </c>
      <c r="G10" t="s">
        <v>444</v>
      </c>
      <c r="H10" t="s">
        <v>6</v>
      </c>
      <c r="I10">
        <v>-99</v>
      </c>
      <c r="J10">
        <v>1</v>
      </c>
      <c r="K10" t="s">
        <v>6</v>
      </c>
      <c r="L10">
        <v>-99</v>
      </c>
      <c r="M10" t="s">
        <v>661</v>
      </c>
      <c r="N10" t="s">
        <v>661</v>
      </c>
      <c r="O10">
        <v>-99</v>
      </c>
      <c r="P10">
        <v>-99</v>
      </c>
      <c r="Q10">
        <v>1</v>
      </c>
      <c r="R10" t="s">
        <v>691</v>
      </c>
    </row>
    <row r="11" spans="1:18" x14ac:dyDescent="0.2">
      <c r="A11">
        <v>10</v>
      </c>
      <c r="B11">
        <v>-99</v>
      </c>
      <c r="C11" t="s">
        <v>452</v>
      </c>
      <c r="D11" t="s">
        <v>6</v>
      </c>
      <c r="E11" t="s">
        <v>452</v>
      </c>
      <c r="F11" t="s">
        <v>1055</v>
      </c>
      <c r="G11" t="s">
        <v>444</v>
      </c>
      <c r="H11" t="s">
        <v>6</v>
      </c>
      <c r="I11">
        <v>-99</v>
      </c>
      <c r="J11">
        <v>1</v>
      </c>
      <c r="K11" t="s">
        <v>6</v>
      </c>
      <c r="L11">
        <v>-99</v>
      </c>
      <c r="M11" t="s">
        <v>661</v>
      </c>
      <c r="N11" t="s">
        <v>661</v>
      </c>
      <c r="O11">
        <v>-99</v>
      </c>
      <c r="P11">
        <v>-99</v>
      </c>
      <c r="Q11">
        <v>1</v>
      </c>
      <c r="R11" t="s">
        <v>661</v>
      </c>
    </row>
    <row r="12" spans="1:18" x14ac:dyDescent="0.2">
      <c r="A12">
        <v>11</v>
      </c>
      <c r="B12">
        <v>-99</v>
      </c>
      <c r="C12" t="s">
        <v>454</v>
      </c>
      <c r="D12" t="s">
        <v>515</v>
      </c>
      <c r="E12" t="s">
        <v>663</v>
      </c>
      <c r="F12" t="s">
        <v>135</v>
      </c>
      <c r="G12" t="s">
        <v>663</v>
      </c>
      <c r="H12" t="s">
        <v>377</v>
      </c>
      <c r="I12">
        <v>-99</v>
      </c>
      <c r="J12">
        <v>-99</v>
      </c>
      <c r="K12" t="s">
        <v>661</v>
      </c>
      <c r="L12">
        <v>-99</v>
      </c>
      <c r="M12" t="s">
        <v>661</v>
      </c>
      <c r="N12" t="s">
        <v>661</v>
      </c>
      <c r="O12">
        <v>-99</v>
      </c>
      <c r="P12">
        <v>-99</v>
      </c>
      <c r="Q12">
        <v>2</v>
      </c>
      <c r="R12" t="s">
        <v>661</v>
      </c>
    </row>
    <row r="13" spans="1:18" x14ac:dyDescent="0.2">
      <c r="A13">
        <v>12</v>
      </c>
      <c r="B13">
        <v>-99</v>
      </c>
      <c r="C13" t="s">
        <v>456</v>
      </c>
      <c r="D13" t="s">
        <v>515</v>
      </c>
      <c r="E13" t="s">
        <v>664</v>
      </c>
      <c r="F13" t="s">
        <v>136</v>
      </c>
      <c r="G13" t="s">
        <v>664</v>
      </c>
      <c r="H13" t="s">
        <v>384</v>
      </c>
      <c r="I13">
        <v>-99</v>
      </c>
      <c r="J13">
        <v>-99</v>
      </c>
      <c r="K13" t="s">
        <v>661</v>
      </c>
      <c r="L13">
        <v>-99</v>
      </c>
      <c r="M13" t="s">
        <v>661</v>
      </c>
      <c r="N13" t="s">
        <v>661</v>
      </c>
      <c r="O13">
        <v>-99</v>
      </c>
      <c r="P13">
        <v>-99</v>
      </c>
      <c r="Q13">
        <v>2</v>
      </c>
      <c r="R13" t="s">
        <v>661</v>
      </c>
    </row>
    <row r="14" spans="1:18" x14ac:dyDescent="0.2">
      <c r="A14">
        <v>13</v>
      </c>
      <c r="B14">
        <v>-99</v>
      </c>
      <c r="C14" t="s">
        <v>459</v>
      </c>
      <c r="D14" t="s">
        <v>515</v>
      </c>
      <c r="E14" t="s">
        <v>665</v>
      </c>
      <c r="F14" t="s">
        <v>137</v>
      </c>
      <c r="G14" t="s">
        <v>665</v>
      </c>
      <c r="H14" t="s">
        <v>393</v>
      </c>
      <c r="I14">
        <v>-99</v>
      </c>
      <c r="J14">
        <v>-99</v>
      </c>
      <c r="K14" t="s">
        <v>661</v>
      </c>
      <c r="L14">
        <v>-99</v>
      </c>
      <c r="M14" t="s">
        <v>661</v>
      </c>
      <c r="N14" t="s">
        <v>661</v>
      </c>
      <c r="O14">
        <v>-99</v>
      </c>
      <c r="P14">
        <v>-99</v>
      </c>
      <c r="Q14">
        <v>2</v>
      </c>
      <c r="R14" t="s">
        <v>661</v>
      </c>
    </row>
    <row r="15" spans="1:18" x14ac:dyDescent="0.2">
      <c r="A15">
        <v>14</v>
      </c>
      <c r="B15">
        <v>-99</v>
      </c>
      <c r="C15" t="s">
        <v>666</v>
      </c>
      <c r="D15" t="s">
        <v>515</v>
      </c>
      <c r="E15" t="s">
        <v>667</v>
      </c>
      <c r="F15" t="s">
        <v>138</v>
      </c>
      <c r="G15" t="s">
        <v>667</v>
      </c>
      <c r="H15" t="s">
        <v>409</v>
      </c>
      <c r="I15">
        <v>-99</v>
      </c>
      <c r="J15">
        <v>-99</v>
      </c>
      <c r="K15" t="s">
        <v>661</v>
      </c>
      <c r="L15">
        <v>-99</v>
      </c>
      <c r="M15" t="s">
        <v>661</v>
      </c>
      <c r="N15" t="s">
        <v>661</v>
      </c>
      <c r="O15">
        <v>-99</v>
      </c>
      <c r="P15">
        <v>-99</v>
      </c>
      <c r="Q15">
        <v>2</v>
      </c>
      <c r="R15" t="s">
        <v>661</v>
      </c>
    </row>
    <row r="16" spans="1:18" x14ac:dyDescent="0.2">
      <c r="A16">
        <v>15</v>
      </c>
      <c r="B16">
        <v>-99</v>
      </c>
      <c r="C16" t="s">
        <v>669</v>
      </c>
      <c r="D16" t="s">
        <v>436</v>
      </c>
      <c r="E16" t="s">
        <v>669</v>
      </c>
      <c r="F16" t="s">
        <v>436</v>
      </c>
      <c r="G16" t="s">
        <v>661</v>
      </c>
      <c r="H16" t="s">
        <v>661</v>
      </c>
      <c r="I16">
        <v>-99</v>
      </c>
      <c r="J16">
        <v>30</v>
      </c>
      <c r="K16" t="s">
        <v>376</v>
      </c>
      <c r="L16">
        <v>-99</v>
      </c>
      <c r="M16" t="s">
        <v>661</v>
      </c>
      <c r="N16" t="s">
        <v>661</v>
      </c>
      <c r="O16">
        <v>-99</v>
      </c>
      <c r="P16">
        <v>-99</v>
      </c>
      <c r="Q16">
        <v>3</v>
      </c>
      <c r="R16" t="s">
        <v>661</v>
      </c>
    </row>
    <row r="17" spans="1:18" x14ac:dyDescent="0.2">
      <c r="A17">
        <v>16</v>
      </c>
      <c r="B17">
        <v>-99</v>
      </c>
      <c r="C17" t="s">
        <v>668</v>
      </c>
      <c r="D17" t="s">
        <v>442</v>
      </c>
      <c r="E17" t="s">
        <v>668</v>
      </c>
      <c r="F17" t="s">
        <v>442</v>
      </c>
      <c r="G17" t="s">
        <v>661</v>
      </c>
      <c r="H17" t="s">
        <v>661</v>
      </c>
      <c r="I17">
        <v>-99</v>
      </c>
      <c r="J17">
        <v>31</v>
      </c>
      <c r="K17" t="s">
        <v>387</v>
      </c>
      <c r="L17">
        <v>-99</v>
      </c>
      <c r="M17" t="s">
        <v>661</v>
      </c>
      <c r="N17" t="s">
        <v>661</v>
      </c>
      <c r="O17">
        <v>-99</v>
      </c>
      <c r="P17">
        <v>-99</v>
      </c>
      <c r="Q17">
        <v>3</v>
      </c>
      <c r="R17" t="s">
        <v>661</v>
      </c>
    </row>
    <row r="18" spans="1:18" x14ac:dyDescent="0.2">
      <c r="A18">
        <v>17</v>
      </c>
      <c r="B18">
        <v>-99</v>
      </c>
      <c r="C18" t="s">
        <v>670</v>
      </c>
      <c r="D18" t="s">
        <v>440</v>
      </c>
      <c r="E18" t="s">
        <v>670</v>
      </c>
      <c r="F18" t="s">
        <v>440</v>
      </c>
      <c r="G18" t="s">
        <v>661</v>
      </c>
      <c r="H18" t="s">
        <v>661</v>
      </c>
      <c r="I18">
        <v>-99</v>
      </c>
      <c r="J18">
        <v>32</v>
      </c>
      <c r="K18" t="s">
        <v>397</v>
      </c>
      <c r="L18">
        <v>-99</v>
      </c>
      <c r="M18" t="s">
        <v>661</v>
      </c>
      <c r="N18" t="s">
        <v>661</v>
      </c>
      <c r="O18">
        <v>-99</v>
      </c>
      <c r="P18">
        <v>-99</v>
      </c>
      <c r="Q18">
        <v>3</v>
      </c>
      <c r="R18" t="s">
        <v>661</v>
      </c>
    </row>
    <row r="19" spans="1:18" x14ac:dyDescent="0.2">
      <c r="A19">
        <v>18</v>
      </c>
      <c r="B19">
        <v>-99</v>
      </c>
      <c r="C19" t="s">
        <v>671</v>
      </c>
      <c r="D19" t="s">
        <v>439</v>
      </c>
      <c r="E19" t="s">
        <v>671</v>
      </c>
      <c r="F19" t="s">
        <v>439</v>
      </c>
      <c r="G19" t="s">
        <v>661</v>
      </c>
      <c r="H19" t="s">
        <v>661</v>
      </c>
      <c r="I19">
        <v>-99</v>
      </c>
      <c r="J19">
        <v>33</v>
      </c>
      <c r="K19" t="s">
        <v>392</v>
      </c>
      <c r="L19">
        <v>-99</v>
      </c>
      <c r="M19" t="s">
        <v>661</v>
      </c>
      <c r="N19" t="s">
        <v>661</v>
      </c>
      <c r="O19">
        <v>-99</v>
      </c>
      <c r="P19">
        <v>-99</v>
      </c>
      <c r="Q19">
        <v>3</v>
      </c>
      <c r="R19" t="s">
        <v>661</v>
      </c>
    </row>
    <row r="20" spans="1:18" x14ac:dyDescent="0.2">
      <c r="A20">
        <v>19</v>
      </c>
      <c r="B20">
        <v>-99</v>
      </c>
      <c r="C20" t="s">
        <v>672</v>
      </c>
      <c r="D20" t="s">
        <v>441</v>
      </c>
      <c r="E20" t="s">
        <v>672</v>
      </c>
      <c r="F20" t="s">
        <v>441</v>
      </c>
      <c r="G20" t="s">
        <v>661</v>
      </c>
      <c r="H20" t="s">
        <v>661</v>
      </c>
      <c r="I20">
        <v>-99</v>
      </c>
      <c r="J20">
        <v>34</v>
      </c>
      <c r="K20" t="s">
        <v>411</v>
      </c>
      <c r="L20">
        <v>-99</v>
      </c>
      <c r="M20" t="s">
        <v>661</v>
      </c>
      <c r="N20" t="s">
        <v>661</v>
      </c>
      <c r="O20">
        <v>-99</v>
      </c>
      <c r="P20">
        <v>-99</v>
      </c>
      <c r="Q20">
        <v>3</v>
      </c>
      <c r="R20" t="s">
        <v>661</v>
      </c>
    </row>
    <row r="21" spans="1:18" x14ac:dyDescent="0.2">
      <c r="A21">
        <v>20</v>
      </c>
      <c r="B21">
        <v>1</v>
      </c>
      <c r="C21" t="s">
        <v>674</v>
      </c>
      <c r="D21" t="s">
        <v>375</v>
      </c>
      <c r="E21" t="s">
        <v>674</v>
      </c>
      <c r="F21" t="s">
        <v>516</v>
      </c>
      <c r="G21" t="s">
        <v>675</v>
      </c>
      <c r="H21" t="s">
        <v>8</v>
      </c>
      <c r="I21">
        <v>-99</v>
      </c>
      <c r="J21">
        <v>35</v>
      </c>
      <c r="K21" t="s">
        <v>8</v>
      </c>
      <c r="L21">
        <v>8240</v>
      </c>
      <c r="M21" t="s">
        <v>517</v>
      </c>
      <c r="N21" t="s">
        <v>661</v>
      </c>
      <c r="O21">
        <v>1</v>
      </c>
      <c r="P21">
        <v>2</v>
      </c>
      <c r="Q21">
        <v>-99</v>
      </c>
      <c r="R21" t="s">
        <v>661</v>
      </c>
    </row>
    <row r="22" spans="1:18" x14ac:dyDescent="0.2">
      <c r="A22">
        <v>21</v>
      </c>
      <c r="B22">
        <v>8</v>
      </c>
      <c r="C22" t="s">
        <v>142</v>
      </c>
      <c r="D22" t="s">
        <v>38</v>
      </c>
      <c r="E22" t="s">
        <v>518</v>
      </c>
      <c r="F22" t="s">
        <v>519</v>
      </c>
      <c r="G22" t="s">
        <v>663</v>
      </c>
      <c r="H22" t="s">
        <v>377</v>
      </c>
      <c r="I22">
        <v>380</v>
      </c>
      <c r="J22">
        <v>30</v>
      </c>
      <c r="K22" t="s">
        <v>376</v>
      </c>
      <c r="L22">
        <v>8233</v>
      </c>
      <c r="M22" t="s">
        <v>332</v>
      </c>
      <c r="N22" t="s">
        <v>378</v>
      </c>
      <c r="O22">
        <v>1</v>
      </c>
      <c r="P22">
        <v>2</v>
      </c>
      <c r="Q22">
        <v>-99</v>
      </c>
      <c r="R22" t="s">
        <v>689</v>
      </c>
    </row>
    <row r="23" spans="1:18" x14ac:dyDescent="0.2">
      <c r="A23">
        <v>22</v>
      </c>
      <c r="B23">
        <v>9</v>
      </c>
      <c r="C23" t="s">
        <v>143</v>
      </c>
      <c r="D23" t="s">
        <v>70</v>
      </c>
      <c r="E23" t="s">
        <v>520</v>
      </c>
      <c r="F23" t="s">
        <v>521</v>
      </c>
      <c r="G23" t="s">
        <v>663</v>
      </c>
      <c r="H23" t="s">
        <v>377</v>
      </c>
      <c r="I23">
        <v>380</v>
      </c>
      <c r="J23">
        <v>30</v>
      </c>
      <c r="K23" t="s">
        <v>376</v>
      </c>
      <c r="L23">
        <v>8235</v>
      </c>
      <c r="M23" t="s">
        <v>367</v>
      </c>
      <c r="N23" t="s">
        <v>379</v>
      </c>
      <c r="O23">
        <v>1</v>
      </c>
      <c r="P23">
        <v>1</v>
      </c>
      <c r="Q23">
        <v>-99</v>
      </c>
      <c r="R23" t="s">
        <v>689</v>
      </c>
    </row>
    <row r="24" spans="1:18" x14ac:dyDescent="0.2">
      <c r="A24">
        <v>23</v>
      </c>
      <c r="B24">
        <v>-99</v>
      </c>
      <c r="C24" t="s">
        <v>143</v>
      </c>
      <c r="D24" t="s">
        <v>70</v>
      </c>
      <c r="E24" t="s">
        <v>522</v>
      </c>
      <c r="F24" t="s">
        <v>523</v>
      </c>
      <c r="G24" t="s">
        <v>663</v>
      </c>
      <c r="H24" t="s">
        <v>377</v>
      </c>
      <c r="I24">
        <v>380</v>
      </c>
      <c r="J24">
        <v>30</v>
      </c>
      <c r="K24" t="s">
        <v>376</v>
      </c>
      <c r="L24">
        <v>8235</v>
      </c>
      <c r="M24" t="s">
        <v>367</v>
      </c>
      <c r="N24" t="s">
        <v>379</v>
      </c>
      <c r="O24">
        <v>-99</v>
      </c>
      <c r="P24">
        <v>1</v>
      </c>
      <c r="Q24">
        <v>-99</v>
      </c>
      <c r="R24" t="s">
        <v>405</v>
      </c>
    </row>
    <row r="25" spans="1:18" x14ac:dyDescent="0.2">
      <c r="A25">
        <v>24</v>
      </c>
      <c r="B25">
        <v>10</v>
      </c>
      <c r="C25" t="s">
        <v>144</v>
      </c>
      <c r="D25" t="s">
        <v>63</v>
      </c>
      <c r="E25" t="s">
        <v>524</v>
      </c>
      <c r="F25" t="s">
        <v>525</v>
      </c>
      <c r="G25" t="s">
        <v>663</v>
      </c>
      <c r="H25" t="s">
        <v>377</v>
      </c>
      <c r="I25">
        <v>380</v>
      </c>
      <c r="J25">
        <v>30</v>
      </c>
      <c r="K25" t="s">
        <v>376</v>
      </c>
      <c r="L25">
        <v>8237</v>
      </c>
      <c r="M25" t="s">
        <v>342</v>
      </c>
      <c r="N25" t="s">
        <v>63</v>
      </c>
      <c r="O25">
        <v>1</v>
      </c>
      <c r="P25">
        <v>2</v>
      </c>
      <c r="Q25">
        <v>-99</v>
      </c>
      <c r="R25" t="s">
        <v>689</v>
      </c>
    </row>
    <row r="26" spans="1:18" x14ac:dyDescent="0.2">
      <c r="A26">
        <v>25</v>
      </c>
      <c r="B26">
        <v>11</v>
      </c>
      <c r="C26" t="s">
        <v>145</v>
      </c>
      <c r="D26" t="s">
        <v>24</v>
      </c>
      <c r="E26" t="s">
        <v>526</v>
      </c>
      <c r="F26" t="s">
        <v>527</v>
      </c>
      <c r="G26" t="s">
        <v>663</v>
      </c>
      <c r="H26" t="s">
        <v>377</v>
      </c>
      <c r="I26">
        <v>380</v>
      </c>
      <c r="J26">
        <v>30</v>
      </c>
      <c r="K26" t="s">
        <v>376</v>
      </c>
      <c r="L26">
        <v>8238</v>
      </c>
      <c r="M26" t="s">
        <v>342</v>
      </c>
      <c r="N26" t="s">
        <v>63</v>
      </c>
      <c r="O26">
        <v>1</v>
      </c>
      <c r="P26">
        <v>2</v>
      </c>
      <c r="Q26">
        <v>-99</v>
      </c>
      <c r="R26" t="s">
        <v>689</v>
      </c>
    </row>
    <row r="27" spans="1:18" x14ac:dyDescent="0.2">
      <c r="A27">
        <v>26</v>
      </c>
      <c r="B27">
        <v>12</v>
      </c>
      <c r="C27" t="s">
        <v>146</v>
      </c>
      <c r="D27" t="s">
        <v>47</v>
      </c>
      <c r="E27" t="s">
        <v>528</v>
      </c>
      <c r="F27" t="s">
        <v>529</v>
      </c>
      <c r="G27" t="s">
        <v>663</v>
      </c>
      <c r="H27" t="s">
        <v>377</v>
      </c>
      <c r="I27">
        <v>380</v>
      </c>
      <c r="J27">
        <v>30</v>
      </c>
      <c r="K27" t="s">
        <v>376</v>
      </c>
      <c r="L27">
        <v>8239</v>
      </c>
      <c r="M27" t="s">
        <v>360</v>
      </c>
      <c r="N27" t="s">
        <v>380</v>
      </c>
      <c r="O27">
        <v>1</v>
      </c>
      <c r="P27">
        <v>2</v>
      </c>
      <c r="Q27">
        <v>-99</v>
      </c>
      <c r="R27" t="s">
        <v>689</v>
      </c>
    </row>
    <row r="28" spans="1:18" x14ac:dyDescent="0.2">
      <c r="A28">
        <v>27</v>
      </c>
      <c r="B28">
        <v>13</v>
      </c>
      <c r="C28" t="s">
        <v>147</v>
      </c>
      <c r="D28" t="s">
        <v>64</v>
      </c>
      <c r="E28" t="s">
        <v>530</v>
      </c>
      <c r="F28" t="s">
        <v>531</v>
      </c>
      <c r="G28" t="s">
        <v>663</v>
      </c>
      <c r="H28" t="s">
        <v>377</v>
      </c>
      <c r="I28">
        <v>380</v>
      </c>
      <c r="J28">
        <v>30</v>
      </c>
      <c r="K28" t="s">
        <v>376</v>
      </c>
      <c r="L28">
        <v>8241</v>
      </c>
      <c r="M28" t="s">
        <v>364</v>
      </c>
      <c r="N28" t="s">
        <v>381</v>
      </c>
      <c r="O28">
        <v>1</v>
      </c>
      <c r="P28">
        <v>2</v>
      </c>
      <c r="Q28">
        <v>-99</v>
      </c>
      <c r="R28" t="s">
        <v>689</v>
      </c>
    </row>
    <row r="29" spans="1:18" x14ac:dyDescent="0.2">
      <c r="A29">
        <v>28</v>
      </c>
      <c r="B29">
        <v>14</v>
      </c>
      <c r="C29" t="s">
        <v>102</v>
      </c>
      <c r="D29" t="s">
        <v>66</v>
      </c>
      <c r="E29" t="s">
        <v>532</v>
      </c>
      <c r="F29" t="s">
        <v>533</v>
      </c>
      <c r="G29" t="s">
        <v>663</v>
      </c>
      <c r="H29" t="s">
        <v>377</v>
      </c>
      <c r="I29">
        <v>380</v>
      </c>
      <c r="J29">
        <v>30</v>
      </c>
      <c r="K29" t="s">
        <v>376</v>
      </c>
      <c r="L29">
        <v>8242</v>
      </c>
      <c r="M29" t="s">
        <v>354</v>
      </c>
      <c r="N29" t="s">
        <v>382</v>
      </c>
      <c r="O29">
        <v>1</v>
      </c>
      <c r="P29">
        <v>1</v>
      </c>
      <c r="Q29">
        <v>-99</v>
      </c>
      <c r="R29" t="s">
        <v>689</v>
      </c>
    </row>
    <row r="30" spans="1:18" x14ac:dyDescent="0.2">
      <c r="A30">
        <v>29</v>
      </c>
      <c r="B30">
        <v>-99</v>
      </c>
      <c r="C30" t="s">
        <v>102</v>
      </c>
      <c r="D30" t="s">
        <v>66</v>
      </c>
      <c r="E30" t="s">
        <v>534</v>
      </c>
      <c r="F30" t="s">
        <v>216</v>
      </c>
      <c r="G30" t="s">
        <v>663</v>
      </c>
      <c r="H30" t="s">
        <v>377</v>
      </c>
      <c r="I30">
        <v>380</v>
      </c>
      <c r="J30">
        <v>30</v>
      </c>
      <c r="K30" t="s">
        <v>376</v>
      </c>
      <c r="L30">
        <v>8242</v>
      </c>
      <c r="M30" t="s">
        <v>354</v>
      </c>
      <c r="N30" t="s">
        <v>382</v>
      </c>
      <c r="O30">
        <v>-99</v>
      </c>
      <c r="P30">
        <v>1</v>
      </c>
      <c r="Q30">
        <v>-99</v>
      </c>
      <c r="R30" t="s">
        <v>214</v>
      </c>
    </row>
    <row r="31" spans="1:18" x14ac:dyDescent="0.2">
      <c r="A31">
        <v>30</v>
      </c>
      <c r="B31">
        <v>15</v>
      </c>
      <c r="C31" t="s">
        <v>148</v>
      </c>
      <c r="D31" t="s">
        <v>68</v>
      </c>
      <c r="E31" t="s">
        <v>535</v>
      </c>
      <c r="F31" t="s">
        <v>536</v>
      </c>
      <c r="G31" t="s">
        <v>663</v>
      </c>
      <c r="H31" t="s">
        <v>377</v>
      </c>
      <c r="I31">
        <v>380</v>
      </c>
      <c r="J31">
        <v>30</v>
      </c>
      <c r="K31" t="s">
        <v>376</v>
      </c>
      <c r="L31">
        <v>8243</v>
      </c>
      <c r="M31" t="s">
        <v>354</v>
      </c>
      <c r="N31" t="s">
        <v>382</v>
      </c>
      <c r="O31">
        <v>1</v>
      </c>
      <c r="P31">
        <v>1</v>
      </c>
      <c r="Q31">
        <v>-99</v>
      </c>
      <c r="R31" t="s">
        <v>689</v>
      </c>
    </row>
    <row r="32" spans="1:18" x14ac:dyDescent="0.2">
      <c r="A32">
        <v>31</v>
      </c>
      <c r="B32">
        <v>-99</v>
      </c>
      <c r="C32" t="s">
        <v>148</v>
      </c>
      <c r="D32" t="s">
        <v>68</v>
      </c>
      <c r="E32" t="s">
        <v>537</v>
      </c>
      <c r="F32" t="s">
        <v>538</v>
      </c>
      <c r="G32" t="s">
        <v>663</v>
      </c>
      <c r="H32" t="s">
        <v>377</v>
      </c>
      <c r="I32">
        <v>380</v>
      </c>
      <c r="J32">
        <v>30</v>
      </c>
      <c r="K32" t="s">
        <v>376</v>
      </c>
      <c r="L32">
        <v>8243</v>
      </c>
      <c r="M32" t="s">
        <v>354</v>
      </c>
      <c r="N32" t="s">
        <v>382</v>
      </c>
      <c r="O32">
        <v>-99</v>
      </c>
      <c r="P32">
        <v>1</v>
      </c>
      <c r="Q32">
        <v>-99</v>
      </c>
      <c r="R32" t="s">
        <v>688</v>
      </c>
    </row>
    <row r="33" spans="1:18" x14ac:dyDescent="0.2">
      <c r="A33">
        <v>32</v>
      </c>
      <c r="B33">
        <v>16</v>
      </c>
      <c r="C33" t="s">
        <v>149</v>
      </c>
      <c r="D33" t="s">
        <v>36</v>
      </c>
      <c r="E33" t="s">
        <v>539</v>
      </c>
      <c r="F33" t="s">
        <v>540</v>
      </c>
      <c r="G33" t="s">
        <v>663</v>
      </c>
      <c r="H33" t="s">
        <v>377</v>
      </c>
      <c r="I33">
        <v>380</v>
      </c>
      <c r="J33">
        <v>30</v>
      </c>
      <c r="K33" t="s">
        <v>376</v>
      </c>
      <c r="L33">
        <v>8244</v>
      </c>
      <c r="M33" t="s">
        <v>349</v>
      </c>
      <c r="N33" t="s">
        <v>383</v>
      </c>
      <c r="O33">
        <v>1</v>
      </c>
      <c r="P33">
        <v>2</v>
      </c>
      <c r="Q33">
        <v>-99</v>
      </c>
      <c r="R33" t="s">
        <v>689</v>
      </c>
    </row>
    <row r="34" spans="1:18" x14ac:dyDescent="0.2">
      <c r="A34">
        <v>33</v>
      </c>
      <c r="B34">
        <v>23</v>
      </c>
      <c r="C34" t="s">
        <v>108</v>
      </c>
      <c r="D34" t="s">
        <v>72</v>
      </c>
      <c r="E34" t="s">
        <v>541</v>
      </c>
      <c r="F34" t="s">
        <v>542</v>
      </c>
      <c r="G34" t="s">
        <v>664</v>
      </c>
      <c r="H34" t="s">
        <v>384</v>
      </c>
      <c r="I34">
        <v>381</v>
      </c>
      <c r="J34">
        <v>30</v>
      </c>
      <c r="K34" t="s">
        <v>376</v>
      </c>
      <c r="L34">
        <v>8245</v>
      </c>
      <c r="M34" t="s">
        <v>328</v>
      </c>
      <c r="N34" t="s">
        <v>385</v>
      </c>
      <c r="O34">
        <v>1</v>
      </c>
      <c r="P34">
        <v>2</v>
      </c>
      <c r="Q34">
        <v>-99</v>
      </c>
      <c r="R34" t="s">
        <v>689</v>
      </c>
    </row>
    <row r="35" spans="1:18" x14ac:dyDescent="0.2">
      <c r="A35">
        <v>34</v>
      </c>
      <c r="B35">
        <v>24</v>
      </c>
      <c r="C35" t="s">
        <v>150</v>
      </c>
      <c r="D35" t="s">
        <v>50</v>
      </c>
      <c r="E35" t="s">
        <v>543</v>
      </c>
      <c r="F35" t="s">
        <v>544</v>
      </c>
      <c r="G35" t="s">
        <v>664</v>
      </c>
      <c r="H35" t="s">
        <v>384</v>
      </c>
      <c r="I35">
        <v>381</v>
      </c>
      <c r="J35">
        <v>30</v>
      </c>
      <c r="K35" t="s">
        <v>376</v>
      </c>
      <c r="L35">
        <v>8246</v>
      </c>
      <c r="M35" t="s">
        <v>344</v>
      </c>
      <c r="N35" t="s">
        <v>386</v>
      </c>
      <c r="O35">
        <v>1</v>
      </c>
      <c r="P35">
        <v>2</v>
      </c>
      <c r="Q35">
        <v>-99</v>
      </c>
      <c r="R35" t="s">
        <v>689</v>
      </c>
    </row>
    <row r="36" spans="1:18" x14ac:dyDescent="0.2">
      <c r="A36">
        <v>35</v>
      </c>
      <c r="B36">
        <v>30</v>
      </c>
      <c r="C36" t="s">
        <v>151</v>
      </c>
      <c r="D36" t="s">
        <v>25</v>
      </c>
      <c r="E36" t="s">
        <v>545</v>
      </c>
      <c r="F36" t="s">
        <v>546</v>
      </c>
      <c r="G36" t="s">
        <v>664</v>
      </c>
      <c r="H36" t="s">
        <v>384</v>
      </c>
      <c r="I36">
        <v>381</v>
      </c>
      <c r="J36">
        <v>31</v>
      </c>
      <c r="K36" t="s">
        <v>387</v>
      </c>
      <c r="L36">
        <v>8247</v>
      </c>
      <c r="M36" t="s">
        <v>369</v>
      </c>
      <c r="N36" t="s">
        <v>388</v>
      </c>
      <c r="O36">
        <v>1</v>
      </c>
      <c r="P36">
        <v>2</v>
      </c>
      <c r="Q36">
        <v>-99</v>
      </c>
      <c r="R36" t="s">
        <v>689</v>
      </c>
    </row>
    <row r="37" spans="1:18" x14ac:dyDescent="0.2">
      <c r="A37">
        <v>36</v>
      </c>
      <c r="B37">
        <v>194</v>
      </c>
      <c r="C37" t="s">
        <v>152</v>
      </c>
      <c r="D37" t="s">
        <v>80</v>
      </c>
      <c r="E37" t="s">
        <v>547</v>
      </c>
      <c r="F37" t="s">
        <v>548</v>
      </c>
      <c r="G37" t="s">
        <v>664</v>
      </c>
      <c r="H37" t="s">
        <v>384</v>
      </c>
      <c r="I37">
        <v>381</v>
      </c>
      <c r="J37">
        <v>31</v>
      </c>
      <c r="K37" t="s">
        <v>387</v>
      </c>
      <c r="L37">
        <v>8248</v>
      </c>
      <c r="M37" t="s">
        <v>324</v>
      </c>
      <c r="N37" t="s">
        <v>432</v>
      </c>
      <c r="O37">
        <v>1</v>
      </c>
      <c r="P37">
        <v>2</v>
      </c>
      <c r="Q37">
        <v>-99</v>
      </c>
      <c r="R37" t="s">
        <v>689</v>
      </c>
    </row>
    <row r="38" spans="1:18" x14ac:dyDescent="0.2">
      <c r="A38">
        <v>37</v>
      </c>
      <c r="B38">
        <v>34</v>
      </c>
      <c r="C38" t="s">
        <v>153</v>
      </c>
      <c r="D38" t="s">
        <v>86</v>
      </c>
      <c r="E38" t="s">
        <v>549</v>
      </c>
      <c r="F38" t="s">
        <v>550</v>
      </c>
      <c r="G38" t="s">
        <v>664</v>
      </c>
      <c r="H38" t="s">
        <v>384</v>
      </c>
      <c r="I38">
        <v>381</v>
      </c>
      <c r="J38">
        <v>30</v>
      </c>
      <c r="K38" t="s">
        <v>376</v>
      </c>
      <c r="L38">
        <v>8249</v>
      </c>
      <c r="M38" t="s">
        <v>355</v>
      </c>
      <c r="N38" t="s">
        <v>389</v>
      </c>
      <c r="O38">
        <v>1</v>
      </c>
      <c r="P38">
        <v>1</v>
      </c>
      <c r="Q38">
        <v>-99</v>
      </c>
      <c r="R38" t="s">
        <v>689</v>
      </c>
    </row>
    <row r="39" spans="1:18" x14ac:dyDescent="0.2">
      <c r="A39">
        <v>38</v>
      </c>
      <c r="B39">
        <v>-99</v>
      </c>
      <c r="C39" t="s">
        <v>153</v>
      </c>
      <c r="D39" t="s">
        <v>86</v>
      </c>
      <c r="E39" t="s">
        <v>551</v>
      </c>
      <c r="F39" t="s">
        <v>219</v>
      </c>
      <c r="G39" t="s">
        <v>664</v>
      </c>
      <c r="H39" t="s">
        <v>384</v>
      </c>
      <c r="I39">
        <v>381</v>
      </c>
      <c r="J39">
        <v>30</v>
      </c>
      <c r="K39" t="s">
        <v>376</v>
      </c>
      <c r="L39">
        <v>8249</v>
      </c>
      <c r="M39" t="s">
        <v>355</v>
      </c>
      <c r="N39" t="s">
        <v>389</v>
      </c>
      <c r="O39">
        <v>-99</v>
      </c>
      <c r="P39">
        <v>1</v>
      </c>
      <c r="Q39">
        <v>-99</v>
      </c>
      <c r="R39" t="s">
        <v>686</v>
      </c>
    </row>
    <row r="40" spans="1:18" x14ac:dyDescent="0.2">
      <c r="A40">
        <v>39</v>
      </c>
      <c r="B40">
        <v>-99</v>
      </c>
      <c r="C40" t="s">
        <v>153</v>
      </c>
      <c r="D40" t="s">
        <v>86</v>
      </c>
      <c r="E40" t="s">
        <v>552</v>
      </c>
      <c r="F40" t="s">
        <v>964</v>
      </c>
      <c r="G40" t="s">
        <v>664</v>
      </c>
      <c r="H40" t="s">
        <v>384</v>
      </c>
      <c r="I40">
        <v>381</v>
      </c>
      <c r="J40">
        <v>30</v>
      </c>
      <c r="K40" t="s">
        <v>376</v>
      </c>
      <c r="L40">
        <v>8249</v>
      </c>
      <c r="M40" t="s">
        <v>355</v>
      </c>
      <c r="N40" t="s">
        <v>389</v>
      </c>
      <c r="O40">
        <v>-99</v>
      </c>
      <c r="P40">
        <v>1</v>
      </c>
      <c r="Q40">
        <v>-99</v>
      </c>
      <c r="R40" t="s">
        <v>687</v>
      </c>
    </row>
    <row r="41" spans="1:18" x14ac:dyDescent="0.2">
      <c r="A41">
        <v>40</v>
      </c>
      <c r="B41">
        <v>35</v>
      </c>
      <c r="C41" t="s">
        <v>154</v>
      </c>
      <c r="D41" t="s">
        <v>42</v>
      </c>
      <c r="E41" t="s">
        <v>553</v>
      </c>
      <c r="F41" t="s">
        <v>554</v>
      </c>
      <c r="G41" t="s">
        <v>664</v>
      </c>
      <c r="H41" t="s">
        <v>384</v>
      </c>
      <c r="I41">
        <v>381</v>
      </c>
      <c r="J41">
        <v>31</v>
      </c>
      <c r="K41" t="s">
        <v>387</v>
      </c>
      <c r="L41">
        <v>8250</v>
      </c>
      <c r="M41" t="s">
        <v>347</v>
      </c>
      <c r="N41" t="s">
        <v>390</v>
      </c>
      <c r="O41">
        <v>1</v>
      </c>
      <c r="P41">
        <v>2</v>
      </c>
      <c r="Q41">
        <v>-99</v>
      </c>
      <c r="R41" t="s">
        <v>689</v>
      </c>
    </row>
    <row r="42" spans="1:18" x14ac:dyDescent="0.2">
      <c r="A42">
        <v>41</v>
      </c>
      <c r="B42">
        <v>36</v>
      </c>
      <c r="C42" t="s">
        <v>94</v>
      </c>
      <c r="D42" t="s">
        <v>61</v>
      </c>
      <c r="E42" t="s">
        <v>555</v>
      </c>
      <c r="F42" t="s">
        <v>556</v>
      </c>
      <c r="G42" t="s">
        <v>664</v>
      </c>
      <c r="H42" t="s">
        <v>384</v>
      </c>
      <c r="I42">
        <v>381</v>
      </c>
      <c r="J42">
        <v>31</v>
      </c>
      <c r="K42" t="s">
        <v>387</v>
      </c>
      <c r="L42">
        <v>8251</v>
      </c>
      <c r="M42" t="s">
        <v>350</v>
      </c>
      <c r="N42" t="s">
        <v>391</v>
      </c>
      <c r="O42">
        <v>1</v>
      </c>
      <c r="P42">
        <v>2</v>
      </c>
      <c r="Q42">
        <v>-99</v>
      </c>
      <c r="R42" t="s">
        <v>689</v>
      </c>
    </row>
    <row r="43" spans="1:18" x14ac:dyDescent="0.2">
      <c r="A43">
        <v>42</v>
      </c>
      <c r="B43">
        <v>37</v>
      </c>
      <c r="C43" t="s">
        <v>155</v>
      </c>
      <c r="D43" t="s">
        <v>62</v>
      </c>
      <c r="E43" t="s">
        <v>557</v>
      </c>
      <c r="F43" t="s">
        <v>558</v>
      </c>
      <c r="G43" t="s">
        <v>665</v>
      </c>
      <c r="H43" t="s">
        <v>393</v>
      </c>
      <c r="I43">
        <v>382</v>
      </c>
      <c r="J43">
        <v>33</v>
      </c>
      <c r="K43" t="s">
        <v>392</v>
      </c>
      <c r="L43">
        <v>8252</v>
      </c>
      <c r="M43" t="s">
        <v>327</v>
      </c>
      <c r="N43" t="s">
        <v>394</v>
      </c>
      <c r="O43">
        <v>1</v>
      </c>
      <c r="P43">
        <v>2</v>
      </c>
      <c r="Q43">
        <v>-99</v>
      </c>
      <c r="R43" t="s">
        <v>689</v>
      </c>
    </row>
    <row r="44" spans="1:18" x14ac:dyDescent="0.2">
      <c r="A44">
        <v>43</v>
      </c>
      <c r="B44">
        <v>38</v>
      </c>
      <c r="C44" t="s">
        <v>156</v>
      </c>
      <c r="D44" t="s">
        <v>60</v>
      </c>
      <c r="E44" t="s">
        <v>559</v>
      </c>
      <c r="F44" t="s">
        <v>560</v>
      </c>
      <c r="G44" t="s">
        <v>664</v>
      </c>
      <c r="H44" t="s">
        <v>384</v>
      </c>
      <c r="I44">
        <v>381</v>
      </c>
      <c r="J44">
        <v>31</v>
      </c>
      <c r="K44" t="s">
        <v>387</v>
      </c>
      <c r="L44">
        <v>8253</v>
      </c>
      <c r="M44" t="s">
        <v>361</v>
      </c>
      <c r="N44" t="s">
        <v>395</v>
      </c>
      <c r="O44">
        <v>1</v>
      </c>
      <c r="P44">
        <v>2</v>
      </c>
      <c r="Q44">
        <v>-99</v>
      </c>
      <c r="R44" t="s">
        <v>689</v>
      </c>
    </row>
    <row r="45" spans="1:18" x14ac:dyDescent="0.2">
      <c r="A45">
        <v>44</v>
      </c>
      <c r="B45">
        <v>39</v>
      </c>
      <c r="C45" t="s">
        <v>157</v>
      </c>
      <c r="D45" t="s">
        <v>52</v>
      </c>
      <c r="E45" t="s">
        <v>561</v>
      </c>
      <c r="F45" t="s">
        <v>562</v>
      </c>
      <c r="G45" t="s">
        <v>664</v>
      </c>
      <c r="H45" t="s">
        <v>384</v>
      </c>
      <c r="I45">
        <v>381</v>
      </c>
      <c r="J45">
        <v>33</v>
      </c>
      <c r="K45" t="s">
        <v>392</v>
      </c>
      <c r="L45">
        <v>8254</v>
      </c>
      <c r="M45" t="s">
        <v>362</v>
      </c>
      <c r="N45" t="s">
        <v>396</v>
      </c>
      <c r="O45">
        <v>1</v>
      </c>
      <c r="P45">
        <v>1</v>
      </c>
      <c r="Q45">
        <v>-99</v>
      </c>
      <c r="R45" t="s">
        <v>689</v>
      </c>
    </row>
    <row r="46" spans="1:18" x14ac:dyDescent="0.2">
      <c r="A46">
        <v>45</v>
      </c>
      <c r="B46">
        <v>-99</v>
      </c>
      <c r="C46" t="s">
        <v>157</v>
      </c>
      <c r="D46" t="s">
        <v>52</v>
      </c>
      <c r="E46" t="s">
        <v>563</v>
      </c>
      <c r="F46" t="s">
        <v>564</v>
      </c>
      <c r="G46" t="s">
        <v>664</v>
      </c>
      <c r="H46" t="s">
        <v>384</v>
      </c>
      <c r="I46">
        <v>381</v>
      </c>
      <c r="J46">
        <v>33</v>
      </c>
      <c r="K46" t="s">
        <v>392</v>
      </c>
      <c r="L46">
        <v>8254</v>
      </c>
      <c r="M46" t="s">
        <v>362</v>
      </c>
      <c r="N46" t="s">
        <v>396</v>
      </c>
      <c r="O46">
        <v>-99</v>
      </c>
      <c r="P46">
        <v>1</v>
      </c>
      <c r="Q46">
        <v>-99</v>
      </c>
      <c r="R46" t="s">
        <v>690</v>
      </c>
    </row>
    <row r="47" spans="1:18" x14ac:dyDescent="0.2">
      <c r="A47">
        <v>46</v>
      </c>
      <c r="B47">
        <v>52</v>
      </c>
      <c r="C47" t="s">
        <v>158</v>
      </c>
      <c r="D47" t="s">
        <v>41</v>
      </c>
      <c r="E47" t="s">
        <v>565</v>
      </c>
      <c r="F47" t="s">
        <v>566</v>
      </c>
      <c r="G47" t="s">
        <v>663</v>
      </c>
      <c r="H47" t="s">
        <v>377</v>
      </c>
      <c r="I47">
        <v>380</v>
      </c>
      <c r="J47">
        <v>32</v>
      </c>
      <c r="K47" t="s">
        <v>397</v>
      </c>
      <c r="L47">
        <v>8255</v>
      </c>
      <c r="M47" t="s">
        <v>363</v>
      </c>
      <c r="N47" t="s">
        <v>398</v>
      </c>
      <c r="O47">
        <v>1</v>
      </c>
      <c r="P47">
        <v>2</v>
      </c>
      <c r="Q47">
        <v>-99</v>
      </c>
      <c r="R47" t="s">
        <v>689</v>
      </c>
    </row>
    <row r="48" spans="1:18" x14ac:dyDescent="0.2">
      <c r="A48">
        <v>47</v>
      </c>
      <c r="B48">
        <v>53</v>
      </c>
      <c r="C48" t="s">
        <v>159</v>
      </c>
      <c r="D48" t="s">
        <v>51</v>
      </c>
      <c r="E48" t="s">
        <v>567</v>
      </c>
      <c r="F48" t="s">
        <v>568</v>
      </c>
      <c r="G48" t="s">
        <v>663</v>
      </c>
      <c r="H48" t="s">
        <v>377</v>
      </c>
      <c r="I48">
        <v>380</v>
      </c>
      <c r="J48">
        <v>32</v>
      </c>
      <c r="K48" t="s">
        <v>397</v>
      </c>
      <c r="L48">
        <v>8256</v>
      </c>
      <c r="M48" t="s">
        <v>337</v>
      </c>
      <c r="N48" t="s">
        <v>399</v>
      </c>
      <c r="O48">
        <v>1</v>
      </c>
      <c r="P48">
        <v>2</v>
      </c>
      <c r="Q48">
        <v>-99</v>
      </c>
      <c r="R48" t="s">
        <v>689</v>
      </c>
    </row>
    <row r="49" spans="1:18" x14ac:dyDescent="0.2">
      <c r="A49">
        <v>48</v>
      </c>
      <c r="B49">
        <v>54</v>
      </c>
      <c r="C49" t="s">
        <v>160</v>
      </c>
      <c r="D49" t="s">
        <v>56</v>
      </c>
      <c r="E49" t="s">
        <v>569</v>
      </c>
      <c r="F49" t="s">
        <v>570</v>
      </c>
      <c r="G49" t="s">
        <v>664</v>
      </c>
      <c r="H49" t="s">
        <v>384</v>
      </c>
      <c r="I49">
        <v>381</v>
      </c>
      <c r="J49">
        <v>31</v>
      </c>
      <c r="K49" t="s">
        <v>387</v>
      </c>
      <c r="L49">
        <v>8257</v>
      </c>
      <c r="M49" t="s">
        <v>343</v>
      </c>
      <c r="N49" t="s">
        <v>400</v>
      </c>
      <c r="O49">
        <v>1</v>
      </c>
      <c r="P49">
        <v>1</v>
      </c>
      <c r="Q49">
        <v>-99</v>
      </c>
      <c r="R49" t="s">
        <v>689</v>
      </c>
    </row>
    <row r="50" spans="1:18" x14ac:dyDescent="0.2">
      <c r="A50">
        <v>49</v>
      </c>
      <c r="B50">
        <v>-99</v>
      </c>
      <c r="C50" t="s">
        <v>160</v>
      </c>
      <c r="D50" t="s">
        <v>56</v>
      </c>
      <c r="E50" t="s">
        <v>571</v>
      </c>
      <c r="F50" t="s">
        <v>572</v>
      </c>
      <c r="G50" t="s">
        <v>664</v>
      </c>
      <c r="H50" t="s">
        <v>384</v>
      </c>
      <c r="I50">
        <v>381</v>
      </c>
      <c r="J50">
        <v>31</v>
      </c>
      <c r="K50" t="s">
        <v>387</v>
      </c>
      <c r="L50">
        <v>8257</v>
      </c>
      <c r="M50" t="s">
        <v>343</v>
      </c>
      <c r="N50" t="s">
        <v>400</v>
      </c>
      <c r="O50">
        <v>-99</v>
      </c>
      <c r="P50">
        <v>1</v>
      </c>
      <c r="Q50">
        <v>-99</v>
      </c>
      <c r="R50" t="s">
        <v>691</v>
      </c>
    </row>
    <row r="51" spans="1:18" x14ac:dyDescent="0.2">
      <c r="A51">
        <v>50</v>
      </c>
      <c r="B51">
        <v>55</v>
      </c>
      <c r="C51" t="s">
        <v>161</v>
      </c>
      <c r="D51" t="s">
        <v>40</v>
      </c>
      <c r="E51" t="s">
        <v>573</v>
      </c>
      <c r="F51" t="s">
        <v>574</v>
      </c>
      <c r="G51" t="s">
        <v>665</v>
      </c>
      <c r="H51" t="s">
        <v>393</v>
      </c>
      <c r="I51">
        <v>382</v>
      </c>
      <c r="J51">
        <v>32</v>
      </c>
      <c r="K51" t="s">
        <v>397</v>
      </c>
      <c r="L51">
        <v>8258</v>
      </c>
      <c r="M51" t="s">
        <v>356</v>
      </c>
      <c r="N51" t="s">
        <v>401</v>
      </c>
      <c r="O51">
        <v>1</v>
      </c>
      <c r="P51">
        <v>2</v>
      </c>
      <c r="Q51">
        <v>-99</v>
      </c>
      <c r="R51" t="s">
        <v>689</v>
      </c>
    </row>
    <row r="52" spans="1:18" x14ac:dyDescent="0.2">
      <c r="A52">
        <v>51</v>
      </c>
      <c r="B52">
        <v>56</v>
      </c>
      <c r="C52" t="s">
        <v>162</v>
      </c>
      <c r="D52" t="s">
        <v>45</v>
      </c>
      <c r="E52" t="s">
        <v>575</v>
      </c>
      <c r="F52" t="s">
        <v>576</v>
      </c>
      <c r="G52" t="s">
        <v>663</v>
      </c>
      <c r="H52" t="s">
        <v>377</v>
      </c>
      <c r="I52">
        <v>380</v>
      </c>
      <c r="J52">
        <v>32</v>
      </c>
      <c r="K52" t="s">
        <v>397</v>
      </c>
      <c r="L52">
        <v>8259</v>
      </c>
      <c r="M52" t="s">
        <v>333</v>
      </c>
      <c r="N52" t="s">
        <v>402</v>
      </c>
      <c r="O52">
        <v>1</v>
      </c>
      <c r="P52">
        <v>2</v>
      </c>
      <c r="Q52">
        <v>-99</v>
      </c>
      <c r="R52" t="s">
        <v>689</v>
      </c>
    </row>
    <row r="53" spans="1:18" x14ac:dyDescent="0.2">
      <c r="A53">
        <v>52</v>
      </c>
      <c r="B53">
        <v>57</v>
      </c>
      <c r="C53" t="s">
        <v>163</v>
      </c>
      <c r="D53" t="s">
        <v>59</v>
      </c>
      <c r="E53" t="s">
        <v>577</v>
      </c>
      <c r="F53" t="s">
        <v>578</v>
      </c>
      <c r="G53" t="s">
        <v>665</v>
      </c>
      <c r="H53" t="s">
        <v>393</v>
      </c>
      <c r="I53">
        <v>382</v>
      </c>
      <c r="J53">
        <v>32</v>
      </c>
      <c r="K53" t="s">
        <v>397</v>
      </c>
      <c r="L53">
        <v>8260</v>
      </c>
      <c r="M53" t="s">
        <v>323</v>
      </c>
      <c r="N53" t="s">
        <v>403</v>
      </c>
      <c r="O53">
        <v>1</v>
      </c>
      <c r="P53">
        <v>1</v>
      </c>
      <c r="Q53">
        <v>-99</v>
      </c>
      <c r="R53" t="s">
        <v>689</v>
      </c>
    </row>
    <row r="54" spans="1:18" x14ac:dyDescent="0.2">
      <c r="A54">
        <v>53</v>
      </c>
      <c r="B54">
        <v>-99</v>
      </c>
      <c r="C54" t="s">
        <v>163</v>
      </c>
      <c r="D54" t="s">
        <v>59</v>
      </c>
      <c r="E54" t="s">
        <v>579</v>
      </c>
      <c r="F54" t="s">
        <v>215</v>
      </c>
      <c r="G54" t="s">
        <v>665</v>
      </c>
      <c r="H54" t="s">
        <v>393</v>
      </c>
      <c r="I54">
        <v>382</v>
      </c>
      <c r="J54">
        <v>32</v>
      </c>
      <c r="K54" t="s">
        <v>397</v>
      </c>
      <c r="L54">
        <v>8260</v>
      </c>
      <c r="M54" t="s">
        <v>323</v>
      </c>
      <c r="N54" t="s">
        <v>403</v>
      </c>
      <c r="O54">
        <v>-99</v>
      </c>
      <c r="P54">
        <v>1</v>
      </c>
      <c r="Q54">
        <v>-99</v>
      </c>
      <c r="R54" t="s">
        <v>214</v>
      </c>
    </row>
    <row r="55" spans="1:18" x14ac:dyDescent="0.2">
      <c r="A55">
        <v>54</v>
      </c>
      <c r="B55">
        <v>58</v>
      </c>
      <c r="C55" t="s">
        <v>164</v>
      </c>
      <c r="D55" t="s">
        <v>78</v>
      </c>
      <c r="E55" t="s">
        <v>580</v>
      </c>
      <c r="F55" t="s">
        <v>581</v>
      </c>
      <c r="G55" t="s">
        <v>665</v>
      </c>
      <c r="H55" t="s">
        <v>393</v>
      </c>
      <c r="I55">
        <v>382</v>
      </c>
      <c r="J55">
        <v>32</v>
      </c>
      <c r="K55" t="s">
        <v>397</v>
      </c>
      <c r="L55">
        <v>8261</v>
      </c>
      <c r="M55" t="s">
        <v>346</v>
      </c>
      <c r="N55" t="s">
        <v>404</v>
      </c>
      <c r="O55">
        <v>1</v>
      </c>
      <c r="P55">
        <v>2</v>
      </c>
      <c r="Q55">
        <v>-99</v>
      </c>
      <c r="R55" t="s">
        <v>689</v>
      </c>
    </row>
    <row r="56" spans="1:18" x14ac:dyDescent="0.2">
      <c r="A56">
        <v>55</v>
      </c>
      <c r="B56">
        <v>59</v>
      </c>
      <c r="C56" t="s">
        <v>165</v>
      </c>
      <c r="D56" t="s">
        <v>44</v>
      </c>
      <c r="E56" t="s">
        <v>582</v>
      </c>
      <c r="F56" t="s">
        <v>583</v>
      </c>
      <c r="G56" t="s">
        <v>665</v>
      </c>
      <c r="H56" t="s">
        <v>393</v>
      </c>
      <c r="I56">
        <v>382</v>
      </c>
      <c r="J56">
        <v>32</v>
      </c>
      <c r="K56" t="s">
        <v>397</v>
      </c>
      <c r="L56">
        <v>8262</v>
      </c>
      <c r="M56" t="s">
        <v>370</v>
      </c>
      <c r="N56" t="s">
        <v>406</v>
      </c>
      <c r="O56">
        <v>1</v>
      </c>
      <c r="P56">
        <v>2</v>
      </c>
      <c r="Q56">
        <v>-99</v>
      </c>
      <c r="R56" t="s">
        <v>689</v>
      </c>
    </row>
    <row r="57" spans="1:18" x14ac:dyDescent="0.2">
      <c r="A57">
        <v>56</v>
      </c>
      <c r="B57">
        <v>60</v>
      </c>
      <c r="C57" t="s">
        <v>166</v>
      </c>
      <c r="D57" t="s">
        <v>53</v>
      </c>
      <c r="E57" t="s">
        <v>584</v>
      </c>
      <c r="F57" t="s">
        <v>585</v>
      </c>
      <c r="G57" t="s">
        <v>665</v>
      </c>
      <c r="H57" t="s">
        <v>393</v>
      </c>
      <c r="I57">
        <v>382</v>
      </c>
      <c r="J57">
        <v>32</v>
      </c>
      <c r="K57" t="s">
        <v>397</v>
      </c>
      <c r="L57">
        <v>8263</v>
      </c>
      <c r="M57" t="s">
        <v>329</v>
      </c>
      <c r="N57" t="s">
        <v>407</v>
      </c>
      <c r="O57">
        <v>1</v>
      </c>
      <c r="P57">
        <v>2</v>
      </c>
      <c r="Q57">
        <v>-99</v>
      </c>
      <c r="R57" t="s">
        <v>689</v>
      </c>
    </row>
    <row r="58" spans="1:18" x14ac:dyDescent="0.2">
      <c r="A58">
        <v>57</v>
      </c>
      <c r="B58">
        <v>84</v>
      </c>
      <c r="C58" t="s">
        <v>167</v>
      </c>
      <c r="D58" t="s">
        <v>79</v>
      </c>
      <c r="E58" t="s">
        <v>586</v>
      </c>
      <c r="F58" t="s">
        <v>587</v>
      </c>
      <c r="G58" t="s">
        <v>665</v>
      </c>
      <c r="H58" t="s">
        <v>393</v>
      </c>
      <c r="I58">
        <v>382</v>
      </c>
      <c r="J58">
        <v>32</v>
      </c>
      <c r="K58" t="s">
        <v>397</v>
      </c>
      <c r="L58">
        <v>8264</v>
      </c>
      <c r="M58" t="s">
        <v>340</v>
      </c>
      <c r="N58" t="s">
        <v>408</v>
      </c>
      <c r="O58">
        <v>1</v>
      </c>
      <c r="P58">
        <v>1</v>
      </c>
      <c r="Q58">
        <v>-99</v>
      </c>
      <c r="R58" t="s">
        <v>689</v>
      </c>
    </row>
    <row r="59" spans="1:18" x14ac:dyDescent="0.2">
      <c r="A59">
        <v>58</v>
      </c>
      <c r="B59">
        <v>-99</v>
      </c>
      <c r="C59" t="s">
        <v>167</v>
      </c>
      <c r="D59" t="s">
        <v>79</v>
      </c>
      <c r="E59" t="s">
        <v>588</v>
      </c>
      <c r="F59" t="s">
        <v>498</v>
      </c>
      <c r="G59" t="s">
        <v>665</v>
      </c>
      <c r="H59" t="s">
        <v>393</v>
      </c>
      <c r="I59">
        <v>382</v>
      </c>
      <c r="J59">
        <v>32</v>
      </c>
      <c r="K59" t="s">
        <v>397</v>
      </c>
      <c r="L59">
        <v>8264</v>
      </c>
      <c r="M59" t="s">
        <v>340</v>
      </c>
      <c r="N59" t="s">
        <v>408</v>
      </c>
      <c r="O59">
        <v>-99</v>
      </c>
      <c r="P59">
        <v>1</v>
      </c>
      <c r="Q59">
        <v>-99</v>
      </c>
      <c r="R59" t="s">
        <v>661</v>
      </c>
    </row>
    <row r="60" spans="1:18" x14ac:dyDescent="0.2">
      <c r="A60">
        <v>59</v>
      </c>
      <c r="B60">
        <v>-99</v>
      </c>
      <c r="C60" t="s">
        <v>167</v>
      </c>
      <c r="D60" t="s">
        <v>79</v>
      </c>
      <c r="E60" t="s">
        <v>589</v>
      </c>
      <c r="F60" t="s">
        <v>218</v>
      </c>
      <c r="G60" t="s">
        <v>665</v>
      </c>
      <c r="H60" t="s">
        <v>393</v>
      </c>
      <c r="I60">
        <v>382</v>
      </c>
      <c r="J60">
        <v>32</v>
      </c>
      <c r="K60" t="s">
        <v>397</v>
      </c>
      <c r="L60">
        <v>8264</v>
      </c>
      <c r="M60" t="s">
        <v>340</v>
      </c>
      <c r="N60" t="s">
        <v>408</v>
      </c>
      <c r="O60">
        <v>-99</v>
      </c>
      <c r="P60">
        <v>1</v>
      </c>
      <c r="Q60">
        <v>-99</v>
      </c>
      <c r="R60" t="s">
        <v>214</v>
      </c>
    </row>
    <row r="61" spans="1:18" x14ac:dyDescent="0.2">
      <c r="A61">
        <v>60</v>
      </c>
      <c r="B61">
        <v>100</v>
      </c>
      <c r="C61" t="s">
        <v>168</v>
      </c>
      <c r="D61" t="s">
        <v>43</v>
      </c>
      <c r="E61" t="s">
        <v>590</v>
      </c>
      <c r="F61" t="s">
        <v>591</v>
      </c>
      <c r="G61" t="s">
        <v>667</v>
      </c>
      <c r="H61" t="s">
        <v>409</v>
      </c>
      <c r="I61">
        <v>383</v>
      </c>
      <c r="J61">
        <v>33</v>
      </c>
      <c r="K61" t="s">
        <v>392</v>
      </c>
      <c r="L61">
        <v>8268</v>
      </c>
      <c r="M61" t="s">
        <v>357</v>
      </c>
      <c r="N61" t="s">
        <v>410</v>
      </c>
      <c r="O61">
        <v>1</v>
      </c>
      <c r="P61">
        <v>2</v>
      </c>
      <c r="Q61">
        <v>-99</v>
      </c>
      <c r="R61" t="s">
        <v>689</v>
      </c>
    </row>
    <row r="62" spans="1:18" x14ac:dyDescent="0.2">
      <c r="A62">
        <v>61</v>
      </c>
      <c r="B62">
        <v>101</v>
      </c>
      <c r="C62" t="s">
        <v>169</v>
      </c>
      <c r="D62" t="s">
        <v>34</v>
      </c>
      <c r="E62" t="s">
        <v>592</v>
      </c>
      <c r="F62" t="s">
        <v>593</v>
      </c>
      <c r="G62" t="s">
        <v>667</v>
      </c>
      <c r="H62" t="s">
        <v>409</v>
      </c>
      <c r="I62">
        <v>383</v>
      </c>
      <c r="J62">
        <v>34</v>
      </c>
      <c r="K62" t="s">
        <v>411</v>
      </c>
      <c r="L62">
        <v>8269</v>
      </c>
      <c r="M62" t="s">
        <v>325</v>
      </c>
      <c r="N62" t="s">
        <v>412</v>
      </c>
      <c r="O62">
        <v>1</v>
      </c>
      <c r="P62">
        <v>2</v>
      </c>
      <c r="Q62">
        <v>-99</v>
      </c>
      <c r="R62" t="s">
        <v>689</v>
      </c>
    </row>
    <row r="63" spans="1:18" x14ac:dyDescent="0.2">
      <c r="A63">
        <v>62</v>
      </c>
      <c r="B63">
        <v>102</v>
      </c>
      <c r="C63" t="s">
        <v>170</v>
      </c>
      <c r="D63" t="s">
        <v>73</v>
      </c>
      <c r="E63" t="s">
        <v>594</v>
      </c>
      <c r="F63" t="s">
        <v>595</v>
      </c>
      <c r="G63" t="s">
        <v>667</v>
      </c>
      <c r="H63" t="s">
        <v>409</v>
      </c>
      <c r="I63">
        <v>383</v>
      </c>
      <c r="J63">
        <v>33</v>
      </c>
      <c r="K63" t="s">
        <v>392</v>
      </c>
      <c r="L63">
        <v>8270</v>
      </c>
      <c r="M63" t="s">
        <v>351</v>
      </c>
      <c r="N63" t="s">
        <v>413</v>
      </c>
      <c r="O63">
        <v>1</v>
      </c>
      <c r="P63">
        <v>1</v>
      </c>
      <c r="Q63">
        <v>-99</v>
      </c>
      <c r="R63" t="s">
        <v>689</v>
      </c>
    </row>
    <row r="64" spans="1:18" x14ac:dyDescent="0.2">
      <c r="A64">
        <v>63</v>
      </c>
      <c r="B64">
        <v>-99</v>
      </c>
      <c r="C64" t="s">
        <v>170</v>
      </c>
      <c r="D64" t="s">
        <v>73</v>
      </c>
      <c r="E64" t="s">
        <v>596</v>
      </c>
      <c r="F64" t="s">
        <v>217</v>
      </c>
      <c r="G64" t="s">
        <v>667</v>
      </c>
      <c r="H64" t="s">
        <v>409</v>
      </c>
      <c r="I64">
        <v>383</v>
      </c>
      <c r="J64">
        <v>33</v>
      </c>
      <c r="K64" t="s">
        <v>392</v>
      </c>
      <c r="L64">
        <v>8270</v>
      </c>
      <c r="M64" t="s">
        <v>351</v>
      </c>
      <c r="N64" t="s">
        <v>413</v>
      </c>
      <c r="O64">
        <v>-99</v>
      </c>
      <c r="P64">
        <v>1</v>
      </c>
      <c r="Q64">
        <v>-99</v>
      </c>
      <c r="R64" t="s">
        <v>686</v>
      </c>
    </row>
    <row r="65" spans="1:18" x14ac:dyDescent="0.2">
      <c r="A65">
        <v>64</v>
      </c>
      <c r="B65">
        <v>103</v>
      </c>
      <c r="C65" t="s">
        <v>171</v>
      </c>
      <c r="D65" t="s">
        <v>65</v>
      </c>
      <c r="E65" t="s">
        <v>597</v>
      </c>
      <c r="F65" t="s">
        <v>598</v>
      </c>
      <c r="G65" t="s">
        <v>667</v>
      </c>
      <c r="H65" t="s">
        <v>409</v>
      </c>
      <c r="I65">
        <v>383</v>
      </c>
      <c r="J65">
        <v>34</v>
      </c>
      <c r="K65" t="s">
        <v>411</v>
      </c>
      <c r="L65">
        <v>8272</v>
      </c>
      <c r="M65" t="s">
        <v>339</v>
      </c>
      <c r="N65" t="s">
        <v>414</v>
      </c>
      <c r="O65">
        <v>1</v>
      </c>
      <c r="P65">
        <v>2</v>
      </c>
      <c r="Q65">
        <v>-99</v>
      </c>
      <c r="R65" t="s">
        <v>689</v>
      </c>
    </row>
    <row r="66" spans="1:18" x14ac:dyDescent="0.2">
      <c r="A66">
        <v>65</v>
      </c>
      <c r="B66">
        <v>104</v>
      </c>
      <c r="C66" t="s">
        <v>172</v>
      </c>
      <c r="D66" t="s">
        <v>55</v>
      </c>
      <c r="E66" t="s">
        <v>599</v>
      </c>
      <c r="F66" t="s">
        <v>600</v>
      </c>
      <c r="G66" t="s">
        <v>667</v>
      </c>
      <c r="H66" t="s">
        <v>409</v>
      </c>
      <c r="I66">
        <v>383</v>
      </c>
      <c r="J66">
        <v>34</v>
      </c>
      <c r="K66" t="s">
        <v>411</v>
      </c>
      <c r="L66">
        <v>8221</v>
      </c>
      <c r="M66" t="s">
        <v>339</v>
      </c>
      <c r="N66" t="s">
        <v>414</v>
      </c>
      <c r="O66">
        <v>1</v>
      </c>
      <c r="P66">
        <v>2</v>
      </c>
      <c r="Q66">
        <v>-99</v>
      </c>
      <c r="R66" t="s">
        <v>689</v>
      </c>
    </row>
    <row r="67" spans="1:18" x14ac:dyDescent="0.2">
      <c r="A67">
        <v>66</v>
      </c>
      <c r="B67">
        <v>196</v>
      </c>
      <c r="C67" t="s">
        <v>173</v>
      </c>
      <c r="D67" t="s">
        <v>67</v>
      </c>
      <c r="E67" t="s">
        <v>601</v>
      </c>
      <c r="F67" t="s">
        <v>602</v>
      </c>
      <c r="G67" t="s">
        <v>667</v>
      </c>
      <c r="H67" t="s">
        <v>409</v>
      </c>
      <c r="I67">
        <v>383</v>
      </c>
      <c r="J67">
        <v>34</v>
      </c>
      <c r="K67" t="s">
        <v>411</v>
      </c>
      <c r="L67">
        <v>8202</v>
      </c>
      <c r="M67" t="s">
        <v>352</v>
      </c>
      <c r="N67" t="s">
        <v>433</v>
      </c>
      <c r="O67">
        <v>1</v>
      </c>
      <c r="P67">
        <v>2</v>
      </c>
      <c r="Q67">
        <v>-99</v>
      </c>
      <c r="R67" t="s">
        <v>689</v>
      </c>
    </row>
    <row r="68" spans="1:18" x14ac:dyDescent="0.2">
      <c r="A68">
        <v>67</v>
      </c>
      <c r="B68">
        <v>110</v>
      </c>
      <c r="C68" t="s">
        <v>174</v>
      </c>
      <c r="D68" t="s">
        <v>76</v>
      </c>
      <c r="E68" t="s">
        <v>603</v>
      </c>
      <c r="F68" t="s">
        <v>604</v>
      </c>
      <c r="G68" t="s">
        <v>667</v>
      </c>
      <c r="H68" t="s">
        <v>409</v>
      </c>
      <c r="I68">
        <v>383</v>
      </c>
      <c r="J68">
        <v>34</v>
      </c>
      <c r="K68" t="s">
        <v>411</v>
      </c>
      <c r="L68">
        <v>8203</v>
      </c>
      <c r="M68" t="s">
        <v>336</v>
      </c>
      <c r="N68" t="s">
        <v>83</v>
      </c>
      <c r="O68">
        <v>1</v>
      </c>
      <c r="P68">
        <v>1</v>
      </c>
      <c r="Q68">
        <v>-99</v>
      </c>
      <c r="R68" t="s">
        <v>689</v>
      </c>
    </row>
    <row r="69" spans="1:18" x14ac:dyDescent="0.2">
      <c r="A69">
        <v>68</v>
      </c>
      <c r="B69">
        <v>-99</v>
      </c>
      <c r="C69" t="s">
        <v>174</v>
      </c>
      <c r="D69" t="s">
        <v>76</v>
      </c>
      <c r="E69" t="s">
        <v>605</v>
      </c>
      <c r="F69" t="s">
        <v>606</v>
      </c>
      <c r="G69" t="s">
        <v>667</v>
      </c>
      <c r="H69" t="s">
        <v>409</v>
      </c>
      <c r="I69">
        <v>383</v>
      </c>
      <c r="J69">
        <v>34</v>
      </c>
      <c r="K69" t="s">
        <v>411</v>
      </c>
      <c r="L69">
        <v>8203</v>
      </c>
      <c r="M69" t="s">
        <v>336</v>
      </c>
      <c r="N69" t="s">
        <v>83</v>
      </c>
      <c r="O69">
        <v>-99</v>
      </c>
      <c r="P69">
        <v>1</v>
      </c>
      <c r="Q69">
        <v>-99</v>
      </c>
      <c r="R69" t="s">
        <v>405</v>
      </c>
    </row>
    <row r="70" spans="1:18" x14ac:dyDescent="0.2">
      <c r="A70">
        <v>69</v>
      </c>
      <c r="B70">
        <v>111</v>
      </c>
      <c r="C70" t="s">
        <v>175</v>
      </c>
      <c r="D70" t="s">
        <v>37</v>
      </c>
      <c r="E70" t="s">
        <v>607</v>
      </c>
      <c r="F70" t="s">
        <v>608</v>
      </c>
      <c r="G70" t="s">
        <v>667</v>
      </c>
      <c r="H70" t="s">
        <v>409</v>
      </c>
      <c r="I70">
        <v>383</v>
      </c>
      <c r="J70">
        <v>34</v>
      </c>
      <c r="K70" t="s">
        <v>411</v>
      </c>
      <c r="L70">
        <v>8204</v>
      </c>
      <c r="M70" t="s">
        <v>341</v>
      </c>
      <c r="N70" t="s">
        <v>415</v>
      </c>
      <c r="O70">
        <v>1</v>
      </c>
      <c r="P70">
        <v>2</v>
      </c>
      <c r="Q70">
        <v>-99</v>
      </c>
      <c r="R70" t="s">
        <v>689</v>
      </c>
    </row>
    <row r="71" spans="1:18" x14ac:dyDescent="0.2">
      <c r="A71">
        <v>70</v>
      </c>
      <c r="B71">
        <v>112</v>
      </c>
      <c r="C71" t="s">
        <v>176</v>
      </c>
      <c r="D71" t="s">
        <v>69</v>
      </c>
      <c r="E71" t="s">
        <v>609</v>
      </c>
      <c r="F71" t="s">
        <v>610</v>
      </c>
      <c r="G71" t="s">
        <v>667</v>
      </c>
      <c r="H71" t="s">
        <v>409</v>
      </c>
      <c r="I71">
        <v>383</v>
      </c>
      <c r="J71">
        <v>34</v>
      </c>
      <c r="K71" t="s">
        <v>411</v>
      </c>
      <c r="L71">
        <v>8205</v>
      </c>
      <c r="M71" t="s">
        <v>358</v>
      </c>
      <c r="N71" t="s">
        <v>416</v>
      </c>
      <c r="O71">
        <v>1</v>
      </c>
      <c r="P71">
        <v>2</v>
      </c>
      <c r="Q71">
        <v>-99</v>
      </c>
      <c r="R71" t="s">
        <v>689</v>
      </c>
    </row>
    <row r="72" spans="1:18" x14ac:dyDescent="0.2">
      <c r="A72">
        <v>71</v>
      </c>
      <c r="B72">
        <v>113</v>
      </c>
      <c r="C72" t="s">
        <v>177</v>
      </c>
      <c r="D72" t="s">
        <v>82</v>
      </c>
      <c r="E72" t="s">
        <v>611</v>
      </c>
      <c r="F72" t="s">
        <v>612</v>
      </c>
      <c r="G72" t="s">
        <v>665</v>
      </c>
      <c r="H72" t="s">
        <v>393</v>
      </c>
      <c r="I72">
        <v>382</v>
      </c>
      <c r="J72">
        <v>33</v>
      </c>
      <c r="K72" t="s">
        <v>392</v>
      </c>
      <c r="L72">
        <v>8206</v>
      </c>
      <c r="M72" t="s">
        <v>334</v>
      </c>
      <c r="N72" t="s">
        <v>417</v>
      </c>
      <c r="O72">
        <v>1</v>
      </c>
      <c r="P72">
        <v>2</v>
      </c>
      <c r="Q72">
        <v>-99</v>
      </c>
      <c r="R72" t="s">
        <v>689</v>
      </c>
    </row>
    <row r="73" spans="1:18" x14ac:dyDescent="0.2">
      <c r="A73">
        <v>72</v>
      </c>
      <c r="B73">
        <v>114</v>
      </c>
      <c r="C73" t="s">
        <v>178</v>
      </c>
      <c r="D73" t="s">
        <v>54</v>
      </c>
      <c r="E73" t="s">
        <v>613</v>
      </c>
      <c r="F73" t="s">
        <v>614</v>
      </c>
      <c r="G73" t="s">
        <v>665</v>
      </c>
      <c r="H73" t="s">
        <v>393</v>
      </c>
      <c r="I73">
        <v>382</v>
      </c>
      <c r="J73">
        <v>33</v>
      </c>
      <c r="K73" t="s">
        <v>392</v>
      </c>
      <c r="L73">
        <v>8207</v>
      </c>
      <c r="M73" t="s">
        <v>322</v>
      </c>
      <c r="N73" t="s">
        <v>418</v>
      </c>
      <c r="O73">
        <v>1</v>
      </c>
      <c r="P73">
        <v>2</v>
      </c>
      <c r="Q73">
        <v>-99</v>
      </c>
      <c r="R73" t="s">
        <v>689</v>
      </c>
    </row>
    <row r="74" spans="1:18" x14ac:dyDescent="0.2">
      <c r="A74">
        <v>73</v>
      </c>
      <c r="B74">
        <v>115</v>
      </c>
      <c r="C74" t="s">
        <v>179</v>
      </c>
      <c r="D74" t="s">
        <v>27</v>
      </c>
      <c r="E74" t="s">
        <v>615</v>
      </c>
      <c r="F74" t="s">
        <v>616</v>
      </c>
      <c r="G74" t="s">
        <v>665</v>
      </c>
      <c r="H74" t="s">
        <v>393</v>
      </c>
      <c r="I74">
        <v>382</v>
      </c>
      <c r="J74">
        <v>33</v>
      </c>
      <c r="K74" t="s">
        <v>392</v>
      </c>
      <c r="L74">
        <v>8208</v>
      </c>
      <c r="M74" t="s">
        <v>345</v>
      </c>
      <c r="N74" t="s">
        <v>419</v>
      </c>
      <c r="O74">
        <v>1</v>
      </c>
      <c r="P74">
        <v>2</v>
      </c>
      <c r="Q74">
        <v>-99</v>
      </c>
      <c r="R74" t="s">
        <v>689</v>
      </c>
    </row>
    <row r="75" spans="1:18" x14ac:dyDescent="0.2">
      <c r="A75">
        <v>74</v>
      </c>
      <c r="B75">
        <v>116</v>
      </c>
      <c r="C75" t="s">
        <v>180</v>
      </c>
      <c r="D75" t="s">
        <v>71</v>
      </c>
      <c r="E75" t="s">
        <v>617</v>
      </c>
      <c r="F75" t="s">
        <v>618</v>
      </c>
      <c r="G75" t="s">
        <v>667</v>
      </c>
      <c r="H75" t="s">
        <v>409</v>
      </c>
      <c r="I75">
        <v>383</v>
      </c>
      <c r="J75">
        <v>34</v>
      </c>
      <c r="K75" t="s">
        <v>411</v>
      </c>
      <c r="L75">
        <v>8210</v>
      </c>
      <c r="M75" t="s">
        <v>335</v>
      </c>
      <c r="N75" t="s">
        <v>420</v>
      </c>
      <c r="O75">
        <v>1</v>
      </c>
      <c r="P75">
        <v>2</v>
      </c>
      <c r="Q75">
        <v>-99</v>
      </c>
      <c r="R75" t="s">
        <v>689</v>
      </c>
    </row>
    <row r="76" spans="1:18" x14ac:dyDescent="0.2">
      <c r="A76">
        <v>75</v>
      </c>
      <c r="B76">
        <v>197</v>
      </c>
      <c r="C76" t="s">
        <v>181</v>
      </c>
      <c r="D76" t="s">
        <v>75</v>
      </c>
      <c r="E76" t="s">
        <v>619</v>
      </c>
      <c r="F76" t="s">
        <v>620</v>
      </c>
      <c r="G76" t="s">
        <v>664</v>
      </c>
      <c r="H76" t="s">
        <v>384</v>
      </c>
      <c r="I76">
        <v>381</v>
      </c>
      <c r="J76">
        <v>31</v>
      </c>
      <c r="K76" t="s">
        <v>387</v>
      </c>
      <c r="L76">
        <v>8211</v>
      </c>
      <c r="M76" t="s">
        <v>338</v>
      </c>
      <c r="N76" t="s">
        <v>434</v>
      </c>
      <c r="O76">
        <v>1</v>
      </c>
      <c r="P76">
        <v>2</v>
      </c>
      <c r="Q76">
        <v>-99</v>
      </c>
      <c r="R76" t="s">
        <v>689</v>
      </c>
    </row>
    <row r="77" spans="1:18" x14ac:dyDescent="0.2">
      <c r="A77">
        <v>76</v>
      </c>
      <c r="B77">
        <v>119</v>
      </c>
      <c r="C77" t="s">
        <v>182</v>
      </c>
      <c r="D77" t="s">
        <v>58</v>
      </c>
      <c r="E77" t="s">
        <v>621</v>
      </c>
      <c r="F77" t="s">
        <v>622</v>
      </c>
      <c r="G77" t="s">
        <v>667</v>
      </c>
      <c r="H77" t="s">
        <v>409</v>
      </c>
      <c r="I77">
        <v>383</v>
      </c>
      <c r="J77">
        <v>34</v>
      </c>
      <c r="K77" t="s">
        <v>411</v>
      </c>
      <c r="L77">
        <v>8223</v>
      </c>
      <c r="M77" t="s">
        <v>623</v>
      </c>
      <c r="N77" t="s">
        <v>624</v>
      </c>
      <c r="O77">
        <v>1</v>
      </c>
      <c r="P77">
        <v>2</v>
      </c>
      <c r="Q77">
        <v>-99</v>
      </c>
      <c r="R77" t="s">
        <v>689</v>
      </c>
    </row>
    <row r="78" spans="1:18" x14ac:dyDescent="0.2">
      <c r="A78">
        <v>77</v>
      </c>
      <c r="B78">
        <v>131</v>
      </c>
      <c r="C78" t="s">
        <v>183</v>
      </c>
      <c r="D78" t="s">
        <v>49</v>
      </c>
      <c r="E78" t="s">
        <v>625</v>
      </c>
      <c r="F78" t="s">
        <v>626</v>
      </c>
      <c r="G78" t="s">
        <v>665</v>
      </c>
      <c r="H78" t="s">
        <v>393</v>
      </c>
      <c r="I78">
        <v>382</v>
      </c>
      <c r="J78">
        <v>33</v>
      </c>
      <c r="K78" t="s">
        <v>392</v>
      </c>
      <c r="L78">
        <v>8226</v>
      </c>
      <c r="M78" t="s">
        <v>334</v>
      </c>
      <c r="N78" t="s">
        <v>417</v>
      </c>
      <c r="O78">
        <v>1</v>
      </c>
      <c r="P78">
        <v>2</v>
      </c>
      <c r="Q78">
        <v>-99</v>
      </c>
      <c r="R78" t="s">
        <v>689</v>
      </c>
    </row>
    <row r="79" spans="1:18" x14ac:dyDescent="0.2">
      <c r="A79">
        <v>78</v>
      </c>
      <c r="B79">
        <v>132</v>
      </c>
      <c r="C79" t="s">
        <v>676</v>
      </c>
      <c r="D79" t="s">
        <v>437</v>
      </c>
      <c r="E79" t="s">
        <v>627</v>
      </c>
      <c r="F79" t="s">
        <v>677</v>
      </c>
      <c r="G79" t="s">
        <v>664</v>
      </c>
      <c r="H79" t="s">
        <v>384</v>
      </c>
      <c r="I79">
        <v>381</v>
      </c>
      <c r="J79">
        <v>30</v>
      </c>
      <c r="K79" t="s">
        <v>376</v>
      </c>
      <c r="L79">
        <v>8229</v>
      </c>
      <c r="M79" t="s">
        <v>353</v>
      </c>
      <c r="N79" t="s">
        <v>421</v>
      </c>
      <c r="O79">
        <v>1</v>
      </c>
      <c r="P79">
        <v>2</v>
      </c>
      <c r="Q79">
        <v>-99</v>
      </c>
      <c r="R79" t="s">
        <v>689</v>
      </c>
    </row>
    <row r="80" spans="1:18" x14ac:dyDescent="0.2">
      <c r="A80">
        <v>79</v>
      </c>
      <c r="B80">
        <v>143</v>
      </c>
      <c r="C80" t="s">
        <v>184</v>
      </c>
      <c r="D80" t="s">
        <v>57</v>
      </c>
      <c r="E80" t="s">
        <v>628</v>
      </c>
      <c r="F80" t="s">
        <v>629</v>
      </c>
      <c r="G80" t="s">
        <v>663</v>
      </c>
      <c r="H80" t="s">
        <v>377</v>
      </c>
      <c r="I80">
        <v>380</v>
      </c>
      <c r="J80">
        <v>30</v>
      </c>
      <c r="K80" t="s">
        <v>376</v>
      </c>
      <c r="L80">
        <v>8230</v>
      </c>
      <c r="M80" t="s">
        <v>366</v>
      </c>
      <c r="N80" t="s">
        <v>422</v>
      </c>
      <c r="O80">
        <v>1</v>
      </c>
      <c r="P80">
        <v>2</v>
      </c>
      <c r="Q80">
        <v>-99</v>
      </c>
      <c r="R80" t="s">
        <v>689</v>
      </c>
    </row>
    <row r="81" spans="1:18" x14ac:dyDescent="0.2">
      <c r="A81">
        <v>80</v>
      </c>
      <c r="B81">
        <v>144</v>
      </c>
      <c r="C81" t="s">
        <v>678</v>
      </c>
      <c r="D81" t="s">
        <v>496</v>
      </c>
      <c r="E81" t="s">
        <v>678</v>
      </c>
      <c r="F81" t="s">
        <v>496</v>
      </c>
      <c r="G81" t="s">
        <v>675</v>
      </c>
      <c r="H81" t="s">
        <v>8</v>
      </c>
      <c r="I81">
        <v>-99</v>
      </c>
      <c r="J81">
        <v>35</v>
      </c>
      <c r="K81" t="s">
        <v>8</v>
      </c>
      <c r="L81">
        <v>8215</v>
      </c>
      <c r="M81" t="s">
        <v>346</v>
      </c>
      <c r="N81" t="s">
        <v>404</v>
      </c>
      <c r="O81">
        <v>1</v>
      </c>
      <c r="P81">
        <v>2</v>
      </c>
      <c r="Q81">
        <v>-99</v>
      </c>
      <c r="R81" t="s">
        <v>661</v>
      </c>
    </row>
    <row r="82" spans="1:18" x14ac:dyDescent="0.2">
      <c r="A82">
        <v>81</v>
      </c>
      <c r="B82">
        <v>145</v>
      </c>
      <c r="C82" t="s">
        <v>185</v>
      </c>
      <c r="D82" t="s">
        <v>74</v>
      </c>
      <c r="E82" t="s">
        <v>630</v>
      </c>
      <c r="F82" t="s">
        <v>631</v>
      </c>
      <c r="G82" t="s">
        <v>667</v>
      </c>
      <c r="H82" t="s">
        <v>409</v>
      </c>
      <c r="I82">
        <v>383</v>
      </c>
      <c r="J82">
        <v>34</v>
      </c>
      <c r="K82" t="s">
        <v>411</v>
      </c>
      <c r="L82">
        <v>8231</v>
      </c>
      <c r="M82" t="s">
        <v>339</v>
      </c>
      <c r="N82" t="s">
        <v>414</v>
      </c>
      <c r="O82">
        <v>1</v>
      </c>
      <c r="P82">
        <v>1</v>
      </c>
      <c r="Q82">
        <v>-99</v>
      </c>
      <c r="R82" t="s">
        <v>689</v>
      </c>
    </row>
    <row r="83" spans="1:18" x14ac:dyDescent="0.2">
      <c r="A83">
        <v>82</v>
      </c>
      <c r="B83">
        <v>-99</v>
      </c>
      <c r="C83" t="s">
        <v>185</v>
      </c>
      <c r="D83" t="s">
        <v>74</v>
      </c>
      <c r="E83" t="s">
        <v>632</v>
      </c>
      <c r="F83" t="s">
        <v>963</v>
      </c>
      <c r="G83" t="s">
        <v>667</v>
      </c>
      <c r="H83" t="s">
        <v>409</v>
      </c>
      <c r="I83">
        <v>383</v>
      </c>
      <c r="J83">
        <v>34</v>
      </c>
      <c r="K83" t="s">
        <v>411</v>
      </c>
      <c r="L83">
        <v>8231</v>
      </c>
      <c r="M83" t="s">
        <v>339</v>
      </c>
      <c r="N83" t="s">
        <v>414</v>
      </c>
      <c r="O83">
        <v>-99</v>
      </c>
      <c r="P83">
        <v>1</v>
      </c>
      <c r="Q83">
        <v>-99</v>
      </c>
      <c r="R83" t="s">
        <v>687</v>
      </c>
    </row>
    <row r="84" spans="1:18" x14ac:dyDescent="0.2">
      <c r="A84">
        <v>83</v>
      </c>
      <c r="B84">
        <v>151</v>
      </c>
      <c r="C84" t="s">
        <v>679</v>
      </c>
      <c r="D84" t="s">
        <v>1064</v>
      </c>
      <c r="E84" t="s">
        <v>679</v>
      </c>
      <c r="F84" t="s">
        <v>497</v>
      </c>
      <c r="G84" t="s">
        <v>675</v>
      </c>
      <c r="H84" t="s">
        <v>8</v>
      </c>
      <c r="I84">
        <v>380</v>
      </c>
      <c r="J84">
        <v>35</v>
      </c>
      <c r="K84" t="s">
        <v>8</v>
      </c>
      <c r="L84">
        <v>3180155</v>
      </c>
      <c r="M84" t="s">
        <v>353</v>
      </c>
      <c r="N84" t="s">
        <v>421</v>
      </c>
      <c r="O84">
        <v>1</v>
      </c>
      <c r="P84">
        <v>2</v>
      </c>
      <c r="Q84">
        <v>-99</v>
      </c>
      <c r="R84" t="s">
        <v>661</v>
      </c>
    </row>
    <row r="85" spans="1:18" x14ac:dyDescent="0.2">
      <c r="A85">
        <v>84</v>
      </c>
      <c r="B85">
        <v>152</v>
      </c>
      <c r="C85" t="s">
        <v>186</v>
      </c>
      <c r="D85" t="s">
        <v>81</v>
      </c>
      <c r="E85" t="s">
        <v>633</v>
      </c>
      <c r="F85" t="s">
        <v>634</v>
      </c>
      <c r="G85" t="s">
        <v>663</v>
      </c>
      <c r="H85" t="s">
        <v>377</v>
      </c>
      <c r="I85">
        <v>380</v>
      </c>
      <c r="J85">
        <v>30</v>
      </c>
      <c r="K85" t="s">
        <v>376</v>
      </c>
      <c r="L85">
        <v>8234</v>
      </c>
      <c r="M85" t="s">
        <v>359</v>
      </c>
      <c r="N85" t="s">
        <v>423</v>
      </c>
      <c r="O85">
        <v>1</v>
      </c>
      <c r="P85">
        <v>2</v>
      </c>
      <c r="Q85">
        <v>-99</v>
      </c>
      <c r="R85" t="s">
        <v>689</v>
      </c>
    </row>
    <row r="86" spans="1:18" x14ac:dyDescent="0.2">
      <c r="A86">
        <v>85</v>
      </c>
      <c r="B86">
        <v>153</v>
      </c>
      <c r="C86" t="s">
        <v>92</v>
      </c>
      <c r="D86" t="s">
        <v>141</v>
      </c>
      <c r="E86" t="s">
        <v>635</v>
      </c>
      <c r="F86" t="s">
        <v>636</v>
      </c>
      <c r="G86" t="s">
        <v>663</v>
      </c>
      <c r="H86" t="s">
        <v>377</v>
      </c>
      <c r="I86">
        <v>380</v>
      </c>
      <c r="J86">
        <v>30</v>
      </c>
      <c r="K86" t="s">
        <v>376</v>
      </c>
      <c r="L86">
        <v>8236</v>
      </c>
      <c r="M86" t="s">
        <v>372</v>
      </c>
      <c r="N86" t="s">
        <v>424</v>
      </c>
      <c r="O86">
        <v>1</v>
      </c>
      <c r="P86">
        <v>2</v>
      </c>
      <c r="Q86">
        <v>-99</v>
      </c>
      <c r="R86" t="s">
        <v>689</v>
      </c>
    </row>
    <row r="87" spans="1:18" x14ac:dyDescent="0.2">
      <c r="A87">
        <v>86</v>
      </c>
      <c r="B87">
        <v>154</v>
      </c>
      <c r="C87" t="s">
        <v>188</v>
      </c>
      <c r="D87" t="s">
        <v>187</v>
      </c>
      <c r="E87" t="s">
        <v>637</v>
      </c>
      <c r="F87" t="s">
        <v>638</v>
      </c>
      <c r="G87" t="s">
        <v>667</v>
      </c>
      <c r="H87" t="s">
        <v>409</v>
      </c>
      <c r="I87">
        <v>383</v>
      </c>
      <c r="J87">
        <v>33</v>
      </c>
      <c r="K87" t="s">
        <v>392</v>
      </c>
      <c r="L87">
        <v>8265</v>
      </c>
      <c r="M87" t="s">
        <v>365</v>
      </c>
      <c r="N87" t="s">
        <v>425</v>
      </c>
      <c r="O87">
        <v>1</v>
      </c>
      <c r="P87">
        <v>2</v>
      </c>
      <c r="Q87">
        <v>-99</v>
      </c>
      <c r="R87" t="s">
        <v>689</v>
      </c>
    </row>
    <row r="88" spans="1:18" x14ac:dyDescent="0.2">
      <c r="A88">
        <v>87</v>
      </c>
      <c r="B88">
        <v>155</v>
      </c>
      <c r="C88" t="s">
        <v>189</v>
      </c>
      <c r="D88" t="s">
        <v>46</v>
      </c>
      <c r="E88" t="s">
        <v>639</v>
      </c>
      <c r="F88" t="s">
        <v>640</v>
      </c>
      <c r="G88" t="s">
        <v>665</v>
      </c>
      <c r="H88" t="s">
        <v>393</v>
      </c>
      <c r="I88">
        <v>382</v>
      </c>
      <c r="J88">
        <v>32</v>
      </c>
      <c r="K88" t="s">
        <v>397</v>
      </c>
      <c r="L88">
        <v>8266</v>
      </c>
      <c r="M88" t="s">
        <v>330</v>
      </c>
      <c r="N88" t="s">
        <v>426</v>
      </c>
      <c r="O88">
        <v>1</v>
      </c>
      <c r="P88">
        <v>2</v>
      </c>
      <c r="Q88">
        <v>-99</v>
      </c>
      <c r="R88" t="s">
        <v>689</v>
      </c>
    </row>
    <row r="89" spans="1:18" x14ac:dyDescent="0.2">
      <c r="A89">
        <v>88</v>
      </c>
      <c r="B89">
        <v>156</v>
      </c>
      <c r="C89" t="s">
        <v>190</v>
      </c>
      <c r="D89" t="s">
        <v>77</v>
      </c>
      <c r="E89" t="s">
        <v>641</v>
      </c>
      <c r="F89" t="s">
        <v>642</v>
      </c>
      <c r="G89" t="s">
        <v>665</v>
      </c>
      <c r="H89" t="s">
        <v>393</v>
      </c>
      <c r="I89">
        <v>382</v>
      </c>
      <c r="J89">
        <v>32</v>
      </c>
      <c r="K89" t="s">
        <v>397</v>
      </c>
      <c r="L89">
        <v>8267</v>
      </c>
      <c r="M89" t="s">
        <v>348</v>
      </c>
      <c r="N89" t="s">
        <v>427</v>
      </c>
      <c r="O89">
        <v>1</v>
      </c>
      <c r="P89">
        <v>2</v>
      </c>
      <c r="Q89">
        <v>-99</v>
      </c>
      <c r="R89" t="s">
        <v>689</v>
      </c>
    </row>
    <row r="90" spans="1:18" x14ac:dyDescent="0.2">
      <c r="A90">
        <v>89</v>
      </c>
      <c r="B90">
        <v>157</v>
      </c>
      <c r="C90" t="s">
        <v>680</v>
      </c>
      <c r="D90" t="s">
        <v>39</v>
      </c>
      <c r="E90" t="s">
        <v>643</v>
      </c>
      <c r="F90" t="s">
        <v>644</v>
      </c>
      <c r="G90" t="s">
        <v>667</v>
      </c>
      <c r="H90" t="s">
        <v>409</v>
      </c>
      <c r="I90">
        <v>383</v>
      </c>
      <c r="J90">
        <v>33</v>
      </c>
      <c r="K90" t="s">
        <v>392</v>
      </c>
      <c r="L90">
        <v>8271</v>
      </c>
      <c r="M90" t="s">
        <v>326</v>
      </c>
      <c r="N90" t="s">
        <v>428</v>
      </c>
      <c r="O90">
        <v>1</v>
      </c>
      <c r="P90">
        <v>2</v>
      </c>
      <c r="Q90">
        <v>-99</v>
      </c>
      <c r="R90" t="s">
        <v>689</v>
      </c>
    </row>
    <row r="91" spans="1:18" x14ac:dyDescent="0.2">
      <c r="A91">
        <v>90</v>
      </c>
      <c r="B91">
        <v>158</v>
      </c>
      <c r="C91" t="s">
        <v>191</v>
      </c>
      <c r="D91" t="s">
        <v>84</v>
      </c>
      <c r="E91" t="s">
        <v>645</v>
      </c>
      <c r="F91" t="s">
        <v>646</v>
      </c>
      <c r="G91" t="s">
        <v>665</v>
      </c>
      <c r="H91" t="s">
        <v>393</v>
      </c>
      <c r="I91">
        <v>382</v>
      </c>
      <c r="J91">
        <v>32</v>
      </c>
      <c r="K91" t="s">
        <v>397</v>
      </c>
      <c r="L91">
        <v>8209</v>
      </c>
      <c r="M91" t="s">
        <v>371</v>
      </c>
      <c r="N91" t="s">
        <v>429</v>
      </c>
      <c r="O91">
        <v>1</v>
      </c>
      <c r="P91">
        <v>2</v>
      </c>
      <c r="Q91">
        <v>-99</v>
      </c>
      <c r="R91" t="s">
        <v>689</v>
      </c>
    </row>
    <row r="92" spans="1:18" x14ac:dyDescent="0.2">
      <c r="A92">
        <v>91</v>
      </c>
      <c r="B92">
        <v>198</v>
      </c>
      <c r="C92" t="s">
        <v>192</v>
      </c>
      <c r="D92" t="s">
        <v>48</v>
      </c>
      <c r="E92" t="s">
        <v>647</v>
      </c>
      <c r="F92" t="s">
        <v>648</v>
      </c>
      <c r="G92" t="s">
        <v>667</v>
      </c>
      <c r="H92" t="s">
        <v>409</v>
      </c>
      <c r="I92">
        <v>383</v>
      </c>
      <c r="J92">
        <v>34</v>
      </c>
      <c r="K92" t="s">
        <v>411</v>
      </c>
      <c r="L92">
        <v>8224</v>
      </c>
      <c r="M92" t="s">
        <v>368</v>
      </c>
      <c r="N92" t="s">
        <v>435</v>
      </c>
      <c r="O92">
        <v>1</v>
      </c>
      <c r="P92">
        <v>2</v>
      </c>
      <c r="Q92">
        <v>-99</v>
      </c>
      <c r="R92" t="s">
        <v>689</v>
      </c>
    </row>
    <row r="93" spans="1:18" x14ac:dyDescent="0.2">
      <c r="A93">
        <v>92</v>
      </c>
      <c r="B93">
        <v>161</v>
      </c>
      <c r="C93" t="s">
        <v>193</v>
      </c>
      <c r="D93" t="s">
        <v>85</v>
      </c>
      <c r="E93" t="s">
        <v>649</v>
      </c>
      <c r="F93" t="s">
        <v>650</v>
      </c>
      <c r="G93" t="s">
        <v>663</v>
      </c>
      <c r="H93" t="s">
        <v>377</v>
      </c>
      <c r="I93">
        <v>380</v>
      </c>
      <c r="J93">
        <v>30</v>
      </c>
      <c r="K93" t="s">
        <v>376</v>
      </c>
      <c r="L93">
        <v>8225</v>
      </c>
      <c r="M93" t="s">
        <v>331</v>
      </c>
      <c r="N93" t="s">
        <v>430</v>
      </c>
      <c r="O93">
        <v>1</v>
      </c>
      <c r="P93">
        <v>2</v>
      </c>
      <c r="Q93">
        <v>-99</v>
      </c>
      <c r="R93" t="s">
        <v>689</v>
      </c>
    </row>
    <row r="94" spans="1:18" x14ac:dyDescent="0.2">
      <c r="A94">
        <v>93</v>
      </c>
      <c r="B94">
        <v>162</v>
      </c>
      <c r="C94" t="s">
        <v>194</v>
      </c>
      <c r="D94" t="s">
        <v>35</v>
      </c>
      <c r="E94" t="s">
        <v>651</v>
      </c>
      <c r="F94" t="s">
        <v>652</v>
      </c>
      <c r="G94" t="s">
        <v>667</v>
      </c>
      <c r="H94" t="s">
        <v>409</v>
      </c>
      <c r="I94">
        <v>383</v>
      </c>
      <c r="J94">
        <v>34</v>
      </c>
      <c r="K94" t="s">
        <v>411</v>
      </c>
      <c r="L94">
        <v>8227</v>
      </c>
      <c r="M94" t="s">
        <v>484</v>
      </c>
      <c r="N94" t="s">
        <v>431</v>
      </c>
      <c r="O94">
        <v>1</v>
      </c>
      <c r="P94">
        <v>2</v>
      </c>
      <c r="Q94">
        <v>-99</v>
      </c>
      <c r="R94" t="s">
        <v>689</v>
      </c>
    </row>
    <row r="95" spans="1:18" x14ac:dyDescent="0.2">
      <c r="A95">
        <v>94</v>
      </c>
      <c r="B95">
        <v>-99</v>
      </c>
      <c r="C95" t="s">
        <v>681</v>
      </c>
      <c r="D95" t="s">
        <v>8</v>
      </c>
      <c r="E95" t="s">
        <v>682</v>
      </c>
      <c r="F95" t="s">
        <v>230</v>
      </c>
      <c r="G95" t="s">
        <v>661</v>
      </c>
      <c r="H95" t="s">
        <v>8</v>
      </c>
      <c r="I95">
        <v>-99</v>
      </c>
      <c r="J95">
        <v>-99</v>
      </c>
      <c r="K95" t="s">
        <v>8</v>
      </c>
      <c r="L95">
        <v>-99</v>
      </c>
      <c r="M95" t="s">
        <v>661</v>
      </c>
      <c r="N95" t="s">
        <v>661</v>
      </c>
      <c r="O95">
        <v>-99</v>
      </c>
      <c r="P95">
        <v>-99</v>
      </c>
      <c r="Q95">
        <v>-99</v>
      </c>
      <c r="R95" t="s">
        <v>214</v>
      </c>
    </row>
    <row r="96" spans="1:18" x14ac:dyDescent="0.2">
      <c r="A96">
        <v>95</v>
      </c>
      <c r="B96">
        <v>-99</v>
      </c>
      <c r="C96" t="s">
        <v>681</v>
      </c>
      <c r="D96" t="s">
        <v>8</v>
      </c>
      <c r="E96" t="s">
        <v>683</v>
      </c>
      <c r="F96" t="s">
        <v>314</v>
      </c>
      <c r="G96" t="s">
        <v>661</v>
      </c>
      <c r="H96" t="s">
        <v>8</v>
      </c>
      <c r="I96">
        <v>-99</v>
      </c>
      <c r="J96">
        <v>-99</v>
      </c>
      <c r="K96" t="s">
        <v>8</v>
      </c>
      <c r="L96">
        <v>-99</v>
      </c>
      <c r="M96" t="s">
        <v>661</v>
      </c>
      <c r="N96" t="s">
        <v>661</v>
      </c>
      <c r="O96">
        <v>-99</v>
      </c>
      <c r="P96">
        <v>-99</v>
      </c>
      <c r="Q96">
        <v>-99</v>
      </c>
      <c r="R96" t="s">
        <v>686</v>
      </c>
    </row>
    <row r="97" spans="1:18" x14ac:dyDescent="0.2">
      <c r="A97">
        <v>96</v>
      </c>
      <c r="B97">
        <v>-99</v>
      </c>
      <c r="C97" t="s">
        <v>681</v>
      </c>
      <c r="D97" t="s">
        <v>8</v>
      </c>
      <c r="E97" t="s">
        <v>684</v>
      </c>
      <c r="F97" t="s">
        <v>313</v>
      </c>
      <c r="G97" t="s">
        <v>661</v>
      </c>
      <c r="H97" t="s">
        <v>8</v>
      </c>
      <c r="I97">
        <v>-99</v>
      </c>
      <c r="J97">
        <v>-99</v>
      </c>
      <c r="K97" t="s">
        <v>8</v>
      </c>
      <c r="L97">
        <v>-99</v>
      </c>
      <c r="M97" t="s">
        <v>661</v>
      </c>
      <c r="N97" t="s">
        <v>661</v>
      </c>
      <c r="O97">
        <v>-99</v>
      </c>
      <c r="P97">
        <v>-99</v>
      </c>
      <c r="Q97">
        <v>-99</v>
      </c>
      <c r="R97" t="s">
        <v>687</v>
      </c>
    </row>
    <row r="98" spans="1:18" x14ac:dyDescent="0.2">
      <c r="A98">
        <v>97</v>
      </c>
      <c r="B98">
        <v>-99</v>
      </c>
      <c r="C98" t="s">
        <v>673</v>
      </c>
      <c r="D98" t="s">
        <v>1063</v>
      </c>
      <c r="E98" t="s">
        <v>673</v>
      </c>
      <c r="F98" t="s">
        <v>1063</v>
      </c>
      <c r="G98" t="s">
        <v>661</v>
      </c>
      <c r="H98" t="s">
        <v>661</v>
      </c>
      <c r="I98">
        <v>-99</v>
      </c>
      <c r="J98">
        <v>35</v>
      </c>
      <c r="K98" t="s">
        <v>8</v>
      </c>
      <c r="L98">
        <v>-99</v>
      </c>
      <c r="M98" t="s">
        <v>661</v>
      </c>
      <c r="N98" t="s">
        <v>661</v>
      </c>
      <c r="O98">
        <v>-99</v>
      </c>
      <c r="P98">
        <v>-99</v>
      </c>
      <c r="Q98">
        <v>3</v>
      </c>
      <c r="R98" t="s">
        <v>661</v>
      </c>
    </row>
    <row r="99" spans="1:18" x14ac:dyDescent="0.2">
      <c r="A99">
        <v>98</v>
      </c>
      <c r="B99">
        <v>-99</v>
      </c>
      <c r="C99" t="s">
        <v>681</v>
      </c>
      <c r="D99" t="s">
        <v>8</v>
      </c>
      <c r="E99" t="s">
        <v>692</v>
      </c>
      <c r="F99" t="s">
        <v>693</v>
      </c>
      <c r="G99" t="s">
        <v>661</v>
      </c>
      <c r="H99" t="s">
        <v>8</v>
      </c>
      <c r="I99">
        <v>-99</v>
      </c>
      <c r="J99">
        <v>-99</v>
      </c>
      <c r="K99" t="s">
        <v>8</v>
      </c>
      <c r="L99">
        <v>-99</v>
      </c>
      <c r="M99" t="s">
        <v>661</v>
      </c>
      <c r="N99" t="s">
        <v>661</v>
      </c>
      <c r="O99">
        <v>-99</v>
      </c>
      <c r="P99">
        <v>-99</v>
      </c>
      <c r="Q99">
        <v>-99</v>
      </c>
      <c r="R99" t="s">
        <v>689</v>
      </c>
    </row>
    <row r="100" spans="1:18" x14ac:dyDescent="0.2">
      <c r="A100">
        <v>99</v>
      </c>
      <c r="B100">
        <v>250</v>
      </c>
      <c r="C100" t="s">
        <v>661</v>
      </c>
      <c r="D100" t="s">
        <v>35</v>
      </c>
      <c r="E100" t="s">
        <v>728</v>
      </c>
      <c r="F100" t="s">
        <v>694</v>
      </c>
      <c r="G100" t="s">
        <v>661</v>
      </c>
      <c r="H100" t="s">
        <v>409</v>
      </c>
      <c r="I100">
        <v>-99</v>
      </c>
      <c r="J100">
        <v>-99</v>
      </c>
      <c r="K100" t="s">
        <v>411</v>
      </c>
      <c r="L100">
        <v>-99</v>
      </c>
      <c r="M100" t="s">
        <v>661</v>
      </c>
      <c r="N100" t="s">
        <v>661</v>
      </c>
      <c r="O100">
        <v>-99</v>
      </c>
      <c r="P100">
        <v>-99</v>
      </c>
      <c r="Q100">
        <v>-99</v>
      </c>
      <c r="R100" t="s">
        <v>695</v>
      </c>
    </row>
    <row r="101" spans="1:18" x14ac:dyDescent="0.2">
      <c r="A101">
        <v>100</v>
      </c>
      <c r="B101">
        <v>256</v>
      </c>
      <c r="C101" t="s">
        <v>661</v>
      </c>
      <c r="D101" t="s">
        <v>218</v>
      </c>
      <c r="E101" t="s">
        <v>729</v>
      </c>
      <c r="F101" t="s">
        <v>696</v>
      </c>
      <c r="G101" t="s">
        <v>661</v>
      </c>
      <c r="H101" t="s">
        <v>393</v>
      </c>
      <c r="I101">
        <v>-99</v>
      </c>
      <c r="J101">
        <v>-99</v>
      </c>
      <c r="K101" t="s">
        <v>397</v>
      </c>
      <c r="L101">
        <v>-99</v>
      </c>
      <c r="M101" t="s">
        <v>661</v>
      </c>
      <c r="N101" t="s">
        <v>661</v>
      </c>
      <c r="O101">
        <v>-99</v>
      </c>
      <c r="P101">
        <v>-99</v>
      </c>
      <c r="Q101">
        <v>-99</v>
      </c>
      <c r="R101" t="s">
        <v>695</v>
      </c>
    </row>
    <row r="102" spans="1:18" x14ac:dyDescent="0.2">
      <c r="A102">
        <v>101</v>
      </c>
      <c r="B102">
        <v>257</v>
      </c>
      <c r="C102" t="s">
        <v>661</v>
      </c>
      <c r="D102" t="s">
        <v>215</v>
      </c>
      <c r="E102" t="s">
        <v>730</v>
      </c>
      <c r="F102" t="s">
        <v>697</v>
      </c>
      <c r="G102" t="s">
        <v>661</v>
      </c>
      <c r="H102" t="s">
        <v>393</v>
      </c>
      <c r="I102">
        <v>-99</v>
      </c>
      <c r="J102">
        <v>-99</v>
      </c>
      <c r="K102" t="s">
        <v>397</v>
      </c>
      <c r="L102">
        <v>-99</v>
      </c>
      <c r="M102" t="s">
        <v>661</v>
      </c>
      <c r="N102" t="s">
        <v>661</v>
      </c>
      <c r="O102">
        <v>-99</v>
      </c>
      <c r="P102">
        <v>-99</v>
      </c>
      <c r="Q102">
        <v>-99</v>
      </c>
      <c r="R102" t="s">
        <v>695</v>
      </c>
    </row>
    <row r="103" spans="1:18" x14ac:dyDescent="0.2">
      <c r="A103">
        <v>102</v>
      </c>
      <c r="B103">
        <v>258</v>
      </c>
      <c r="C103" t="s">
        <v>661</v>
      </c>
      <c r="D103" t="s">
        <v>216</v>
      </c>
      <c r="E103" t="s">
        <v>731</v>
      </c>
      <c r="F103" t="s">
        <v>698</v>
      </c>
      <c r="G103" t="s">
        <v>661</v>
      </c>
      <c r="H103" t="s">
        <v>377</v>
      </c>
      <c r="I103">
        <v>-99</v>
      </c>
      <c r="J103">
        <v>-99</v>
      </c>
      <c r="K103" t="s">
        <v>376</v>
      </c>
      <c r="L103">
        <v>-99</v>
      </c>
      <c r="M103" t="s">
        <v>661</v>
      </c>
      <c r="N103" t="s">
        <v>661</v>
      </c>
      <c r="O103">
        <v>-99</v>
      </c>
      <c r="P103">
        <v>-99</v>
      </c>
      <c r="Q103">
        <v>-99</v>
      </c>
      <c r="R103" t="s">
        <v>695</v>
      </c>
    </row>
    <row r="104" spans="1:18" x14ac:dyDescent="0.2">
      <c r="A104">
        <v>103</v>
      </c>
      <c r="B104">
        <v>259</v>
      </c>
      <c r="C104" t="s">
        <v>661</v>
      </c>
      <c r="D104" t="s">
        <v>141</v>
      </c>
      <c r="E104" t="s">
        <v>732</v>
      </c>
      <c r="F104" t="s">
        <v>699</v>
      </c>
      <c r="G104" t="s">
        <v>661</v>
      </c>
      <c r="H104" t="s">
        <v>377</v>
      </c>
      <c r="I104">
        <v>-99</v>
      </c>
      <c r="J104">
        <v>-99</v>
      </c>
      <c r="K104" t="s">
        <v>376</v>
      </c>
      <c r="L104">
        <v>-99</v>
      </c>
      <c r="M104" t="s">
        <v>661</v>
      </c>
      <c r="N104" t="s">
        <v>661</v>
      </c>
      <c r="O104">
        <v>-99</v>
      </c>
      <c r="P104">
        <v>-99</v>
      </c>
      <c r="Q104">
        <v>-99</v>
      </c>
      <c r="R104" t="s">
        <v>695</v>
      </c>
    </row>
    <row r="105" spans="1:18" x14ac:dyDescent="0.2">
      <c r="A105">
        <v>104</v>
      </c>
      <c r="B105">
        <v>260</v>
      </c>
      <c r="C105" t="s">
        <v>661</v>
      </c>
      <c r="D105" t="s">
        <v>49</v>
      </c>
      <c r="E105" t="s">
        <v>733</v>
      </c>
      <c r="F105" t="s">
        <v>700</v>
      </c>
      <c r="G105" t="s">
        <v>661</v>
      </c>
      <c r="H105" t="s">
        <v>393</v>
      </c>
      <c r="I105">
        <v>-99</v>
      </c>
      <c r="J105">
        <v>-99</v>
      </c>
      <c r="K105" t="s">
        <v>392</v>
      </c>
      <c r="L105">
        <v>-99</v>
      </c>
      <c r="M105" t="s">
        <v>661</v>
      </c>
      <c r="N105" t="s">
        <v>661</v>
      </c>
      <c r="O105">
        <v>-99</v>
      </c>
      <c r="P105">
        <v>-99</v>
      </c>
      <c r="Q105">
        <v>-99</v>
      </c>
      <c r="R105" t="s">
        <v>695</v>
      </c>
    </row>
    <row r="106" spans="1:18" x14ac:dyDescent="0.2">
      <c r="A106">
        <v>105</v>
      </c>
      <c r="B106">
        <v>261</v>
      </c>
      <c r="C106" t="s">
        <v>661</v>
      </c>
      <c r="D106" t="s">
        <v>68</v>
      </c>
      <c r="E106" t="s">
        <v>734</v>
      </c>
      <c r="F106" t="s">
        <v>701</v>
      </c>
      <c r="G106" t="s">
        <v>661</v>
      </c>
      <c r="H106" t="s">
        <v>377</v>
      </c>
      <c r="I106">
        <v>-99</v>
      </c>
      <c r="J106">
        <v>-99</v>
      </c>
      <c r="K106" t="s">
        <v>376</v>
      </c>
      <c r="L106">
        <v>-99</v>
      </c>
      <c r="M106" t="s">
        <v>661</v>
      </c>
      <c r="N106" t="s">
        <v>661</v>
      </c>
      <c r="O106">
        <v>-99</v>
      </c>
      <c r="P106">
        <v>-99</v>
      </c>
      <c r="Q106">
        <v>-99</v>
      </c>
      <c r="R106" t="s">
        <v>695</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470</v>
      </c>
      <c r="B1" t="s">
        <v>464</v>
      </c>
      <c r="C1" t="s">
        <v>471</v>
      </c>
      <c r="D1" t="s">
        <v>472</v>
      </c>
      <c r="E1" t="s">
        <v>499</v>
      </c>
    </row>
    <row r="2" spans="1:5" x14ac:dyDescent="0.2">
      <c r="A2" t="s">
        <v>332</v>
      </c>
      <c r="B2" t="s">
        <v>378</v>
      </c>
      <c r="C2" t="s">
        <v>378</v>
      </c>
      <c r="D2" t="s">
        <v>473</v>
      </c>
      <c r="E2" t="s">
        <v>376</v>
      </c>
    </row>
    <row r="3" spans="1:5" x14ac:dyDescent="0.2">
      <c r="A3" t="s">
        <v>364</v>
      </c>
      <c r="B3" t="s">
        <v>381</v>
      </c>
      <c r="C3" t="s">
        <v>381</v>
      </c>
      <c r="D3" t="s">
        <v>473</v>
      </c>
      <c r="E3" t="s">
        <v>376</v>
      </c>
    </row>
    <row r="4" spans="1:5" x14ac:dyDescent="0.2">
      <c r="A4" t="s">
        <v>359</v>
      </c>
      <c r="B4" t="s">
        <v>423</v>
      </c>
      <c r="C4" t="s">
        <v>423</v>
      </c>
      <c r="D4" t="s">
        <v>473</v>
      </c>
      <c r="E4" t="s">
        <v>376</v>
      </c>
    </row>
    <row r="5" spans="1:5" x14ac:dyDescent="0.2">
      <c r="A5" t="s">
        <v>338</v>
      </c>
      <c r="B5" t="s">
        <v>434</v>
      </c>
      <c r="C5" t="s">
        <v>434</v>
      </c>
      <c r="D5" t="s">
        <v>474</v>
      </c>
      <c r="E5" t="s">
        <v>387</v>
      </c>
    </row>
    <row r="6" spans="1:5" x14ac:dyDescent="0.2">
      <c r="A6" t="s">
        <v>362</v>
      </c>
      <c r="B6" t="s">
        <v>396</v>
      </c>
      <c r="C6" t="s">
        <v>396</v>
      </c>
      <c r="D6" t="s">
        <v>474</v>
      </c>
      <c r="E6" t="s">
        <v>392</v>
      </c>
    </row>
    <row r="7" spans="1:5" x14ac:dyDescent="0.2">
      <c r="A7" t="s">
        <v>365</v>
      </c>
      <c r="B7" t="s">
        <v>425</v>
      </c>
      <c r="C7" t="s">
        <v>425</v>
      </c>
      <c r="D7" t="s">
        <v>476</v>
      </c>
      <c r="E7" t="s">
        <v>392</v>
      </c>
    </row>
    <row r="8" spans="1:5" x14ac:dyDescent="0.2">
      <c r="A8" t="s">
        <v>340</v>
      </c>
      <c r="B8" t="s">
        <v>408</v>
      </c>
      <c r="C8" t="s">
        <v>408</v>
      </c>
      <c r="D8" t="s">
        <v>477</v>
      </c>
      <c r="E8" t="s">
        <v>397</v>
      </c>
    </row>
    <row r="9" spans="1:5" x14ac:dyDescent="0.2">
      <c r="A9" t="s">
        <v>357</v>
      </c>
      <c r="B9" t="s">
        <v>410</v>
      </c>
      <c r="C9" t="s">
        <v>410</v>
      </c>
      <c r="D9" t="s">
        <v>476</v>
      </c>
      <c r="E9" t="s">
        <v>392</v>
      </c>
    </row>
    <row r="10" spans="1:5" x14ac:dyDescent="0.2">
      <c r="A10" t="s">
        <v>485</v>
      </c>
      <c r="B10" t="s">
        <v>486</v>
      </c>
      <c r="C10" t="s">
        <v>315</v>
      </c>
      <c r="D10" t="s">
        <v>461</v>
      </c>
      <c r="E10" t="s">
        <v>8</v>
      </c>
    </row>
    <row r="11" spans="1:5" x14ac:dyDescent="0.2">
      <c r="A11" t="s">
        <v>366</v>
      </c>
      <c r="B11" t="s">
        <v>422</v>
      </c>
      <c r="C11" t="s">
        <v>422</v>
      </c>
      <c r="D11" t="s">
        <v>473</v>
      </c>
      <c r="E11" t="s">
        <v>376</v>
      </c>
    </row>
    <row r="12" spans="1:5" x14ac:dyDescent="0.2">
      <c r="A12" t="s">
        <v>344</v>
      </c>
      <c r="B12" t="s">
        <v>386</v>
      </c>
      <c r="C12" t="s">
        <v>386</v>
      </c>
      <c r="D12" t="s">
        <v>474</v>
      </c>
      <c r="E12" t="s">
        <v>376</v>
      </c>
    </row>
    <row r="13" spans="1:5" x14ac:dyDescent="0.2">
      <c r="A13" t="s">
        <v>349</v>
      </c>
      <c r="B13" t="s">
        <v>383</v>
      </c>
      <c r="C13" t="s">
        <v>383</v>
      </c>
      <c r="D13" t="s">
        <v>473</v>
      </c>
      <c r="E13" t="s">
        <v>376</v>
      </c>
    </row>
    <row r="14" spans="1:5" x14ac:dyDescent="0.2">
      <c r="A14" t="s">
        <v>347</v>
      </c>
      <c r="B14" t="s">
        <v>390</v>
      </c>
      <c r="C14" t="s">
        <v>390</v>
      </c>
      <c r="D14" t="s">
        <v>474</v>
      </c>
      <c r="E14" t="s">
        <v>387</v>
      </c>
    </row>
    <row r="15" spans="1:5" x14ac:dyDescent="0.2">
      <c r="A15" t="s">
        <v>337</v>
      </c>
      <c r="B15" t="s">
        <v>399</v>
      </c>
      <c r="C15" t="s">
        <v>399</v>
      </c>
      <c r="D15" t="s">
        <v>473</v>
      </c>
      <c r="E15" t="s">
        <v>397</v>
      </c>
    </row>
    <row r="16" spans="1:5" x14ac:dyDescent="0.2">
      <c r="A16" t="s">
        <v>351</v>
      </c>
      <c r="B16" t="s">
        <v>413</v>
      </c>
      <c r="C16" t="s">
        <v>413</v>
      </c>
      <c r="D16" t="s">
        <v>476</v>
      </c>
      <c r="E16" t="s">
        <v>392</v>
      </c>
    </row>
    <row r="17" spans="1:5" x14ac:dyDescent="0.2">
      <c r="A17" t="s">
        <v>487</v>
      </c>
      <c r="B17" t="s">
        <v>488</v>
      </c>
      <c r="C17" t="s">
        <v>315</v>
      </c>
      <c r="D17" t="s">
        <v>461</v>
      </c>
      <c r="E17" t="s">
        <v>8</v>
      </c>
    </row>
    <row r="18" spans="1:5" x14ac:dyDescent="0.2">
      <c r="A18" t="s">
        <v>363</v>
      </c>
      <c r="B18" t="s">
        <v>398</v>
      </c>
      <c r="C18" t="s">
        <v>398</v>
      </c>
      <c r="D18" t="s">
        <v>473</v>
      </c>
      <c r="E18" t="s">
        <v>397</v>
      </c>
    </row>
    <row r="19" spans="1:5" x14ac:dyDescent="0.2">
      <c r="A19" t="s">
        <v>356</v>
      </c>
      <c r="B19" t="s">
        <v>401</v>
      </c>
      <c r="C19" t="s">
        <v>401</v>
      </c>
      <c r="D19" t="s">
        <v>477</v>
      </c>
      <c r="E19" t="s">
        <v>397</v>
      </c>
    </row>
    <row r="20" spans="1:5" x14ac:dyDescent="0.2">
      <c r="A20" t="s">
        <v>346</v>
      </c>
      <c r="B20" t="s">
        <v>404</v>
      </c>
      <c r="C20" t="s">
        <v>404</v>
      </c>
      <c r="D20" t="s">
        <v>477</v>
      </c>
      <c r="E20" t="s">
        <v>397</v>
      </c>
    </row>
    <row r="21" spans="1:5" x14ac:dyDescent="0.2">
      <c r="A21" t="s">
        <v>371</v>
      </c>
      <c r="B21" t="s">
        <v>429</v>
      </c>
      <c r="C21" t="s">
        <v>429</v>
      </c>
      <c r="D21" t="s">
        <v>477</v>
      </c>
      <c r="E21" t="s">
        <v>397</v>
      </c>
    </row>
    <row r="22" spans="1:5" x14ac:dyDescent="0.2">
      <c r="A22" t="s">
        <v>342</v>
      </c>
      <c r="B22" t="s">
        <v>63</v>
      </c>
      <c r="C22" t="s">
        <v>63</v>
      </c>
      <c r="D22" t="s">
        <v>473</v>
      </c>
      <c r="E22" t="s">
        <v>376</v>
      </c>
    </row>
    <row r="23" spans="1:5" x14ac:dyDescent="0.2">
      <c r="A23" t="s">
        <v>355</v>
      </c>
      <c r="B23" t="s">
        <v>389</v>
      </c>
      <c r="C23" t="s">
        <v>389</v>
      </c>
      <c r="D23" t="s">
        <v>315</v>
      </c>
      <c r="E23" t="s">
        <v>376</v>
      </c>
    </row>
    <row r="24" spans="1:5" x14ac:dyDescent="0.2">
      <c r="A24" t="s">
        <v>350</v>
      </c>
      <c r="B24" t="s">
        <v>391</v>
      </c>
      <c r="C24" t="s">
        <v>391</v>
      </c>
      <c r="D24" t="s">
        <v>474</v>
      </c>
      <c r="E24" t="s">
        <v>387</v>
      </c>
    </row>
    <row r="25" spans="1:5" x14ac:dyDescent="0.2">
      <c r="A25" t="s">
        <v>348</v>
      </c>
      <c r="B25" t="s">
        <v>427</v>
      </c>
      <c r="C25" t="s">
        <v>427</v>
      </c>
      <c r="D25" t="s">
        <v>477</v>
      </c>
      <c r="E25" t="s">
        <v>397</v>
      </c>
    </row>
    <row r="26" spans="1:5" x14ac:dyDescent="0.2">
      <c r="A26" t="s">
        <v>325</v>
      </c>
      <c r="B26" t="s">
        <v>412</v>
      </c>
      <c r="C26" t="s">
        <v>412</v>
      </c>
      <c r="D26" t="s">
        <v>476</v>
      </c>
      <c r="E26" t="s">
        <v>411</v>
      </c>
    </row>
    <row r="27" spans="1:5" x14ac:dyDescent="0.2">
      <c r="A27" t="s">
        <v>326</v>
      </c>
      <c r="B27" t="s">
        <v>428</v>
      </c>
      <c r="C27" t="s">
        <v>428</v>
      </c>
      <c r="D27" t="s">
        <v>476</v>
      </c>
      <c r="E27" t="s">
        <v>392</v>
      </c>
    </row>
    <row r="28" spans="1:5" x14ac:dyDescent="0.2">
      <c r="A28" t="s">
        <v>360</v>
      </c>
      <c r="B28" t="s">
        <v>380</v>
      </c>
      <c r="C28" t="s">
        <v>380</v>
      </c>
      <c r="D28" t="s">
        <v>473</v>
      </c>
      <c r="E28" t="s">
        <v>376</v>
      </c>
    </row>
    <row r="29" spans="1:5" x14ac:dyDescent="0.2">
      <c r="A29" t="s">
        <v>475</v>
      </c>
      <c r="B29" t="s">
        <v>461</v>
      </c>
      <c r="C29" t="s">
        <v>315</v>
      </c>
      <c r="D29" t="s">
        <v>461</v>
      </c>
      <c r="E29" t="s">
        <v>8</v>
      </c>
    </row>
    <row r="30" spans="1:5" x14ac:dyDescent="0.2">
      <c r="A30" t="s">
        <v>372</v>
      </c>
      <c r="B30" t="s">
        <v>424</v>
      </c>
      <c r="C30" t="s">
        <v>424</v>
      </c>
      <c r="D30" t="s">
        <v>473</v>
      </c>
      <c r="E30" t="s">
        <v>376</v>
      </c>
    </row>
    <row r="31" spans="1:5" x14ac:dyDescent="0.2">
      <c r="A31" t="s">
        <v>353</v>
      </c>
      <c r="B31" t="s">
        <v>421</v>
      </c>
      <c r="C31" t="s">
        <v>421</v>
      </c>
      <c r="D31" t="s">
        <v>315</v>
      </c>
      <c r="E31" t="s">
        <v>376</v>
      </c>
    </row>
    <row r="32" spans="1:5" x14ac:dyDescent="0.2">
      <c r="A32" t="s">
        <v>333</v>
      </c>
      <c r="B32" t="s">
        <v>402</v>
      </c>
      <c r="C32" t="s">
        <v>402</v>
      </c>
      <c r="D32" t="s">
        <v>473</v>
      </c>
      <c r="E32" t="s">
        <v>397</v>
      </c>
    </row>
    <row r="33" spans="1:5" x14ac:dyDescent="0.2">
      <c r="A33" t="s">
        <v>330</v>
      </c>
      <c r="B33" t="s">
        <v>426</v>
      </c>
      <c r="C33" t="s">
        <v>426</v>
      </c>
      <c r="D33" t="s">
        <v>477</v>
      </c>
      <c r="E33" t="s">
        <v>397</v>
      </c>
    </row>
    <row r="34" spans="1:5" x14ac:dyDescent="0.2">
      <c r="A34" t="s">
        <v>352</v>
      </c>
      <c r="B34" t="s">
        <v>433</v>
      </c>
      <c r="C34" t="s">
        <v>433</v>
      </c>
      <c r="D34" t="s">
        <v>476</v>
      </c>
      <c r="E34" t="s">
        <v>411</v>
      </c>
    </row>
    <row r="35" spans="1:5" x14ac:dyDescent="0.2">
      <c r="A35" t="s">
        <v>341</v>
      </c>
      <c r="B35" t="s">
        <v>415</v>
      </c>
      <c r="C35" t="s">
        <v>415</v>
      </c>
      <c r="D35" t="s">
        <v>476</v>
      </c>
      <c r="E35" t="s">
        <v>411</v>
      </c>
    </row>
    <row r="36" spans="1:5" x14ac:dyDescent="0.2">
      <c r="A36" t="s">
        <v>368</v>
      </c>
      <c r="B36" t="s">
        <v>435</v>
      </c>
      <c r="C36" t="s">
        <v>435</v>
      </c>
      <c r="D36" t="s">
        <v>476</v>
      </c>
      <c r="E36" t="s">
        <v>411</v>
      </c>
    </row>
    <row r="37" spans="1:5" x14ac:dyDescent="0.2">
      <c r="A37" t="s">
        <v>484</v>
      </c>
      <c r="B37" t="s">
        <v>431</v>
      </c>
      <c r="C37" t="s">
        <v>431</v>
      </c>
      <c r="D37" t="s">
        <v>476</v>
      </c>
      <c r="E37" t="s">
        <v>411</v>
      </c>
    </row>
    <row r="38" spans="1:5" x14ac:dyDescent="0.2">
      <c r="A38" t="s">
        <v>482</v>
      </c>
      <c r="B38" t="s">
        <v>483</v>
      </c>
      <c r="C38" t="s">
        <v>315</v>
      </c>
      <c r="D38" t="s">
        <v>461</v>
      </c>
      <c r="E38" t="s">
        <v>8</v>
      </c>
    </row>
    <row r="39" spans="1:5" x14ac:dyDescent="0.2">
      <c r="A39" t="s">
        <v>358</v>
      </c>
      <c r="B39" t="s">
        <v>416</v>
      </c>
      <c r="C39" t="s">
        <v>416</v>
      </c>
      <c r="D39" t="s">
        <v>476</v>
      </c>
      <c r="E39" t="s">
        <v>411</v>
      </c>
    </row>
    <row r="40" spans="1:5" x14ac:dyDescent="0.2">
      <c r="A40" t="s">
        <v>491</v>
      </c>
      <c r="B40" t="s">
        <v>492</v>
      </c>
      <c r="C40" t="s">
        <v>315</v>
      </c>
      <c r="D40" t="s">
        <v>461</v>
      </c>
      <c r="E40" t="s">
        <v>8</v>
      </c>
    </row>
    <row r="41" spans="1:5" x14ac:dyDescent="0.2">
      <c r="A41" t="s">
        <v>478</v>
      </c>
      <c r="B41" t="s">
        <v>479</v>
      </c>
      <c r="C41" t="s">
        <v>315</v>
      </c>
      <c r="D41" t="s">
        <v>461</v>
      </c>
      <c r="E41" t="s">
        <v>8</v>
      </c>
    </row>
    <row r="42" spans="1:5" x14ac:dyDescent="0.2">
      <c r="A42" t="s">
        <v>367</v>
      </c>
      <c r="B42" t="s">
        <v>379</v>
      </c>
      <c r="C42" t="s">
        <v>379</v>
      </c>
      <c r="D42" t="s">
        <v>473</v>
      </c>
      <c r="E42" t="s">
        <v>376</v>
      </c>
    </row>
    <row r="43" spans="1:5" x14ac:dyDescent="0.2">
      <c r="A43" t="s">
        <v>328</v>
      </c>
      <c r="B43" t="s">
        <v>385</v>
      </c>
      <c r="C43" t="s">
        <v>385</v>
      </c>
      <c r="D43" t="s">
        <v>474</v>
      </c>
      <c r="E43" t="s">
        <v>376</v>
      </c>
    </row>
    <row r="44" spans="1:5" x14ac:dyDescent="0.2">
      <c r="A44" t="s">
        <v>331</v>
      </c>
      <c r="B44" t="s">
        <v>430</v>
      </c>
      <c r="C44" t="s">
        <v>430</v>
      </c>
      <c r="D44" t="s">
        <v>473</v>
      </c>
      <c r="E44" t="s">
        <v>376</v>
      </c>
    </row>
    <row r="45" spans="1:5" x14ac:dyDescent="0.2">
      <c r="A45" t="s">
        <v>361</v>
      </c>
      <c r="B45" t="s">
        <v>395</v>
      </c>
      <c r="C45" t="s">
        <v>395</v>
      </c>
      <c r="D45" t="s">
        <v>474</v>
      </c>
      <c r="E45" t="s">
        <v>387</v>
      </c>
    </row>
    <row r="46" spans="1:5" x14ac:dyDescent="0.2">
      <c r="A46" t="s">
        <v>343</v>
      </c>
      <c r="B46" t="s">
        <v>400</v>
      </c>
      <c r="C46" t="s">
        <v>400</v>
      </c>
      <c r="D46" t="s">
        <v>474</v>
      </c>
      <c r="E46" t="s">
        <v>387</v>
      </c>
    </row>
    <row r="47" spans="1:5" x14ac:dyDescent="0.2">
      <c r="A47" t="s">
        <v>370</v>
      </c>
      <c r="B47" t="s">
        <v>406</v>
      </c>
      <c r="C47" t="s">
        <v>406</v>
      </c>
      <c r="D47" t="s">
        <v>477</v>
      </c>
      <c r="E47" t="s">
        <v>397</v>
      </c>
    </row>
    <row r="48" spans="1:5" x14ac:dyDescent="0.2">
      <c r="A48" t="s">
        <v>345</v>
      </c>
      <c r="B48" t="s">
        <v>419</v>
      </c>
      <c r="C48" t="s">
        <v>419</v>
      </c>
      <c r="D48" t="s">
        <v>477</v>
      </c>
      <c r="E48" t="s">
        <v>392</v>
      </c>
    </row>
    <row r="49" spans="1:5" x14ac:dyDescent="0.2">
      <c r="A49" t="s">
        <v>334</v>
      </c>
      <c r="B49" t="s">
        <v>417</v>
      </c>
      <c r="C49" t="s">
        <v>417</v>
      </c>
      <c r="D49" t="s">
        <v>477</v>
      </c>
      <c r="E49" t="s">
        <v>392</v>
      </c>
    </row>
    <row r="50" spans="1:5" x14ac:dyDescent="0.2">
      <c r="A50" t="s">
        <v>339</v>
      </c>
      <c r="B50" t="s">
        <v>414</v>
      </c>
      <c r="C50" t="s">
        <v>414</v>
      </c>
      <c r="D50" t="s">
        <v>476</v>
      </c>
      <c r="E50" t="s">
        <v>411</v>
      </c>
    </row>
    <row r="51" spans="1:5" x14ac:dyDescent="0.2">
      <c r="A51" t="s">
        <v>327</v>
      </c>
      <c r="B51" t="s">
        <v>394</v>
      </c>
      <c r="C51" t="s">
        <v>394</v>
      </c>
      <c r="D51" t="s">
        <v>477</v>
      </c>
      <c r="E51" t="s">
        <v>392</v>
      </c>
    </row>
    <row r="52" spans="1:5" x14ac:dyDescent="0.2">
      <c r="A52" t="s">
        <v>480</v>
      </c>
      <c r="B52" t="s">
        <v>481</v>
      </c>
      <c r="C52" t="s">
        <v>315</v>
      </c>
      <c r="D52" t="s">
        <v>461</v>
      </c>
      <c r="E52" t="s">
        <v>8</v>
      </c>
    </row>
    <row r="53" spans="1:5" x14ac:dyDescent="0.2">
      <c r="A53" t="s">
        <v>489</v>
      </c>
      <c r="B53" t="s">
        <v>490</v>
      </c>
      <c r="C53" t="s">
        <v>315</v>
      </c>
      <c r="D53" t="s">
        <v>461</v>
      </c>
      <c r="E53" t="s">
        <v>8</v>
      </c>
    </row>
    <row r="54" spans="1:5" x14ac:dyDescent="0.2">
      <c r="A54" t="s">
        <v>354</v>
      </c>
      <c r="B54" t="s">
        <v>382</v>
      </c>
      <c r="C54" t="s">
        <v>382</v>
      </c>
      <c r="D54" t="s">
        <v>473</v>
      </c>
      <c r="E54" t="s">
        <v>376</v>
      </c>
    </row>
    <row r="55" spans="1:5" x14ac:dyDescent="0.2">
      <c r="A55" t="s">
        <v>369</v>
      </c>
      <c r="B55" t="s">
        <v>388</v>
      </c>
      <c r="C55" t="s">
        <v>388</v>
      </c>
      <c r="D55" t="s">
        <v>474</v>
      </c>
      <c r="E55" t="s">
        <v>387</v>
      </c>
    </row>
    <row r="56" spans="1:5" x14ac:dyDescent="0.2">
      <c r="A56" t="s">
        <v>324</v>
      </c>
      <c r="B56" t="s">
        <v>432</v>
      </c>
      <c r="C56" t="s">
        <v>432</v>
      </c>
      <c r="D56" t="s">
        <v>474</v>
      </c>
      <c r="E56" t="s">
        <v>387</v>
      </c>
    </row>
    <row r="57" spans="1:5" x14ac:dyDescent="0.2">
      <c r="A57" t="s">
        <v>323</v>
      </c>
      <c r="B57" t="s">
        <v>403</v>
      </c>
      <c r="C57" t="s">
        <v>403</v>
      </c>
      <c r="D57" t="s">
        <v>477</v>
      </c>
      <c r="E57" t="s">
        <v>397</v>
      </c>
    </row>
    <row r="58" spans="1:5" x14ac:dyDescent="0.2">
      <c r="A58" t="s">
        <v>329</v>
      </c>
      <c r="B58" t="s">
        <v>407</v>
      </c>
      <c r="C58" t="s">
        <v>407</v>
      </c>
      <c r="D58" t="s">
        <v>477</v>
      </c>
      <c r="E58" t="s">
        <v>397</v>
      </c>
    </row>
    <row r="59" spans="1:5" x14ac:dyDescent="0.2">
      <c r="A59" t="s">
        <v>335</v>
      </c>
      <c r="B59" t="s">
        <v>420</v>
      </c>
      <c r="C59" t="s">
        <v>420</v>
      </c>
      <c r="D59" t="s">
        <v>476</v>
      </c>
      <c r="E59" t="s">
        <v>411</v>
      </c>
    </row>
    <row r="60" spans="1:5" x14ac:dyDescent="0.2">
      <c r="A60" t="s">
        <v>322</v>
      </c>
      <c r="B60" t="s">
        <v>418</v>
      </c>
      <c r="C60" t="s">
        <v>418</v>
      </c>
      <c r="D60" t="s">
        <v>477</v>
      </c>
      <c r="E60" t="s">
        <v>392</v>
      </c>
    </row>
    <row r="61" spans="1:5" x14ac:dyDescent="0.2">
      <c r="A61" t="s">
        <v>336</v>
      </c>
      <c r="B61" t="s">
        <v>83</v>
      </c>
      <c r="C61" t="s">
        <v>83</v>
      </c>
      <c r="D61" t="s">
        <v>476</v>
      </c>
      <c r="E61" t="s">
        <v>411</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1042</v>
      </c>
      <c r="C2" t="s">
        <v>444</v>
      </c>
      <c r="D2" t="s">
        <v>445</v>
      </c>
      <c r="E2" t="s">
        <v>446</v>
      </c>
      <c r="F2" t="s">
        <v>447</v>
      </c>
      <c r="G2" t="s">
        <v>448</v>
      </c>
      <c r="H2" t="s">
        <v>449</v>
      </c>
      <c r="I2" t="s">
        <v>450</v>
      </c>
      <c r="J2" t="s">
        <v>451</v>
      </c>
      <c r="K2" t="s">
        <v>452</v>
      </c>
      <c r="L2" t="s">
        <v>453</v>
      </c>
      <c r="M2" t="s">
        <v>454</v>
      </c>
      <c r="N2" t="s">
        <v>455</v>
      </c>
      <c r="O2" t="s">
        <v>456</v>
      </c>
      <c r="P2" t="s">
        <v>457</v>
      </c>
      <c r="Q2" t="s">
        <v>459</v>
      </c>
    </row>
    <row r="3" spans="2:33" x14ac:dyDescent="0.2">
      <c r="B3" t="s">
        <v>392</v>
      </c>
      <c r="C3" t="s">
        <v>418</v>
      </c>
      <c r="D3" t="s">
        <v>410</v>
      </c>
      <c r="E3" t="s">
        <v>394</v>
      </c>
      <c r="F3" t="s">
        <v>396</v>
      </c>
      <c r="G3" t="s">
        <v>425</v>
      </c>
      <c r="H3" t="s">
        <v>419</v>
      </c>
      <c r="I3" t="s">
        <v>417</v>
      </c>
      <c r="J3" t="s">
        <v>413</v>
      </c>
      <c r="K3" t="s">
        <v>428</v>
      </c>
      <c r="L3" t="s">
        <v>458</v>
      </c>
      <c r="M3" t="s">
        <v>458</v>
      </c>
      <c r="N3" t="s">
        <v>458</v>
      </c>
      <c r="O3" t="s">
        <v>458</v>
      </c>
      <c r="P3" t="s">
        <v>458</v>
      </c>
      <c r="Q3" t="s">
        <v>458</v>
      </c>
      <c r="S3" s="14" t="s">
        <v>418</v>
      </c>
      <c r="T3" s="14" t="s">
        <v>410</v>
      </c>
      <c r="U3" s="14" t="s">
        <v>394</v>
      </c>
      <c r="V3" s="14" t="s">
        <v>396</v>
      </c>
      <c r="W3" s="14" t="s">
        <v>425</v>
      </c>
      <c r="X3" s="14" t="s">
        <v>419</v>
      </c>
      <c r="Y3" s="14" t="s">
        <v>417</v>
      </c>
      <c r="Z3" s="14" t="s">
        <v>413</v>
      </c>
      <c r="AA3" s="14" t="s">
        <v>428</v>
      </c>
      <c r="AB3" s="14"/>
      <c r="AC3" s="14"/>
      <c r="AD3" s="14"/>
      <c r="AE3" s="14"/>
      <c r="AF3" s="15"/>
      <c r="AG3" s="15"/>
    </row>
    <row r="4" spans="2:33" x14ac:dyDescent="0.2">
      <c r="B4" t="s">
        <v>397</v>
      </c>
      <c r="C4" t="s">
        <v>401</v>
      </c>
      <c r="D4" t="s">
        <v>399</v>
      </c>
      <c r="E4" t="s">
        <v>406</v>
      </c>
      <c r="F4" t="s">
        <v>429</v>
      </c>
      <c r="G4" t="s">
        <v>402</v>
      </c>
      <c r="H4" t="s">
        <v>408</v>
      </c>
      <c r="I4" t="s">
        <v>404</v>
      </c>
      <c r="J4" t="s">
        <v>407</v>
      </c>
      <c r="K4" t="s">
        <v>426</v>
      </c>
      <c r="L4" t="s">
        <v>398</v>
      </c>
      <c r="M4" t="s">
        <v>427</v>
      </c>
      <c r="N4" t="s">
        <v>403</v>
      </c>
      <c r="O4" t="s">
        <v>458</v>
      </c>
      <c r="P4" t="s">
        <v>458</v>
      </c>
      <c r="Q4" t="s">
        <v>458</v>
      </c>
      <c r="S4" s="14" t="s">
        <v>401</v>
      </c>
      <c r="T4" s="14" t="s">
        <v>399</v>
      </c>
      <c r="U4" s="14" t="s">
        <v>406</v>
      </c>
      <c r="V4" s="14" t="s">
        <v>429</v>
      </c>
      <c r="W4" s="14" t="s">
        <v>402</v>
      </c>
      <c r="X4" s="14" t="s">
        <v>408</v>
      </c>
      <c r="Y4" s="14" t="s">
        <v>404</v>
      </c>
      <c r="Z4" s="14" t="s">
        <v>407</v>
      </c>
      <c r="AA4" s="14" t="s">
        <v>426</v>
      </c>
      <c r="AB4" s="14" t="s">
        <v>398</v>
      </c>
      <c r="AC4" s="14" t="s">
        <v>427</v>
      </c>
      <c r="AD4" s="14" t="s">
        <v>403</v>
      </c>
      <c r="AE4" s="14"/>
      <c r="AF4" s="15"/>
      <c r="AG4" s="15"/>
    </row>
    <row r="5" spans="2:33" x14ac:dyDescent="0.2">
      <c r="B5" t="s">
        <v>376</v>
      </c>
      <c r="C5" t="s">
        <v>380</v>
      </c>
      <c r="D5" t="s">
        <v>430</v>
      </c>
      <c r="E5" t="s">
        <v>421</v>
      </c>
      <c r="F5" t="s">
        <v>423</v>
      </c>
      <c r="G5" t="s">
        <v>383</v>
      </c>
      <c r="H5" t="s">
        <v>378</v>
      </c>
      <c r="I5" t="s">
        <v>422</v>
      </c>
      <c r="J5" t="s">
        <v>381</v>
      </c>
      <c r="K5" t="s">
        <v>63</v>
      </c>
      <c r="L5" t="s">
        <v>389</v>
      </c>
      <c r="M5" t="s">
        <v>382</v>
      </c>
      <c r="N5" t="s">
        <v>379</v>
      </c>
      <c r="O5" t="s">
        <v>424</v>
      </c>
      <c r="P5" t="s">
        <v>385</v>
      </c>
      <c r="Q5" t="s">
        <v>386</v>
      </c>
      <c r="S5" s="14" t="s">
        <v>380</v>
      </c>
      <c r="T5" s="14" t="s">
        <v>430</v>
      </c>
      <c r="U5" s="14" t="s">
        <v>421</v>
      </c>
      <c r="V5" s="14" t="s">
        <v>423</v>
      </c>
      <c r="W5" s="14" t="s">
        <v>383</v>
      </c>
      <c r="X5" s="14" t="s">
        <v>378</v>
      </c>
      <c r="Y5" s="14" t="s">
        <v>422</v>
      </c>
      <c r="Z5" s="14" t="s">
        <v>381</v>
      </c>
      <c r="AA5" s="14" t="s">
        <v>63</v>
      </c>
      <c r="AB5" s="14" t="s">
        <v>389</v>
      </c>
      <c r="AC5" s="14" t="s">
        <v>382</v>
      </c>
      <c r="AD5" s="14" t="s">
        <v>379</v>
      </c>
      <c r="AE5" s="14" t="s">
        <v>424</v>
      </c>
      <c r="AF5" s="15" t="s">
        <v>385</v>
      </c>
      <c r="AG5" s="15" t="s">
        <v>386</v>
      </c>
    </row>
    <row r="6" spans="2:33" x14ac:dyDescent="0.2">
      <c r="B6" t="s">
        <v>411</v>
      </c>
      <c r="C6" t="s">
        <v>431</v>
      </c>
      <c r="D6" t="s">
        <v>433</v>
      </c>
      <c r="E6" t="s">
        <v>414</v>
      </c>
      <c r="F6" t="s">
        <v>435</v>
      </c>
      <c r="G6" t="s">
        <v>415</v>
      </c>
      <c r="H6" t="s">
        <v>420</v>
      </c>
      <c r="I6" t="s">
        <v>412</v>
      </c>
      <c r="J6" t="s">
        <v>416</v>
      </c>
      <c r="K6" t="s">
        <v>83</v>
      </c>
      <c r="L6" t="s">
        <v>458</v>
      </c>
      <c r="M6" t="s">
        <v>458</v>
      </c>
      <c r="N6" t="s">
        <v>458</v>
      </c>
      <c r="O6" t="s">
        <v>458</v>
      </c>
      <c r="P6" t="s">
        <v>458</v>
      </c>
      <c r="Q6" t="s">
        <v>458</v>
      </c>
      <c r="S6" s="14" t="s">
        <v>431</v>
      </c>
      <c r="T6" s="14" t="s">
        <v>433</v>
      </c>
      <c r="U6" s="14" t="s">
        <v>414</v>
      </c>
      <c r="V6" s="14" t="s">
        <v>435</v>
      </c>
      <c r="W6" s="14" t="s">
        <v>415</v>
      </c>
      <c r="X6" s="14" t="s">
        <v>420</v>
      </c>
      <c r="Y6" s="14" t="s">
        <v>412</v>
      </c>
      <c r="Z6" s="14" t="s">
        <v>416</v>
      </c>
      <c r="AA6" s="14" t="s">
        <v>83</v>
      </c>
      <c r="AB6" s="14"/>
      <c r="AC6" s="14"/>
      <c r="AD6" s="14"/>
      <c r="AE6" s="14"/>
      <c r="AF6" s="15"/>
      <c r="AG6" s="15"/>
    </row>
    <row r="7" spans="2:33" x14ac:dyDescent="0.2">
      <c r="B7" t="s">
        <v>387</v>
      </c>
      <c r="C7" t="s">
        <v>395</v>
      </c>
      <c r="D7" t="s">
        <v>432</v>
      </c>
      <c r="E7" t="s">
        <v>388</v>
      </c>
      <c r="F7" t="s">
        <v>400</v>
      </c>
      <c r="G7" t="s">
        <v>434</v>
      </c>
      <c r="H7" t="s">
        <v>390</v>
      </c>
      <c r="I7" t="s">
        <v>391</v>
      </c>
      <c r="J7" t="s">
        <v>458</v>
      </c>
      <c r="K7" t="s">
        <v>458</v>
      </c>
      <c r="L7" t="s">
        <v>458</v>
      </c>
      <c r="M7" t="s">
        <v>458</v>
      </c>
      <c r="N7" t="s">
        <v>458</v>
      </c>
      <c r="O7" t="s">
        <v>458</v>
      </c>
      <c r="P7" t="s">
        <v>458</v>
      </c>
      <c r="Q7" t="s">
        <v>458</v>
      </c>
      <c r="S7" s="14" t="s">
        <v>395</v>
      </c>
      <c r="T7" s="14" t="s">
        <v>432</v>
      </c>
      <c r="U7" s="14" t="s">
        <v>388</v>
      </c>
      <c r="V7" s="14" t="s">
        <v>400</v>
      </c>
      <c r="W7" s="14" t="s">
        <v>434</v>
      </c>
      <c r="X7" s="14" t="s">
        <v>390</v>
      </c>
      <c r="Y7" s="14" t="s">
        <v>391</v>
      </c>
      <c r="Z7" s="14"/>
      <c r="AA7" s="14"/>
      <c r="AB7" s="14"/>
      <c r="AC7" s="14"/>
      <c r="AD7" s="14"/>
      <c r="AE7" s="14"/>
      <c r="AF7" s="15"/>
      <c r="AG7" s="15"/>
    </row>
    <row r="8" spans="2:33" x14ac:dyDescent="0.2">
      <c r="B8" t="s">
        <v>8</v>
      </c>
      <c r="C8" t="s">
        <v>8</v>
      </c>
      <c r="D8" t="s">
        <v>458</v>
      </c>
      <c r="E8" t="s">
        <v>458</v>
      </c>
      <c r="F8" t="s">
        <v>458</v>
      </c>
      <c r="G8" t="s">
        <v>458</v>
      </c>
      <c r="H8" t="s">
        <v>458</v>
      </c>
      <c r="I8" t="s">
        <v>458</v>
      </c>
      <c r="J8" t="s">
        <v>458</v>
      </c>
      <c r="K8" t="s">
        <v>458</v>
      </c>
      <c r="L8" t="s">
        <v>458</v>
      </c>
      <c r="M8" t="s">
        <v>458</v>
      </c>
      <c r="N8" t="s">
        <v>458</v>
      </c>
      <c r="O8" t="s">
        <v>458</v>
      </c>
      <c r="P8" t="s">
        <v>458</v>
      </c>
      <c r="Q8" t="s">
        <v>458</v>
      </c>
      <c r="S8" s="16" t="s">
        <v>8</v>
      </c>
      <c r="T8" s="16"/>
      <c r="U8" s="16"/>
      <c r="V8" s="16"/>
      <c r="W8" s="16"/>
      <c r="X8" s="16"/>
      <c r="Y8" s="16"/>
      <c r="Z8" s="16"/>
      <c r="AA8" s="16"/>
      <c r="AB8" s="16"/>
      <c r="AC8" s="16"/>
      <c r="AD8" s="16"/>
      <c r="AE8" s="16"/>
      <c r="AF8" s="17"/>
      <c r="AG8" s="17"/>
    </row>
    <row r="10" spans="2:33" x14ac:dyDescent="0.2">
      <c r="B10" t="s">
        <v>443</v>
      </c>
      <c r="C10" t="s">
        <v>444</v>
      </c>
      <c r="D10" t="s">
        <v>445</v>
      </c>
      <c r="E10" t="s">
        <v>446</v>
      </c>
      <c r="F10" t="s">
        <v>447</v>
      </c>
      <c r="G10" t="s">
        <v>448</v>
      </c>
      <c r="H10" t="s">
        <v>449</v>
      </c>
      <c r="I10" t="s">
        <v>450</v>
      </c>
      <c r="J10" t="s">
        <v>451</v>
      </c>
      <c r="K10" t="s">
        <v>452</v>
      </c>
      <c r="L10" t="s">
        <v>453</v>
      </c>
      <c r="M10" t="s">
        <v>454</v>
      </c>
      <c r="N10" t="s">
        <v>455</v>
      </c>
      <c r="O10" t="s">
        <v>456</v>
      </c>
      <c r="P10" t="s">
        <v>457</v>
      </c>
      <c r="Q10" t="s">
        <v>459</v>
      </c>
      <c r="R10" t="s">
        <v>460</v>
      </c>
    </row>
    <row r="11" spans="2:33" x14ac:dyDescent="0.2">
      <c r="B11" t="s">
        <v>392</v>
      </c>
      <c r="C11" t="s">
        <v>644</v>
      </c>
      <c r="D11" t="s">
        <v>591</v>
      </c>
      <c r="E11" t="s">
        <v>638</v>
      </c>
      <c r="F11" t="s">
        <v>626</v>
      </c>
      <c r="G11" t="s">
        <v>562</v>
      </c>
      <c r="H11" t="s">
        <v>614</v>
      </c>
      <c r="I11" t="s">
        <v>616</v>
      </c>
      <c r="J11" t="s">
        <v>558</v>
      </c>
      <c r="K11" t="s">
        <v>595</v>
      </c>
      <c r="L11" t="s">
        <v>612</v>
      </c>
      <c r="M11" t="s">
        <v>458</v>
      </c>
      <c r="N11" t="s">
        <v>458</v>
      </c>
      <c r="O11" t="s">
        <v>458</v>
      </c>
      <c r="P11" t="s">
        <v>458</v>
      </c>
      <c r="Q11" t="s">
        <v>458</v>
      </c>
      <c r="R11" t="s">
        <v>458</v>
      </c>
    </row>
    <row r="12" spans="2:33" x14ac:dyDescent="0.2">
      <c r="B12" t="s">
        <v>397</v>
      </c>
      <c r="C12" t="s">
        <v>574</v>
      </c>
      <c r="D12" t="s">
        <v>566</v>
      </c>
      <c r="E12" t="s">
        <v>583</v>
      </c>
      <c r="F12" t="s">
        <v>576</v>
      </c>
      <c r="G12" t="s">
        <v>640</v>
      </c>
      <c r="H12" t="s">
        <v>568</v>
      </c>
      <c r="I12" t="s">
        <v>585</v>
      </c>
      <c r="J12" t="s">
        <v>578</v>
      </c>
      <c r="K12" t="s">
        <v>642</v>
      </c>
      <c r="L12" t="s">
        <v>581</v>
      </c>
      <c r="M12" t="s">
        <v>587</v>
      </c>
      <c r="N12" t="s">
        <v>646</v>
      </c>
      <c r="O12" t="s">
        <v>458</v>
      </c>
      <c r="P12" t="s">
        <v>458</v>
      </c>
      <c r="Q12" t="s">
        <v>458</v>
      </c>
      <c r="R12" t="s">
        <v>458</v>
      </c>
    </row>
    <row r="13" spans="2:33" x14ac:dyDescent="0.2">
      <c r="B13" t="s">
        <v>376</v>
      </c>
      <c r="C13" t="s">
        <v>540</v>
      </c>
      <c r="D13" t="s">
        <v>519</v>
      </c>
      <c r="E13" t="s">
        <v>527</v>
      </c>
      <c r="F13" t="s">
        <v>529</v>
      </c>
      <c r="G13" t="s">
        <v>544</v>
      </c>
      <c r="H13" t="s">
        <v>629</v>
      </c>
      <c r="I13" t="s">
        <v>525</v>
      </c>
      <c r="J13" t="s">
        <v>531</v>
      </c>
      <c r="K13" t="s">
        <v>533</v>
      </c>
      <c r="L13" t="s">
        <v>536</v>
      </c>
      <c r="M13" t="s">
        <v>521</v>
      </c>
      <c r="N13" t="s">
        <v>542</v>
      </c>
      <c r="O13" t="s">
        <v>634</v>
      </c>
      <c r="P13" t="s">
        <v>636</v>
      </c>
      <c r="Q13" t="s">
        <v>650</v>
      </c>
      <c r="R13" t="s">
        <v>550</v>
      </c>
    </row>
    <row r="14" spans="2:33" x14ac:dyDescent="0.2">
      <c r="B14" t="s">
        <v>411</v>
      </c>
      <c r="C14" t="s">
        <v>593</v>
      </c>
      <c r="D14" t="s">
        <v>652</v>
      </c>
      <c r="E14" t="s">
        <v>608</v>
      </c>
      <c r="F14" t="s">
        <v>648</v>
      </c>
      <c r="G14" t="s">
        <v>600</v>
      </c>
      <c r="H14" t="s">
        <v>622</v>
      </c>
      <c r="I14" t="s">
        <v>598</v>
      </c>
      <c r="J14" t="s">
        <v>602</v>
      </c>
      <c r="K14" t="s">
        <v>610</v>
      </c>
      <c r="L14" t="s">
        <v>618</v>
      </c>
      <c r="M14" t="s">
        <v>631</v>
      </c>
      <c r="N14" t="s">
        <v>604</v>
      </c>
      <c r="O14" t="s">
        <v>458</v>
      </c>
      <c r="P14" t="s">
        <v>458</v>
      </c>
      <c r="Q14" t="s">
        <v>458</v>
      </c>
      <c r="R14" t="s">
        <v>458</v>
      </c>
    </row>
    <row r="15" spans="2:33" x14ac:dyDescent="0.2">
      <c r="B15" t="s">
        <v>387</v>
      </c>
      <c r="C15" t="s">
        <v>546</v>
      </c>
      <c r="D15" t="s">
        <v>554</v>
      </c>
      <c r="E15" t="s">
        <v>570</v>
      </c>
      <c r="F15" t="s">
        <v>560</v>
      </c>
      <c r="G15" t="s">
        <v>556</v>
      </c>
      <c r="H15" t="s">
        <v>620</v>
      </c>
      <c r="I15" t="s">
        <v>548</v>
      </c>
      <c r="J15" t="s">
        <v>458</v>
      </c>
      <c r="K15" t="s">
        <v>458</v>
      </c>
      <c r="L15" t="s">
        <v>458</v>
      </c>
      <c r="M15" t="s">
        <v>458</v>
      </c>
      <c r="N15" t="s">
        <v>458</v>
      </c>
      <c r="O15" t="s">
        <v>458</v>
      </c>
      <c r="P15" t="s">
        <v>458</v>
      </c>
      <c r="Q15" t="s">
        <v>458</v>
      </c>
      <c r="R15" t="s">
        <v>458</v>
      </c>
    </row>
    <row r="16" spans="2:33" x14ac:dyDescent="0.2">
      <c r="B16" t="s">
        <v>8</v>
      </c>
      <c r="C16" t="s">
        <v>458</v>
      </c>
      <c r="D16" t="s">
        <v>458</v>
      </c>
      <c r="E16" t="s">
        <v>458</v>
      </c>
      <c r="F16" t="s">
        <v>458</v>
      </c>
      <c r="G16" t="s">
        <v>458</v>
      </c>
      <c r="H16" t="s">
        <v>458</v>
      </c>
      <c r="I16" t="s">
        <v>458</v>
      </c>
      <c r="J16" t="s">
        <v>458</v>
      </c>
      <c r="K16" t="s">
        <v>458</v>
      </c>
      <c r="L16" t="s">
        <v>458</v>
      </c>
      <c r="M16" t="s">
        <v>458</v>
      </c>
      <c r="N16" t="s">
        <v>458</v>
      </c>
      <c r="O16" t="s">
        <v>458</v>
      </c>
      <c r="P16" t="s">
        <v>458</v>
      </c>
      <c r="Q16" t="s">
        <v>458</v>
      </c>
      <c r="R16" t="s">
        <v>458</v>
      </c>
    </row>
    <row r="19" spans="2:4" x14ac:dyDescent="0.2">
      <c r="B19" t="s">
        <v>980</v>
      </c>
      <c r="C19" t="s">
        <v>981</v>
      </c>
      <c r="D19" t="s">
        <v>982</v>
      </c>
    </row>
    <row r="20" spans="2:4" x14ac:dyDescent="0.2">
      <c r="B20" s="151">
        <v>42322</v>
      </c>
      <c r="C20">
        <v>24059</v>
      </c>
      <c r="D20">
        <v>11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4" t="s">
        <v>986</v>
      </c>
      <c r="C2" s="315"/>
      <c r="D2" s="315"/>
      <c r="E2" s="315"/>
      <c r="F2" s="315"/>
      <c r="G2" s="316"/>
      <c r="H2" s="135" t="s">
        <v>5</v>
      </c>
      <c r="I2" s="136" t="s">
        <v>2</v>
      </c>
      <c r="J2" s="136" t="s">
        <v>234</v>
      </c>
      <c r="K2" s="134"/>
    </row>
    <row r="3" spans="1:11" ht="59.25" customHeight="1" x14ac:dyDescent="0.2">
      <c r="A3" s="130"/>
      <c r="B3" s="317"/>
      <c r="C3" s="318"/>
      <c r="D3" s="318"/>
      <c r="E3" s="318"/>
      <c r="F3" s="318"/>
      <c r="G3" s="318"/>
      <c r="H3" s="310">
        <f>SUM(H5,H10)</f>
        <v>373198</v>
      </c>
      <c r="I3" s="310">
        <f>SUM(I5,I10)</f>
        <v>75463</v>
      </c>
      <c r="J3" s="312">
        <f>ROUND(I3/H3,5)</f>
        <v>0.20221</v>
      </c>
      <c r="K3" s="134"/>
    </row>
    <row r="4" spans="1:11" ht="33" customHeight="1" thickBot="1" x14ac:dyDescent="0.25">
      <c r="A4" s="130"/>
      <c r="B4" s="319" t="str">
        <f>"As of: "&amp;TEXT(INDEX(MMWR_DATES[],1,1),"MMMM DD, YYYY")</f>
        <v>As of: November 14, 2015</v>
      </c>
      <c r="C4" s="320"/>
      <c r="D4" s="320"/>
      <c r="E4" s="320"/>
      <c r="F4" s="320"/>
      <c r="G4" s="321"/>
      <c r="H4" s="311"/>
      <c r="I4" s="311"/>
      <c r="J4" s="313"/>
      <c r="K4" s="137"/>
    </row>
    <row r="5" spans="1:11" ht="16.5" customHeight="1" thickBot="1" x14ac:dyDescent="0.25">
      <c r="A5" s="130"/>
      <c r="B5" s="308" t="s">
        <v>239</v>
      </c>
      <c r="C5" s="309"/>
      <c r="D5" s="309"/>
      <c r="E5" s="309"/>
      <c r="F5" s="309"/>
      <c r="G5" s="138" t="s">
        <v>250</v>
      </c>
      <c r="H5" s="159">
        <f>SUM(H6:H9)</f>
        <v>141169</v>
      </c>
      <c r="I5" s="159">
        <f>SUM(I6:I9)</f>
        <v>34061</v>
      </c>
      <c r="J5" s="160">
        <f t="shared" ref="J5:J15" si="0">IF(H5=0, 0,I5/H5)</f>
        <v>0.24127818430391942</v>
      </c>
      <c r="K5" s="134"/>
    </row>
    <row r="6" spans="1:11" ht="16.5" customHeight="1" x14ac:dyDescent="0.2">
      <c r="A6" s="130"/>
      <c r="B6" s="282" t="s">
        <v>16</v>
      </c>
      <c r="C6" s="283"/>
      <c r="D6" s="283"/>
      <c r="E6" s="283"/>
      <c r="F6" s="283"/>
      <c r="G6" s="139" t="s">
        <v>196</v>
      </c>
      <c r="H6" s="161">
        <f>IFERROR(VLOOKUP(MID($G6,4,3),MMWR_TRAD_AGG_NATIONAL[],2,0),0)</f>
        <v>42203</v>
      </c>
      <c r="I6" s="161">
        <f>IFERROR(VLOOKUP(MID($G6,4,3),MMWR_TRAD_AGG_NATIONAL[],3,0),0)</f>
        <v>12051</v>
      </c>
      <c r="J6" s="162">
        <f t="shared" si="0"/>
        <v>0.28554842072838421</v>
      </c>
      <c r="K6" s="134"/>
    </row>
    <row r="7" spans="1:11" ht="16.5" customHeight="1" x14ac:dyDescent="0.2">
      <c r="A7" s="130"/>
      <c r="B7" s="284" t="s">
        <v>0</v>
      </c>
      <c r="C7" s="285"/>
      <c r="D7" s="285"/>
      <c r="E7" s="285"/>
      <c r="F7" s="285"/>
      <c r="G7" s="140" t="s">
        <v>197</v>
      </c>
      <c r="H7" s="161">
        <f>IFERROR(VLOOKUP(MID($G7,4,3),MMWR_TRAD_AGG_NATIONAL[],2,0),0)</f>
        <v>83658</v>
      </c>
      <c r="I7" s="161">
        <f>IFERROR(VLOOKUP(MID($G7,4,3),MMWR_TRAD_AGG_NATIONAL[],3,0),0)</f>
        <v>20538</v>
      </c>
      <c r="J7" s="162">
        <f t="shared" si="0"/>
        <v>0.24549953381625189</v>
      </c>
      <c r="K7" s="134"/>
    </row>
    <row r="8" spans="1:11" ht="16.5" customHeight="1" x14ac:dyDescent="0.2">
      <c r="A8" s="130"/>
      <c r="B8" s="286" t="s">
        <v>240</v>
      </c>
      <c r="C8" s="287"/>
      <c r="D8" s="287"/>
      <c r="E8" s="287"/>
      <c r="F8" s="287"/>
      <c r="G8" s="141" t="s">
        <v>199</v>
      </c>
      <c r="H8" s="161">
        <f>IFERROR(VLOOKUP(MID($G8,4,3),MMWR_TRAD_AGG_NATIONAL[],2,0),0)</f>
        <v>7836</v>
      </c>
      <c r="I8" s="161">
        <f>IFERROR(VLOOKUP(MID($G8,4,3),MMWR_TRAD_AGG_NATIONAL[],3,0),0)</f>
        <v>285</v>
      </c>
      <c r="J8" s="162">
        <f t="shared" si="0"/>
        <v>3.6370597243491579E-2</v>
      </c>
      <c r="K8" s="134"/>
    </row>
    <row r="9" spans="1:11" ht="16.5" customHeight="1" thickBot="1" x14ac:dyDescent="0.25">
      <c r="A9" s="130"/>
      <c r="B9" s="291" t="s">
        <v>17</v>
      </c>
      <c r="C9" s="292"/>
      <c r="D9" s="292"/>
      <c r="E9" s="292"/>
      <c r="F9" s="292"/>
      <c r="G9" s="140" t="s">
        <v>201</v>
      </c>
      <c r="H9" s="161">
        <f>IFERROR(VLOOKUP(MID($G9,4,3),MMWR_TRAD_AGG_NATIONAL[],2,0),0)</f>
        <v>7472</v>
      </c>
      <c r="I9" s="161">
        <f>IFERROR(VLOOKUP(MID($G9,4,3),MMWR_TRAD_AGG_NATIONAL[],3,0),0)</f>
        <v>1187</v>
      </c>
      <c r="J9" s="162">
        <f t="shared" si="0"/>
        <v>0.15885974304068523</v>
      </c>
      <c r="K9" s="134"/>
    </row>
    <row r="10" spans="1:11" ht="17.25" thickBot="1" x14ac:dyDescent="0.25">
      <c r="A10" s="130"/>
      <c r="B10" s="308" t="s">
        <v>1</v>
      </c>
      <c r="C10" s="309"/>
      <c r="D10" s="309"/>
      <c r="E10" s="309"/>
      <c r="F10" s="309"/>
      <c r="G10" s="138" t="s">
        <v>250</v>
      </c>
      <c r="H10" s="159">
        <f>SUM(H11:H18)</f>
        <v>232029</v>
      </c>
      <c r="I10" s="159">
        <f>SUM(I11:I18)</f>
        <v>41402</v>
      </c>
      <c r="J10" s="160">
        <f t="shared" si="0"/>
        <v>0.17843459222769567</v>
      </c>
      <c r="K10" s="134"/>
    </row>
    <row r="11" spans="1:11" ht="16.5" customHeight="1" x14ac:dyDescent="0.2">
      <c r="A11" s="130"/>
      <c r="B11" s="282" t="s">
        <v>205</v>
      </c>
      <c r="C11" s="283"/>
      <c r="D11" s="283"/>
      <c r="E11" s="283"/>
      <c r="F11" s="283"/>
      <c r="G11" s="142" t="s">
        <v>200</v>
      </c>
      <c r="H11" s="163">
        <f>IFERROR(VLOOKUP(MID($G11,4,3),MMWR_TRAD_AGG_NATIONAL[],2,0),0)</f>
        <v>7185</v>
      </c>
      <c r="I11" s="161">
        <f>IFERROR(VLOOKUP(MID($G11,4,3),MMWR_TRAD_AGG_NATIONAL[],3,0),0)</f>
        <v>286</v>
      </c>
      <c r="J11" s="162">
        <f t="shared" si="0"/>
        <v>3.980514961725818E-2</v>
      </c>
      <c r="K11" s="134"/>
    </row>
    <row r="12" spans="1:11" ht="16.5" customHeight="1" x14ac:dyDescent="0.2">
      <c r="A12" s="130"/>
      <c r="B12" s="284" t="s">
        <v>18</v>
      </c>
      <c r="C12" s="285"/>
      <c r="D12" s="285"/>
      <c r="E12" s="285"/>
      <c r="F12" s="285"/>
      <c r="G12" s="143" t="s">
        <v>198</v>
      </c>
      <c r="H12" s="164">
        <f>IFERROR(VLOOKUP(MID($G12,4,3),MMWR_TRAD_AGG_NATIONAL[],2,0),0)</f>
        <v>208518</v>
      </c>
      <c r="I12" s="161">
        <f>IFERROR(VLOOKUP(MID($G12,4,3),MMWR_TRAD_AGG_NATIONAL[],3,0),0)</f>
        <v>39052</v>
      </c>
      <c r="J12" s="162">
        <f t="shared" si="0"/>
        <v>0.18728359182420704</v>
      </c>
      <c r="K12" s="134"/>
    </row>
    <row r="13" spans="1:11" ht="16.5" customHeight="1" x14ac:dyDescent="0.2">
      <c r="A13" s="130"/>
      <c r="B13" s="284" t="s">
        <v>14</v>
      </c>
      <c r="C13" s="285"/>
      <c r="D13" s="285"/>
      <c r="E13" s="285"/>
      <c r="F13" s="285"/>
      <c r="G13" s="143" t="s">
        <v>202</v>
      </c>
      <c r="H13" s="164">
        <f>IFERROR(VLOOKUP(MID($G13,4,3),MMWR_TRAD_AGG_NATIONAL[],2,0),0)</f>
        <v>16032</v>
      </c>
      <c r="I13" s="161">
        <f>IFERROR(VLOOKUP(MID($G13,4,3),MMWR_TRAD_AGG_NATIONAL[],3,0),0)</f>
        <v>1993</v>
      </c>
      <c r="J13" s="162">
        <f t="shared" si="0"/>
        <v>0.12431387225548902</v>
      </c>
      <c r="K13" s="134"/>
    </row>
    <row r="14" spans="1:11" ht="16.5" customHeight="1" x14ac:dyDescent="0.2">
      <c r="A14" s="130"/>
      <c r="B14" s="286" t="s">
        <v>19</v>
      </c>
      <c r="C14" s="287"/>
      <c r="D14" s="287"/>
      <c r="E14" s="287"/>
      <c r="F14" s="287"/>
      <c r="G14" s="142" t="s">
        <v>203</v>
      </c>
      <c r="H14" s="164">
        <f>IFERROR(VLOOKUP(MID($G14,4,3),MMWR_TRAD_AGG_NATIONAL[],2,0),0)</f>
        <v>275</v>
      </c>
      <c r="I14" s="161">
        <f>IFERROR(VLOOKUP(MID($G14,4,3),MMWR_TRAD_AGG_NATIONAL[],3,0),0)</f>
        <v>59</v>
      </c>
      <c r="J14" s="162">
        <f t="shared" si="0"/>
        <v>0.21454545454545454</v>
      </c>
      <c r="K14" s="134"/>
    </row>
    <row r="15" spans="1:11" ht="16.5" customHeight="1" x14ac:dyDescent="0.2">
      <c r="A15" s="130"/>
      <c r="B15" s="286" t="s">
        <v>87</v>
      </c>
      <c r="C15" s="287"/>
      <c r="D15" s="287"/>
      <c r="E15" s="287"/>
      <c r="F15" s="287"/>
      <c r="G15" s="142" t="s">
        <v>206</v>
      </c>
      <c r="H15" s="164">
        <f>IFERROR(VLOOKUP(MID($G15,4,3),MMWR_TRAD_AGG_NATIONAL[],2,0),0)</f>
        <v>11</v>
      </c>
      <c r="I15" s="161">
        <f>IFERROR(VLOOKUP(MID($G15,4,3),MMWR_TRAD_AGG_NATIONAL[],3,0),0)</f>
        <v>8</v>
      </c>
      <c r="J15" s="162">
        <f t="shared" si="0"/>
        <v>0.72727272727272729</v>
      </c>
      <c r="K15" s="134"/>
    </row>
    <row r="16" spans="1:11" ht="15" x14ac:dyDescent="0.2">
      <c r="A16" s="130"/>
      <c r="B16" s="286" t="s">
        <v>88</v>
      </c>
      <c r="C16" s="287"/>
      <c r="D16" s="287"/>
      <c r="E16" s="287"/>
      <c r="F16" s="287"/>
      <c r="G16" s="142" t="s">
        <v>207</v>
      </c>
      <c r="H16" s="164">
        <f>IFERROR(VLOOKUP(MID($G16,4,3),MMWR_TRAD_AGG_NATIONAL[],2,0),0)</f>
        <v>2</v>
      </c>
      <c r="I16" s="161">
        <f>IFERROR(VLOOKUP(MID($G16,4,3),MMWR_TRAD_AGG_NATIONAL[],3,0),0)</f>
        <v>0</v>
      </c>
      <c r="J16" s="162">
        <f>IF(H16=0, 0,I16/H16)</f>
        <v>0</v>
      </c>
      <c r="K16" s="134"/>
    </row>
    <row r="17" spans="1:11" ht="16.5" customHeight="1" x14ac:dyDescent="0.2">
      <c r="A17" s="130"/>
      <c r="B17" s="286" t="s">
        <v>90</v>
      </c>
      <c r="C17" s="287"/>
      <c r="D17" s="287"/>
      <c r="E17" s="287"/>
      <c r="F17" s="287"/>
      <c r="G17" s="142" t="s">
        <v>208</v>
      </c>
      <c r="H17" s="164">
        <f>IFERROR(VLOOKUP(MID($G17,4,3),MMWR_TRAD_AGG_NATIONAL[],2,0),0)</f>
        <v>3</v>
      </c>
      <c r="I17" s="161">
        <f>IFERROR(VLOOKUP(MID($G17,4,3),MMWR_TRAD_AGG_NATIONAL[],3,0),0)</f>
        <v>2</v>
      </c>
      <c r="J17" s="162">
        <f>IF(H17=0, 0,I17/H17)</f>
        <v>0.66666666666666663</v>
      </c>
      <c r="K17" s="134"/>
    </row>
    <row r="18" spans="1:11" ht="16.5" customHeight="1" thickBot="1" x14ac:dyDescent="0.25">
      <c r="A18" s="130"/>
      <c r="B18" s="291" t="s">
        <v>89</v>
      </c>
      <c r="C18" s="292"/>
      <c r="D18" s="292"/>
      <c r="E18" s="292"/>
      <c r="F18" s="292"/>
      <c r="G18" s="142" t="s">
        <v>209</v>
      </c>
      <c r="H18" s="165">
        <f>IFERROR(VLOOKUP(MID($G18,4,3),MMWR_TRAD_AGG_NATIONAL[],2,0),0)</f>
        <v>3</v>
      </c>
      <c r="I18" s="161">
        <f>IFERROR(VLOOKUP(MID($G18,4,3),MMWR_TRAD_AGG_NATIONAL[],3,0),0)</f>
        <v>2</v>
      </c>
      <c r="J18" s="166">
        <f>IF(H18=0, 0,I18/H18)</f>
        <v>0.66666666666666663</v>
      </c>
      <c r="K18" s="134"/>
    </row>
    <row r="19" spans="1:11" ht="16.5" customHeight="1" x14ac:dyDescent="0.2">
      <c r="A19" s="130"/>
      <c r="B19" s="296" t="s">
        <v>976</v>
      </c>
      <c r="C19" s="297"/>
      <c r="D19" s="297"/>
      <c r="E19" s="297"/>
      <c r="F19" s="297"/>
      <c r="G19" s="297"/>
      <c r="H19" s="297"/>
      <c r="I19" s="297"/>
      <c r="J19" s="298"/>
      <c r="K19" s="134"/>
    </row>
    <row r="20" spans="1:11" ht="36" customHeight="1" thickBot="1" x14ac:dyDescent="0.25">
      <c r="A20" s="130"/>
      <c r="B20" s="299"/>
      <c r="C20" s="300"/>
      <c r="D20" s="300"/>
      <c r="E20" s="300"/>
      <c r="F20" s="300"/>
      <c r="G20" s="300"/>
      <c r="H20" s="300"/>
      <c r="I20" s="300"/>
      <c r="J20" s="301"/>
      <c r="K20" s="134"/>
    </row>
    <row r="21" spans="1:11" ht="36" customHeight="1" x14ac:dyDescent="0.2">
      <c r="A21" s="130"/>
      <c r="B21" s="302" t="s">
        <v>967</v>
      </c>
      <c r="C21" s="303"/>
      <c r="D21" s="304"/>
      <c r="E21" s="302" t="s">
        <v>968</v>
      </c>
      <c r="F21" s="303"/>
      <c r="G21" s="304"/>
      <c r="H21" s="302" t="s">
        <v>969</v>
      </c>
      <c r="I21" s="303"/>
      <c r="J21" s="304"/>
      <c r="K21" s="134"/>
    </row>
    <row r="22" spans="1:11" ht="29.25" customHeight="1" thickBot="1" x14ac:dyDescent="0.25">
      <c r="A22" s="130"/>
      <c r="B22" s="305"/>
      <c r="C22" s="306"/>
      <c r="D22" s="307"/>
      <c r="E22" s="305"/>
      <c r="F22" s="306"/>
      <c r="G22" s="307"/>
      <c r="H22" s="305"/>
      <c r="I22" s="306"/>
      <c r="J22" s="307"/>
      <c r="K22" s="134"/>
    </row>
    <row r="23" spans="1:11" ht="36" customHeight="1" x14ac:dyDescent="0.35">
      <c r="A23" s="130"/>
      <c r="B23" s="302" t="s">
        <v>961</v>
      </c>
      <c r="C23" s="303"/>
      <c r="D23" s="304"/>
      <c r="E23" s="302" t="s">
        <v>962</v>
      </c>
      <c r="F23" s="303"/>
      <c r="G23" s="304"/>
      <c r="H23" s="144"/>
      <c r="I23" s="144"/>
      <c r="J23" s="144"/>
      <c r="K23" s="134"/>
    </row>
    <row r="24" spans="1:11" ht="29.25" customHeight="1" thickBot="1" x14ac:dyDescent="0.4">
      <c r="A24" s="130"/>
      <c r="B24" s="305"/>
      <c r="C24" s="306"/>
      <c r="D24" s="307"/>
      <c r="E24" s="305"/>
      <c r="F24" s="306"/>
      <c r="G24" s="307"/>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22"/>
      <c r="D26" s="322"/>
      <c r="E26" s="322"/>
      <c r="F26" s="323"/>
      <c r="G26" s="446" t="s">
        <v>28</v>
      </c>
      <c r="H26" s="446" t="s">
        <v>29</v>
      </c>
      <c r="I26" s="446" t="s">
        <v>30</v>
      </c>
      <c r="J26" s="447" t="s">
        <v>31</v>
      </c>
      <c r="K26" s="134"/>
    </row>
    <row r="27" spans="1:11" ht="16.5" customHeight="1" x14ac:dyDescent="0.2">
      <c r="A27" s="130"/>
      <c r="B27" s="293" t="s">
        <v>970</v>
      </c>
      <c r="C27" s="294"/>
      <c r="D27" s="294"/>
      <c r="E27" s="294"/>
      <c r="F27" s="295"/>
      <c r="G27" s="257">
        <v>6872</v>
      </c>
      <c r="H27" s="257">
        <v>7118</v>
      </c>
      <c r="I27" s="257">
        <v>-246</v>
      </c>
      <c r="J27" s="261">
        <v>-3.5000000000000003E-2</v>
      </c>
      <c r="K27" s="134"/>
    </row>
    <row r="28" spans="1:11" ht="15" x14ac:dyDescent="0.2">
      <c r="A28" s="130"/>
      <c r="B28" s="448" t="s">
        <v>24</v>
      </c>
      <c r="C28" s="449"/>
      <c r="D28" s="449"/>
      <c r="E28" s="449"/>
      <c r="F28" s="450"/>
      <c r="G28" s="258">
        <v>1767</v>
      </c>
      <c r="H28" s="258">
        <v>2005</v>
      </c>
      <c r="I28" s="258">
        <v>-238</v>
      </c>
      <c r="J28" s="254">
        <v>-0.11899999999999999</v>
      </c>
      <c r="K28" s="134"/>
    </row>
    <row r="29" spans="1:11" ht="15" x14ac:dyDescent="0.2">
      <c r="A29" s="130"/>
      <c r="B29" s="451" t="s">
        <v>25</v>
      </c>
      <c r="C29" s="452"/>
      <c r="D29" s="452"/>
      <c r="E29" s="452"/>
      <c r="F29" s="453"/>
      <c r="G29" s="259">
        <v>649</v>
      </c>
      <c r="H29" s="259">
        <v>643</v>
      </c>
      <c r="I29" s="259">
        <v>6</v>
      </c>
      <c r="J29" s="255">
        <v>8.9999999999999993E-3</v>
      </c>
      <c r="K29" s="134"/>
    </row>
    <row r="30" spans="1:11" ht="15" x14ac:dyDescent="0.2">
      <c r="A30" s="130"/>
      <c r="B30" s="454" t="s">
        <v>26</v>
      </c>
      <c r="C30" s="455"/>
      <c r="D30" s="455"/>
      <c r="E30" s="455"/>
      <c r="F30" s="456"/>
      <c r="G30" s="259">
        <v>1841</v>
      </c>
      <c r="H30" s="259">
        <v>1932</v>
      </c>
      <c r="I30" s="259">
        <v>-91</v>
      </c>
      <c r="J30" s="255">
        <v>-4.7E-2</v>
      </c>
      <c r="K30" s="134"/>
    </row>
    <row r="31" spans="1:11" ht="15" x14ac:dyDescent="0.2">
      <c r="A31" s="130"/>
      <c r="B31" s="457" t="s">
        <v>27</v>
      </c>
      <c r="C31" s="458"/>
      <c r="D31" s="458"/>
      <c r="E31" s="458"/>
      <c r="F31" s="459"/>
      <c r="G31" s="260">
        <v>2615</v>
      </c>
      <c r="H31" s="260">
        <v>2538</v>
      </c>
      <c r="I31" s="260">
        <v>77</v>
      </c>
      <c r="J31" s="256">
        <v>0.03</v>
      </c>
      <c r="K31" s="134"/>
    </row>
    <row r="32" spans="1:11" ht="16.5" customHeight="1" x14ac:dyDescent="0.2">
      <c r="A32" s="130"/>
      <c r="B32" s="293" t="s">
        <v>241</v>
      </c>
      <c r="C32" s="294"/>
      <c r="D32" s="294"/>
      <c r="E32" s="294"/>
      <c r="F32" s="295"/>
      <c r="G32" s="257">
        <v>47561</v>
      </c>
      <c r="H32" s="257">
        <v>51186</v>
      </c>
      <c r="I32" s="257">
        <v>-3625</v>
      </c>
      <c r="J32" s="261">
        <v>-7.0999999999999994E-2</v>
      </c>
      <c r="K32" s="134"/>
    </row>
    <row r="33" spans="1:11" ht="15" x14ac:dyDescent="0.2">
      <c r="A33" s="130"/>
      <c r="B33" s="448" t="s">
        <v>24</v>
      </c>
      <c r="C33" s="449"/>
      <c r="D33" s="449"/>
      <c r="E33" s="449"/>
      <c r="F33" s="450"/>
      <c r="G33" s="258">
        <v>8872</v>
      </c>
      <c r="H33" s="258">
        <v>12012</v>
      </c>
      <c r="I33" s="258">
        <v>-3140</v>
      </c>
      <c r="J33" s="254">
        <v>-0.26100000000000001</v>
      </c>
      <c r="K33" s="134"/>
    </row>
    <row r="34" spans="1:11" ht="15" x14ac:dyDescent="0.2">
      <c r="A34" s="130"/>
      <c r="B34" s="451" t="s">
        <v>25</v>
      </c>
      <c r="C34" s="452"/>
      <c r="D34" s="452"/>
      <c r="E34" s="452"/>
      <c r="F34" s="453"/>
      <c r="G34" s="259">
        <v>5764</v>
      </c>
      <c r="H34" s="259">
        <v>5662</v>
      </c>
      <c r="I34" s="259">
        <v>102</v>
      </c>
      <c r="J34" s="255">
        <v>1.7999999999999999E-2</v>
      </c>
      <c r="K34" s="134"/>
    </row>
    <row r="35" spans="1:11" ht="15" x14ac:dyDescent="0.2">
      <c r="A35" s="130"/>
      <c r="B35" s="454" t="s">
        <v>26</v>
      </c>
      <c r="C35" s="455"/>
      <c r="D35" s="455"/>
      <c r="E35" s="455"/>
      <c r="F35" s="456"/>
      <c r="G35" s="259">
        <v>21837</v>
      </c>
      <c r="H35" s="259">
        <v>23228</v>
      </c>
      <c r="I35" s="259">
        <v>-1391</v>
      </c>
      <c r="J35" s="255">
        <v>-0.06</v>
      </c>
      <c r="K35" s="134"/>
    </row>
    <row r="36" spans="1:11" ht="15.75" thickBot="1" x14ac:dyDescent="0.25">
      <c r="A36" s="130"/>
      <c r="B36" s="460" t="s">
        <v>27</v>
      </c>
      <c r="C36" s="461"/>
      <c r="D36" s="461"/>
      <c r="E36" s="461"/>
      <c r="F36" s="462"/>
      <c r="G36" s="259">
        <v>11088</v>
      </c>
      <c r="H36" s="259">
        <v>10284</v>
      </c>
      <c r="I36" s="259">
        <v>804</v>
      </c>
      <c r="J36" s="255">
        <v>7.8E-2</v>
      </c>
      <c r="K36" s="134"/>
    </row>
    <row r="37" spans="1:11" ht="15.75" customHeight="1" thickBot="1" x14ac:dyDescent="0.25">
      <c r="A37" s="130"/>
      <c r="B37" s="288" t="s">
        <v>975</v>
      </c>
      <c r="C37" s="289"/>
      <c r="D37" s="289"/>
      <c r="E37" s="289"/>
      <c r="F37" s="289"/>
      <c r="G37" s="289"/>
      <c r="H37" s="289"/>
      <c r="I37" s="289"/>
      <c r="J37" s="290"/>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33" t="s">
        <v>301</v>
      </c>
      <c r="D2" s="334"/>
      <c r="E2" s="334"/>
      <c r="F2" s="334"/>
      <c r="G2" s="334"/>
      <c r="H2" s="334"/>
      <c r="I2" s="334"/>
      <c r="J2" s="334"/>
      <c r="K2" s="335"/>
      <c r="L2" s="333" t="s">
        <v>306</v>
      </c>
      <c r="M2" s="334"/>
      <c r="N2" s="334"/>
      <c r="O2" s="335"/>
      <c r="P2" s="28"/>
    </row>
    <row r="3" spans="1:16" ht="24" customHeight="1" thickBot="1" x14ac:dyDescent="0.4">
      <c r="A3" s="25"/>
      <c r="B3" s="29"/>
      <c r="C3" s="336"/>
      <c r="D3" s="337"/>
      <c r="E3" s="337"/>
      <c r="F3" s="337"/>
      <c r="G3" s="337"/>
      <c r="H3" s="337"/>
      <c r="I3" s="337"/>
      <c r="J3" s="337"/>
      <c r="K3" s="338"/>
      <c r="L3" s="336" t="str">
        <f>Transformation!B4</f>
        <v>As of: November 14, 2015</v>
      </c>
      <c r="M3" s="337"/>
      <c r="N3" s="337"/>
      <c r="O3" s="338"/>
      <c r="P3" s="28"/>
    </row>
    <row r="4" spans="1:16" ht="51.75" customHeight="1" thickBot="1" x14ac:dyDescent="0.35">
      <c r="A4" s="30"/>
      <c r="B4" s="247" t="s">
        <v>462</v>
      </c>
      <c r="C4" s="339" t="s">
        <v>310</v>
      </c>
      <c r="D4" s="340"/>
      <c r="E4" s="340"/>
      <c r="F4" s="340"/>
      <c r="G4" s="340"/>
      <c r="H4" s="340"/>
      <c r="I4" s="340"/>
      <c r="J4" s="340"/>
      <c r="K4" s="340"/>
      <c r="L4" s="340"/>
      <c r="M4" s="340"/>
      <c r="N4" s="340"/>
      <c r="O4" s="341"/>
      <c r="P4" s="28"/>
    </row>
    <row r="5" spans="1:16" ht="27" customHeight="1" thickBot="1" x14ac:dyDescent="0.25">
      <c r="A5" s="30"/>
      <c r="B5" s="26"/>
      <c r="C5" s="342" t="s">
        <v>1049</v>
      </c>
      <c r="D5" s="343"/>
      <c r="E5" s="343"/>
      <c r="F5" s="343"/>
      <c r="G5" s="343"/>
      <c r="H5" s="343"/>
      <c r="I5" s="343"/>
      <c r="J5" s="343"/>
      <c r="K5" s="343"/>
      <c r="L5" s="343"/>
      <c r="M5" s="343"/>
      <c r="N5" s="343"/>
      <c r="O5" s="344"/>
      <c r="P5" s="28"/>
    </row>
    <row r="6" spans="1:16" ht="55.5" customHeight="1" x14ac:dyDescent="0.2">
      <c r="A6" s="30"/>
      <c r="B6" s="31"/>
      <c r="C6" s="32" t="s">
        <v>196</v>
      </c>
      <c r="D6" s="345" t="s">
        <v>16</v>
      </c>
      <c r="E6" s="346"/>
      <c r="F6" s="33" t="s">
        <v>199</v>
      </c>
      <c r="G6" s="345" t="s">
        <v>204</v>
      </c>
      <c r="H6" s="347"/>
      <c r="I6" s="33" t="s">
        <v>202</v>
      </c>
      <c r="J6" s="351" t="s">
        <v>14</v>
      </c>
      <c r="K6" s="352"/>
      <c r="L6" s="33" t="s">
        <v>207</v>
      </c>
      <c r="M6" s="348" t="s">
        <v>88</v>
      </c>
      <c r="N6" s="349"/>
      <c r="O6" s="350"/>
      <c r="P6" s="28"/>
    </row>
    <row r="7" spans="1:16" ht="51.75" customHeight="1" x14ac:dyDescent="0.2">
      <c r="A7" s="30"/>
      <c r="B7" s="34"/>
      <c r="C7" s="35" t="s">
        <v>197</v>
      </c>
      <c r="D7" s="363" t="s">
        <v>0</v>
      </c>
      <c r="E7" s="364"/>
      <c r="F7" s="36" t="s">
        <v>200</v>
      </c>
      <c r="G7" s="365" t="s">
        <v>205</v>
      </c>
      <c r="H7" s="365"/>
      <c r="I7" s="36" t="s">
        <v>203</v>
      </c>
      <c r="J7" s="353" t="s">
        <v>19</v>
      </c>
      <c r="K7" s="354"/>
      <c r="L7" s="36" t="s">
        <v>208</v>
      </c>
      <c r="M7" s="357" t="s">
        <v>90</v>
      </c>
      <c r="N7" s="358"/>
      <c r="O7" s="359"/>
      <c r="P7" s="28"/>
    </row>
    <row r="8" spans="1:16" ht="51.75" customHeight="1" thickBot="1" x14ac:dyDescent="0.25">
      <c r="A8" s="25"/>
      <c r="B8" s="28"/>
      <c r="C8" s="37" t="s">
        <v>198</v>
      </c>
      <c r="D8" s="366" t="s">
        <v>18</v>
      </c>
      <c r="E8" s="367"/>
      <c r="F8" s="38" t="s">
        <v>201</v>
      </c>
      <c r="G8" s="368" t="s">
        <v>17</v>
      </c>
      <c r="H8" s="368"/>
      <c r="I8" s="38" t="s">
        <v>206</v>
      </c>
      <c r="J8" s="355" t="s">
        <v>87</v>
      </c>
      <c r="K8" s="356"/>
      <c r="L8" s="38" t="s">
        <v>209</v>
      </c>
      <c r="M8" s="330" t="s">
        <v>89</v>
      </c>
      <c r="N8" s="331"/>
      <c r="O8" s="332"/>
      <c r="P8" s="28"/>
    </row>
    <row r="9" spans="1:16" x14ac:dyDescent="0.2">
      <c r="A9" s="28"/>
      <c r="B9" s="28"/>
      <c r="C9" s="39" t="s">
        <v>711</v>
      </c>
      <c r="D9" s="39" t="s">
        <v>713</v>
      </c>
      <c r="E9" s="39" t="s">
        <v>712</v>
      </c>
      <c r="F9" s="39" t="s">
        <v>715</v>
      </c>
      <c r="G9" s="39" t="s">
        <v>714</v>
      </c>
      <c r="H9" s="39" t="s">
        <v>717</v>
      </c>
      <c r="I9" s="39" t="s">
        <v>716</v>
      </c>
      <c r="J9" s="39" t="s">
        <v>927</v>
      </c>
      <c r="K9" s="39" t="s">
        <v>928</v>
      </c>
      <c r="L9" s="39" t="s">
        <v>930</v>
      </c>
      <c r="M9" s="39" t="s">
        <v>1050</v>
      </c>
      <c r="N9" s="39" t="s">
        <v>931</v>
      </c>
      <c r="O9" s="39" t="s">
        <v>932</v>
      </c>
      <c r="P9" s="28"/>
    </row>
    <row r="10" spans="1:16" ht="15.75" customHeight="1" x14ac:dyDescent="0.2">
      <c r="A10" s="25"/>
      <c r="B10" s="26"/>
      <c r="C10" s="369" t="s">
        <v>299</v>
      </c>
      <c r="D10" s="369"/>
      <c r="E10" s="369"/>
      <c r="F10" s="369"/>
      <c r="G10" s="369"/>
      <c r="H10" s="369"/>
      <c r="I10" s="369"/>
      <c r="J10" s="369"/>
      <c r="K10" s="369"/>
      <c r="L10" s="369"/>
      <c r="M10" s="369"/>
      <c r="N10" s="369"/>
      <c r="O10" s="369"/>
      <c r="P10" s="28"/>
    </row>
    <row r="11" spans="1:16" ht="32.25" customHeight="1" x14ac:dyDescent="0.2">
      <c r="A11" s="25"/>
      <c r="B11" s="26"/>
      <c r="C11" s="324" t="s">
        <v>232</v>
      </c>
      <c r="D11" s="324" t="s">
        <v>140</v>
      </c>
      <c r="E11" s="324" t="s">
        <v>233</v>
      </c>
      <c r="F11" s="324" t="s">
        <v>195</v>
      </c>
      <c r="G11" s="324" t="s">
        <v>210</v>
      </c>
      <c r="H11" s="324" t="s">
        <v>212</v>
      </c>
      <c r="I11" s="324" t="s">
        <v>213</v>
      </c>
      <c r="J11" s="328" t="s">
        <v>1061</v>
      </c>
      <c r="K11" s="328" t="s">
        <v>1062</v>
      </c>
      <c r="L11" s="326" t="s">
        <v>1059</v>
      </c>
      <c r="M11" s="327"/>
      <c r="N11" s="326" t="s">
        <v>1060</v>
      </c>
      <c r="O11" s="327"/>
      <c r="P11" s="28"/>
    </row>
    <row r="12" spans="1:16" ht="32.25" customHeight="1" x14ac:dyDescent="0.2">
      <c r="A12" s="25"/>
      <c r="B12" s="26"/>
      <c r="C12" s="325"/>
      <c r="D12" s="325"/>
      <c r="E12" s="325"/>
      <c r="F12" s="325"/>
      <c r="G12" s="325"/>
      <c r="H12" s="325"/>
      <c r="I12" s="325"/>
      <c r="J12" s="329"/>
      <c r="K12" s="329"/>
      <c r="L12" s="40" t="s">
        <v>933</v>
      </c>
      <c r="M12" s="40" t="s">
        <v>938</v>
      </c>
      <c r="N12" s="40" t="s">
        <v>933</v>
      </c>
      <c r="O12" s="40" t="s">
        <v>938</v>
      </c>
      <c r="P12" s="28"/>
    </row>
    <row r="13" spans="1:16" x14ac:dyDescent="0.2">
      <c r="A13" s="25"/>
      <c r="B13" s="41" t="s">
        <v>1057</v>
      </c>
      <c r="C13" s="154">
        <f>IF($B13=" ","",IFERROR(INDEX(MMWR_RATING_RO_ROLLUP[],MATCH($B13,MMWR_RATING_RO_ROLLUP[MMWR_RATING_RO_ROLLUP],0),MATCH(C$9,MMWR_RATING_RO_ROLLUP[#Headers],0)),"ERROR"))</f>
        <v>373198</v>
      </c>
      <c r="D13" s="155">
        <f>IF($B13=" ","",IFERROR(INDEX(MMWR_RATING_RO_ROLLUP[],MATCH($B13,MMWR_RATING_RO_ROLLUP[MMWR_RATING_RO_ROLLUP],0),MATCH(D$9,MMWR_RATING_RO_ROLLUP[#Headers],0)),"ERROR"))</f>
        <v>90.457783803799998</v>
      </c>
      <c r="E13" s="156">
        <f>IF($B13=" ","",IFERROR(INDEX(MMWR_RATING_RO_ROLLUP[],MATCH($B13,MMWR_RATING_RO_ROLLUP[MMWR_RATING_RO_ROLLUP],0),MATCH(E$9,MMWR_RATING_RO_ROLLUP[#Headers],0))/$C13,"ERROR"))</f>
        <v>0.20220633551090841</v>
      </c>
      <c r="F13" s="154">
        <f>IF($B13=" ","",IFERROR(INDEX(MMWR_RATING_RO_ROLLUP[],MATCH($B13,MMWR_RATING_RO_ROLLUP[MMWR_RATING_RO_ROLLUP],0),MATCH(F$9,MMWR_RATING_RO_ROLLUP[#Headers],0)),"ERROR"))</f>
        <v>48775</v>
      </c>
      <c r="G13" s="154">
        <f>IF($B13=" ","",IFERROR(INDEX(MMWR_RATING_RO_ROLLUP[],MATCH($B13,MMWR_RATING_RO_ROLLUP[MMWR_RATING_RO_ROLLUP],0),MATCH(G$9,MMWR_RATING_RO_ROLLUP[#Headers],0)),"ERROR"))</f>
        <v>149640</v>
      </c>
      <c r="H13" s="155">
        <f>IF($B13=" ","",IFERROR(INDEX(MMWR_RATING_RO_ROLLUP[],MATCH($B13,MMWR_RATING_RO_ROLLUP[MMWR_RATING_RO_ROLLUP],0),MATCH(H$9,MMWR_RATING_RO_ROLLUP[#Headers],0)),"ERROR"))</f>
        <v>127.22814966679999</v>
      </c>
      <c r="I13" s="155">
        <f>IF($B13=" ","",IFERROR(INDEX(MMWR_RATING_RO_ROLLUP[],MATCH($B13,MMWR_RATING_RO_ROLLUP[MMWR_RATING_RO_ROLLUP],0),MATCH(I$9,MMWR_RATING_RO_ROLLUP[#Headers],0)),"ERROR"))</f>
        <v>128.6788024592</v>
      </c>
      <c r="J13" s="42"/>
      <c r="K13" s="42"/>
      <c r="L13" s="42"/>
      <c r="M13" s="42"/>
      <c r="N13" s="42"/>
      <c r="O13" s="42"/>
      <c r="P13" s="28"/>
    </row>
    <row r="14" spans="1:16" x14ac:dyDescent="0.2">
      <c r="A14" s="25"/>
      <c r="B14" s="361" t="s">
        <v>739</v>
      </c>
      <c r="C14" s="362"/>
      <c r="D14" s="362"/>
      <c r="E14" s="362"/>
      <c r="F14" s="362"/>
      <c r="G14" s="362"/>
      <c r="H14" s="362"/>
      <c r="I14" s="362"/>
      <c r="J14" s="362"/>
      <c r="K14" s="362"/>
      <c r="L14" s="362"/>
      <c r="M14" s="362"/>
      <c r="N14" s="362"/>
      <c r="O14" s="362"/>
      <c r="P14" s="28"/>
    </row>
    <row r="15" spans="1:16" x14ac:dyDescent="0.2">
      <c r="A15" s="25"/>
      <c r="B15" s="41" t="s">
        <v>735</v>
      </c>
      <c r="C15" s="154">
        <f>IF($B15=" ","",IFERROR(INDEX(MMWR_RATING_RO_ROLLUP[],MATCH($B15,MMWR_RATING_RO_ROLLUP[MMWR_RATING_RO_ROLLUP],0),MATCH(C$9,MMWR_RATING_RO_ROLLUP[#Headers],0)),"ERROR"))</f>
        <v>326580</v>
      </c>
      <c r="D15" s="155">
        <f>IF($B15=" ","",IFERROR(INDEX(MMWR_RATING_RO_ROLLUP[],MATCH($B15,MMWR_RATING_RO_ROLLUP[MMWR_RATING_RO_ROLLUP],0),MATCH(D$9,MMWR_RATING_RO_ROLLUP[#Headers],0)),"ERROR"))</f>
        <v>93.4840314777</v>
      </c>
      <c r="E15" s="156">
        <f>IF($B15=" ","",IFERROR(INDEX(MMWR_RATING_RO_ROLLUP[],MATCH($B15,MMWR_RATING_RO_ROLLUP[MMWR_RATING_RO_ROLLUP],0),MATCH(E$9,MMWR_RATING_RO_ROLLUP[#Headers],0))/$C15,"ERROR"))</f>
        <v>0.21420172698879295</v>
      </c>
      <c r="F15" s="154">
        <f>IF($B15=" ","",IFERROR(INDEX(MMWR_RATING_RO_ROLLUP[],MATCH($B15,MMWR_RATING_RO_ROLLUP[MMWR_RATING_RO_ROLLUP],0),MATCH(F$9,MMWR_RATING_RO_ROLLUP[#Headers],0)),"ERROR"))</f>
        <v>41857</v>
      </c>
      <c r="G15" s="154">
        <f>IF($B15=" ","",IFERROR(INDEX(MMWR_RATING_RO_ROLLUP[],MATCH($B15,MMWR_RATING_RO_ROLLUP[MMWR_RATING_RO_ROLLUP],0),MATCH(G$9,MMWR_RATING_RO_ROLLUP[#Headers],0)),"ERROR"))</f>
        <v>127882</v>
      </c>
      <c r="H15" s="155">
        <f>IF($B15=" ","",IFERROR(INDEX(MMWR_RATING_RO_ROLLUP[],MATCH($B15,MMWR_RATING_RO_ROLLUP[MMWR_RATING_RO_ROLLUP],0),MATCH(H$9,MMWR_RATING_RO_ROLLUP[#Headers],0)),"ERROR"))</f>
        <v>134.29925699410001</v>
      </c>
      <c r="I15" s="155">
        <f>IF($B15=" ","",IFERROR(INDEX(MMWR_RATING_RO_ROLLUP[],MATCH($B15,MMWR_RATING_RO_ROLLUP[MMWR_RATING_RO_ROLLUP],0),MATCH(I$9,MMWR_RATING_RO_ROLLUP[#Headers],0)),"ERROR"))</f>
        <v>136.64869958240001</v>
      </c>
      <c r="J15" s="157">
        <f>VLOOKUP($B$13,MMWR_ACCURACY_RO[],MATCH(J$9,MMWR_ACCURACY_RO[#Headers],0),0)</f>
        <v>0.96197517057151161</v>
      </c>
      <c r="K15" s="157">
        <f>VLOOKUP($B$13,MMWR_ACCURACY_RO[],MATCH(K$9,MMWR_ACCURACY_RO[#Headers],0),0)</f>
        <v>0.89083669187831571</v>
      </c>
      <c r="L15" s="157">
        <f>VLOOKUP($B$13,MMWR_ACCURACY_RO[],MATCH(L$9,MMWR_ACCURACY_RO[#Headers],0),0)</f>
        <v>0.90443172791620985</v>
      </c>
      <c r="M15" s="157">
        <f>VLOOKUP($B$13,MMWR_ACCURACY_RO[],MATCH(M$9,MMWR_ACCURACY_RO[#Headers],0),0)</f>
        <v>7.428510364121124E-3</v>
      </c>
      <c r="N15" s="157">
        <f>VLOOKUP($B$13,MMWR_ACCURACY_RO[],MATCH(N$9,MMWR_ACCURACY_RO[#Headers],0),0)</f>
        <v>0.91007123385233935</v>
      </c>
      <c r="O15" s="157">
        <f>VLOOKUP($B$13,MMWR_ACCURACY_RO[],MATCH(O$9,MMWR_ACCURACY_RO[#Headers],0),0)</f>
        <v>8.7197515642858294E-3</v>
      </c>
      <c r="P15" s="28"/>
    </row>
    <row r="16" spans="1:16" x14ac:dyDescent="0.2">
      <c r="A16" s="25"/>
      <c r="B16" s="248" t="s">
        <v>392</v>
      </c>
      <c r="C16" s="154">
        <f>IF($B16=" ","",IFERROR(INDEX(MMWR_RATING_RO_ROLLUP[],MATCH($B16,MMWR_RATING_RO_ROLLUP[MMWR_RATING_RO_ROLLUP],0),MATCH(C$9,MMWR_RATING_RO_ROLLUP[#Headers],0)),"ERROR"))</f>
        <v>65322</v>
      </c>
      <c r="D16" s="155">
        <f>IF($B16=" ","",IFERROR(INDEX(MMWR_RATING_RO_ROLLUP[],MATCH($B16,MMWR_RATING_RO_ROLLUP[MMWR_RATING_RO_ROLLUP],0),MATCH(D$9,MMWR_RATING_RO_ROLLUP[#Headers],0)),"ERROR"))</f>
        <v>93.277134809100005</v>
      </c>
      <c r="E16" s="156">
        <f>IF($B16=" ","",IFERROR(INDEX(MMWR_RATING_RO_ROLLUP[],MATCH($B16,MMWR_RATING_RO_ROLLUP[MMWR_RATING_RO_ROLLUP],0),MATCH(E$9,MMWR_RATING_RO_ROLLUP[#Headers],0))/$C16,"ERROR"))</f>
        <v>0.21334313095128746</v>
      </c>
      <c r="F16" s="154">
        <f>IF($B16=" ","",IFERROR(INDEX(MMWR_RATING_RO_ROLLUP[],MATCH($B16,MMWR_RATING_RO_ROLLUP[MMWR_RATING_RO_ROLLUP],0),MATCH(F$9,MMWR_RATING_RO_ROLLUP[#Headers],0)),"ERROR"))</f>
        <v>8142</v>
      </c>
      <c r="G16" s="154">
        <f>IF($B16=" ","",IFERROR(INDEX(MMWR_RATING_RO_ROLLUP[],MATCH($B16,MMWR_RATING_RO_ROLLUP[MMWR_RATING_RO_ROLLUP],0),MATCH(G$9,MMWR_RATING_RO_ROLLUP[#Headers],0)),"ERROR"))</f>
        <v>25043</v>
      </c>
      <c r="H16" s="155">
        <f>IF($B16=" ","",IFERROR(INDEX(MMWR_RATING_RO_ROLLUP[],MATCH($B16,MMWR_RATING_RO_ROLLUP[MMWR_RATING_RO_ROLLUP],0),MATCH(H$9,MMWR_RATING_RO_ROLLUP[#Headers],0)),"ERROR"))</f>
        <v>138.87054777700001</v>
      </c>
      <c r="I16" s="155">
        <f>IF($B16=" ","",IFERROR(INDEX(MMWR_RATING_RO_ROLLUP[],MATCH($B16,MMWR_RATING_RO_ROLLUP[MMWR_RATING_RO_ROLLUP],0),MATCH(I$9,MMWR_RATING_RO_ROLLUP[#Headers],0)),"ERROR"))</f>
        <v>142.49498861960001</v>
      </c>
      <c r="J16" s="158">
        <f>IF($B16=" ","",IFERROR(VLOOKUP($B16,MMWR_ACCURACY_RO[],MATCH(J$9,MMWR_ACCURACY_RO[#Headers],0),0),"ERROR"))</f>
        <v>0.96029184534789747</v>
      </c>
      <c r="K16" s="158">
        <f>IF($B16=" ","",IFERROR(VLOOKUP($B16,MMWR_ACCURACY_RO[],MATCH(K$9,MMWR_ACCURACY_RO[#Headers],0),0),"ERROR"))</f>
        <v>0.8687391714842333</v>
      </c>
      <c r="L16" s="158">
        <f>IF($B16=" ","",IFERROR(VLOOKUP($B16,MMWR_ACCURACY_RO[],MATCH(L$9,MMWR_ACCURACY_RO[#Headers],0),0),"ERROR"))</f>
        <v>0.90460862129339181</v>
      </c>
      <c r="M16" s="158">
        <f>IF($B16=" ","",IFERROR(VLOOKUP($B16,MMWR_ACCURACY_RO[],MATCH(M$9,MMWR_ACCURACY_RO[#Headers],0),0),"ERROR"))</f>
        <v>1.6975766961293388E-2</v>
      </c>
      <c r="N16" s="158">
        <f>IF($B16=" ","",IFERROR(VLOOKUP($B16,MMWR_ACCURACY_RO[],MATCH(N$9,MMWR_ACCURACY_RO[#Headers],0),0),"ERROR"))</f>
        <v>0.93469946941093307</v>
      </c>
      <c r="O16" s="158">
        <f>IF($B16=" ","",IFERROR(VLOOKUP($B16,MMWR_ACCURACY_RO[],MATCH(O$9,MMWR_ACCURACY_RO[#Headers],0),0),"ERROR"))</f>
        <v>1.5358198552636182E-2</v>
      </c>
      <c r="P16" s="28"/>
    </row>
    <row r="17" spans="1:16" x14ac:dyDescent="0.2">
      <c r="A17" s="25"/>
      <c r="B17" s="8" t="str">
        <f>VLOOKUP($B$16,DISTRICT_RO[],2,0)</f>
        <v>Cheyenne VSC</v>
      </c>
      <c r="C17" s="154">
        <f>IF($B17=" ","",IFERROR(INDEX(MMWR_RATING_RO_ROLLUP[],MATCH($B17,MMWR_RATING_RO_ROLLUP[MMWR_RATING_RO_ROLLUP],0),MATCH(C$9,MMWR_RATING_RO_ROLLUP[#Headers],0)),"ERROR"))</f>
        <v>981</v>
      </c>
      <c r="D17" s="155">
        <f>IF($B17=" ","",IFERROR(INDEX(MMWR_RATING_RO_ROLLUP[],MATCH($B17,MMWR_RATING_RO_ROLLUP[MMWR_RATING_RO_ROLLUP],0),MATCH(D$9,MMWR_RATING_RO_ROLLUP[#Headers],0)),"ERROR"))</f>
        <v>87.553516819600006</v>
      </c>
      <c r="E17" s="156">
        <f>IF($B17=" ","",IFERROR(INDEX(MMWR_RATING_RO_ROLLUP[],MATCH($B17,MMWR_RATING_RO_ROLLUP[MMWR_RATING_RO_ROLLUP],0),MATCH(E$9,MMWR_RATING_RO_ROLLUP[#Headers],0))/$C17,"ERROR"))</f>
        <v>0.18042813455657492</v>
      </c>
      <c r="F17" s="154">
        <f>IF($B17=" ","",IFERROR(INDEX(MMWR_RATING_RO_ROLLUP[],MATCH($B17,MMWR_RATING_RO_ROLLUP[MMWR_RATING_RO_ROLLUP],0),MATCH(F$9,MMWR_RATING_RO_ROLLUP[#Headers],0)),"ERROR"))</f>
        <v>93</v>
      </c>
      <c r="G17" s="154">
        <f>IF($B17=" ","",IFERROR(INDEX(MMWR_RATING_RO_ROLLUP[],MATCH($B17,MMWR_RATING_RO_ROLLUP[MMWR_RATING_RO_ROLLUP],0),MATCH(G$9,MMWR_RATING_RO_ROLLUP[#Headers],0)),"ERROR"))</f>
        <v>316</v>
      </c>
      <c r="H17" s="155">
        <f>IF($B17=" ","",IFERROR(INDEX(MMWR_RATING_RO_ROLLUP[],MATCH($B17,MMWR_RATING_RO_ROLLUP[MMWR_RATING_RO_ROLLUP],0),MATCH(H$9,MMWR_RATING_RO_ROLLUP[#Headers],0)),"ERROR"))</f>
        <v>152.97849462369999</v>
      </c>
      <c r="I17" s="155">
        <f>IF($B17=" ","",IFERROR(INDEX(MMWR_RATING_RO_ROLLUP[],MATCH($B17,MMWR_RATING_RO_ROLLUP[MMWR_RATING_RO_ROLLUP],0),MATCH(I$9,MMWR_RATING_RO_ROLLUP[#Headers],0)),"ERROR"))</f>
        <v>139.3575949367</v>
      </c>
      <c r="J17" s="158">
        <f>IF($B17=" ","",IFERROR(VLOOKUP($B17,MMWR_ACCURACY_RO[],MATCH(J$9,MMWR_ACCURACY_RO[#Headers],0),0),"ERROR"))</f>
        <v>0.96905167609225473</v>
      </c>
      <c r="K17" s="158">
        <f>IF($B17=" ","",IFERROR(VLOOKUP($B17,MMWR_ACCURACY_RO[],MATCH(K$9,MMWR_ACCURACY_RO[#Headers],0),0),"ERROR"))</f>
        <v>0.85032982890125752</v>
      </c>
      <c r="L17" s="158">
        <f>IF($B17=" ","",IFERROR(VLOOKUP($B17,MMWR_ACCURACY_RO[],MATCH(L$9,MMWR_ACCURACY_RO[#Headers],0),0),"ERROR"))</f>
        <v>0.86974010692490988</v>
      </c>
      <c r="M17" s="158">
        <f>IF($B17=" ","",IFERROR(VLOOKUP($B17,MMWR_ACCURACY_RO[],MATCH(M$9,MMWR_ACCURACY_RO[#Headers],0),0),"ERROR"))</f>
        <v>5.4614404906171858E-2</v>
      </c>
      <c r="N17" s="158">
        <f>IF($B17=" ","",IFERROR(VLOOKUP($B17,MMWR_ACCURACY_RO[],MATCH(N$9,MMWR_ACCURACY_RO[#Headers],0),0),"ERROR"))</f>
        <v>0.90321658105660196</v>
      </c>
      <c r="O17" s="158">
        <f>IF($B17=" ","",IFERROR(VLOOKUP($B17,MMWR_ACCURACY_RO[],MATCH(O$9,MMWR_ACCURACY_RO[#Headers],0),0),"ERROR"))</f>
        <v>5.1005827449674614E-2</v>
      </c>
      <c r="P17" s="28"/>
    </row>
    <row r="18" spans="1:16" x14ac:dyDescent="0.2">
      <c r="A18" s="25"/>
      <c r="B18" s="8" t="str">
        <f>VLOOKUP($B$16,DISTRICT_RO[],3,0)</f>
        <v>Denver VSC</v>
      </c>
      <c r="C18" s="154">
        <f>IF($B18=" ","",IFERROR(INDEX(MMWR_RATING_RO_ROLLUP[],MATCH($B18,MMWR_RATING_RO_ROLLUP[MMWR_RATING_RO_ROLLUP],0),MATCH(C$9,MMWR_RATING_RO_ROLLUP[#Headers],0)),"ERROR"))</f>
        <v>6744</v>
      </c>
      <c r="D18" s="155">
        <f>IF($B18=" ","",IFERROR(INDEX(MMWR_RATING_RO_ROLLUP[],MATCH($B18,MMWR_RATING_RO_ROLLUP[MMWR_RATING_RO_ROLLUP],0),MATCH(D$9,MMWR_RATING_RO_ROLLUP[#Headers],0)),"ERROR"))</f>
        <v>102.7118920522</v>
      </c>
      <c r="E18" s="156">
        <f>IF($B18=" ","",IFERROR(INDEX(MMWR_RATING_RO_ROLLUP[],MATCH($B18,MMWR_RATING_RO_ROLLUP[MMWR_RATING_RO_ROLLUP],0),MATCH(E$9,MMWR_RATING_RO_ROLLUP[#Headers],0))/$C18,"ERROR"))</f>
        <v>0.26393831553973901</v>
      </c>
      <c r="F18" s="154">
        <f>IF($B18=" ","",IFERROR(INDEX(MMWR_RATING_RO_ROLLUP[],MATCH($B18,MMWR_RATING_RO_ROLLUP[MMWR_RATING_RO_ROLLUP],0),MATCH(F$9,MMWR_RATING_RO_ROLLUP[#Headers],0)),"ERROR"))</f>
        <v>658</v>
      </c>
      <c r="G18" s="154">
        <f>IF($B18=" ","",IFERROR(INDEX(MMWR_RATING_RO_ROLLUP[],MATCH($B18,MMWR_RATING_RO_ROLLUP[MMWR_RATING_RO_ROLLUP],0),MATCH(G$9,MMWR_RATING_RO_ROLLUP[#Headers],0)),"ERROR"))</f>
        <v>2184</v>
      </c>
      <c r="H18" s="155">
        <f>IF($B18=" ","",IFERROR(INDEX(MMWR_RATING_RO_ROLLUP[],MATCH($B18,MMWR_RATING_RO_ROLLUP[MMWR_RATING_RO_ROLLUP],0),MATCH(H$9,MMWR_RATING_RO_ROLLUP[#Headers],0)),"ERROR"))</f>
        <v>162.5653495441</v>
      </c>
      <c r="I18" s="155">
        <f>IF($B18=" ","",IFERROR(INDEX(MMWR_RATING_RO_ROLLUP[],MATCH($B18,MMWR_RATING_RO_ROLLUP[MMWR_RATING_RO_ROLLUP],0),MATCH(I$9,MMWR_RATING_RO_ROLLUP[#Headers],0)),"ERROR"))</f>
        <v>145.57738095240001</v>
      </c>
      <c r="J18" s="158">
        <f>IF($B18=" ","",IFERROR(VLOOKUP($B18,MMWR_ACCURACY_RO[],MATCH(J$9,MMWR_ACCURACY_RO[#Headers],0),0),"ERROR"))</f>
        <v>0.96474675316921421</v>
      </c>
      <c r="K18" s="158">
        <f>IF($B18=" ","",IFERROR(VLOOKUP($B18,MMWR_ACCURACY_RO[],MATCH(K$9,MMWR_ACCURACY_RO[#Headers],0),0),"ERROR"))</f>
        <v>0.86690082399668045</v>
      </c>
      <c r="L18" s="158">
        <f>IF($B18=" ","",IFERROR(VLOOKUP($B18,MMWR_ACCURACY_RO[],MATCH(L$9,MMWR_ACCURACY_RO[#Headers],0),0),"ERROR"))</f>
        <v>0.91838513094019691</v>
      </c>
      <c r="M18" s="158">
        <f>IF($B18=" ","",IFERROR(VLOOKUP($B18,MMWR_ACCURACY_RO[],MATCH(M$9,MMWR_ACCURACY_RO[#Headers],0),0),"ERROR"))</f>
        <v>4.2442060627029293E-2</v>
      </c>
      <c r="N18" s="158">
        <f>IF($B18=" ","",IFERROR(VLOOKUP($B18,MMWR_ACCURACY_RO[],MATCH(N$9,MMWR_ACCURACY_RO[#Headers],0),0),"ERROR"))</f>
        <v>0.92411153971093074</v>
      </c>
      <c r="O18" s="158">
        <f>IF($B18=" ","",IFERROR(VLOOKUP($B18,MMWR_ACCURACY_RO[],MATCH(O$9,MMWR_ACCURACY_RO[#Headers],0),0),"ERROR"))</f>
        <v>4.2705890814400432E-2</v>
      </c>
      <c r="P18" s="28"/>
    </row>
    <row r="19" spans="1:16" x14ac:dyDescent="0.2">
      <c r="A19" s="25"/>
      <c r="B19" s="8" t="str">
        <f>VLOOKUP($B$16,DISTRICT_RO[],4,0)</f>
        <v>Ft. Harrison VSC</v>
      </c>
      <c r="C19" s="154">
        <f>IF($B19=" ","",IFERROR(INDEX(MMWR_RATING_RO_ROLLUP[],MATCH($B19,MMWR_RATING_RO_ROLLUP[MMWR_RATING_RO_ROLLUP],0),MATCH(C$9,MMWR_RATING_RO_ROLLUP[#Headers],0)),"ERROR"))</f>
        <v>1276</v>
      </c>
      <c r="D19" s="155">
        <f>IF($B19=" ","",IFERROR(INDEX(MMWR_RATING_RO_ROLLUP[],MATCH($B19,MMWR_RATING_RO_ROLLUP[MMWR_RATING_RO_ROLLUP],0),MATCH(D$9,MMWR_RATING_RO_ROLLUP[#Headers],0)),"ERROR"))</f>
        <v>104.7178683386</v>
      </c>
      <c r="E19" s="156">
        <f>IF($B19=" ","",IFERROR(INDEX(MMWR_RATING_RO_ROLLUP[],MATCH($B19,MMWR_RATING_RO_ROLLUP[MMWR_RATING_RO_ROLLUP],0),MATCH(E$9,MMWR_RATING_RO_ROLLUP[#Headers],0))/$C19,"ERROR"))</f>
        <v>0.26489028213166144</v>
      </c>
      <c r="F19" s="154">
        <f>IF($B19=" ","",IFERROR(INDEX(MMWR_RATING_RO_ROLLUP[],MATCH($B19,MMWR_RATING_RO_ROLLUP[MMWR_RATING_RO_ROLLUP],0),MATCH(F$9,MMWR_RATING_RO_ROLLUP[#Headers],0)),"ERROR"))</f>
        <v>232</v>
      </c>
      <c r="G19" s="154">
        <f>IF($B19=" ","",IFERROR(INDEX(MMWR_RATING_RO_ROLLUP[],MATCH($B19,MMWR_RATING_RO_ROLLUP[MMWR_RATING_RO_ROLLUP],0),MATCH(G$9,MMWR_RATING_RO_ROLLUP[#Headers],0)),"ERROR"))</f>
        <v>754</v>
      </c>
      <c r="H19" s="155">
        <f>IF($B19=" ","",IFERROR(INDEX(MMWR_RATING_RO_ROLLUP[],MATCH($B19,MMWR_RATING_RO_ROLLUP[MMWR_RATING_RO_ROLLUP],0),MATCH(H$9,MMWR_RATING_RO_ROLLUP[#Headers],0)),"ERROR"))</f>
        <v>128</v>
      </c>
      <c r="I19" s="155">
        <f>IF($B19=" ","",IFERROR(INDEX(MMWR_RATING_RO_ROLLUP[],MATCH($B19,MMWR_RATING_RO_ROLLUP[MMWR_RATING_RO_ROLLUP],0),MATCH(I$9,MMWR_RATING_RO_ROLLUP[#Headers],0)),"ERROR"))</f>
        <v>119.3859416446</v>
      </c>
      <c r="J19" s="158">
        <f>IF($B19=" ","",IFERROR(VLOOKUP($B19,MMWR_ACCURACY_RO[],MATCH(J$9,MMWR_ACCURACY_RO[#Headers],0),0),"ERROR"))</f>
        <v>0.95953166931864087</v>
      </c>
      <c r="K19" s="158">
        <f>IF($B19=" ","",IFERROR(VLOOKUP($B19,MMWR_ACCURACY_RO[],MATCH(K$9,MMWR_ACCURACY_RO[#Headers],0),0),"ERROR"))</f>
        <v>0.93309278350515457</v>
      </c>
      <c r="L19" s="158">
        <f>IF($B19=" ","",IFERROR(VLOOKUP($B19,MMWR_ACCURACY_RO[],MATCH(L$9,MMWR_ACCURACY_RO[#Headers],0),0),"ERROR"))</f>
        <v>0.93198433782895651</v>
      </c>
      <c r="M19" s="158">
        <f>IF($B19=" ","",IFERROR(VLOOKUP($B19,MMWR_ACCURACY_RO[],MATCH(M$9,MMWR_ACCURACY_RO[#Headers],0),0),"ERROR"))</f>
        <v>4.2809610502929446E-2</v>
      </c>
      <c r="N19" s="158">
        <f>IF($B19=" ","",IFERROR(VLOOKUP($B19,MMWR_ACCURACY_RO[],MATCH(N$9,MMWR_ACCURACY_RO[#Headers],0),0),"ERROR"))</f>
        <v>0.95512829551917511</v>
      </c>
      <c r="O19" s="158">
        <f>IF($B19=" ","",IFERROR(VLOOKUP($B19,MMWR_ACCURACY_RO[],MATCH(O$9,MMWR_ACCURACY_RO[#Headers],0),0),"ERROR"))</f>
        <v>3.0338053570317953E-2</v>
      </c>
      <c r="P19" s="28"/>
    </row>
    <row r="20" spans="1:16" x14ac:dyDescent="0.2">
      <c r="A20" s="25"/>
      <c r="B20" s="8" t="str">
        <f>VLOOKUP($B$16,DISTRICT_RO[],5,0)</f>
        <v>Houston VSC</v>
      </c>
      <c r="C20" s="154">
        <f>IF($B20=" ","",IFERROR(INDEX(MMWR_RATING_RO_ROLLUP[],MATCH($B20,MMWR_RATING_RO_ROLLUP[MMWR_RATING_RO_ROLLUP],0),MATCH(C$9,MMWR_RATING_RO_ROLLUP[#Headers],0)),"ERROR"))</f>
        <v>12424</v>
      </c>
      <c r="D20" s="155">
        <f>IF($B20=" ","",IFERROR(INDEX(MMWR_RATING_RO_ROLLUP[],MATCH($B20,MMWR_RATING_RO_ROLLUP[MMWR_RATING_RO_ROLLUP],0),MATCH(D$9,MMWR_RATING_RO_ROLLUP[#Headers],0)),"ERROR"))</f>
        <v>88.2149066323</v>
      </c>
      <c r="E20" s="156">
        <f>IF($B20=" ","",IFERROR(INDEX(MMWR_RATING_RO_ROLLUP[],MATCH($B20,MMWR_RATING_RO_ROLLUP[MMWR_RATING_RO_ROLLUP],0),MATCH(E$9,MMWR_RATING_RO_ROLLUP[#Headers],0))/$C20,"ERROR"))</f>
        <v>0.19961365099806824</v>
      </c>
      <c r="F20" s="154">
        <f>IF($B20=" ","",IFERROR(INDEX(MMWR_RATING_RO_ROLLUP[],MATCH($B20,MMWR_RATING_RO_ROLLUP[MMWR_RATING_RO_ROLLUP],0),MATCH(F$9,MMWR_RATING_RO_ROLLUP[#Headers],0)),"ERROR"))</f>
        <v>1541</v>
      </c>
      <c r="G20" s="154">
        <f>IF($B20=" ","",IFERROR(INDEX(MMWR_RATING_RO_ROLLUP[],MATCH($B20,MMWR_RATING_RO_ROLLUP[MMWR_RATING_RO_ROLLUP],0),MATCH(G$9,MMWR_RATING_RO_ROLLUP[#Headers],0)),"ERROR"))</f>
        <v>4601</v>
      </c>
      <c r="H20" s="155">
        <f>IF($B20=" ","",IFERROR(INDEX(MMWR_RATING_RO_ROLLUP[],MATCH($B20,MMWR_RATING_RO_ROLLUP[MMWR_RATING_RO_ROLLUP],0),MATCH(H$9,MMWR_RATING_RO_ROLLUP[#Headers],0)),"ERROR"))</f>
        <v>132.59312134979999</v>
      </c>
      <c r="I20" s="155">
        <f>IF($B20=" ","",IFERROR(INDEX(MMWR_RATING_RO_ROLLUP[],MATCH($B20,MMWR_RATING_RO_ROLLUP[MMWR_RATING_RO_ROLLUP],0),MATCH(I$9,MMWR_RATING_RO_ROLLUP[#Headers],0)),"ERROR"))</f>
        <v>139.5333623125</v>
      </c>
      <c r="J20" s="158">
        <f>IF($B20=" ","",IFERROR(VLOOKUP($B20,MMWR_ACCURACY_RO[],MATCH(J$9,MMWR_ACCURACY_RO[#Headers],0),0),"ERROR"))</f>
        <v>0.96535527301418245</v>
      </c>
      <c r="K20" s="158">
        <f>IF($B20=" ","",IFERROR(VLOOKUP($B20,MMWR_ACCURACY_RO[],MATCH(K$9,MMWR_ACCURACY_RO[#Headers],0),0),"ERROR"))</f>
        <v>0.88429692531950232</v>
      </c>
      <c r="L20" s="158">
        <f>IF($B20=" ","",IFERROR(VLOOKUP($B20,MMWR_ACCURACY_RO[],MATCH(L$9,MMWR_ACCURACY_RO[#Headers],0),0),"ERROR"))</f>
        <v>0.8899604847296555</v>
      </c>
      <c r="M20" s="158">
        <f>IF($B20=" ","",IFERROR(VLOOKUP($B20,MMWR_ACCURACY_RO[],MATCH(M$9,MMWR_ACCURACY_RO[#Headers],0),0),"ERROR"))</f>
        <v>4.1471782561121773E-2</v>
      </c>
      <c r="N20" s="158">
        <f>IF($B20=" ","",IFERROR(VLOOKUP($B20,MMWR_ACCURACY_RO[],MATCH(N$9,MMWR_ACCURACY_RO[#Headers],0),0),"ERROR"))</f>
        <v>0.91053541199722066</v>
      </c>
      <c r="O20" s="158">
        <f>IF($B20=" ","",IFERROR(VLOOKUP($B20,MMWR_ACCURACY_RO[],MATCH(O$9,MMWR_ACCURACY_RO[#Headers],0),0),"ERROR"))</f>
        <v>4.5422034692391054E-2</v>
      </c>
      <c r="P20" s="28"/>
    </row>
    <row r="21" spans="1:16" x14ac:dyDescent="0.2">
      <c r="A21" s="25"/>
      <c r="B21" s="8" t="str">
        <f>VLOOKUP($B$16,DISTRICT_RO[],6,0)</f>
        <v>Jackson VSC</v>
      </c>
      <c r="C21" s="154">
        <f>IF($B21=" ","",IFERROR(INDEX(MMWR_RATING_RO_ROLLUP[],MATCH($B21,MMWR_RATING_RO_ROLLUP[MMWR_RATING_RO_ROLLUP],0),MATCH(C$9,MMWR_RATING_RO_ROLLUP[#Headers],0)),"ERROR"))</f>
        <v>4980</v>
      </c>
      <c r="D21" s="155">
        <f>IF($B21=" ","",IFERROR(INDEX(MMWR_RATING_RO_ROLLUP[],MATCH($B21,MMWR_RATING_RO_ROLLUP[MMWR_RATING_RO_ROLLUP],0),MATCH(D$9,MMWR_RATING_RO_ROLLUP[#Headers],0)),"ERROR"))</f>
        <v>121.1584337349</v>
      </c>
      <c r="E21" s="156">
        <f>IF($B21=" ","",IFERROR(INDEX(MMWR_RATING_RO_ROLLUP[],MATCH($B21,MMWR_RATING_RO_ROLLUP[MMWR_RATING_RO_ROLLUP],0),MATCH(E$9,MMWR_RATING_RO_ROLLUP[#Headers],0))/$C21,"ERROR"))</f>
        <v>0.32008032128514058</v>
      </c>
      <c r="F21" s="154">
        <f>IF($B21=" ","",IFERROR(INDEX(MMWR_RATING_RO_ROLLUP[],MATCH($B21,MMWR_RATING_RO_ROLLUP[MMWR_RATING_RO_ROLLUP],0),MATCH(F$9,MMWR_RATING_RO_ROLLUP[#Headers],0)),"ERROR"))</f>
        <v>461</v>
      </c>
      <c r="G21" s="154">
        <f>IF($B21=" ","",IFERROR(INDEX(MMWR_RATING_RO_ROLLUP[],MATCH($B21,MMWR_RATING_RO_ROLLUP[MMWR_RATING_RO_ROLLUP],0),MATCH(G$9,MMWR_RATING_RO_ROLLUP[#Headers],0)),"ERROR"))</f>
        <v>1679</v>
      </c>
      <c r="H21" s="155">
        <f>IF($B21=" ","",IFERROR(INDEX(MMWR_RATING_RO_ROLLUP[],MATCH($B21,MMWR_RATING_RO_ROLLUP[MMWR_RATING_RO_ROLLUP],0),MATCH(H$9,MMWR_RATING_RO_ROLLUP[#Headers],0)),"ERROR"))</f>
        <v>139.75054229930001</v>
      </c>
      <c r="I21" s="155">
        <f>IF($B21=" ","",IFERROR(INDEX(MMWR_RATING_RO_ROLLUP[],MATCH($B21,MMWR_RATING_RO_ROLLUP[MMWR_RATING_RO_ROLLUP],0),MATCH(I$9,MMWR_RATING_RO_ROLLUP[#Headers],0)),"ERROR"))</f>
        <v>141.30017867780001</v>
      </c>
      <c r="J21" s="158">
        <f>IF($B21=" ","",IFERROR(VLOOKUP($B21,MMWR_ACCURACY_RO[],MATCH(J$9,MMWR_ACCURACY_RO[#Headers],0),0),"ERROR"))</f>
        <v>0.97894945480374629</v>
      </c>
      <c r="K21" s="158">
        <f>IF($B21=" ","",IFERROR(VLOOKUP($B21,MMWR_ACCURACY_RO[],MATCH(K$9,MMWR_ACCURACY_RO[#Headers],0),0),"ERROR"))</f>
        <v>0.93369097146193714</v>
      </c>
      <c r="L21" s="158">
        <f>IF($B21=" ","",IFERROR(VLOOKUP($B21,MMWR_ACCURACY_RO[],MATCH(L$9,MMWR_ACCURACY_RO[#Headers],0),0),"ERROR"))</f>
        <v>0.90996778606713702</v>
      </c>
      <c r="M21" s="158">
        <f>IF($B21=" ","",IFERROR(VLOOKUP($B21,MMWR_ACCURACY_RO[],MATCH(M$9,MMWR_ACCURACY_RO[#Headers],0),0),"ERROR"))</f>
        <v>3.8939200602746381E-2</v>
      </c>
      <c r="N21" s="158">
        <f>IF($B21=" ","",IFERROR(VLOOKUP($B21,MMWR_ACCURACY_RO[],MATCH(N$9,MMWR_ACCURACY_RO[#Headers],0),0),"ERROR"))</f>
        <v>0.88786966740561124</v>
      </c>
      <c r="O21" s="158">
        <f>IF($B21=" ","",IFERROR(VLOOKUP($B21,MMWR_ACCURACY_RO[],MATCH(O$9,MMWR_ACCURACY_RO[#Headers],0),0),"ERROR"))</f>
        <v>5.3494358543249944E-2</v>
      </c>
      <c r="P21" s="28"/>
    </row>
    <row r="22" spans="1:16" x14ac:dyDescent="0.2">
      <c r="A22" s="25"/>
      <c r="B22" s="8" t="str">
        <f>VLOOKUP($B$16,DISTRICT_RO[],7,0)</f>
        <v>Little Rock VSC</v>
      </c>
      <c r="C22" s="154">
        <f>IF($B22=" ","",IFERROR(INDEX(MMWR_RATING_RO_ROLLUP[],MATCH($B22,MMWR_RATING_RO_ROLLUP[MMWR_RATING_RO_ROLLUP],0),MATCH(C$9,MMWR_RATING_RO_ROLLUP[#Headers],0)),"ERROR"))</f>
        <v>4578</v>
      </c>
      <c r="D22" s="155">
        <f>IF($B22=" ","",IFERROR(INDEX(MMWR_RATING_RO_ROLLUP[],MATCH($B22,MMWR_RATING_RO_ROLLUP[MMWR_RATING_RO_ROLLUP],0),MATCH(D$9,MMWR_RATING_RO_ROLLUP[#Headers],0)),"ERROR"))</f>
        <v>88.969418960200002</v>
      </c>
      <c r="E22" s="156">
        <f>IF($B22=" ","",IFERROR(INDEX(MMWR_RATING_RO_ROLLUP[],MATCH($B22,MMWR_RATING_RO_ROLLUP[MMWR_RATING_RO_ROLLUP],0),MATCH(E$9,MMWR_RATING_RO_ROLLUP[#Headers],0))/$C22,"ERROR"))</f>
        <v>0.21057230231542159</v>
      </c>
      <c r="F22" s="154">
        <f>IF($B22=" ","",IFERROR(INDEX(MMWR_RATING_RO_ROLLUP[],MATCH($B22,MMWR_RATING_RO_ROLLUP[MMWR_RATING_RO_ROLLUP],0),MATCH(F$9,MMWR_RATING_RO_ROLLUP[#Headers],0)),"ERROR"))</f>
        <v>572</v>
      </c>
      <c r="G22" s="154">
        <f>IF($B22=" ","",IFERROR(INDEX(MMWR_RATING_RO_ROLLUP[],MATCH($B22,MMWR_RATING_RO_ROLLUP[MMWR_RATING_RO_ROLLUP],0),MATCH(G$9,MMWR_RATING_RO_ROLLUP[#Headers],0)),"ERROR"))</f>
        <v>1811</v>
      </c>
      <c r="H22" s="155">
        <f>IF($B22=" ","",IFERROR(INDEX(MMWR_RATING_RO_ROLLUP[],MATCH($B22,MMWR_RATING_RO_ROLLUP[MMWR_RATING_RO_ROLLUP],0),MATCH(H$9,MMWR_RATING_RO_ROLLUP[#Headers],0)),"ERROR"))</f>
        <v>133.95979020979999</v>
      </c>
      <c r="I22" s="155">
        <f>IF($B22=" ","",IFERROR(INDEX(MMWR_RATING_RO_ROLLUP[],MATCH($B22,MMWR_RATING_RO_ROLLUP[MMWR_RATING_RO_ROLLUP],0),MATCH(I$9,MMWR_RATING_RO_ROLLUP[#Headers],0)),"ERROR"))</f>
        <v>129.531198233</v>
      </c>
      <c r="J22" s="158">
        <f>IF($B22=" ","",IFERROR(VLOOKUP($B22,MMWR_ACCURACY_RO[],MATCH(J$9,MMWR_ACCURACY_RO[#Headers],0),0),"ERROR"))</f>
        <v>0.94560662026534048</v>
      </c>
      <c r="K22" s="158">
        <f>IF($B22=" ","",IFERROR(VLOOKUP($B22,MMWR_ACCURACY_RO[],MATCH(K$9,MMWR_ACCURACY_RO[#Headers],0),0),"ERROR"))</f>
        <v>0.85821879021879033</v>
      </c>
      <c r="L22" s="158">
        <f>IF($B22=" ","",IFERROR(VLOOKUP($B22,MMWR_ACCURACY_RO[],MATCH(L$9,MMWR_ACCURACY_RO[#Headers],0),0),"ERROR"))</f>
        <v>0.88676903077052105</v>
      </c>
      <c r="M22" s="158">
        <f>IF($B22=" ","",IFERROR(VLOOKUP($B22,MMWR_ACCURACY_RO[],MATCH(M$9,MMWR_ACCURACY_RO[#Headers],0),0),"ERROR"))</f>
        <v>5.1784088846586585E-2</v>
      </c>
      <c r="N22" s="158">
        <f>IF($B22=" ","",IFERROR(VLOOKUP($B22,MMWR_ACCURACY_RO[],MATCH(N$9,MMWR_ACCURACY_RO[#Headers],0),0),"ERROR"))</f>
        <v>0.92935828149960931</v>
      </c>
      <c r="O22" s="158">
        <f>IF($B22=" ","",IFERROR(VLOOKUP($B22,MMWR_ACCURACY_RO[],MATCH(O$9,MMWR_ACCURACY_RO[#Headers],0),0),"ERROR"))</f>
        <v>4.6224053498571678E-2</v>
      </c>
      <c r="P22" s="28"/>
    </row>
    <row r="23" spans="1:16" x14ac:dyDescent="0.2">
      <c r="A23" s="25"/>
      <c r="B23" s="8" t="str">
        <f>VLOOKUP($B$16,DISTRICT_RO[],8,0)</f>
        <v>Muskogee VSC</v>
      </c>
      <c r="C23" s="154">
        <f>IF($B23=" ","",IFERROR(INDEX(MMWR_RATING_RO_ROLLUP[],MATCH($B23,MMWR_RATING_RO_ROLLUP[MMWR_RATING_RO_ROLLUP],0),MATCH(C$9,MMWR_RATING_RO_ROLLUP[#Headers],0)),"ERROR"))</f>
        <v>8453</v>
      </c>
      <c r="D23" s="155">
        <f>IF($B23=" ","",IFERROR(INDEX(MMWR_RATING_RO_ROLLUP[],MATCH($B23,MMWR_RATING_RO_ROLLUP[MMWR_RATING_RO_ROLLUP],0),MATCH(D$9,MMWR_RATING_RO_ROLLUP[#Headers],0)),"ERROR"))</f>
        <v>98.344019874599994</v>
      </c>
      <c r="E23" s="156">
        <f>IF($B23=" ","",IFERROR(INDEX(MMWR_RATING_RO_ROLLUP[],MATCH($B23,MMWR_RATING_RO_ROLLUP[MMWR_RATING_RO_ROLLUP],0),MATCH(E$9,MMWR_RATING_RO_ROLLUP[#Headers],0))/$C23,"ERROR"))</f>
        <v>0.22228794510824559</v>
      </c>
      <c r="F23" s="154">
        <f>IF($B23=" ","",IFERROR(INDEX(MMWR_RATING_RO_ROLLUP[],MATCH($B23,MMWR_RATING_RO_ROLLUP[MMWR_RATING_RO_ROLLUP],0),MATCH(F$9,MMWR_RATING_RO_ROLLUP[#Headers],0)),"ERROR"))</f>
        <v>1643</v>
      </c>
      <c r="G23" s="154">
        <f>IF($B23=" ","",IFERROR(INDEX(MMWR_RATING_RO_ROLLUP[],MATCH($B23,MMWR_RATING_RO_ROLLUP[MMWR_RATING_RO_ROLLUP],0),MATCH(G$9,MMWR_RATING_RO_ROLLUP[#Headers],0)),"ERROR"))</f>
        <v>4584</v>
      </c>
      <c r="H23" s="155">
        <f>IF($B23=" ","",IFERROR(INDEX(MMWR_RATING_RO_ROLLUP[],MATCH($B23,MMWR_RATING_RO_ROLLUP[MMWR_RATING_RO_ROLLUP],0),MATCH(H$9,MMWR_RATING_RO_ROLLUP[#Headers],0)),"ERROR"))</f>
        <v>130.71880706030001</v>
      </c>
      <c r="I23" s="155">
        <f>IF($B23=" ","",IFERROR(INDEX(MMWR_RATING_RO_ROLLUP[],MATCH($B23,MMWR_RATING_RO_ROLLUP[MMWR_RATING_RO_ROLLUP],0),MATCH(I$9,MMWR_RATING_RO_ROLLUP[#Headers],0)),"ERROR"))</f>
        <v>152.48974694590001</v>
      </c>
      <c r="J23" s="158">
        <f>IF($B23=" ","",IFERROR(VLOOKUP($B23,MMWR_ACCURACY_RO[],MATCH(J$9,MMWR_ACCURACY_RO[#Headers],0),0),"ERROR"))</f>
        <v>0.94511322911755546</v>
      </c>
      <c r="K23" s="158">
        <f>IF($B23=" ","",IFERROR(VLOOKUP($B23,MMWR_ACCURACY_RO[],MATCH(K$9,MMWR_ACCURACY_RO[#Headers],0),0),"ERROR"))</f>
        <v>0.8697100385391815</v>
      </c>
      <c r="L23" s="158">
        <f>IF($B23=" ","",IFERROR(VLOOKUP($B23,MMWR_ACCURACY_RO[],MATCH(L$9,MMWR_ACCURACY_RO[#Headers],0),0),"ERROR"))</f>
        <v>0.92957563541679211</v>
      </c>
      <c r="M23" s="158">
        <f>IF($B23=" ","",IFERROR(VLOOKUP($B23,MMWR_ACCURACY_RO[],MATCH(M$9,MMWR_ACCURACY_RO[#Headers],0),0),"ERROR"))</f>
        <v>4.5260887984598597E-2</v>
      </c>
      <c r="N23" s="158">
        <f>IF($B23=" ","",IFERROR(VLOOKUP($B23,MMWR_ACCURACY_RO[],MATCH(N$9,MMWR_ACCURACY_RO[#Headers],0),0),"ERROR"))</f>
        <v>0.96997397551909148</v>
      </c>
      <c r="O23" s="158">
        <f>IF($B23=" ","",IFERROR(VLOOKUP($B23,MMWR_ACCURACY_RO[],MATCH(O$9,MMWR_ACCURACY_RO[#Headers],0),0),"ERROR"))</f>
        <v>3.1914669574187829E-2</v>
      </c>
      <c r="P23" s="28"/>
    </row>
    <row r="24" spans="1:16" x14ac:dyDescent="0.2">
      <c r="A24" s="25"/>
      <c r="B24" s="8" t="str">
        <f>VLOOKUP($B$16,DISTRICT_RO[],9,0)</f>
        <v>New Orleans VSC</v>
      </c>
      <c r="C24" s="154">
        <f>IF($B24=" ","",IFERROR(INDEX(MMWR_RATING_RO_ROLLUP[],MATCH($B24,MMWR_RATING_RO_ROLLUP[MMWR_RATING_RO_ROLLUP],0),MATCH(C$9,MMWR_RATING_RO_ROLLUP[#Headers],0)),"ERROR"))</f>
        <v>5199</v>
      </c>
      <c r="D24" s="155">
        <f>IF($B24=" ","",IFERROR(INDEX(MMWR_RATING_RO_ROLLUP[],MATCH($B24,MMWR_RATING_RO_ROLLUP[MMWR_RATING_RO_ROLLUP],0),MATCH(D$9,MMWR_RATING_RO_ROLLUP[#Headers],0)),"ERROR"))</f>
        <v>68.990190421199998</v>
      </c>
      <c r="E24" s="156">
        <f>IF($B24=" ","",IFERROR(INDEX(MMWR_RATING_RO_ROLLUP[],MATCH($B24,MMWR_RATING_RO_ROLLUP[MMWR_RATING_RO_ROLLUP],0),MATCH(E$9,MMWR_RATING_RO_ROLLUP[#Headers],0))/$C24,"ERROR"))</f>
        <v>0.10694364300827082</v>
      </c>
      <c r="F24" s="154">
        <f>IF($B24=" ","",IFERROR(INDEX(MMWR_RATING_RO_ROLLUP[],MATCH($B24,MMWR_RATING_RO_ROLLUP[MMWR_RATING_RO_ROLLUP],0),MATCH(F$9,MMWR_RATING_RO_ROLLUP[#Headers],0)),"ERROR"))</f>
        <v>505</v>
      </c>
      <c r="G24" s="154">
        <f>IF($B24=" ","",IFERROR(INDEX(MMWR_RATING_RO_ROLLUP[],MATCH($B24,MMWR_RATING_RO_ROLLUP[MMWR_RATING_RO_ROLLUP],0),MATCH(G$9,MMWR_RATING_RO_ROLLUP[#Headers],0)),"ERROR"))</f>
        <v>1729</v>
      </c>
      <c r="H24" s="155">
        <f>IF($B24=" ","",IFERROR(INDEX(MMWR_RATING_RO_ROLLUP[],MATCH($B24,MMWR_RATING_RO_ROLLUP[MMWR_RATING_RO_ROLLUP],0),MATCH(H$9,MMWR_RATING_RO_ROLLUP[#Headers],0)),"ERROR"))</f>
        <v>138.5287128713</v>
      </c>
      <c r="I24" s="155">
        <f>IF($B24=" ","",IFERROR(INDEX(MMWR_RATING_RO_ROLLUP[],MATCH($B24,MMWR_RATING_RO_ROLLUP[MMWR_RATING_RO_ROLLUP],0),MATCH(I$9,MMWR_RATING_RO_ROLLUP[#Headers],0)),"ERROR"))</f>
        <v>131.59282822439999</v>
      </c>
      <c r="J24" s="158">
        <f>IF($B24=" ","",IFERROR(VLOOKUP($B24,MMWR_ACCURACY_RO[],MATCH(J$9,MMWR_ACCURACY_RO[#Headers],0),0),"ERROR"))</f>
        <v>0.91891626967789997</v>
      </c>
      <c r="K24" s="158">
        <f>IF($B24=" ","",IFERROR(VLOOKUP($B24,MMWR_ACCURACY_RO[],MATCH(K$9,MMWR_ACCURACY_RO[#Headers],0),0),"ERROR"))</f>
        <v>0.89843610366398574</v>
      </c>
      <c r="L24" s="158">
        <f>IF($B24=" ","",IFERROR(VLOOKUP($B24,MMWR_ACCURACY_RO[],MATCH(L$9,MMWR_ACCURACY_RO[#Headers],0),0),"ERROR"))</f>
        <v>0.91451007941964879</v>
      </c>
      <c r="M24" s="158">
        <f>IF($B24=" ","",IFERROR(VLOOKUP($B24,MMWR_ACCURACY_RO[],MATCH(M$9,MMWR_ACCURACY_RO[#Headers],0),0),"ERROR"))</f>
        <v>4.369168989575762E-2</v>
      </c>
      <c r="N24" s="158">
        <f>IF($B24=" ","",IFERROR(VLOOKUP($B24,MMWR_ACCURACY_RO[],MATCH(N$9,MMWR_ACCURACY_RO[#Headers],0),0),"ERROR"))</f>
        <v>0.94530619639415336</v>
      </c>
      <c r="O24" s="158">
        <f>IF($B24=" ","",IFERROR(VLOOKUP($B24,MMWR_ACCURACY_RO[],MATCH(O$9,MMWR_ACCURACY_RO[#Headers],0),0),"ERROR"))</f>
        <v>3.3571396504289905E-2</v>
      </c>
      <c r="P24" s="28"/>
    </row>
    <row r="25" spans="1:16" x14ac:dyDescent="0.2">
      <c r="A25" s="25"/>
      <c r="B25" s="8" t="str">
        <f>VLOOKUP($B$16,DISTRICT_RO[],10,0)</f>
        <v>Salt Lake City VSC</v>
      </c>
      <c r="C25" s="154">
        <f>IF($B25=" ","",IFERROR(INDEX(MMWR_RATING_RO_ROLLUP[],MATCH($B25,MMWR_RATING_RO_ROLLUP[MMWR_RATING_RO_ROLLUP],0),MATCH(C$9,MMWR_RATING_RO_ROLLUP[#Headers],0)),"ERROR"))</f>
        <v>3349</v>
      </c>
      <c r="D25" s="155">
        <f>IF($B25=" ","",IFERROR(INDEX(MMWR_RATING_RO_ROLLUP[],MATCH($B25,MMWR_RATING_RO_ROLLUP[MMWR_RATING_RO_ROLLUP],0),MATCH(D$9,MMWR_RATING_RO_ROLLUP[#Headers],0)),"ERROR"))</f>
        <v>115.10600179159999</v>
      </c>
      <c r="E25" s="156">
        <f>IF($B25=" ","",IFERROR(INDEX(MMWR_RATING_RO_ROLLUP[],MATCH($B25,MMWR_RATING_RO_ROLLUP[MMWR_RATING_RO_ROLLUP],0),MATCH(E$9,MMWR_RATING_RO_ROLLUP[#Headers],0))/$C25,"ERROR"))</f>
        <v>0.31770677814272918</v>
      </c>
      <c r="F25" s="154">
        <f>IF($B25=" ","",IFERROR(INDEX(MMWR_RATING_RO_ROLLUP[],MATCH($B25,MMWR_RATING_RO_ROLLUP[MMWR_RATING_RO_ROLLUP],0),MATCH(F$9,MMWR_RATING_RO_ROLLUP[#Headers],0)),"ERROR"))</f>
        <v>435</v>
      </c>
      <c r="G25" s="154">
        <f>IF($B25=" ","",IFERROR(INDEX(MMWR_RATING_RO_ROLLUP[],MATCH($B25,MMWR_RATING_RO_ROLLUP[MMWR_RATING_RO_ROLLUP],0),MATCH(G$9,MMWR_RATING_RO_ROLLUP[#Headers],0)),"ERROR"))</f>
        <v>1374</v>
      </c>
      <c r="H25" s="155">
        <f>IF($B25=" ","",IFERROR(INDEX(MMWR_RATING_RO_ROLLUP[],MATCH($B25,MMWR_RATING_RO_ROLLUP[MMWR_RATING_RO_ROLLUP],0),MATCH(H$9,MMWR_RATING_RO_ROLLUP[#Headers],0)),"ERROR"))</f>
        <v>188.5149425287</v>
      </c>
      <c r="I25" s="155">
        <f>IF($B25=" ","",IFERROR(INDEX(MMWR_RATING_RO_ROLLUP[],MATCH($B25,MMWR_RATING_RO_ROLLUP[MMWR_RATING_RO_ROLLUP],0),MATCH(I$9,MMWR_RATING_RO_ROLLUP[#Headers],0)),"ERROR"))</f>
        <v>179.85807860259999</v>
      </c>
      <c r="J25" s="158">
        <f>IF($B25=" ","",IFERROR(VLOOKUP($B25,MMWR_ACCURACY_RO[],MATCH(J$9,MMWR_ACCURACY_RO[#Headers],0),0),"ERROR"))</f>
        <v>0.97682086411092306</v>
      </c>
      <c r="K25" s="158">
        <f>IF($B25=" ","",IFERROR(VLOOKUP($B25,MMWR_ACCURACY_RO[],MATCH(K$9,MMWR_ACCURACY_RO[#Headers],0),0),"ERROR"))</f>
        <v>0.90615776269185355</v>
      </c>
      <c r="L25" s="158">
        <f>IF($B25=" ","",IFERROR(VLOOKUP($B25,MMWR_ACCURACY_RO[],MATCH(L$9,MMWR_ACCURACY_RO[#Headers],0),0),"ERROR"))</f>
        <v>0.90894373493957847</v>
      </c>
      <c r="M25" s="158">
        <f>IF($B25=" ","",IFERROR(VLOOKUP($B25,MMWR_ACCURACY_RO[],MATCH(M$9,MMWR_ACCURACY_RO[#Headers],0),0),"ERROR"))</f>
        <v>4.1348487454119578E-2</v>
      </c>
      <c r="N25" s="158">
        <f>IF($B25=" ","",IFERROR(VLOOKUP($B25,MMWR_ACCURACY_RO[],MATCH(N$9,MMWR_ACCURACY_RO[#Headers],0),0),"ERROR"))</f>
        <v>0.94844315133034418</v>
      </c>
      <c r="O25" s="158">
        <f>IF($B25=" ","",IFERROR(VLOOKUP($B25,MMWR_ACCURACY_RO[],MATCH(O$9,MMWR_ACCURACY_RO[#Headers],0),0),"ERROR"))</f>
        <v>3.4547643600920636E-2</v>
      </c>
      <c r="P25" s="28"/>
    </row>
    <row r="26" spans="1:16" x14ac:dyDescent="0.2">
      <c r="A26" s="25"/>
      <c r="B26" s="8" t="str">
        <f>VLOOKUP($B$16,DISTRICT_RO[],11,0)</f>
        <v>Waco VSC</v>
      </c>
      <c r="C26" s="154">
        <f>IF($B26=" ","",IFERROR(INDEX(MMWR_RATING_RO_ROLLUP[],MATCH($B26,MMWR_RATING_RO_ROLLUP[MMWR_RATING_RO_ROLLUP],0),MATCH(C$9,MMWR_RATING_RO_ROLLUP[#Headers],0)),"ERROR"))</f>
        <v>17338</v>
      </c>
      <c r="D26" s="155">
        <f>IF($B26=" ","",IFERROR(INDEX(MMWR_RATING_RO_ROLLUP[],MATCH($B26,MMWR_RATING_RO_ROLLUP[MMWR_RATING_RO_ROLLUP],0),MATCH(D$9,MMWR_RATING_RO_ROLLUP[#Headers],0)),"ERROR"))</f>
        <v>86.441631099299997</v>
      </c>
      <c r="E26" s="156">
        <f>IF($B26=" ","",IFERROR(INDEX(MMWR_RATING_RO_ROLLUP[],MATCH($B26,MMWR_RATING_RO_ROLLUP[MMWR_RATING_RO_ROLLUP],0),MATCH(E$9,MMWR_RATING_RO_ROLLUP[#Headers],0))/$C26,"ERROR"))</f>
        <v>0.17902872303610567</v>
      </c>
      <c r="F26" s="154">
        <f>IF($B26=" ","",IFERROR(INDEX(MMWR_RATING_RO_ROLLUP[],MATCH($B26,MMWR_RATING_RO_ROLLUP[MMWR_RATING_RO_ROLLUP],0),MATCH(F$9,MMWR_RATING_RO_ROLLUP[#Headers],0)),"ERROR"))</f>
        <v>2002</v>
      </c>
      <c r="G26" s="154">
        <f>IF($B26=" ","",IFERROR(INDEX(MMWR_RATING_RO_ROLLUP[],MATCH($B26,MMWR_RATING_RO_ROLLUP[MMWR_RATING_RO_ROLLUP],0),MATCH(G$9,MMWR_RATING_RO_ROLLUP[#Headers],0)),"ERROR"))</f>
        <v>6011</v>
      </c>
      <c r="H26" s="155">
        <f>IF($B26=" ","",IFERROR(INDEX(MMWR_RATING_RO_ROLLUP[],MATCH($B26,MMWR_RATING_RO_ROLLUP[MMWR_RATING_RO_ROLLUP],0),MATCH(H$9,MMWR_RATING_RO_ROLLUP[#Headers],0)),"ERROR"))</f>
        <v>133.70879120879999</v>
      </c>
      <c r="I26" s="155">
        <f>IF($B26=" ","",IFERROR(INDEX(MMWR_RATING_RO_ROLLUP[],MATCH($B26,MMWR_RATING_RO_ROLLUP[MMWR_RATING_RO_ROLLUP],0),MATCH(I$9,MMWR_RATING_RO_ROLLUP[#Headers],0)),"ERROR"))</f>
        <v>137.91848278160001</v>
      </c>
      <c r="J26" s="158">
        <f>IF($B26=" ","",IFERROR(VLOOKUP($B26,MMWR_ACCURACY_RO[],MATCH(J$9,MMWR_ACCURACY_RO[#Headers],0),0),"ERROR"))</f>
        <v>0.95915367429098963</v>
      </c>
      <c r="K26" s="158">
        <f>IF($B26=" ","",IFERROR(VLOOKUP($B26,MMWR_ACCURACY_RO[],MATCH(K$9,MMWR_ACCURACY_RO[#Headers],0),0),"ERROR"))</f>
        <v>0.81735360660280154</v>
      </c>
      <c r="L26" s="158">
        <f>IF($B26=" ","",IFERROR(VLOOKUP($B26,MMWR_ACCURACY_RO[],MATCH(L$9,MMWR_ACCURACY_RO[#Headers],0),0),"ERROR"))</f>
        <v>0.8923725820597288</v>
      </c>
      <c r="M26" s="158">
        <f>IF($B26=" ","",IFERROR(VLOOKUP($B26,MMWR_ACCURACY_RO[],MATCH(M$9,MMWR_ACCURACY_RO[#Headers],0),0),"ERROR"))</f>
        <v>4.5699906181186446E-2</v>
      </c>
      <c r="N26" s="158">
        <f>IF($B26=" ","",IFERROR(VLOOKUP($B26,MMWR_ACCURACY_RO[],MATCH(N$9,MMWR_ACCURACY_RO[#Headers],0),0),"ERROR"))</f>
        <v>0.91673964566109944</v>
      </c>
      <c r="O26" s="158">
        <f>IF($B26=" ","",IFERROR(VLOOKUP($B26,MMWR_ACCURACY_RO[],MATCH(O$9,MMWR_ACCURACY_RO[#Headers],0),0),"ERROR"))</f>
        <v>4.5532114445199737E-2</v>
      </c>
      <c r="P26" s="28"/>
    </row>
    <row r="27" spans="1:16" x14ac:dyDescent="0.2">
      <c r="A27" s="25"/>
      <c r="B27" s="8" t="str">
        <f>VLOOKUP($B$16,DISTRICT_RO[],12,0)</f>
        <v xml:space="preserve"> </v>
      </c>
      <c r="C27" s="154" t="str">
        <f>IF($B27=" ","",IFERROR(INDEX(MMWR_RATING_RO_ROLLUP[],MATCH($B27,MMWR_RATING_RO_ROLLUP[MMWR_RATING_RO_ROLLUP],0),MATCH(C$9,MMWR_RATING_RO_ROLLUP[#Headers],0)),"ERROR"))</f>
        <v/>
      </c>
      <c r="D27" s="155" t="str">
        <f>IF($B27=" ","",IFERROR(INDEX(MMWR_RATING_RO_ROLLUP[],MATCH($B27,MMWR_RATING_RO_ROLLUP[MMWR_RATING_RO_ROLLUP],0),MATCH(D$9,MMWR_RATING_RO_ROLLUP[#Headers],0)),"ERROR"))</f>
        <v/>
      </c>
      <c r="E27" s="156" t="str">
        <f>IF($B27=" ","",IFERROR(INDEX(MMWR_RATING_RO_ROLLUP[],MATCH($B27,MMWR_RATING_RO_ROLLUP[MMWR_RATING_RO_ROLLUP],0),MATCH(E$9,MMWR_RATING_RO_ROLLUP[#Headers],0))/$C27,"ERROR"))</f>
        <v/>
      </c>
      <c r="F27" s="154" t="str">
        <f>IF($B27=" ","",IFERROR(INDEX(MMWR_RATING_RO_ROLLUP[],MATCH($B27,MMWR_RATING_RO_ROLLUP[MMWR_RATING_RO_ROLLUP],0),MATCH(F$9,MMWR_RATING_RO_ROLLUP[#Headers],0)),"ERROR"))</f>
        <v/>
      </c>
      <c r="G27" s="154" t="str">
        <f>IF($B27=" ","",IFERROR(INDEX(MMWR_RATING_RO_ROLLUP[],MATCH($B27,MMWR_RATING_RO_ROLLUP[MMWR_RATING_RO_ROLLUP],0),MATCH(G$9,MMWR_RATING_RO_ROLLUP[#Headers],0)),"ERROR"))</f>
        <v/>
      </c>
      <c r="H27" s="155" t="str">
        <f>IF($B27=" ","",IFERROR(INDEX(MMWR_RATING_RO_ROLLUP[],MATCH($B27,MMWR_RATING_RO_ROLLUP[MMWR_RATING_RO_ROLLUP],0),MATCH(H$9,MMWR_RATING_RO_ROLLUP[#Headers],0)),"ERROR"))</f>
        <v/>
      </c>
      <c r="I27" s="155" t="str">
        <f>IF($B27=" ","",IFERROR(INDEX(MMWR_RATING_RO_ROLLUP[],MATCH($B27,MMWR_RATING_RO_ROLLUP[MMWR_RATING_RO_ROLLUP],0),MATCH(I$9,MMWR_RATING_RO_ROLLUP[#Headers],0)),"ERROR"))</f>
        <v/>
      </c>
      <c r="J27" s="158" t="str">
        <f>IF($B27=" ","",IFERROR(VLOOKUP($B27,MMWR_ACCURACY_RO[],MATCH(J$9,MMWR_ACCURACY_RO[#Headers],0),0),"ERROR"))</f>
        <v/>
      </c>
      <c r="K27" s="158" t="str">
        <f>IF($B27=" ","",IFERROR(VLOOKUP($B27,MMWR_ACCURACY_RO[],MATCH(K$9,MMWR_ACCURACY_RO[#Headers],0),0),"ERROR"))</f>
        <v/>
      </c>
      <c r="L27" s="158" t="str">
        <f>IF($B27=" ","",IFERROR(VLOOKUP($B27,MMWR_ACCURACY_RO[],MATCH(L$9,MMWR_ACCURACY_RO[#Headers],0),0),"ERROR"))</f>
        <v/>
      </c>
      <c r="M27" s="158" t="str">
        <f>IF($B27=" ","",IFERROR(VLOOKUP($B27,MMWR_ACCURACY_RO[],MATCH(M$9,MMWR_ACCURACY_RO[#Headers],0),0),"ERROR"))</f>
        <v/>
      </c>
      <c r="N27" s="158" t="str">
        <f>IF($B27=" ","",IFERROR(VLOOKUP($B27,MMWR_ACCURACY_RO[],MATCH(N$9,MMWR_ACCURACY_RO[#Headers],0),0),"ERROR"))</f>
        <v/>
      </c>
      <c r="O27" s="158" t="str">
        <f>IF($B27=" ","",IFERROR(VLOOKUP($B27,MMWR_ACCURACY_RO[],MATCH(O$9,MMWR_ACCURACY_RO[#Headers],0),0),"ERROR"))</f>
        <v/>
      </c>
      <c r="P27" s="28"/>
    </row>
    <row r="28" spans="1:16" x14ac:dyDescent="0.2">
      <c r="A28" s="25"/>
      <c r="B28" s="8" t="str">
        <f>VLOOKUP($B$16,DISTRICT_RO[],13,0)</f>
        <v xml:space="preserve"> </v>
      </c>
      <c r="C28" s="154" t="str">
        <f>IF($B28=" ","",IFERROR(INDEX(MMWR_RATING_RO_ROLLUP[],MATCH($B28,MMWR_RATING_RO_ROLLUP[MMWR_RATING_RO_ROLLUP],0),MATCH(C$9,MMWR_RATING_RO_ROLLUP[#Headers],0)),"ERROR"))</f>
        <v/>
      </c>
      <c r="D28" s="155" t="str">
        <f>IF($B28=" ","",IFERROR(INDEX(MMWR_RATING_RO_ROLLUP[],MATCH($B28,MMWR_RATING_RO_ROLLUP[MMWR_RATING_RO_ROLLUP],0),MATCH(D$9,MMWR_RATING_RO_ROLLUP[#Headers],0)),"ERROR"))</f>
        <v/>
      </c>
      <c r="E28" s="156" t="str">
        <f>IF($B28=" ","",IFERROR(INDEX(MMWR_RATING_RO_ROLLUP[],MATCH($B28,MMWR_RATING_RO_ROLLUP[MMWR_RATING_RO_ROLLUP],0),MATCH(E$9,MMWR_RATING_RO_ROLLUP[#Headers],0))/$C28,"ERROR"))</f>
        <v/>
      </c>
      <c r="F28" s="154" t="str">
        <f>IF($B28=" ","",IFERROR(INDEX(MMWR_RATING_RO_ROLLUP[],MATCH($B28,MMWR_RATING_RO_ROLLUP[MMWR_RATING_RO_ROLLUP],0),MATCH(F$9,MMWR_RATING_RO_ROLLUP[#Headers],0)),"ERROR"))</f>
        <v/>
      </c>
      <c r="G28" s="154" t="str">
        <f>IF($B28=" ","",IFERROR(INDEX(MMWR_RATING_RO_ROLLUP[],MATCH($B28,MMWR_RATING_RO_ROLLUP[MMWR_RATING_RO_ROLLUP],0),MATCH(G$9,MMWR_RATING_RO_ROLLUP[#Headers],0)),"ERROR"))</f>
        <v/>
      </c>
      <c r="H28" s="155" t="str">
        <f>IF($B28=" ","",IFERROR(INDEX(MMWR_RATING_RO_ROLLUP[],MATCH($B28,MMWR_RATING_RO_ROLLUP[MMWR_RATING_RO_ROLLUP],0),MATCH(H$9,MMWR_RATING_RO_ROLLUP[#Headers],0)),"ERROR"))</f>
        <v/>
      </c>
      <c r="I28" s="155" t="str">
        <f>IF($B28=" ","",IFERROR(INDEX(MMWR_RATING_RO_ROLLUP[],MATCH($B28,MMWR_RATING_RO_ROLLUP[MMWR_RATING_RO_ROLLUP],0),MATCH(I$9,MMWR_RATING_RO_ROLLUP[#Headers],0)),"ERROR"))</f>
        <v/>
      </c>
      <c r="J28" s="158" t="str">
        <f>IF($B28=" ","",IFERROR(VLOOKUP($B28,MMWR_ACCURACY_RO[],MATCH(J$9,MMWR_ACCURACY_RO[#Headers],0),0),"ERROR"))</f>
        <v/>
      </c>
      <c r="K28" s="158" t="str">
        <f>IF($B28=" ","",IFERROR(VLOOKUP($B28,MMWR_ACCURACY_RO[],MATCH(K$9,MMWR_ACCURACY_RO[#Headers],0),0),"ERROR"))</f>
        <v/>
      </c>
      <c r="L28" s="158" t="str">
        <f>IF($B28=" ","",IFERROR(VLOOKUP($B28,MMWR_ACCURACY_RO[],MATCH(L$9,MMWR_ACCURACY_RO[#Headers],0),0),"ERROR"))</f>
        <v/>
      </c>
      <c r="M28" s="158" t="str">
        <f>IF($B28=" ","",IFERROR(VLOOKUP($B28,MMWR_ACCURACY_RO[],MATCH(M$9,MMWR_ACCURACY_RO[#Headers],0),0),"ERROR"))</f>
        <v/>
      </c>
      <c r="N28" s="158" t="str">
        <f>IF($B28=" ","",IFERROR(VLOOKUP($B28,MMWR_ACCURACY_RO[],MATCH(N$9,MMWR_ACCURACY_RO[#Headers],0),0),"ERROR"))</f>
        <v/>
      </c>
      <c r="O28" s="158" t="str">
        <f>IF($B28=" ","",IFERROR(VLOOKUP($B28,MMWR_ACCURACY_RO[],MATCH(O$9,MMWR_ACCURACY_RO[#Headers],0),0),"ERROR"))</f>
        <v/>
      </c>
      <c r="P28" s="28"/>
    </row>
    <row r="29" spans="1:16" x14ac:dyDescent="0.2">
      <c r="A29" s="25"/>
      <c r="B29" s="8" t="str">
        <f>VLOOKUP($B$16,DISTRICT_RO[],14,0)</f>
        <v xml:space="preserve"> </v>
      </c>
      <c r="C29" s="154" t="str">
        <f>IF($B29=" ","",IFERROR(INDEX(MMWR_RATING_RO_ROLLUP[],MATCH($B29,MMWR_RATING_RO_ROLLUP[MMWR_RATING_RO_ROLLUP],0),MATCH(C$9,MMWR_RATING_RO_ROLLUP[#Headers],0)),"ERROR"))</f>
        <v/>
      </c>
      <c r="D29" s="155" t="str">
        <f>IF($B29=" ","",IFERROR(INDEX(MMWR_RATING_RO_ROLLUP[],MATCH($B29,MMWR_RATING_RO_ROLLUP[MMWR_RATING_RO_ROLLUP],0),MATCH(D$9,MMWR_RATING_RO_ROLLUP[#Headers],0)),"ERROR"))</f>
        <v/>
      </c>
      <c r="E29" s="156" t="str">
        <f>IF($B29=" ","",IFERROR(INDEX(MMWR_RATING_RO_ROLLUP[],MATCH($B29,MMWR_RATING_RO_ROLLUP[MMWR_RATING_RO_ROLLUP],0),MATCH(E$9,MMWR_RATING_RO_ROLLUP[#Headers],0))/$C29,"ERROR"))</f>
        <v/>
      </c>
      <c r="F29" s="154" t="str">
        <f>IF($B29=" ","",IFERROR(INDEX(MMWR_RATING_RO_ROLLUP[],MATCH($B29,MMWR_RATING_RO_ROLLUP[MMWR_RATING_RO_ROLLUP],0),MATCH(F$9,MMWR_RATING_RO_ROLLUP[#Headers],0)),"ERROR"))</f>
        <v/>
      </c>
      <c r="G29" s="154" t="str">
        <f>IF($B29=" ","",IFERROR(INDEX(MMWR_RATING_RO_ROLLUP[],MATCH($B29,MMWR_RATING_RO_ROLLUP[MMWR_RATING_RO_ROLLUP],0),MATCH(G$9,MMWR_RATING_RO_ROLLUP[#Headers],0)),"ERROR"))</f>
        <v/>
      </c>
      <c r="H29" s="155" t="str">
        <f>IF($B29=" ","",IFERROR(INDEX(MMWR_RATING_RO_ROLLUP[],MATCH($B29,MMWR_RATING_RO_ROLLUP[MMWR_RATING_RO_ROLLUP],0),MATCH(H$9,MMWR_RATING_RO_ROLLUP[#Headers],0)),"ERROR"))</f>
        <v/>
      </c>
      <c r="I29" s="155" t="str">
        <f>IF($B29=" ","",IFERROR(INDEX(MMWR_RATING_RO_ROLLUP[],MATCH($B29,MMWR_RATING_RO_ROLLUP[MMWR_RATING_RO_ROLLUP],0),MATCH(I$9,MMWR_RATING_RO_ROLLUP[#Headers],0)),"ERROR"))</f>
        <v/>
      </c>
      <c r="J29" s="158" t="str">
        <f>IF($B29=" ","",IFERROR(VLOOKUP($B29,MMWR_ACCURACY_RO[],MATCH(J$9,MMWR_ACCURACY_RO[#Headers],0),0),"ERROR"))</f>
        <v/>
      </c>
      <c r="K29" s="158" t="str">
        <f>IF($B29=" ","",IFERROR(VLOOKUP($B29,MMWR_ACCURACY_RO[],MATCH(K$9,MMWR_ACCURACY_RO[#Headers],0),0),"ERROR"))</f>
        <v/>
      </c>
      <c r="L29" s="158" t="str">
        <f>IF($B29=" ","",IFERROR(VLOOKUP($B29,MMWR_ACCURACY_RO[],MATCH(L$9,MMWR_ACCURACY_RO[#Headers],0),0),"ERROR"))</f>
        <v/>
      </c>
      <c r="M29" s="158" t="str">
        <f>IF($B29=" ","",IFERROR(VLOOKUP($B29,MMWR_ACCURACY_RO[],MATCH(M$9,MMWR_ACCURACY_RO[#Headers],0),0),"ERROR"))</f>
        <v/>
      </c>
      <c r="N29" s="158" t="str">
        <f>IF($B29=" ","",IFERROR(VLOOKUP($B29,MMWR_ACCURACY_RO[],MATCH(N$9,MMWR_ACCURACY_RO[#Headers],0),0),"ERROR"))</f>
        <v/>
      </c>
      <c r="O29" s="158" t="str">
        <f>IF($B29=" ","",IFERROR(VLOOKUP($B29,MMWR_ACCURACY_RO[],MATCH(O$9,MMWR_ACCURACY_RO[#Headers],0),0),"ERROR"))</f>
        <v/>
      </c>
      <c r="P29" s="28"/>
    </row>
    <row r="30" spans="1:16" x14ac:dyDescent="0.2">
      <c r="A30" s="25"/>
      <c r="B30" s="8" t="str">
        <f>VLOOKUP($B$16,DISTRICT_RO[],15,0)</f>
        <v xml:space="preserve"> </v>
      </c>
      <c r="C30" s="154" t="str">
        <f>IF($B30=" ","",IFERROR(INDEX(MMWR_RATING_RO_ROLLUP[],MATCH($B30,MMWR_RATING_RO_ROLLUP[MMWR_RATING_RO_ROLLUP],0),MATCH(C$9,MMWR_RATING_RO_ROLLUP[#Headers],0)),"ERROR"))</f>
        <v/>
      </c>
      <c r="D30" s="155" t="str">
        <f>IF($B30=" ","",IFERROR(INDEX(MMWR_RATING_RO_ROLLUP[],MATCH($B30,MMWR_RATING_RO_ROLLUP[MMWR_RATING_RO_ROLLUP],0),MATCH(D$9,MMWR_RATING_RO_ROLLUP[#Headers],0)),"ERROR"))</f>
        <v/>
      </c>
      <c r="E30" s="156" t="str">
        <f>IF($B30=" ","",IFERROR(INDEX(MMWR_RATING_RO_ROLLUP[],MATCH($B30,MMWR_RATING_RO_ROLLUP[MMWR_RATING_RO_ROLLUP],0),MATCH(E$9,MMWR_RATING_RO_ROLLUP[#Headers],0))/$C30,"ERROR"))</f>
        <v/>
      </c>
      <c r="F30" s="154" t="str">
        <f>IF($B30=" ","",IFERROR(INDEX(MMWR_RATING_RO_ROLLUP[],MATCH($B30,MMWR_RATING_RO_ROLLUP[MMWR_RATING_RO_ROLLUP],0),MATCH(F$9,MMWR_RATING_RO_ROLLUP[#Headers],0)),"ERROR"))</f>
        <v/>
      </c>
      <c r="G30" s="154" t="str">
        <f>IF($B30=" ","",IFERROR(INDEX(MMWR_RATING_RO_ROLLUP[],MATCH($B30,MMWR_RATING_RO_ROLLUP[MMWR_RATING_RO_ROLLUP],0),MATCH(G$9,MMWR_RATING_RO_ROLLUP[#Headers],0)),"ERROR"))</f>
        <v/>
      </c>
      <c r="H30" s="155" t="str">
        <f>IF($B30=" ","",IFERROR(INDEX(MMWR_RATING_RO_ROLLUP[],MATCH($B30,MMWR_RATING_RO_ROLLUP[MMWR_RATING_RO_ROLLUP],0),MATCH(H$9,MMWR_RATING_RO_ROLLUP[#Headers],0)),"ERROR"))</f>
        <v/>
      </c>
      <c r="I30" s="155" t="str">
        <f>IF($B30=" ","",IFERROR(INDEX(MMWR_RATING_RO_ROLLUP[],MATCH($B30,MMWR_RATING_RO_ROLLUP[MMWR_RATING_RO_ROLLUP],0),MATCH(I$9,MMWR_RATING_RO_ROLLUP[#Headers],0)),"ERROR"))</f>
        <v/>
      </c>
      <c r="J30" s="158" t="str">
        <f>IF($B30=" ","",IFERROR(VLOOKUP($B30,MMWR_ACCURACY_RO[],MATCH(J$9,MMWR_ACCURACY_RO[#Headers],0),0),"ERROR"))</f>
        <v/>
      </c>
      <c r="K30" s="158" t="str">
        <f>IF($B30=" ","",IFERROR(VLOOKUP($B30,MMWR_ACCURACY_RO[],MATCH(K$9,MMWR_ACCURACY_RO[#Headers],0),0),"ERROR"))</f>
        <v/>
      </c>
      <c r="L30" s="158" t="str">
        <f>IF($B30=" ","",IFERROR(VLOOKUP($B30,MMWR_ACCURACY_RO[],MATCH(L$9,MMWR_ACCURACY_RO[#Headers],0),0),"ERROR"))</f>
        <v/>
      </c>
      <c r="M30" s="158" t="str">
        <f>IF($B30=" ","",IFERROR(VLOOKUP($B30,MMWR_ACCURACY_RO[],MATCH(M$9,MMWR_ACCURACY_RO[#Headers],0),0),"ERROR"))</f>
        <v/>
      </c>
      <c r="N30" s="158" t="str">
        <f>IF($B30=" ","",IFERROR(VLOOKUP($B30,MMWR_ACCURACY_RO[],MATCH(N$9,MMWR_ACCURACY_RO[#Headers],0),0),"ERROR"))</f>
        <v/>
      </c>
      <c r="O30" s="158" t="str">
        <f>IF($B30=" ","",IFERROR(VLOOKUP($B30,MMWR_ACCURACY_RO[],MATCH(O$9,MMWR_ACCURACY_RO[#Headers],0),0),"ERROR"))</f>
        <v/>
      </c>
      <c r="P30" s="28"/>
    </row>
    <row r="31" spans="1:16" x14ac:dyDescent="0.2">
      <c r="A31" s="25"/>
      <c r="B31" s="8" t="str">
        <f>VLOOKUP($B$16,DISTRICT_RO[],16,0)</f>
        <v xml:space="preserve"> </v>
      </c>
      <c r="C31" s="154" t="str">
        <f>IF($B31=" ","",IFERROR(INDEX(MMWR_RATING_RO_ROLLUP[],MATCH($B31,MMWR_RATING_RO_ROLLUP[MMWR_RATING_RO_ROLLUP],0),MATCH(C$9,MMWR_RATING_RO_ROLLUP[#Headers],0)),"ERROR"))</f>
        <v/>
      </c>
      <c r="D31" s="155" t="str">
        <f>IF($B31=" ","",IFERROR(INDEX(MMWR_RATING_RO_ROLLUP[],MATCH($B31,MMWR_RATING_RO_ROLLUP[MMWR_RATING_RO_ROLLUP],0),MATCH(D$9,MMWR_RATING_RO_ROLLUP[#Headers],0)),"ERROR"))</f>
        <v/>
      </c>
      <c r="E31" s="156" t="str">
        <f>IF($B31=" ","",IFERROR(INDEX(MMWR_RATING_RO_ROLLUP[],MATCH($B31,MMWR_RATING_RO_ROLLUP[MMWR_RATING_RO_ROLLUP],0),MATCH(E$9,MMWR_RATING_RO_ROLLUP[#Headers],0))/$C31,"ERROR"))</f>
        <v/>
      </c>
      <c r="F31" s="154" t="str">
        <f>IF($B31=" ","",IFERROR(INDEX(MMWR_RATING_RO_ROLLUP[],MATCH($B31,MMWR_RATING_RO_ROLLUP[MMWR_RATING_RO_ROLLUP],0),MATCH(F$9,MMWR_RATING_RO_ROLLUP[#Headers],0)),"ERROR"))</f>
        <v/>
      </c>
      <c r="G31" s="154" t="str">
        <f>IF($B31=" ","",IFERROR(INDEX(MMWR_RATING_RO_ROLLUP[],MATCH($B31,MMWR_RATING_RO_ROLLUP[MMWR_RATING_RO_ROLLUP],0),MATCH(G$9,MMWR_RATING_RO_ROLLUP[#Headers],0)),"ERROR"))</f>
        <v/>
      </c>
      <c r="H31" s="155" t="str">
        <f>IF($B31=" ","",IFERROR(INDEX(MMWR_RATING_RO_ROLLUP[],MATCH($B31,MMWR_RATING_RO_ROLLUP[MMWR_RATING_RO_ROLLUP],0),MATCH(H$9,MMWR_RATING_RO_ROLLUP[#Headers],0)),"ERROR"))</f>
        <v/>
      </c>
      <c r="I31" s="155" t="str">
        <f>IF($B31=" ","",IFERROR(INDEX(MMWR_RATING_RO_ROLLUP[],MATCH($B31,MMWR_RATING_RO_ROLLUP[MMWR_RATING_RO_ROLLUP],0),MATCH(I$9,MMWR_RATING_RO_ROLLUP[#Headers],0)),"ERROR"))</f>
        <v/>
      </c>
      <c r="J31" s="158" t="str">
        <f>IF($B31=" ","",IFERROR(VLOOKUP($B31,MMWR_ACCURACY_RO[],MATCH(J$9,MMWR_ACCURACY_RO[#Headers],0),0),"ERROR"))</f>
        <v/>
      </c>
      <c r="K31" s="158" t="str">
        <f>IF($B31=" ","",IFERROR(VLOOKUP($B31,MMWR_ACCURACY_RO[],MATCH(K$9,MMWR_ACCURACY_RO[#Headers],0),0),"ERROR"))</f>
        <v/>
      </c>
      <c r="L31" s="158" t="str">
        <f>IF($B31=" ","",IFERROR(VLOOKUP($B31,MMWR_ACCURACY_RO[],MATCH(L$9,MMWR_ACCURACY_RO[#Headers],0),0),"ERROR"))</f>
        <v/>
      </c>
      <c r="M31" s="158" t="str">
        <f>IF($B31=" ","",IFERROR(VLOOKUP($B31,MMWR_ACCURACY_RO[],MATCH(M$9,MMWR_ACCURACY_RO[#Headers],0),0),"ERROR"))</f>
        <v/>
      </c>
      <c r="N31" s="158" t="str">
        <f>IF($B31=" ","",IFERROR(VLOOKUP($B31,MMWR_ACCURACY_RO[],MATCH(N$9,MMWR_ACCURACY_RO[#Headers],0),0),"ERROR"))</f>
        <v/>
      </c>
      <c r="O31" s="158" t="str">
        <f>IF($B31=" ","",IFERROR(VLOOKUP($B31,MMWR_ACCURACY_RO[],MATCH(O$9,MMWR_ACCURACY_RO[#Headers],0),0),"ERROR"))</f>
        <v/>
      </c>
      <c r="P31" s="28"/>
    </row>
    <row r="32" spans="1:16" x14ac:dyDescent="0.2">
      <c r="A32" s="25"/>
      <c r="B32" s="8" t="str">
        <f>VLOOKUP($B$16,DISTRICT_RO[],17,0)</f>
        <v xml:space="preserve"> </v>
      </c>
      <c r="C32" s="154" t="str">
        <f>IF($B32=" ","",IFERROR(INDEX(MMWR_RATING_RO_ROLLUP[],MATCH($B32,MMWR_RATING_RO_ROLLUP[MMWR_RATING_RO_ROLLUP],0),MATCH(C$9,MMWR_RATING_RO_ROLLUP[#Headers],0)),"ERROR"))</f>
        <v/>
      </c>
      <c r="D32" s="155" t="str">
        <f>IF($B32=" ","",IFERROR(INDEX(MMWR_RATING_RO_ROLLUP[],MATCH($B32,MMWR_RATING_RO_ROLLUP[MMWR_RATING_RO_ROLLUP],0),MATCH(D$9,MMWR_RATING_RO_ROLLUP[#Headers],0)),"ERROR"))</f>
        <v/>
      </c>
      <c r="E32" s="156" t="str">
        <f>IF($B32=" ","",IFERROR(INDEX(MMWR_RATING_RO_ROLLUP[],MATCH($B32,MMWR_RATING_RO_ROLLUP[MMWR_RATING_RO_ROLLUP],0),MATCH(E$9,MMWR_RATING_RO_ROLLUP[#Headers],0))/$C32,"ERROR"))</f>
        <v/>
      </c>
      <c r="F32" s="154" t="str">
        <f>IF($B32=" ","",IFERROR(INDEX(MMWR_RATING_RO_ROLLUP[],MATCH($B32,MMWR_RATING_RO_ROLLUP[MMWR_RATING_RO_ROLLUP],0),MATCH(F$9,MMWR_RATING_RO_ROLLUP[#Headers],0)),"ERROR"))</f>
        <v/>
      </c>
      <c r="G32" s="154" t="str">
        <f>IF($B32=" ","",IFERROR(INDEX(MMWR_RATING_RO_ROLLUP[],MATCH($B32,MMWR_RATING_RO_ROLLUP[MMWR_RATING_RO_ROLLUP],0),MATCH(G$9,MMWR_RATING_RO_ROLLUP[#Headers],0)),"ERROR"))</f>
        <v/>
      </c>
      <c r="H32" s="155" t="str">
        <f>IF($B32=" ","",IFERROR(INDEX(MMWR_RATING_RO_ROLLUP[],MATCH($B32,MMWR_RATING_RO_ROLLUP[MMWR_RATING_RO_ROLLUP],0),MATCH(H$9,MMWR_RATING_RO_ROLLUP[#Headers],0)),"ERROR"))</f>
        <v/>
      </c>
      <c r="I32" s="155" t="str">
        <f>IF($B32=" ","",IFERROR(INDEX(MMWR_RATING_RO_ROLLUP[],MATCH($B32,MMWR_RATING_RO_ROLLUP[MMWR_RATING_RO_ROLLUP],0),MATCH(I$9,MMWR_RATING_RO_ROLLUP[#Headers],0)),"ERROR"))</f>
        <v/>
      </c>
      <c r="J32" s="158" t="str">
        <f>IF($B32=" ","",IFERROR(VLOOKUP($B32,MMWR_ACCURACY_RO[],MATCH(J$9,MMWR_ACCURACY_RO[#Headers],0),0),"ERROR"))</f>
        <v/>
      </c>
      <c r="K32" s="158" t="str">
        <f>IF($B32=" ","",IFERROR(VLOOKUP($B32,MMWR_ACCURACY_RO[],MATCH(K$9,MMWR_ACCURACY_RO[#Headers],0),0),"ERROR"))</f>
        <v/>
      </c>
      <c r="L32" s="158" t="str">
        <f>IF($B32=" ","",IFERROR(VLOOKUP($B32,MMWR_ACCURACY_RO[],MATCH(L$9,MMWR_ACCURACY_RO[#Headers],0),0),"ERROR"))</f>
        <v/>
      </c>
      <c r="M32" s="158" t="str">
        <f>IF($B32=" ","",IFERROR(VLOOKUP($B32,MMWR_ACCURACY_RO[],MATCH(M$9,MMWR_ACCURACY_RO[#Headers],0),0),"ERROR"))</f>
        <v/>
      </c>
      <c r="N32" s="158" t="str">
        <f>IF($B32=" ","",IFERROR(VLOOKUP($B32,MMWR_ACCURACY_RO[],MATCH(N$9,MMWR_ACCURACY_RO[#Headers],0),0),"ERROR"))</f>
        <v/>
      </c>
      <c r="O32" s="158" t="str">
        <f>IF($B32=" ","",IFERROR(VLOOKUP($B32,MMWR_ACCURACY_RO[],MATCH(O$9,MMWR_ACCURACY_RO[#Headers],0),0),"ERROR"))</f>
        <v/>
      </c>
      <c r="P32" s="28"/>
    </row>
    <row r="33" spans="1:16" x14ac:dyDescent="0.2">
      <c r="A33" s="25"/>
      <c r="B33" s="361" t="s">
        <v>740</v>
      </c>
      <c r="C33" s="362"/>
      <c r="D33" s="362"/>
      <c r="E33" s="362"/>
      <c r="F33" s="362"/>
      <c r="G33" s="362"/>
      <c r="H33" s="362"/>
      <c r="I33" s="362"/>
      <c r="J33" s="362"/>
      <c r="K33" s="362"/>
      <c r="L33" s="362"/>
      <c r="M33" s="362"/>
      <c r="N33" s="362"/>
      <c r="O33" s="362"/>
      <c r="P33" s="28"/>
    </row>
    <row r="34" spans="1:16" x14ac:dyDescent="0.2">
      <c r="A34" s="25"/>
      <c r="B34" s="11" t="s">
        <v>703</v>
      </c>
      <c r="C34" s="154">
        <f>IF($B34=" ","",IFERROR(INDEX(MMWR_RATING_RO_ROLLUP[],MATCH($B34,MMWR_RATING_RO_ROLLUP[MMWR_RATING_RO_ROLLUP],0),MATCH(C$9,MMWR_RATING_RO_ROLLUP[#Headers],0)),"ERROR"))</f>
        <v>24249</v>
      </c>
      <c r="D34" s="155">
        <f>IF($B34=" ","",IFERROR(INDEX(MMWR_RATING_RO_ROLLUP[],MATCH($B34,MMWR_RATING_RO_ROLLUP[MMWR_RATING_RO_ROLLUP],0),MATCH(D$9,MMWR_RATING_RO_ROLLUP[#Headers],0)),"ERROR"))</f>
        <v>63.736978844500001</v>
      </c>
      <c r="E34" s="156">
        <f>IF($B34=" ","",IFERROR(INDEX(MMWR_RATING_RO_ROLLUP[],MATCH($B34,MMWR_RATING_RO_ROLLUP[MMWR_RATING_RO_ROLLUP],0),MATCH(E$9,MMWR_RATING_RO_ROLLUP[#Headers],0))/$C34,"ERROR"))</f>
        <v>8.3549837106684816E-2</v>
      </c>
      <c r="F34" s="154">
        <f>IF($B34=" ","",IFERROR(INDEX(MMWR_RATING_RO_ROLLUP[],MATCH($B34,MMWR_RATING_RO_ROLLUP[MMWR_RATING_RO_ROLLUP],0),MATCH(F$9,MMWR_RATING_RO_ROLLUP[#Headers],0)),"ERROR"))</f>
        <v>5217</v>
      </c>
      <c r="G34" s="154">
        <f>IF($B34=" ","",IFERROR(INDEX(MMWR_RATING_RO_ROLLUP[],MATCH($B34,MMWR_RATING_RO_ROLLUP[MMWR_RATING_RO_ROLLUP],0),MATCH(G$9,MMWR_RATING_RO_ROLLUP[#Headers],0)),"ERROR"))</f>
        <v>17083</v>
      </c>
      <c r="H34" s="155">
        <f>IF($B34=" ","",IFERROR(INDEX(MMWR_RATING_RO_ROLLUP[],MATCH($B34,MMWR_RATING_RO_ROLLUP[MMWR_RATING_RO_ROLLUP],0),MATCH(H$9,MMWR_RATING_RO_ROLLUP[#Headers],0)),"ERROR"))</f>
        <v>68.825570251100004</v>
      </c>
      <c r="I34" s="155">
        <f>IF($B34=" ","",IFERROR(INDEX(MMWR_RATING_RO_ROLLUP[],MATCH($B34,MMWR_RATING_RO_ROLLUP[MMWR_RATING_RO_ROLLUP],0),MATCH(I$9,MMWR_RATING_RO_ROLLUP[#Headers],0)),"ERROR"))</f>
        <v>68.267751565899999</v>
      </c>
      <c r="J34" s="42"/>
      <c r="K34" s="263">
        <f>IF($B34=" ","",IFERROR(VLOOKUP($B34,MMWR_ACCURACY_RO[],MATCH(K$50,MMWR_ACCURACY_RO[#Headers],0),0),"ERROR"))</f>
        <v>0.95160262468609058</v>
      </c>
      <c r="L34" s="263">
        <f>IF($B34=" ","",IFERROR(VLOOKUP($B34,MMWR_ACCURACY_RO[],MATCH(L$50,MMWR_ACCURACY_RO[#Headers],0),0),"ERROR"))</f>
        <v>0.96399894169750566</v>
      </c>
      <c r="M34" s="263">
        <f>IF($B34=" ","",IFERROR(VLOOKUP($B34,MMWR_ACCURACY_RO[],MATCH(M$50,MMWR_ACCURACY_RO[#Headers],0),0),"ERROR"))</f>
        <v>1.6489981077915702E-2</v>
      </c>
      <c r="N34" s="263">
        <f>IF($B34=" ","",IFERROR(VLOOKUP($B34,MMWR_ACCURACY_RO[],MATCH(N$50,MMWR_ACCURACY_RO[#Headers],0),0),"ERROR"))</f>
        <v>0.96300643857320334</v>
      </c>
      <c r="O34" s="263">
        <f>IF($B34=" ","",IFERROR(VLOOKUP($B34,MMWR_ACCURACY_RO[],MATCH(O$50,MMWR_ACCURACY_RO[#Headers],0),0),"ERROR"))</f>
        <v>1.9719875218875204E-2</v>
      </c>
      <c r="P34" s="28"/>
    </row>
    <row r="35" spans="1:16" x14ac:dyDescent="0.2">
      <c r="A35" s="25"/>
      <c r="B35" s="12" t="s">
        <v>216</v>
      </c>
      <c r="C35" s="154">
        <f>IF($B35=" ","",IFERROR(INDEX(MMWR_RATING_RO_ROLLUP[],MATCH($B35,MMWR_RATING_RO_ROLLUP[MMWR_RATING_RO_ROLLUP],0),MATCH(C$9,MMWR_RATING_RO_ROLLUP[#Headers],0)),"ERROR"))</f>
        <v>8876</v>
      </c>
      <c r="D35" s="155">
        <f>IF($B35=" ","",IFERROR(INDEX(MMWR_RATING_RO_ROLLUP[],MATCH($B35,MMWR_RATING_RO_ROLLUP[MMWR_RATING_RO_ROLLUP],0),MATCH(D$9,MMWR_RATING_RO_ROLLUP[#Headers],0)),"ERROR"))</f>
        <v>66.057683641300002</v>
      </c>
      <c r="E35" s="156">
        <f>IF($B35=" ","",IFERROR(INDEX(MMWR_RATING_RO_ROLLUP[],MATCH($B35,MMWR_RATING_RO_ROLLUP[MMWR_RATING_RO_ROLLUP],0),MATCH(E$9,MMWR_RATING_RO_ROLLUP[#Headers],0))/$C35,"ERROR"))</f>
        <v>9.2834610184767907E-2</v>
      </c>
      <c r="F35" s="154">
        <f>IF($B35=" ","",IFERROR(INDEX(MMWR_RATING_RO_ROLLUP[],MATCH($B35,MMWR_RATING_RO_ROLLUP[MMWR_RATING_RO_ROLLUP],0),MATCH(F$9,MMWR_RATING_RO_ROLLUP[#Headers],0)),"ERROR"))</f>
        <v>1682</v>
      </c>
      <c r="G35" s="154">
        <f>IF($B35=" ","",IFERROR(INDEX(MMWR_RATING_RO_ROLLUP[],MATCH($B35,MMWR_RATING_RO_ROLLUP[MMWR_RATING_RO_ROLLUP],0),MATCH(G$9,MMWR_RATING_RO_ROLLUP[#Headers],0)),"ERROR"))</f>
        <v>5287</v>
      </c>
      <c r="H35" s="155">
        <f>IF($B35=" ","",IFERROR(INDEX(MMWR_RATING_RO_ROLLUP[],MATCH($B35,MMWR_RATING_RO_ROLLUP[MMWR_RATING_RO_ROLLUP],0),MATCH(H$9,MMWR_RATING_RO_ROLLUP[#Headers],0)),"ERROR"))</f>
        <v>78.181926278199995</v>
      </c>
      <c r="I35" s="155">
        <f>IF($B35=" ","",IFERROR(INDEX(MMWR_RATING_RO_ROLLUP[],MATCH($B35,MMWR_RATING_RO_ROLLUP[MMWR_RATING_RO_ROLLUP],0),MATCH(I$9,MMWR_RATING_RO_ROLLUP[#Headers],0)),"ERROR"))</f>
        <v>80.649328541700001</v>
      </c>
      <c r="J35" s="42"/>
      <c r="K35" s="252">
        <f>IF($B35=" ","",IFERROR(VLOOKUP($B35,MMWR_ACCURACY_RO[],MATCH(K$50,MMWR_ACCURACY_RO[#Headers],0),0),"ERROR"))</f>
        <v>0.88344205262013464</v>
      </c>
      <c r="L35" s="252">
        <f>IF($B35=" ","",IFERROR(VLOOKUP($B35,MMWR_ACCURACY_RO[],MATCH(L$50,MMWR_ACCURACY_RO[#Headers],0),0),"ERROR"))</f>
        <v>0.95086237848457134</v>
      </c>
      <c r="M35" s="252">
        <f>IF($B35=" ","",IFERROR(VLOOKUP($B35,MMWR_ACCURACY_RO[],MATCH(M$50,MMWR_ACCURACY_RO[#Headers],0),0),"ERROR"))</f>
        <v>3.6346171305150603E-2</v>
      </c>
      <c r="N35" s="252">
        <f>IF($B35=" ","",IFERROR(VLOOKUP($B35,MMWR_ACCURACY_RO[],MATCH(N$50,MMWR_ACCURACY_RO[#Headers],0),0),"ERROR"))</f>
        <v>0.93329754203073223</v>
      </c>
      <c r="O35" s="252">
        <f>IF($B35=" ","",IFERROR(VLOOKUP($B35,MMWR_ACCURACY_RO[],MATCH(O$50,MMWR_ACCURACY_RO[#Headers],0),0),"ERROR"))</f>
        <v>4.5983312047488949E-2</v>
      </c>
      <c r="P35" s="28"/>
    </row>
    <row r="36" spans="1:16" x14ac:dyDescent="0.2">
      <c r="A36" s="43"/>
      <c r="B36" s="12" t="s">
        <v>215</v>
      </c>
      <c r="C36" s="154">
        <f>IF($B36=" ","",IFERROR(INDEX(MMWR_RATING_RO_ROLLUP[],MATCH($B36,MMWR_RATING_RO_ROLLUP[MMWR_RATING_RO_ROLLUP],0),MATCH(C$9,MMWR_RATING_RO_ROLLUP[#Headers],0)),"ERROR"))</f>
        <v>7017</v>
      </c>
      <c r="D36" s="155">
        <f>IF($B36=" ","",IFERROR(INDEX(MMWR_RATING_RO_ROLLUP[],MATCH($B36,MMWR_RATING_RO_ROLLUP[MMWR_RATING_RO_ROLLUP],0),MATCH(D$9,MMWR_RATING_RO_ROLLUP[#Headers],0)),"ERROR"))</f>
        <v>60.9933019809</v>
      </c>
      <c r="E36" s="156">
        <f>IF($B36=" ","",IFERROR(INDEX(MMWR_RATING_RO_ROLLUP[],MATCH($B36,MMWR_RATING_RO_ROLLUP[MMWR_RATING_RO_ROLLUP],0),MATCH(E$9,MMWR_RATING_RO_ROLLUP[#Headers],0))/$C36,"ERROR"))</f>
        <v>6.7977768277041467E-2</v>
      </c>
      <c r="F36" s="154">
        <f>IF($B36=" ","",IFERROR(INDEX(MMWR_RATING_RO_ROLLUP[],MATCH($B36,MMWR_RATING_RO_ROLLUP[MMWR_RATING_RO_ROLLUP],0),MATCH(F$9,MMWR_RATING_RO_ROLLUP[#Headers],0)),"ERROR"))</f>
        <v>1458</v>
      </c>
      <c r="G36" s="154">
        <f>IF($B36=" ","",IFERROR(INDEX(MMWR_RATING_RO_ROLLUP[],MATCH($B36,MMWR_RATING_RO_ROLLUP[MMWR_RATING_RO_ROLLUP],0),MATCH(G$9,MMWR_RATING_RO_ROLLUP[#Headers],0)),"ERROR"))</f>
        <v>4592</v>
      </c>
      <c r="H36" s="155">
        <f>IF($B36=" ","",IFERROR(INDEX(MMWR_RATING_RO_ROLLUP[],MATCH($B36,MMWR_RATING_RO_ROLLUP[MMWR_RATING_RO_ROLLUP],0),MATCH(H$9,MMWR_RATING_RO_ROLLUP[#Headers],0)),"ERROR"))</f>
        <v>65.068587105600002</v>
      </c>
      <c r="I36" s="155">
        <f>IF($B36=" ","",IFERROR(INDEX(MMWR_RATING_RO_ROLLUP[],MATCH($B36,MMWR_RATING_RO_ROLLUP[MMWR_RATING_RO_ROLLUP],0),MATCH(I$9,MMWR_RATING_RO_ROLLUP[#Headers],0)),"ERROR"))</f>
        <v>63.852134146300003</v>
      </c>
      <c r="J36" s="42"/>
      <c r="K36" s="252">
        <f>IF($B36=" ","",IFERROR(VLOOKUP($B36,MMWR_ACCURACY_RO[],MATCH(K$50,MMWR_ACCURACY_RO[#Headers],0),0),"ERROR"))</f>
        <v>0.96443507808926343</v>
      </c>
      <c r="L36" s="252">
        <f>IF($B36=" ","",IFERROR(VLOOKUP($B36,MMWR_ACCURACY_RO[],MATCH(L$50,MMWR_ACCURACY_RO[#Headers],0),0),"ERROR"))</f>
        <v>0.94246724745958388</v>
      </c>
      <c r="M36" s="252">
        <f>IF($B36=" ","",IFERROR(VLOOKUP($B36,MMWR_ACCURACY_RO[],MATCH(M$50,MMWR_ACCURACY_RO[#Headers],0),0),"ERROR"))</f>
        <v>3.65270119796854E-2</v>
      </c>
      <c r="N36" s="252">
        <f>IF($B36=" ","",IFERROR(VLOOKUP($B36,MMWR_ACCURACY_RO[],MATCH(N$50,MMWR_ACCURACY_RO[#Headers],0),0),"ERROR"))</f>
        <v>0.98916148473289089</v>
      </c>
      <c r="O36" s="252">
        <f>IF($B36=" ","",IFERROR(VLOOKUP($B36,MMWR_ACCURACY_RO[],MATCH(O$50,MMWR_ACCURACY_RO[#Headers],0),0),"ERROR"))</f>
        <v>1.3449144113758749E-2</v>
      </c>
      <c r="P36" s="28"/>
    </row>
    <row r="37" spans="1:16" x14ac:dyDescent="0.2">
      <c r="A37" s="25"/>
      <c r="B37" s="12" t="s">
        <v>218</v>
      </c>
      <c r="C37" s="154">
        <f>IF($B37=" ","",IFERROR(INDEX(MMWR_RATING_RO_ROLLUP[],MATCH($B37,MMWR_RATING_RO_ROLLUP[MMWR_RATING_RO_ROLLUP],0),MATCH(C$9,MMWR_RATING_RO_ROLLUP[#Headers],0)),"ERROR"))</f>
        <v>7822</v>
      </c>
      <c r="D37" s="155">
        <f>IF($B37=" ","",IFERROR(INDEX(MMWR_RATING_RO_ROLLUP[],MATCH($B37,MMWR_RATING_RO_ROLLUP[MMWR_RATING_RO_ROLLUP],0),MATCH(D$9,MMWR_RATING_RO_ROLLUP[#Headers],0)),"ERROR"))</f>
        <v>55.510099718699998</v>
      </c>
      <c r="E37" s="156">
        <f>IF($B37=" ","",IFERROR(INDEX(MMWR_RATING_RO_ROLLUP[],MATCH($B37,MMWR_RATING_RO_ROLLUP[MMWR_RATING_RO_ROLLUP],0),MATCH(E$9,MMWR_RATING_RO_ROLLUP[#Headers],0))/$C37,"ERROR"))</f>
        <v>5.8297110713372541E-2</v>
      </c>
      <c r="F37" s="154">
        <f>IF($B37=" ","",IFERROR(INDEX(MMWR_RATING_RO_ROLLUP[],MATCH($B37,MMWR_RATING_RO_ROLLUP[MMWR_RATING_RO_ROLLUP],0),MATCH(F$9,MMWR_RATING_RO_ROLLUP[#Headers],0)),"ERROR"))</f>
        <v>1907</v>
      </c>
      <c r="G37" s="154">
        <f>IF($B37=" ","",IFERROR(INDEX(MMWR_RATING_RO_ROLLUP[],MATCH($B37,MMWR_RATING_RO_ROLLUP[MMWR_RATING_RO_ROLLUP],0),MATCH(G$9,MMWR_RATING_RO_ROLLUP[#Headers],0)),"ERROR"))</f>
        <v>6682</v>
      </c>
      <c r="H37" s="155">
        <f>IF($B37=" ","",IFERROR(INDEX(MMWR_RATING_RO_ROLLUP[],MATCH($B37,MMWR_RATING_RO_ROLLUP[MMWR_RATING_RO_ROLLUP],0),MATCH(H$9,MMWR_RATING_RO_ROLLUP[#Headers],0)),"ERROR"))</f>
        <v>65.897745149399995</v>
      </c>
      <c r="I37" s="155">
        <f>IF($B37=" ","",IFERROR(INDEX(MMWR_RATING_RO_ROLLUP[],MATCH($B37,MMWR_RATING_RO_ROLLUP[MMWR_RATING_RO_ROLLUP],0),MATCH(I$9,MMWR_RATING_RO_ROLLUP[#Headers],0)),"ERROR"))</f>
        <v>63.813079916200003</v>
      </c>
      <c r="J37" s="42"/>
      <c r="K37" s="252">
        <f>IF($B37=" ","",IFERROR(VLOOKUP($B37,MMWR_ACCURACY_RO[],MATCH(K$50,MMWR_ACCURACY_RO[#Headers],0),0),"ERROR"))</f>
        <v>1</v>
      </c>
      <c r="L37" s="252">
        <f>IF($B37=" ","",IFERROR(VLOOKUP($B37,MMWR_ACCURACY_RO[],MATCH(L$50,MMWR_ACCURACY_RO[#Headers],0),0),"ERROR"))</f>
        <v>0.99183479661474583</v>
      </c>
      <c r="M37" s="252">
        <f>IF($B37=" ","",IFERROR(VLOOKUP($B37,MMWR_ACCURACY_RO[],MATCH(M$50,MMWR_ACCURACY_RO[#Headers],0),0),"ERROR"))</f>
        <v>9.7910430844567742E-3</v>
      </c>
      <c r="N37" s="252">
        <f>IF($B37=" ","",IFERROR(VLOOKUP($B37,MMWR_ACCURACY_RO[],MATCH(N$50,MMWR_ACCURACY_RO[#Headers],0),0),"ERROR"))</f>
        <v>0.96758764966882405</v>
      </c>
      <c r="O37" s="252">
        <f>IF($B37=" ","",IFERROR(VLOOKUP($B37,MMWR_ACCURACY_RO[],MATCH(O$50,MMWR_ACCURACY_RO[#Headers],0),0),"ERROR"))</f>
        <v>3.2715751039337063E-2</v>
      </c>
      <c r="P37" s="28"/>
    </row>
    <row r="38" spans="1:16" x14ac:dyDescent="0.2">
      <c r="A38" s="25"/>
      <c r="B38" s="13" t="s">
        <v>230</v>
      </c>
      <c r="C38" s="154">
        <f>IF($B38=" ","",IFERROR(INDEX(MMWR_RATING_RO_ROLLUP[],MATCH($B38,MMWR_RATING_RO_ROLLUP[MMWR_RATING_RO_ROLLUP],0),MATCH(C$9,MMWR_RATING_RO_ROLLUP[#Headers],0)),"ERROR"))</f>
        <v>534</v>
      </c>
      <c r="D38" s="155">
        <f>IF($B38=" ","",IFERROR(INDEX(MMWR_RATING_RO_ROLLUP[],MATCH($B38,MMWR_RATING_RO_ROLLUP[MMWR_RATING_RO_ROLLUP],0),MATCH(D$9,MMWR_RATING_RO_ROLLUP[#Headers],0)),"ERROR"))</f>
        <v>181.7228464419</v>
      </c>
      <c r="E38" s="156">
        <f>IF($B38=" ","",IFERROR(INDEX(MMWR_RATING_RO_ROLLUP[],MATCH($B38,MMWR_RATING_RO_ROLLUP[MMWR_RATING_RO_ROLLUP],0),MATCH(E$9,MMWR_RATING_RO_ROLLUP[#Headers],0))/$C38,"ERROR"))</f>
        <v>0.50374531835205993</v>
      </c>
      <c r="F38" s="154">
        <f>IF($B38=" ","",IFERROR(INDEX(MMWR_RATING_RO_ROLLUP[],MATCH($B38,MMWR_RATING_RO_ROLLUP[MMWR_RATING_RO_ROLLUP],0),MATCH(F$9,MMWR_RATING_RO_ROLLUP[#Headers],0)),"ERROR"))</f>
        <v>170</v>
      </c>
      <c r="G38" s="154">
        <f>IF($B38=" ","",IFERROR(INDEX(MMWR_RATING_RO_ROLLUP[],MATCH($B38,MMWR_RATING_RO_ROLLUP[MMWR_RATING_RO_ROLLUP],0),MATCH(G$9,MMWR_RATING_RO_ROLLUP[#Headers],0)),"ERROR"))</f>
        <v>522</v>
      </c>
      <c r="H38" s="155">
        <f>IF($B38=" ","",IFERROR(INDEX(MMWR_RATING_RO_ROLLUP[],MATCH($B38,MMWR_RATING_RO_ROLLUP[MMWR_RATING_RO_ROLLUP],0),MATCH(H$9,MMWR_RATING_RO_ROLLUP[#Headers],0)),"ERROR"))</f>
        <v>41.317647058799999</v>
      </c>
      <c r="I38" s="155">
        <f>IF($B38=" ","",IFERROR(INDEX(MMWR_RATING_RO_ROLLUP[],MATCH($B38,MMWR_RATING_RO_ROLLUP[MMWR_RATING_RO_ROLLUP],0),MATCH(I$9,MMWR_RATING_RO_ROLLUP[#Headers],0)),"ERROR"))</f>
        <v>38.729885057499999</v>
      </c>
      <c r="J38" s="42"/>
      <c r="K38" s="42"/>
      <c r="L38" s="42"/>
      <c r="M38" s="42"/>
      <c r="N38" s="42"/>
      <c r="O38" s="42"/>
      <c r="P38" s="28"/>
    </row>
    <row r="39" spans="1:16" x14ac:dyDescent="0.2">
      <c r="A39" s="25"/>
      <c r="B39" s="361" t="s">
        <v>923</v>
      </c>
      <c r="C39" s="362"/>
      <c r="D39" s="362"/>
      <c r="E39" s="362"/>
      <c r="F39" s="362"/>
      <c r="G39" s="362"/>
      <c r="H39" s="362"/>
      <c r="I39" s="362"/>
      <c r="J39" s="362"/>
      <c r="K39" s="362"/>
      <c r="L39" s="362"/>
      <c r="M39" s="362"/>
      <c r="N39" s="362"/>
      <c r="O39" s="362"/>
      <c r="P39" s="28"/>
    </row>
    <row r="40" spans="1:16" x14ac:dyDescent="0.2">
      <c r="A40" s="25"/>
      <c r="B40" s="44" t="s">
        <v>704</v>
      </c>
      <c r="C40" s="154">
        <f>IF($B40=" ","",IFERROR(INDEX(MMWR_RATING_RO_ROLLUP[],MATCH($B40,MMWR_RATING_RO_ROLLUP[MMWR_RATING_RO_ROLLUP],0),MATCH(C$9,MMWR_RATING_RO_ROLLUP[#Headers],0)),"ERROR"))</f>
        <v>10558</v>
      </c>
      <c r="D40" s="155">
        <f>IF($B40=" ","",IFERROR(INDEX(MMWR_RATING_RO_ROLLUP[],MATCH($B40,MMWR_RATING_RO_ROLLUP[MMWR_RATING_RO_ROLLUP],0),MATCH(D$9,MMWR_RATING_RO_ROLLUP[#Headers],0)),"ERROR"))</f>
        <v>75.202121613900005</v>
      </c>
      <c r="E40" s="156">
        <f>IF($B40=" ","",IFERROR(INDEX(MMWR_RATING_RO_ROLLUP[],MATCH($B40,MMWR_RATING_RO_ROLLUP[MMWR_RATING_RO_ROLLUP],0),MATCH(E$9,MMWR_RATING_RO_ROLLUP[#Headers],0))/$C40,"ERROR"))</f>
        <v>0.15476415987876491</v>
      </c>
      <c r="F40" s="154">
        <f>IF($B40=" ","",IFERROR(INDEX(MMWR_RATING_RO_ROLLUP[],MATCH($B40,MMWR_RATING_RO_ROLLUP[MMWR_RATING_RO_ROLLUP],0),MATCH(F$9,MMWR_RATING_RO_ROLLUP[#Headers],0)),"ERROR"))</f>
        <v>749</v>
      </c>
      <c r="G40" s="154">
        <f>IF($B40=" ","",IFERROR(INDEX(MMWR_RATING_RO_ROLLUP[],MATCH($B40,MMWR_RATING_RO_ROLLUP[MMWR_RATING_RO_ROLLUP],0),MATCH(G$9,MMWR_RATING_RO_ROLLUP[#Headers],0)),"ERROR"))</f>
        <v>2147</v>
      </c>
      <c r="H40" s="155">
        <f>IF($B40=" ","",IFERROR(INDEX(MMWR_RATING_RO_ROLLUP[],MATCH($B40,MMWR_RATING_RO_ROLLUP[MMWR_RATING_RO_ROLLUP],0),MATCH(H$9,MMWR_RATING_RO_ROLLUP[#Headers],0)),"ERROR"))</f>
        <v>137.7543391188</v>
      </c>
      <c r="I40" s="155">
        <f>IF($B40=" ","",IFERROR(INDEX(MMWR_RATING_RO_ROLLUP[],MATCH($B40,MMWR_RATING_RO_ROLLUP[MMWR_RATING_RO_ROLLUP],0),MATCH(I$9,MMWR_RATING_RO_ROLLUP[#Headers],0)),"ERROR"))</f>
        <v>134.65533302279999</v>
      </c>
      <c r="J40" s="42"/>
      <c r="K40" s="42"/>
      <c r="L40" s="42"/>
      <c r="M40" s="42"/>
      <c r="N40" s="42"/>
      <c r="O40" s="42"/>
      <c r="P40" s="28"/>
    </row>
    <row r="41" spans="1:16" x14ac:dyDescent="0.2">
      <c r="A41" s="25"/>
      <c r="B41" s="45" t="s">
        <v>963</v>
      </c>
      <c r="C41" s="154">
        <f>IF($B41=" ","",IFERROR(INDEX(MMWR_RATING_RO_ROLLUP[],MATCH($B41,MMWR_RATING_RO_ROLLUP[MMWR_RATING_RO_ROLLUP],0),MATCH(C$9,MMWR_RATING_RO_ROLLUP[#Headers],0)),"ERROR"))</f>
        <v>4606</v>
      </c>
      <c r="D41" s="155">
        <f>IF($B41=" ","",IFERROR(INDEX(MMWR_RATING_RO_ROLLUP[],MATCH($B41,MMWR_RATING_RO_ROLLUP[MMWR_RATING_RO_ROLLUP],0),MATCH(D$9,MMWR_RATING_RO_ROLLUP[#Headers],0)),"ERROR"))</f>
        <v>69.357794181499997</v>
      </c>
      <c r="E41" s="156">
        <f>IF($B41=" ","",IFERROR(INDEX(MMWR_RATING_RO_ROLLUP[],MATCH($B41,MMWR_RATING_RO_ROLLUP[MMWR_RATING_RO_ROLLUP],0),MATCH(E$9,MMWR_RATING_RO_ROLLUP[#Headers],0))/$C41,"ERROR"))</f>
        <v>0.10290924880590534</v>
      </c>
      <c r="F41" s="154">
        <f>IF($B41=" ","",IFERROR(INDEX(MMWR_RATING_RO_ROLLUP[],MATCH($B41,MMWR_RATING_RO_ROLLUP[MMWR_RATING_RO_ROLLUP],0),MATCH(F$9,MMWR_RATING_RO_ROLLUP[#Headers],0)),"ERROR"))</f>
        <v>346</v>
      </c>
      <c r="G41" s="154">
        <f>IF($B41=" ","",IFERROR(INDEX(MMWR_RATING_RO_ROLLUP[],MATCH($B41,MMWR_RATING_RO_ROLLUP[MMWR_RATING_RO_ROLLUP],0),MATCH(G$9,MMWR_RATING_RO_ROLLUP[#Headers],0)),"ERROR"))</f>
        <v>1114</v>
      </c>
      <c r="H41" s="155">
        <f>IF($B41=" ","",IFERROR(INDEX(MMWR_RATING_RO_ROLLUP[],MATCH($B41,MMWR_RATING_RO_ROLLUP[MMWR_RATING_RO_ROLLUP],0),MATCH(H$9,MMWR_RATING_RO_ROLLUP[#Headers],0)),"ERROR"))</f>
        <v>125.7601156069</v>
      </c>
      <c r="I41" s="155">
        <f>IF($B41=" ","",IFERROR(INDEX(MMWR_RATING_RO_ROLLUP[],MATCH($B41,MMWR_RATING_RO_ROLLUP[MMWR_RATING_RO_ROLLUP],0),MATCH(I$9,MMWR_RATING_RO_ROLLUP[#Headers],0)),"ERROR"))</f>
        <v>118.2091561939</v>
      </c>
      <c r="J41" s="42"/>
      <c r="K41" s="42"/>
      <c r="L41" s="42"/>
      <c r="M41" s="42"/>
      <c r="N41" s="42"/>
      <c r="O41" s="42"/>
      <c r="P41" s="28"/>
    </row>
    <row r="42" spans="1:16" x14ac:dyDescent="0.2">
      <c r="A42" s="25"/>
      <c r="B42" s="45" t="s">
        <v>964</v>
      </c>
      <c r="C42" s="154">
        <f>IF($B42=" ","",IFERROR(INDEX(MMWR_RATING_RO_ROLLUP[],MATCH($B42,MMWR_RATING_RO_ROLLUP[MMWR_RATING_RO_ROLLUP],0),MATCH(C$9,MMWR_RATING_RO_ROLLUP[#Headers],0)),"ERROR"))</f>
        <v>5416</v>
      </c>
      <c r="D42" s="155">
        <f>IF($B42=" ","",IFERROR(INDEX(MMWR_RATING_RO_ROLLUP[],MATCH($B42,MMWR_RATING_RO_ROLLUP[MMWR_RATING_RO_ROLLUP],0),MATCH(D$9,MMWR_RATING_RO_ROLLUP[#Headers],0)),"ERROR"))</f>
        <v>81.499815361900005</v>
      </c>
      <c r="E42" s="156">
        <f>IF($B42=" ","",IFERROR(INDEX(MMWR_RATING_RO_ROLLUP[],MATCH($B42,MMWR_RATING_RO_ROLLUP[MMWR_RATING_RO_ROLLUP],0),MATCH(E$9,MMWR_RATING_RO_ROLLUP[#Headers],0))/$C42,"ERROR"))</f>
        <v>0.20125553914327918</v>
      </c>
      <c r="F42" s="154">
        <f>IF($B42=" ","",IFERROR(INDEX(MMWR_RATING_RO_ROLLUP[],MATCH($B42,MMWR_RATING_RO_ROLLUP[MMWR_RATING_RO_ROLLUP],0),MATCH(F$9,MMWR_RATING_RO_ROLLUP[#Headers],0)),"ERROR"))</f>
        <v>377</v>
      </c>
      <c r="G42" s="154">
        <f>IF($B42=" ","",IFERROR(INDEX(MMWR_RATING_RO_ROLLUP[],MATCH($B42,MMWR_RATING_RO_ROLLUP[MMWR_RATING_RO_ROLLUP],0),MATCH(G$9,MMWR_RATING_RO_ROLLUP[#Headers],0)),"ERROR"))</f>
        <v>974</v>
      </c>
      <c r="H42" s="155">
        <f>IF($B42=" ","",IFERROR(INDEX(MMWR_RATING_RO_ROLLUP[],MATCH($B42,MMWR_RATING_RO_ROLLUP[MMWR_RATING_RO_ROLLUP],0),MATCH(H$9,MMWR_RATING_RO_ROLLUP[#Headers],0)),"ERROR"))</f>
        <v>151.0265251989</v>
      </c>
      <c r="I42" s="155">
        <f>IF($B42=" ","",IFERROR(INDEX(MMWR_RATING_RO_ROLLUP[],MATCH($B42,MMWR_RATING_RO_ROLLUP[MMWR_RATING_RO_ROLLUP],0),MATCH(I$9,MMWR_RATING_RO_ROLLUP[#Headers],0)),"ERROR"))</f>
        <v>155.09240246409999</v>
      </c>
      <c r="J42" s="42"/>
      <c r="K42" s="42"/>
      <c r="L42" s="42"/>
      <c r="M42" s="42"/>
      <c r="N42" s="42"/>
      <c r="O42" s="42"/>
      <c r="P42" s="28"/>
    </row>
    <row r="43" spans="1:16" x14ac:dyDescent="0.2">
      <c r="A43" s="25"/>
      <c r="B43" s="46" t="s">
        <v>313</v>
      </c>
      <c r="C43" s="154">
        <f>IF($B43=" ","",IFERROR(INDEX(MMWR_RATING_RO_ROLLUP[],MATCH($B43,MMWR_RATING_RO_ROLLUP[MMWR_RATING_RO_ROLLUP],0),MATCH(C$9,MMWR_RATING_RO_ROLLUP[#Headers],0)),"ERROR"))</f>
        <v>536</v>
      </c>
      <c r="D43" s="155">
        <f>IF($B43=" ","",IFERROR(INDEX(MMWR_RATING_RO_ROLLUP[],MATCH($B43,MMWR_RATING_RO_ROLLUP[MMWR_RATING_RO_ROLLUP],0),MATCH(D$9,MMWR_RATING_RO_ROLLUP[#Headers],0)),"ERROR"))</f>
        <v>61.789179104500001</v>
      </c>
      <c r="E43" s="156">
        <f>IF($B43=" ","",IFERROR(INDEX(MMWR_RATING_RO_ROLLUP[],MATCH($B43,MMWR_RATING_RO_ROLLUP[MMWR_RATING_RO_ROLLUP],0),MATCH(E$9,MMWR_RATING_RO_ROLLUP[#Headers],0))/$C43,"ERROR"))</f>
        <v>0.13059701492537312</v>
      </c>
      <c r="F43" s="154">
        <f>IF($B43=" ","",IFERROR(INDEX(MMWR_RATING_RO_ROLLUP[],MATCH($B43,MMWR_RATING_RO_ROLLUP[MMWR_RATING_RO_ROLLUP],0),MATCH(F$9,MMWR_RATING_RO_ROLLUP[#Headers],0)),"ERROR"))</f>
        <v>26</v>
      </c>
      <c r="G43" s="154">
        <f>IF($B43=" ","",IFERROR(INDEX(MMWR_RATING_RO_ROLLUP[],MATCH($B43,MMWR_RATING_RO_ROLLUP[MMWR_RATING_RO_ROLLUP],0),MATCH(G$9,MMWR_RATING_RO_ROLLUP[#Headers],0)),"ERROR"))</f>
        <v>59</v>
      </c>
      <c r="H43" s="155">
        <f>IF($B43=" ","",IFERROR(INDEX(MMWR_RATING_RO_ROLLUP[],MATCH($B43,MMWR_RATING_RO_ROLLUP[MMWR_RATING_RO_ROLLUP],0),MATCH(H$9,MMWR_RATING_RO_ROLLUP[#Headers],0)),"ERROR"))</f>
        <v>104.9230769231</v>
      </c>
      <c r="I43" s="155">
        <f>IF($B43=" ","",IFERROR(INDEX(MMWR_RATING_RO_ROLLUP[],MATCH($B43,MMWR_RATING_RO_ROLLUP[MMWR_RATING_RO_ROLLUP],0),MATCH(I$9,MMWR_RATING_RO_ROLLUP[#Headers],0)),"ERROR"))</f>
        <v>107.7966101695</v>
      </c>
      <c r="J43" s="42"/>
      <c r="K43" s="42"/>
      <c r="L43" s="42"/>
      <c r="M43" s="42"/>
      <c r="N43" s="42"/>
      <c r="O43" s="42"/>
      <c r="P43" s="28"/>
    </row>
    <row r="44" spans="1:16" x14ac:dyDescent="0.2">
      <c r="A44" s="25"/>
      <c r="B44" s="361" t="s">
        <v>741</v>
      </c>
      <c r="C44" s="362"/>
      <c r="D44" s="362"/>
      <c r="E44" s="362"/>
      <c r="F44" s="362"/>
      <c r="G44" s="362"/>
      <c r="H44" s="362"/>
      <c r="I44" s="362"/>
      <c r="J44" s="362"/>
      <c r="K44" s="362"/>
      <c r="L44" s="362"/>
      <c r="M44" s="362"/>
      <c r="N44" s="362"/>
      <c r="O44" s="362"/>
      <c r="P44" s="28"/>
    </row>
    <row r="45" spans="1:16" x14ac:dyDescent="0.2">
      <c r="A45" s="25"/>
      <c r="B45" s="44" t="s">
        <v>702</v>
      </c>
      <c r="C45" s="154">
        <f>IF($B45=" ","",IFERROR(INDEX(MMWR_RATING_RO_ROLLUP[],MATCH($B45,MMWR_RATING_RO_ROLLUP[MMWR_RATING_RO_ROLLUP],0),MATCH(C$9,MMWR_RATING_RO_ROLLUP[#Headers],0)),"ERROR"))</f>
        <v>11811</v>
      </c>
      <c r="D45" s="155">
        <f>IF($B45=" ","",IFERROR(INDEX(MMWR_RATING_RO_ROLLUP[],MATCH($B45,MMWR_RATING_RO_ROLLUP[MMWR_RATING_RO_ROLLUP],0),MATCH(D$9,MMWR_RATING_RO_ROLLUP[#Headers],0)),"ERROR"))</f>
        <v>75.277876555800006</v>
      </c>
      <c r="E45" s="156">
        <f>IF($B45=" ","",IFERROR(INDEX(MMWR_RATING_RO_ROLLUP[],MATCH($B45,MMWR_RATING_RO_ROLLUP[MMWR_RATING_RO_ROLLUP],0),MATCH(E$9,MMWR_RATING_RO_ROLLUP[#Headers],0))/$C45,"ERROR"))</f>
        <v>0.1565489797646262</v>
      </c>
      <c r="F45" s="154">
        <f>IF($B45=" ","",IFERROR(INDEX(MMWR_RATING_RO_ROLLUP[],MATCH($B45,MMWR_RATING_RO_ROLLUP[MMWR_RATING_RO_ROLLUP],0),MATCH(F$9,MMWR_RATING_RO_ROLLUP[#Headers],0)),"ERROR"))</f>
        <v>952</v>
      </c>
      <c r="G45" s="154">
        <f>IF($B45=" ","",IFERROR(INDEX(MMWR_RATING_RO_ROLLUP[],MATCH($B45,MMWR_RATING_RO_ROLLUP[MMWR_RATING_RO_ROLLUP],0),MATCH(G$9,MMWR_RATING_RO_ROLLUP[#Headers],0)),"ERROR"))</f>
        <v>2528</v>
      </c>
      <c r="H45" s="155">
        <f>IF($B45=" ","",IFERROR(INDEX(MMWR_RATING_RO_ROLLUP[],MATCH($B45,MMWR_RATING_RO_ROLLUP[MMWR_RATING_RO_ROLLUP],0),MATCH(H$9,MMWR_RATING_RO_ROLLUP[#Headers],0)),"ERROR"))</f>
        <v>128.09663865549999</v>
      </c>
      <c r="I45" s="155">
        <f>IF($B45=" ","",IFERROR(INDEX(MMWR_RATING_RO_ROLLUP[],MATCH($B45,MMWR_RATING_RO_ROLLUP[MMWR_RATING_RO_ROLLUP],0),MATCH(I$9,MMWR_RATING_RO_ROLLUP[#Headers],0)),"ERROR"))</f>
        <v>128.66455696200001</v>
      </c>
      <c r="J45" s="42"/>
      <c r="K45" s="42"/>
      <c r="L45" s="42"/>
      <c r="M45" s="42"/>
      <c r="N45" s="42"/>
      <c r="O45" s="42"/>
      <c r="P45" s="28"/>
    </row>
    <row r="46" spans="1:16" x14ac:dyDescent="0.2">
      <c r="A46" s="25"/>
      <c r="B46" s="45" t="s">
        <v>217</v>
      </c>
      <c r="C46" s="154">
        <f>IF($B46=" ","",IFERROR(INDEX(MMWR_RATING_RO_ROLLUP[],MATCH($B46,MMWR_RATING_RO_ROLLUP[MMWR_RATING_RO_ROLLUP],0),MATCH(C$9,MMWR_RATING_RO_ROLLUP[#Headers],0)),"ERROR"))</f>
        <v>4299</v>
      </c>
      <c r="D46" s="155">
        <f>IF($B46=" ","",IFERROR(INDEX(MMWR_RATING_RO_ROLLUP[],MATCH($B46,MMWR_RATING_RO_ROLLUP[MMWR_RATING_RO_ROLLUP],0),MATCH(D$9,MMWR_RATING_RO_ROLLUP[#Headers],0)),"ERROR"))</f>
        <v>66.861363107700001</v>
      </c>
      <c r="E46" s="156">
        <f>IF($B46=" ","",IFERROR(INDEX(MMWR_RATING_RO_ROLLUP[],MATCH($B46,MMWR_RATING_RO_ROLLUP[MMWR_RATING_RO_ROLLUP],0),MATCH(E$9,MMWR_RATING_RO_ROLLUP[#Headers],0))/$C46,"ERROR"))</f>
        <v>7.769248662479647E-2</v>
      </c>
      <c r="F46" s="154">
        <f>IF($B46=" ","",IFERROR(INDEX(MMWR_RATING_RO_ROLLUP[],MATCH($B46,MMWR_RATING_RO_ROLLUP[MMWR_RATING_RO_ROLLUP],0),MATCH(F$9,MMWR_RATING_RO_ROLLUP[#Headers],0)),"ERROR"))</f>
        <v>431</v>
      </c>
      <c r="G46" s="154">
        <f>IF($B46=" ","",IFERROR(INDEX(MMWR_RATING_RO_ROLLUP[],MATCH($B46,MMWR_RATING_RO_ROLLUP[MMWR_RATING_RO_ROLLUP],0),MATCH(G$9,MMWR_RATING_RO_ROLLUP[#Headers],0)),"ERROR"))</f>
        <v>1183</v>
      </c>
      <c r="H46" s="155">
        <f>IF($B46=" ","",IFERROR(INDEX(MMWR_RATING_RO_ROLLUP[],MATCH($B46,MMWR_RATING_RO_ROLLUP[MMWR_RATING_RO_ROLLUP],0),MATCH(H$9,MMWR_RATING_RO_ROLLUP[#Headers],0)),"ERROR"))</f>
        <v>113.5707656613</v>
      </c>
      <c r="I46" s="155">
        <f>IF($B46=" ","",IFERROR(INDEX(MMWR_RATING_RO_ROLLUP[],MATCH($B46,MMWR_RATING_RO_ROLLUP[MMWR_RATING_RO_ROLLUP],0),MATCH(I$9,MMWR_RATING_RO_ROLLUP[#Headers],0)),"ERROR"))</f>
        <v>115.100591716</v>
      </c>
      <c r="J46" s="42"/>
      <c r="K46" s="42"/>
      <c r="L46" s="42"/>
      <c r="M46" s="42"/>
      <c r="N46" s="42"/>
      <c r="O46" s="42"/>
      <c r="P46" s="28"/>
    </row>
    <row r="47" spans="1:16" x14ac:dyDescent="0.2">
      <c r="A47" s="25"/>
      <c r="B47" s="45" t="s">
        <v>219</v>
      </c>
      <c r="C47" s="154">
        <f>IF($B47=" ","",IFERROR(INDEX(MMWR_RATING_RO_ROLLUP[],MATCH($B47,MMWR_RATING_RO_ROLLUP[MMWR_RATING_RO_ROLLUP],0),MATCH(C$9,MMWR_RATING_RO_ROLLUP[#Headers],0)),"ERROR"))</f>
        <v>6857</v>
      </c>
      <c r="D47" s="155">
        <f>IF($B47=" ","",IFERROR(INDEX(MMWR_RATING_RO_ROLLUP[],MATCH($B47,MMWR_RATING_RO_ROLLUP[MMWR_RATING_RO_ROLLUP],0),MATCH(D$9,MMWR_RATING_RO_ROLLUP[#Headers],0)),"ERROR"))</f>
        <v>81.361382528799993</v>
      </c>
      <c r="E47" s="156">
        <f>IF($B47=" ","",IFERROR(INDEX(MMWR_RATING_RO_ROLLUP[],MATCH($B47,MMWR_RATING_RO_ROLLUP[MMWR_RATING_RO_ROLLUP],0),MATCH(E$9,MMWR_RATING_RO_ROLLUP[#Headers],0))/$C47,"ERROR"))</f>
        <v>0.20781682951728161</v>
      </c>
      <c r="F47" s="154">
        <f>IF($B47=" ","",IFERROR(INDEX(MMWR_RATING_RO_ROLLUP[],MATCH($B47,MMWR_RATING_RO_ROLLUP[MMWR_RATING_RO_ROLLUP],0),MATCH(F$9,MMWR_RATING_RO_ROLLUP[#Headers],0)),"ERROR"))</f>
        <v>456</v>
      </c>
      <c r="G47" s="154">
        <f>IF($B47=" ","",IFERROR(INDEX(MMWR_RATING_RO_ROLLUP[],MATCH($B47,MMWR_RATING_RO_ROLLUP[MMWR_RATING_RO_ROLLUP],0),MATCH(G$9,MMWR_RATING_RO_ROLLUP[#Headers],0)),"ERROR"))</f>
        <v>1160</v>
      </c>
      <c r="H47" s="155">
        <f>IF($B47=" ","",IFERROR(INDEX(MMWR_RATING_RO_ROLLUP[],MATCH($B47,MMWR_RATING_RO_ROLLUP[MMWR_RATING_RO_ROLLUP],0),MATCH(H$9,MMWR_RATING_RO_ROLLUP[#Headers],0)),"ERROR"))</f>
        <v>144.09210526320001</v>
      </c>
      <c r="I47" s="155">
        <f>IF($B47=" ","",IFERROR(INDEX(MMWR_RATING_RO_ROLLUP[],MATCH($B47,MMWR_RATING_RO_ROLLUP[MMWR_RATING_RO_ROLLUP],0),MATCH(I$9,MMWR_RATING_RO_ROLLUP[#Headers],0)),"ERROR"))</f>
        <v>148.5620689655</v>
      </c>
      <c r="J47" s="42"/>
      <c r="K47" s="42"/>
      <c r="L47" s="42"/>
      <c r="M47" s="42"/>
      <c r="N47" s="42"/>
      <c r="O47" s="42"/>
      <c r="P47" s="28"/>
    </row>
    <row r="48" spans="1:16" x14ac:dyDescent="0.2">
      <c r="A48" s="25"/>
      <c r="B48" s="47" t="s">
        <v>314</v>
      </c>
      <c r="C48" s="154">
        <f>IF($B48=" ","",IFERROR(INDEX(MMWR_RATING_RO_ROLLUP[],MATCH($B48,MMWR_RATING_RO_ROLLUP[MMWR_RATING_RO_ROLLUP],0),MATCH(C$9,MMWR_RATING_RO_ROLLUP[#Headers],0)),"ERROR"))</f>
        <v>655</v>
      </c>
      <c r="D48" s="155">
        <f>IF($B48=" ","",IFERROR(INDEX(MMWR_RATING_RO_ROLLUP[],MATCH($B48,MMWR_RATING_RO_ROLLUP[MMWR_RATING_RO_ROLLUP],0),MATCH(D$9,MMWR_RATING_RO_ROLLUP[#Headers],0)),"ERROR"))</f>
        <v>66.8320610687</v>
      </c>
      <c r="E48" s="156">
        <f>IF($B48=" ","",IFERROR(INDEX(MMWR_RATING_RO_ROLLUP[],MATCH($B48,MMWR_RATING_RO_ROLLUP[MMWR_RATING_RO_ROLLUP],0),MATCH(E$9,MMWR_RATING_RO_ROLLUP[#Headers],0))/$C48,"ERROR"))</f>
        <v>0.13740458015267176</v>
      </c>
      <c r="F48" s="154">
        <f>IF($B48=" ","",IFERROR(INDEX(MMWR_RATING_RO_ROLLUP[],MATCH($B48,MMWR_RATING_RO_ROLLUP[MMWR_RATING_RO_ROLLUP],0),MATCH(F$9,MMWR_RATING_RO_ROLLUP[#Headers],0)),"ERROR"))</f>
        <v>65</v>
      </c>
      <c r="G48" s="154">
        <f>IF($B48=" ","",IFERROR(INDEX(MMWR_RATING_RO_ROLLUP[],MATCH($B48,MMWR_RATING_RO_ROLLUP[MMWR_RATING_RO_ROLLUP],0),MATCH(G$9,MMWR_RATING_RO_ROLLUP[#Headers],0)),"ERROR"))</f>
        <v>185</v>
      </c>
      <c r="H48" s="155">
        <f>IF($B48=" ","",IFERROR(INDEX(MMWR_RATING_RO_ROLLUP[],MATCH($B48,MMWR_RATING_RO_ROLLUP[MMWR_RATING_RO_ROLLUP],0),MATCH(H$9,MMWR_RATING_RO_ROLLUP[#Headers],0)),"ERROR"))</f>
        <v>112.2</v>
      </c>
      <c r="I48" s="155">
        <f>IF($B48=" ","",IFERROR(INDEX(MMWR_RATING_RO_ROLLUP[],MATCH($B48,MMWR_RATING_RO_ROLLUP[MMWR_RATING_RO_ROLLUP],0),MATCH(I$9,MMWR_RATING_RO_ROLLUP[#Headers],0)),"ERROR"))</f>
        <v>90.637837837800006</v>
      </c>
      <c r="J48" s="42"/>
      <c r="K48" s="42"/>
      <c r="L48" s="42"/>
      <c r="M48" s="42"/>
      <c r="N48" s="42"/>
      <c r="O48" s="42"/>
      <c r="P48" s="28"/>
    </row>
    <row r="49" spans="1:16" ht="15.75" x14ac:dyDescent="0.25">
      <c r="A49" s="25"/>
      <c r="B49" s="360" t="s">
        <v>1058</v>
      </c>
      <c r="C49" s="360"/>
      <c r="D49" s="360"/>
      <c r="E49" s="360"/>
      <c r="F49" s="360"/>
      <c r="G49" s="360"/>
      <c r="H49" s="360"/>
      <c r="I49" s="360"/>
      <c r="J49" s="360"/>
      <c r="K49" s="360"/>
      <c r="L49" s="360"/>
      <c r="M49" s="360"/>
      <c r="N49" s="360"/>
      <c r="O49" s="262"/>
      <c r="P49" s="28"/>
    </row>
    <row r="50" spans="1:16" ht="12" customHeight="1" x14ac:dyDescent="0.2">
      <c r="A50" s="25"/>
      <c r="B50" s="26"/>
      <c r="C50" s="26"/>
      <c r="D50" s="26"/>
      <c r="E50" s="26"/>
      <c r="F50" s="26"/>
      <c r="G50" s="26"/>
      <c r="H50" s="26"/>
      <c r="I50" s="26"/>
      <c r="J50" s="26"/>
      <c r="K50" s="27" t="s">
        <v>929</v>
      </c>
      <c r="L50" s="27" t="s">
        <v>934</v>
      </c>
      <c r="M50" s="27" t="s">
        <v>935</v>
      </c>
      <c r="N50" s="27" t="s">
        <v>936</v>
      </c>
      <c r="O50" s="27" t="s">
        <v>937</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33" t="s">
        <v>300</v>
      </c>
      <c r="D2" s="334"/>
      <c r="E2" s="334"/>
      <c r="F2" s="334"/>
      <c r="G2" s="334"/>
      <c r="H2" s="334"/>
      <c r="I2" s="334"/>
      <c r="J2" s="333" t="s">
        <v>306</v>
      </c>
      <c r="K2" s="334"/>
      <c r="L2" s="334"/>
      <c r="M2" s="335"/>
      <c r="N2" s="28"/>
    </row>
    <row r="3" spans="1:16" ht="24" customHeight="1" thickBot="1" x14ac:dyDescent="0.4">
      <c r="A3" s="25"/>
      <c r="B3" s="29"/>
      <c r="C3" s="336"/>
      <c r="D3" s="337"/>
      <c r="E3" s="337"/>
      <c r="F3" s="337"/>
      <c r="G3" s="337"/>
      <c r="H3" s="337"/>
      <c r="I3" s="337"/>
      <c r="J3" s="336" t="str">
        <f>Transformation!B4</f>
        <v>As of: November 14, 2015</v>
      </c>
      <c r="K3" s="337"/>
      <c r="L3" s="337"/>
      <c r="M3" s="338"/>
      <c r="N3" s="28"/>
    </row>
    <row r="4" spans="1:16" ht="51" customHeight="1" thickBot="1" x14ac:dyDescent="0.35">
      <c r="A4" s="30"/>
      <c r="B4" s="247" t="s">
        <v>462</v>
      </c>
      <c r="C4" s="339" t="s">
        <v>977</v>
      </c>
      <c r="D4" s="340"/>
      <c r="E4" s="340"/>
      <c r="F4" s="340"/>
      <c r="G4" s="340"/>
      <c r="H4" s="340"/>
      <c r="I4" s="340"/>
      <c r="J4" s="340"/>
      <c r="K4" s="340"/>
      <c r="L4" s="340"/>
      <c r="M4" s="341"/>
      <c r="N4" s="28"/>
      <c r="O4" s="22"/>
      <c r="P4" s="23"/>
    </row>
    <row r="5" spans="1:16" ht="27" customHeight="1" thickBot="1" x14ac:dyDescent="0.25">
      <c r="A5" s="30"/>
      <c r="B5" s="48"/>
      <c r="C5" s="342" t="s">
        <v>1049</v>
      </c>
      <c r="D5" s="343"/>
      <c r="E5" s="343"/>
      <c r="F5" s="343"/>
      <c r="G5" s="343"/>
      <c r="H5" s="343"/>
      <c r="I5" s="343"/>
      <c r="J5" s="343"/>
      <c r="K5" s="343"/>
      <c r="L5" s="343"/>
      <c r="M5" s="343"/>
      <c r="N5" s="343"/>
      <c r="O5" s="344"/>
    </row>
    <row r="6" spans="1:16" ht="55.5" customHeight="1" x14ac:dyDescent="0.2">
      <c r="A6" s="30"/>
      <c r="B6" s="31"/>
      <c r="C6" s="32" t="s">
        <v>196</v>
      </c>
      <c r="D6" s="345" t="s">
        <v>16</v>
      </c>
      <c r="E6" s="346"/>
      <c r="F6" s="33" t="s">
        <v>199</v>
      </c>
      <c r="G6" s="345" t="s">
        <v>204</v>
      </c>
      <c r="H6" s="347"/>
      <c r="I6" s="33" t="s">
        <v>202</v>
      </c>
      <c r="J6" s="49" t="s">
        <v>14</v>
      </c>
      <c r="K6" s="33" t="s">
        <v>207</v>
      </c>
      <c r="L6" s="351" t="s">
        <v>88</v>
      </c>
      <c r="M6" s="379"/>
      <c r="N6" s="28"/>
    </row>
    <row r="7" spans="1:16" ht="51.75" customHeight="1" x14ac:dyDescent="0.2">
      <c r="A7" s="30"/>
      <c r="B7" s="34"/>
      <c r="C7" s="35" t="s">
        <v>197</v>
      </c>
      <c r="D7" s="363" t="s">
        <v>0</v>
      </c>
      <c r="E7" s="364"/>
      <c r="F7" s="36" t="s">
        <v>200</v>
      </c>
      <c r="G7" s="365" t="s">
        <v>205</v>
      </c>
      <c r="H7" s="365"/>
      <c r="I7" s="36" t="s">
        <v>203</v>
      </c>
      <c r="J7" s="50" t="s">
        <v>19</v>
      </c>
      <c r="K7" s="36" t="s">
        <v>208</v>
      </c>
      <c r="L7" s="375" t="s">
        <v>90</v>
      </c>
      <c r="M7" s="376"/>
      <c r="N7" s="28"/>
    </row>
    <row r="8" spans="1:16" ht="51.75" customHeight="1" thickBot="1" x14ac:dyDescent="0.25">
      <c r="A8" s="25"/>
      <c r="B8" s="28"/>
      <c r="C8" s="37" t="s">
        <v>198</v>
      </c>
      <c r="D8" s="366" t="s">
        <v>18</v>
      </c>
      <c r="E8" s="367"/>
      <c r="F8" s="38" t="s">
        <v>201</v>
      </c>
      <c r="G8" s="368" t="s">
        <v>17</v>
      </c>
      <c r="H8" s="368"/>
      <c r="I8" s="38" t="s">
        <v>206</v>
      </c>
      <c r="J8" s="51" t="s">
        <v>87</v>
      </c>
      <c r="K8" s="38" t="s">
        <v>209</v>
      </c>
      <c r="L8" s="377" t="s">
        <v>89</v>
      </c>
      <c r="M8" s="378"/>
      <c r="N8" s="28"/>
    </row>
    <row r="9" spans="1:16" x14ac:dyDescent="0.2">
      <c r="A9" s="28"/>
      <c r="B9" s="28"/>
      <c r="C9" s="39" t="s">
        <v>706</v>
      </c>
      <c r="D9" s="39" t="s">
        <v>708</v>
      </c>
      <c r="E9" s="39" t="s">
        <v>707</v>
      </c>
      <c r="F9" s="39" t="s">
        <v>710</v>
      </c>
      <c r="G9" s="39" t="s">
        <v>709</v>
      </c>
      <c r="H9" s="39" t="s">
        <v>720</v>
      </c>
      <c r="I9" s="39" t="s">
        <v>719</v>
      </c>
      <c r="J9" s="39"/>
      <c r="K9" s="39"/>
      <c r="L9" s="39"/>
      <c r="M9" s="39"/>
      <c r="N9" s="28"/>
    </row>
    <row r="10" spans="1:16" ht="15.75" customHeight="1" x14ac:dyDescent="0.2">
      <c r="A10" s="25"/>
      <c r="B10" s="26"/>
      <c r="C10" s="369" t="s">
        <v>299</v>
      </c>
      <c r="D10" s="369"/>
      <c r="E10" s="369"/>
      <c r="F10" s="369"/>
      <c r="G10" s="369"/>
      <c r="H10" s="369"/>
      <c r="I10" s="369"/>
      <c r="J10" s="369"/>
      <c r="K10" s="369"/>
      <c r="L10" s="369"/>
      <c r="M10" s="370"/>
      <c r="N10" s="28"/>
    </row>
    <row r="11" spans="1:16" ht="64.5" customHeight="1" x14ac:dyDescent="0.2">
      <c r="A11" s="25"/>
      <c r="B11" s="26"/>
      <c r="C11" s="52" t="s">
        <v>232</v>
      </c>
      <c r="D11" s="52" t="s">
        <v>140</v>
      </c>
      <c r="E11" s="52" t="s">
        <v>233</v>
      </c>
      <c r="F11" s="52" t="s">
        <v>195</v>
      </c>
      <c r="G11" s="52" t="s">
        <v>210</v>
      </c>
      <c r="H11" s="52" t="s">
        <v>212</v>
      </c>
      <c r="I11" s="52" t="s">
        <v>213</v>
      </c>
      <c r="J11" s="372" t="s">
        <v>978</v>
      </c>
      <c r="K11" s="373"/>
      <c r="L11" s="373"/>
      <c r="M11" s="374"/>
      <c r="N11" s="28"/>
    </row>
    <row r="12" spans="1:16" x14ac:dyDescent="0.2">
      <c r="A12" s="25"/>
      <c r="B12" s="41" t="s">
        <v>736</v>
      </c>
      <c r="C12" s="154">
        <f>IF($B12=" ","",IFERROR(INDEX(MMWR_RATING_RO_ROLLUP[],MATCH($B12,MMWR_RATING_RO_ROLLUP[MMWR_RATING_RO_ROLLUP],0),MATCH(C$9,MMWR_RATING_RO_ROLLUP[#Headers],0)),"ERROR"))</f>
        <v>373198</v>
      </c>
      <c r="D12" s="155">
        <f>IF($B12=" ","",IFERROR(INDEX(MMWR_RATING_RO_ROLLUP[],MATCH($B12,MMWR_RATING_RO_ROLLUP[MMWR_RATING_RO_ROLLUP],0),MATCH(D$9,MMWR_RATING_RO_ROLLUP[#Headers],0)),"ERROR"))</f>
        <v>90.457783803799998</v>
      </c>
      <c r="E12" s="156">
        <f>IF($B12=" ","",IFERROR(INDEX(MMWR_RATING_RO_ROLLUP[],MATCH($B12,MMWR_RATING_RO_ROLLUP[MMWR_RATING_RO_ROLLUP],0),MATCH(E$9,MMWR_RATING_RO_ROLLUP[#Headers],0))/$C12,"ERROR"))</f>
        <v>0.20220633551090841</v>
      </c>
      <c r="F12" s="154">
        <f>IF($B12=" ","",IFERROR(INDEX(MMWR_RATING_RO_ROLLUP[],MATCH($B12,MMWR_RATING_RO_ROLLUP[MMWR_RATING_RO_ROLLUP],0),MATCH(F$9,MMWR_RATING_RO_ROLLUP[#Headers],0)),"ERROR"))</f>
        <v>48775</v>
      </c>
      <c r="G12" s="154">
        <f>IF($B12=" ","",IFERROR(INDEX(MMWR_RATING_RO_ROLLUP[],MATCH($B12,MMWR_RATING_RO_ROLLUP[MMWR_RATING_RO_ROLLUP],0),MATCH(G$9,MMWR_RATING_RO_ROLLUP[#Headers],0)),"ERROR"))</f>
        <v>149640</v>
      </c>
      <c r="H12" s="155">
        <f>IF($B12=" ","",IFERROR(INDEX(MMWR_RATING_RO_ROLLUP[],MATCH($B12,MMWR_RATING_RO_ROLLUP[MMWR_RATING_RO_ROLLUP],0),MATCH(H$9,MMWR_RATING_RO_ROLLUP[#Headers],0)),"ERROR"))</f>
        <v>127.22814966679999</v>
      </c>
      <c r="I12" s="155">
        <f>IF($B12=" ","",IFERROR(INDEX(MMWR_RATING_RO_ROLLUP[],MATCH($B12,MMWR_RATING_RO_ROLLUP[MMWR_RATING_RO_ROLLUP],0),MATCH(I$9,MMWR_RATING_RO_ROLLUP[#Headers],0)),"ERROR"))</f>
        <v>128.6788024592</v>
      </c>
      <c r="J12" s="42"/>
      <c r="K12" s="42"/>
      <c r="L12" s="42"/>
      <c r="M12" s="42"/>
      <c r="N12" s="28"/>
    </row>
    <row r="13" spans="1:16" x14ac:dyDescent="0.2">
      <c r="A13" s="25"/>
      <c r="B13" s="361" t="s">
        <v>739</v>
      </c>
      <c r="C13" s="362"/>
      <c r="D13" s="362"/>
      <c r="E13" s="362"/>
      <c r="F13" s="362"/>
      <c r="G13" s="362"/>
      <c r="H13" s="362"/>
      <c r="I13" s="362"/>
      <c r="J13" s="362"/>
      <c r="K13" s="362"/>
      <c r="L13" s="362"/>
      <c r="M13" s="371"/>
      <c r="N13" s="28"/>
    </row>
    <row r="14" spans="1:16" x14ac:dyDescent="0.2">
      <c r="A14" s="25"/>
      <c r="B14" s="41" t="s">
        <v>735</v>
      </c>
      <c r="C14" s="154">
        <f>IF($B14=" ","",IFERROR(INDEX(MMWR_RATING_RO_ROLLUP[],MATCH($B14,MMWR_RATING_RO_ROLLUP[MMWR_RATING_RO_ROLLUP],0),MATCH(C$9,MMWR_RATING_RO_ROLLUP[#Headers],0)),"ERROR"))</f>
        <v>326580</v>
      </c>
      <c r="D14" s="155">
        <f>IF($B14=" ","",IFERROR(INDEX(MMWR_RATING_RO_ROLLUP[],MATCH($B14,MMWR_RATING_RO_ROLLUP[MMWR_RATING_RO_ROLLUP],0),MATCH(D$9,MMWR_RATING_RO_ROLLUP[#Headers],0)),"ERROR"))</f>
        <v>93.4840314777</v>
      </c>
      <c r="E14" s="156">
        <f>IF($B14=" ","",IFERROR(INDEX(MMWR_RATING_RO_ROLLUP[],MATCH($B14,MMWR_RATING_RO_ROLLUP[MMWR_RATING_RO_ROLLUP],0),MATCH(E$9,MMWR_RATING_RO_ROLLUP[#Headers],0))/$C14,"ERROR"))</f>
        <v>0.21420172698879295</v>
      </c>
      <c r="F14" s="154">
        <f>IF($B14=" ","",IFERROR(INDEX(MMWR_RATING_RO_ROLLUP[],MATCH($B14,MMWR_RATING_RO_ROLLUP[MMWR_RATING_RO_ROLLUP],0),MATCH(F$9,MMWR_RATING_RO_ROLLUP[#Headers],0)),"ERROR"))</f>
        <v>41857</v>
      </c>
      <c r="G14" s="154">
        <f>IF($B14=" ","",IFERROR(INDEX(MMWR_RATING_RO_ROLLUP[],MATCH($B14,MMWR_RATING_RO_ROLLUP[MMWR_RATING_RO_ROLLUP],0),MATCH(G$9,MMWR_RATING_RO_ROLLUP[#Headers],0)),"ERROR"))</f>
        <v>127882</v>
      </c>
      <c r="H14" s="155">
        <f>IF($B14=" ","",IFERROR(INDEX(MMWR_RATING_RO_ROLLUP[],MATCH($B14,MMWR_RATING_RO_ROLLUP[MMWR_RATING_RO_ROLLUP],0),MATCH(H$9,MMWR_RATING_RO_ROLLUP[#Headers],0)),"ERROR"))</f>
        <v>134.29925699410001</v>
      </c>
      <c r="I14" s="155">
        <f>IF($B14=" ","",IFERROR(INDEX(MMWR_RATING_RO_ROLLUP[],MATCH($B14,MMWR_RATING_RO_ROLLUP[MMWR_RATING_RO_ROLLUP],0),MATCH(I$9,MMWR_RATING_RO_ROLLUP[#Headers],0)),"ERROR"))</f>
        <v>136.64869958240001</v>
      </c>
      <c r="J14" s="42"/>
      <c r="K14" s="42"/>
      <c r="L14" s="42"/>
      <c r="M14" s="42"/>
      <c r="N14" s="28"/>
    </row>
    <row r="15" spans="1:16" x14ac:dyDescent="0.2">
      <c r="A15" s="25"/>
      <c r="B15" s="248" t="s">
        <v>376</v>
      </c>
      <c r="C15" s="154">
        <f>IF($B15=" ","",IFERROR(INDEX(MMWR_RATING_RO_ROLLUP[],MATCH($B15,MMWR_RATING_RO_ROLLUP[MMWR_RATING_RO_ROLLUP],0),MATCH(C$9,MMWR_RATING_RO_ROLLUP[#Headers],0)),"ERROR"))</f>
        <v>73282</v>
      </c>
      <c r="D15" s="155">
        <f>IF($B15=" ","",IFERROR(INDEX(MMWR_RATING_RO_ROLLUP[],MATCH($B15,MMWR_RATING_RO_ROLLUP[MMWR_RATING_RO_ROLLUP],0),MATCH(D$9,MMWR_RATING_RO_ROLLUP[#Headers],0)),"ERROR"))</f>
        <v>95.381225949099999</v>
      </c>
      <c r="E15" s="156">
        <f>IF($B15=" ","",IFERROR(INDEX(MMWR_RATING_RO_ROLLUP[],MATCH($B15,MMWR_RATING_RO_ROLLUP[MMWR_RATING_RO_ROLLUP],0),MATCH(E$9,MMWR_RATING_RO_ROLLUP[#Headers],0))/$C15,"ERROR"))</f>
        <v>0.22287874239240196</v>
      </c>
      <c r="F15" s="154">
        <f>IF($B15=" ","",IFERROR(INDEX(MMWR_RATING_RO_ROLLUP[],MATCH($B15,MMWR_RATING_RO_ROLLUP[MMWR_RATING_RO_ROLLUP],0),MATCH(F$9,MMWR_RATING_RO_ROLLUP[#Headers],0)),"ERROR"))</f>
        <v>9071</v>
      </c>
      <c r="G15" s="154">
        <f>IF($B15=" ","",IFERROR(INDEX(MMWR_RATING_RO_ROLLUP[],MATCH($B15,MMWR_RATING_RO_ROLLUP[MMWR_RATING_RO_ROLLUP],0),MATCH(G$9,MMWR_RATING_RO_ROLLUP[#Headers],0)),"ERROR"))</f>
        <v>28169</v>
      </c>
      <c r="H15" s="155">
        <f>IF($B15=" ","",IFERROR(INDEX(MMWR_RATING_RO_ROLLUP[],MATCH($B15,MMWR_RATING_RO_ROLLUP[MMWR_RATING_RO_ROLLUP],0),MATCH(H$9,MMWR_RATING_RO_ROLLUP[#Headers],0)),"ERROR"))</f>
        <v>136.01807959429999</v>
      </c>
      <c r="I15" s="155">
        <f>IF($B15=" ","",IFERROR(INDEX(MMWR_RATING_RO_ROLLUP[],MATCH($B15,MMWR_RATING_RO_ROLLUP[MMWR_RATING_RO_ROLLUP],0),MATCH(I$9,MMWR_RATING_RO_ROLLUP[#Headers],0)),"ERROR"))</f>
        <v>137.0118215059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4825</v>
      </c>
      <c r="D16" s="155">
        <f>IF($B16=" ","",IFERROR(INDEX(MMWR_RATING_RO_ROLLUP[],MATCH($B16,MMWR_RATING_RO_ROLLUP[MMWR_RATING_RO_ROLLUP],0),MATCH(D$9,MMWR_RATING_RO_ROLLUP[#Headers],0)),"ERROR"))</f>
        <v>94.258031088099997</v>
      </c>
      <c r="E16" s="156">
        <f>IF($B16=" ","",IFERROR(INDEX(MMWR_RATING_RO_ROLLUP[],MATCH($B16,MMWR_RATING_RO_ROLLUP[MMWR_RATING_RO_ROLLUP],0),MATCH(E$9,MMWR_RATING_RO_ROLLUP[#Headers],0))/$C16,"ERROR"))</f>
        <v>0.21658031088082902</v>
      </c>
      <c r="F16" s="154">
        <f>IF($B16=" ","",IFERROR(INDEX(MMWR_RATING_RO_ROLLUP[],MATCH($B16,MMWR_RATING_RO_ROLLUP[MMWR_RATING_RO_ROLLUP],0),MATCH(F$9,MMWR_RATING_RO_ROLLUP[#Headers],0)),"ERROR"))</f>
        <v>603</v>
      </c>
      <c r="G16" s="154">
        <f>IF($B16=" ","",IFERROR(INDEX(MMWR_RATING_RO_ROLLUP[],MATCH($B16,MMWR_RATING_RO_ROLLUP[MMWR_RATING_RO_ROLLUP],0),MATCH(G$9,MMWR_RATING_RO_ROLLUP[#Headers],0)),"ERROR"))</f>
        <v>1977</v>
      </c>
      <c r="H16" s="155">
        <f>IF($B16=" ","",IFERROR(INDEX(MMWR_RATING_RO_ROLLUP[],MATCH($B16,MMWR_RATING_RO_ROLLUP[MMWR_RATING_RO_ROLLUP],0),MATCH(H$9,MMWR_RATING_RO_ROLLUP[#Headers],0)),"ERROR"))</f>
        <v>145.38474295189999</v>
      </c>
      <c r="I16" s="155">
        <f>IF($B16=" ","",IFERROR(INDEX(MMWR_RATING_RO_ROLLUP[],MATCH($B16,MMWR_RATING_RO_ROLLUP[MMWR_RATING_RO_ROLLUP],0),MATCH(I$9,MMWR_RATING_RO_ROLLUP[#Headers],0)),"ERROR"))</f>
        <v>144.63631765299999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3548</v>
      </c>
      <c r="D17" s="155">
        <f>IF($B17=" ","",IFERROR(INDEX(MMWR_RATING_RO_ROLLUP[],MATCH($B17,MMWR_RATING_RO_ROLLUP[MMWR_RATING_RO_ROLLUP],0),MATCH(D$9,MMWR_RATING_RO_ROLLUP[#Headers],0)),"ERROR"))</f>
        <v>97.501972942500004</v>
      </c>
      <c r="E17" s="156">
        <f>IF($B17=" ","",IFERROR(INDEX(MMWR_RATING_RO_ROLLUP[],MATCH($B17,MMWR_RATING_RO_ROLLUP[MMWR_RATING_RO_ROLLUP],0),MATCH(E$9,MMWR_RATING_RO_ROLLUP[#Headers],0))/$C17,"ERROR"))</f>
        <v>0.25112739571589626</v>
      </c>
      <c r="F17" s="154">
        <f>IF($B17=" ","",IFERROR(INDEX(MMWR_RATING_RO_ROLLUP[],MATCH($B17,MMWR_RATING_RO_ROLLUP[MMWR_RATING_RO_ROLLUP],0),MATCH(F$9,MMWR_RATING_RO_ROLLUP[#Headers],0)),"ERROR"))</f>
        <v>487</v>
      </c>
      <c r="G17" s="154">
        <f>IF($B17=" ","",IFERROR(INDEX(MMWR_RATING_RO_ROLLUP[],MATCH($B17,MMWR_RATING_RO_ROLLUP[MMWR_RATING_RO_ROLLUP],0),MATCH(G$9,MMWR_RATING_RO_ROLLUP[#Headers],0)),"ERROR"))</f>
        <v>1464</v>
      </c>
      <c r="H17" s="155">
        <f>IF($B17=" ","",IFERROR(INDEX(MMWR_RATING_RO_ROLLUP[],MATCH($B17,MMWR_RATING_RO_ROLLUP[MMWR_RATING_RO_ROLLUP],0),MATCH(H$9,MMWR_RATING_RO_ROLLUP[#Headers],0)),"ERROR"))</f>
        <v>117.022587269</v>
      </c>
      <c r="I17" s="155">
        <f>IF($B17=" ","",IFERROR(INDEX(MMWR_RATING_RO_ROLLUP[],MATCH($B17,MMWR_RATING_RO_ROLLUP[MMWR_RATING_RO_ROLLUP],0),MATCH(I$9,MMWR_RATING_RO_ROLLUP[#Headers],0)),"ERROR"))</f>
        <v>120.8155737705</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3978</v>
      </c>
      <c r="D18" s="155">
        <f>IF($B18=" ","",IFERROR(INDEX(MMWR_RATING_RO_ROLLUP[],MATCH($B18,MMWR_RATING_RO_ROLLUP[MMWR_RATING_RO_ROLLUP],0),MATCH(D$9,MMWR_RATING_RO_ROLLUP[#Headers],0)),"ERROR"))</f>
        <v>92.524132730000005</v>
      </c>
      <c r="E18" s="156">
        <f>IF($B18=" ","",IFERROR(INDEX(MMWR_RATING_RO_ROLLUP[],MATCH($B18,MMWR_RATING_RO_ROLLUP[MMWR_RATING_RO_ROLLUP],0),MATCH(E$9,MMWR_RATING_RO_ROLLUP[#Headers],0))/$C18,"ERROR"))</f>
        <v>0.21870286576168929</v>
      </c>
      <c r="F18" s="154">
        <f>IF($B18=" ","",IFERROR(INDEX(MMWR_RATING_RO_ROLLUP[],MATCH($B18,MMWR_RATING_RO_ROLLUP[MMWR_RATING_RO_ROLLUP],0),MATCH(F$9,MMWR_RATING_RO_ROLLUP[#Headers],0)),"ERROR"))</f>
        <v>529</v>
      </c>
      <c r="G18" s="154">
        <f>IF($B18=" ","",IFERROR(INDEX(MMWR_RATING_RO_ROLLUP[],MATCH($B18,MMWR_RATING_RO_ROLLUP[MMWR_RATING_RO_ROLLUP],0),MATCH(G$9,MMWR_RATING_RO_ROLLUP[#Headers],0)),"ERROR"))</f>
        <v>1584</v>
      </c>
      <c r="H18" s="155">
        <f>IF($B18=" ","",IFERROR(INDEX(MMWR_RATING_RO_ROLLUP[],MATCH($B18,MMWR_RATING_RO_ROLLUP[MMWR_RATING_RO_ROLLUP],0),MATCH(H$9,MMWR_RATING_RO_ROLLUP[#Headers],0)),"ERROR"))</f>
        <v>146.96975425330001</v>
      </c>
      <c r="I18" s="155">
        <f>IF($B18=" ","",IFERROR(INDEX(MMWR_RATING_RO_ROLLUP[],MATCH($B18,MMWR_RATING_RO_ROLLUP[MMWR_RATING_RO_ROLLUP],0),MATCH(I$9,MMWR_RATING_RO_ROLLUP[#Headers],0)),"ERROR"))</f>
        <v>156.4381313131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1823</v>
      </c>
      <c r="D19" s="155">
        <f>IF($B19=" ","",IFERROR(INDEX(MMWR_RATING_RO_ROLLUP[],MATCH($B19,MMWR_RATING_RO_ROLLUP[MMWR_RATING_RO_ROLLUP],0),MATCH(D$9,MMWR_RATING_RO_ROLLUP[#Headers],0)),"ERROR"))</f>
        <v>80.393856280899996</v>
      </c>
      <c r="E19" s="156">
        <f>IF($B19=" ","",IFERROR(INDEX(MMWR_RATING_RO_ROLLUP[],MATCH($B19,MMWR_RATING_RO_ROLLUP[MMWR_RATING_RO_ROLLUP],0),MATCH(E$9,MMWR_RATING_RO_ROLLUP[#Headers],0))/$C19,"ERROR"))</f>
        <v>0.16675809105869446</v>
      </c>
      <c r="F19" s="154">
        <f>IF($B19=" ","",IFERROR(INDEX(MMWR_RATING_RO_ROLLUP[],MATCH($B19,MMWR_RATING_RO_ROLLUP[MMWR_RATING_RO_ROLLUP],0),MATCH(F$9,MMWR_RATING_RO_ROLLUP[#Headers],0)),"ERROR"))</f>
        <v>266</v>
      </c>
      <c r="G19" s="154">
        <f>IF($B19=" ","",IFERROR(INDEX(MMWR_RATING_RO_ROLLUP[],MATCH($B19,MMWR_RATING_RO_ROLLUP[MMWR_RATING_RO_ROLLUP],0),MATCH(G$9,MMWR_RATING_RO_ROLLUP[#Headers],0)),"ERROR"))</f>
        <v>866</v>
      </c>
      <c r="H19" s="155">
        <f>IF($B19=" ","",IFERROR(INDEX(MMWR_RATING_RO_ROLLUP[],MATCH($B19,MMWR_RATING_RO_ROLLUP[MMWR_RATING_RO_ROLLUP],0),MATCH(H$9,MMWR_RATING_RO_ROLLUP[#Headers],0)),"ERROR"))</f>
        <v>104.4060150376</v>
      </c>
      <c r="I19" s="155">
        <f>IF($B19=" ","",IFERROR(INDEX(MMWR_RATING_RO_ROLLUP[],MATCH($B19,MMWR_RATING_RO_ROLLUP[MMWR_RATING_RO_ROLLUP],0),MATCH(I$9,MMWR_RATING_RO_ROLLUP[#Headers],0)),"ERROR"))</f>
        <v>108.8556581986</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2585</v>
      </c>
      <c r="D20" s="155">
        <f>IF($B20=" ","",IFERROR(INDEX(MMWR_RATING_RO_ROLLUP[],MATCH($B20,MMWR_RATING_RO_ROLLUP[MMWR_RATING_RO_ROLLUP],0),MATCH(D$9,MMWR_RATING_RO_ROLLUP[#Headers],0)),"ERROR"))</f>
        <v>75.122630560900006</v>
      </c>
      <c r="E20" s="156">
        <f>IF($B20=" ","",IFERROR(INDEX(MMWR_RATING_RO_ROLLUP[],MATCH($B20,MMWR_RATING_RO_ROLLUP[MMWR_RATING_RO_ROLLUP],0),MATCH(E$9,MMWR_RATING_RO_ROLLUP[#Headers],0))/$C20,"ERROR"))</f>
        <v>0.1276595744680851</v>
      </c>
      <c r="F20" s="154">
        <f>IF($B20=" ","",IFERROR(INDEX(MMWR_RATING_RO_ROLLUP[],MATCH($B20,MMWR_RATING_RO_ROLLUP[MMWR_RATING_RO_ROLLUP],0),MATCH(F$9,MMWR_RATING_RO_ROLLUP[#Headers],0)),"ERROR"))</f>
        <v>349</v>
      </c>
      <c r="G20" s="154">
        <f>IF($B20=" ","",IFERROR(INDEX(MMWR_RATING_RO_ROLLUP[],MATCH($B20,MMWR_RATING_RO_ROLLUP[MMWR_RATING_RO_ROLLUP],0),MATCH(G$9,MMWR_RATING_RO_ROLLUP[#Headers],0)),"ERROR"))</f>
        <v>1093</v>
      </c>
      <c r="H20" s="155">
        <f>IF($B20=" ","",IFERROR(INDEX(MMWR_RATING_RO_ROLLUP[],MATCH($B20,MMWR_RATING_RO_ROLLUP[MMWR_RATING_RO_ROLLUP],0),MATCH(H$9,MMWR_RATING_RO_ROLLUP[#Headers],0)),"ERROR"))</f>
        <v>105.0573065903</v>
      </c>
      <c r="I20" s="155">
        <f>IF($B20=" ","",IFERROR(INDEX(MMWR_RATING_RO_ROLLUP[],MATCH($B20,MMWR_RATING_RO_ROLLUP[MMWR_RATING_RO_ROLLUP],0),MATCH(I$9,MMWR_RATING_RO_ROLLUP[#Headers],0)),"ERROR"))</f>
        <v>112.94693504120001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1321</v>
      </c>
      <c r="D21" s="155">
        <f>IF($B21=" ","",IFERROR(INDEX(MMWR_RATING_RO_ROLLUP[],MATCH($B21,MMWR_RATING_RO_ROLLUP[MMWR_RATING_RO_ROLLUP],0),MATCH(D$9,MMWR_RATING_RO_ROLLUP[#Headers],0)),"ERROR"))</f>
        <v>90.571536714600001</v>
      </c>
      <c r="E21" s="156">
        <f>IF($B21=" ","",IFERROR(INDEX(MMWR_RATING_RO_ROLLUP[],MATCH($B21,MMWR_RATING_RO_ROLLUP[MMWR_RATING_RO_ROLLUP],0),MATCH(E$9,MMWR_RATING_RO_ROLLUP[#Headers],0))/$C21,"ERROR"))</f>
        <v>0.2157456472369417</v>
      </c>
      <c r="F21" s="154">
        <f>IF($B21=" ","",IFERROR(INDEX(MMWR_RATING_RO_ROLLUP[],MATCH($B21,MMWR_RATING_RO_ROLLUP[MMWR_RATING_RO_ROLLUP],0),MATCH(F$9,MMWR_RATING_RO_ROLLUP[#Headers],0)),"ERROR"))</f>
        <v>150</v>
      </c>
      <c r="G21" s="154">
        <f>IF($B21=" ","",IFERROR(INDEX(MMWR_RATING_RO_ROLLUP[],MATCH($B21,MMWR_RATING_RO_ROLLUP[MMWR_RATING_RO_ROLLUP],0),MATCH(G$9,MMWR_RATING_RO_ROLLUP[#Headers],0)),"ERROR"))</f>
        <v>452</v>
      </c>
      <c r="H21" s="155">
        <f>IF($B21=" ","",IFERROR(INDEX(MMWR_RATING_RO_ROLLUP[],MATCH($B21,MMWR_RATING_RO_ROLLUP[MMWR_RATING_RO_ROLLUP],0),MATCH(H$9,MMWR_RATING_RO_ROLLUP[#Headers],0)),"ERROR"))</f>
        <v>129.2733333333</v>
      </c>
      <c r="I21" s="155">
        <f>IF($B21=" ","",IFERROR(INDEX(MMWR_RATING_RO_ROLLUP[],MATCH($B21,MMWR_RATING_RO_ROLLUP[MMWR_RATING_RO_ROLLUP],0),MATCH(I$9,MMWR_RATING_RO_ROLLUP[#Headers],0)),"ERROR"))</f>
        <v>130.546460177</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4911</v>
      </c>
      <c r="D22" s="155">
        <f>IF($B22=" ","",IFERROR(INDEX(MMWR_RATING_RO_ROLLUP[],MATCH($B22,MMWR_RATING_RO_ROLLUP[MMWR_RATING_RO_ROLLUP],0),MATCH(D$9,MMWR_RATING_RO_ROLLUP[#Headers],0)),"ERROR"))</f>
        <v>94.224597841600001</v>
      </c>
      <c r="E22" s="156">
        <f>IF($B22=" ","",IFERROR(INDEX(MMWR_RATING_RO_ROLLUP[],MATCH($B22,MMWR_RATING_RO_ROLLUP[MMWR_RATING_RO_ROLLUP],0),MATCH(E$9,MMWR_RATING_RO_ROLLUP[#Headers],0))/$C22,"ERROR"))</f>
        <v>0.21828548157198127</v>
      </c>
      <c r="F22" s="154">
        <f>IF($B22=" ","",IFERROR(INDEX(MMWR_RATING_RO_ROLLUP[],MATCH($B22,MMWR_RATING_RO_ROLLUP[MMWR_RATING_RO_ROLLUP],0),MATCH(F$9,MMWR_RATING_RO_ROLLUP[#Headers],0)),"ERROR"))</f>
        <v>549</v>
      </c>
      <c r="G22" s="154">
        <f>IF($B22=" ","",IFERROR(INDEX(MMWR_RATING_RO_ROLLUP[],MATCH($B22,MMWR_RATING_RO_ROLLUP[MMWR_RATING_RO_ROLLUP],0),MATCH(G$9,MMWR_RATING_RO_ROLLUP[#Headers],0)),"ERROR"))</f>
        <v>1696</v>
      </c>
      <c r="H22" s="155">
        <f>IF($B22=" ","",IFERROR(INDEX(MMWR_RATING_RO_ROLLUP[],MATCH($B22,MMWR_RATING_RO_ROLLUP[MMWR_RATING_RO_ROLLUP],0),MATCH(H$9,MMWR_RATING_RO_ROLLUP[#Headers],0)),"ERROR"))</f>
        <v>136.74316939889999</v>
      </c>
      <c r="I22" s="155">
        <f>IF($B22=" ","",IFERROR(INDEX(MMWR_RATING_RO_ROLLUP[],MATCH($B22,MMWR_RATING_RO_ROLLUP[MMWR_RATING_RO_ROLLUP],0),MATCH(I$9,MMWR_RATING_RO_ROLLUP[#Headers],0)),"ERROR"))</f>
        <v>137.85377358490001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2710</v>
      </c>
      <c r="D23" s="155">
        <f>IF($B23=" ","",IFERROR(INDEX(MMWR_RATING_RO_ROLLUP[],MATCH($B23,MMWR_RATING_RO_ROLLUP[MMWR_RATING_RO_ROLLUP],0),MATCH(D$9,MMWR_RATING_RO_ROLLUP[#Headers],0)),"ERROR"))</f>
        <v>86.316974169700003</v>
      </c>
      <c r="E23" s="156">
        <f>IF($B23=" ","",IFERROR(INDEX(MMWR_RATING_RO_ROLLUP[],MATCH($B23,MMWR_RATING_RO_ROLLUP[MMWR_RATING_RO_ROLLUP],0),MATCH(E$9,MMWR_RATING_RO_ROLLUP[#Headers],0))/$C23,"ERROR"))</f>
        <v>0.2029520295202952</v>
      </c>
      <c r="F23" s="154">
        <f>IF($B23=" ","",IFERROR(INDEX(MMWR_RATING_RO_ROLLUP[],MATCH($B23,MMWR_RATING_RO_ROLLUP[MMWR_RATING_RO_ROLLUP],0),MATCH(F$9,MMWR_RATING_RO_ROLLUP[#Headers],0)),"ERROR"))</f>
        <v>354</v>
      </c>
      <c r="G23" s="154">
        <f>IF($B23=" ","",IFERROR(INDEX(MMWR_RATING_RO_ROLLUP[],MATCH($B23,MMWR_RATING_RO_ROLLUP[MMWR_RATING_RO_ROLLUP],0),MATCH(G$9,MMWR_RATING_RO_ROLLUP[#Headers],0)),"ERROR"))</f>
        <v>1107</v>
      </c>
      <c r="H23" s="155">
        <f>IF($B23=" ","",IFERROR(INDEX(MMWR_RATING_RO_ROLLUP[],MATCH($B23,MMWR_RATING_RO_ROLLUP[MMWR_RATING_RO_ROLLUP],0),MATCH(H$9,MMWR_RATING_RO_ROLLUP[#Headers],0)),"ERROR"))</f>
        <v>142.72316384179999</v>
      </c>
      <c r="I23" s="155">
        <f>IF($B23=" ","",IFERROR(INDEX(MMWR_RATING_RO_ROLLUP[],MATCH($B23,MMWR_RATING_RO_ROLLUP[MMWR_RATING_RO_ROLLUP],0),MATCH(I$9,MMWR_RATING_RO_ROLLUP[#Headers],0)),"ERROR"))</f>
        <v>139.3342366757</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7426</v>
      </c>
      <c r="D24" s="155">
        <f>IF($B24=" ","",IFERROR(INDEX(MMWR_RATING_RO_ROLLUP[],MATCH($B24,MMWR_RATING_RO_ROLLUP[MMWR_RATING_RO_ROLLUP],0),MATCH(D$9,MMWR_RATING_RO_ROLLUP[#Headers],0)),"ERROR"))</f>
        <v>121.3637220576</v>
      </c>
      <c r="E24" s="156">
        <f>IF($B24=" ","",IFERROR(INDEX(MMWR_RATING_RO_ROLLUP[],MATCH($B24,MMWR_RATING_RO_ROLLUP[MMWR_RATING_RO_ROLLUP],0),MATCH(E$9,MMWR_RATING_RO_ROLLUP[#Headers],0))/$C24,"ERROR"))</f>
        <v>0.31187718825747374</v>
      </c>
      <c r="F24" s="154">
        <f>IF($B24=" ","",IFERROR(INDEX(MMWR_RATING_RO_ROLLUP[],MATCH($B24,MMWR_RATING_RO_ROLLUP[MMWR_RATING_RO_ROLLUP],0),MATCH(F$9,MMWR_RATING_RO_ROLLUP[#Headers],0)),"ERROR"))</f>
        <v>941</v>
      </c>
      <c r="G24" s="154">
        <f>IF($B24=" ","",IFERROR(INDEX(MMWR_RATING_RO_ROLLUP[],MATCH($B24,MMWR_RATING_RO_ROLLUP[MMWR_RATING_RO_ROLLUP],0),MATCH(G$9,MMWR_RATING_RO_ROLLUP[#Headers],0)),"ERROR"))</f>
        <v>3005</v>
      </c>
      <c r="H24" s="155">
        <f>IF($B24=" ","",IFERROR(INDEX(MMWR_RATING_RO_ROLLUP[],MATCH($B24,MMWR_RATING_RO_ROLLUP[MMWR_RATING_RO_ROLLUP],0),MATCH(H$9,MMWR_RATING_RO_ROLLUP[#Headers],0)),"ERROR"))</f>
        <v>150.51115834219999</v>
      </c>
      <c r="I24" s="155">
        <f>IF($B24=" ","",IFERROR(INDEX(MMWR_RATING_RO_ROLLUP[],MATCH($B24,MMWR_RATING_RO_ROLLUP[MMWR_RATING_RO_ROLLUP],0),MATCH(I$9,MMWR_RATING_RO_ROLLUP[#Headers],0)),"ERROR"))</f>
        <v>159.73444259569999</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5134</v>
      </c>
      <c r="D25" s="155">
        <f>IF($B25=" ","",IFERROR(INDEX(MMWR_RATING_RO_ROLLUP[],MATCH($B25,MMWR_RATING_RO_ROLLUP[MMWR_RATING_RO_ROLLUP],0),MATCH(D$9,MMWR_RATING_RO_ROLLUP[#Headers],0)),"ERROR"))</f>
        <v>112.31262173739999</v>
      </c>
      <c r="E25" s="156">
        <f>IF($B25=" ","",IFERROR(INDEX(MMWR_RATING_RO_ROLLUP[],MATCH($B25,MMWR_RATING_RO_ROLLUP[MMWR_RATING_RO_ROLLUP],0),MATCH(E$9,MMWR_RATING_RO_ROLLUP[#Headers],0))/$C25,"ERROR"))</f>
        <v>0.30716790027269186</v>
      </c>
      <c r="F25" s="154">
        <f>IF($B25=" ","",IFERROR(INDEX(MMWR_RATING_RO_ROLLUP[],MATCH($B25,MMWR_RATING_RO_ROLLUP[MMWR_RATING_RO_ROLLUP],0),MATCH(F$9,MMWR_RATING_RO_ROLLUP[#Headers],0)),"ERROR"))</f>
        <v>510</v>
      </c>
      <c r="G25" s="154">
        <f>IF($B25=" ","",IFERROR(INDEX(MMWR_RATING_RO_ROLLUP[],MATCH($B25,MMWR_RATING_RO_ROLLUP[MMWR_RATING_RO_ROLLUP],0),MATCH(G$9,MMWR_RATING_RO_ROLLUP[#Headers],0)),"ERROR"))</f>
        <v>1531</v>
      </c>
      <c r="H25" s="155">
        <f>IF($B25=" ","",IFERROR(INDEX(MMWR_RATING_RO_ROLLUP[],MATCH($B25,MMWR_RATING_RO_ROLLUP[MMWR_RATING_RO_ROLLUP],0),MATCH(H$9,MMWR_RATING_RO_ROLLUP[#Headers],0)),"ERROR"))</f>
        <v>161.0960784314</v>
      </c>
      <c r="I25" s="155">
        <f>IF($B25=" ","",IFERROR(INDEX(MMWR_RATING_RO_ROLLUP[],MATCH($B25,MMWR_RATING_RO_ROLLUP[MMWR_RATING_RO_ROLLUP],0),MATCH(I$9,MMWR_RATING_RO_ROLLUP[#Headers],0)),"ERROR"))</f>
        <v>167.46962769429999</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2676</v>
      </c>
      <c r="D26" s="155">
        <f>IF($B26=" ","",IFERROR(INDEX(MMWR_RATING_RO_ROLLUP[],MATCH($B26,MMWR_RATING_RO_ROLLUP[MMWR_RATING_RO_ROLLUP],0),MATCH(D$9,MMWR_RATING_RO_ROLLUP[#Headers],0)),"ERROR"))</f>
        <v>68.415545590400001</v>
      </c>
      <c r="E26" s="156">
        <f>IF($B26=" ","",IFERROR(INDEX(MMWR_RATING_RO_ROLLUP[],MATCH($B26,MMWR_RATING_RO_ROLLUP[MMWR_RATING_RO_ROLLUP],0),MATCH(E$9,MMWR_RATING_RO_ROLLUP[#Headers],0))/$C26,"ERROR"))</f>
        <v>0.12518684603886399</v>
      </c>
      <c r="F26" s="154">
        <f>IF($B26=" ","",IFERROR(INDEX(MMWR_RATING_RO_ROLLUP[],MATCH($B26,MMWR_RATING_RO_ROLLUP[MMWR_RATING_RO_ROLLUP],0),MATCH(F$9,MMWR_RATING_RO_ROLLUP[#Headers],0)),"ERROR"))</f>
        <v>636</v>
      </c>
      <c r="G26" s="154">
        <f>IF($B26=" ","",IFERROR(INDEX(MMWR_RATING_RO_ROLLUP[],MATCH($B26,MMWR_RATING_RO_ROLLUP[MMWR_RATING_RO_ROLLUP],0),MATCH(G$9,MMWR_RATING_RO_ROLLUP[#Headers],0)),"ERROR"))</f>
        <v>2356</v>
      </c>
      <c r="H26" s="155">
        <f>IF($B26=" ","",IFERROR(INDEX(MMWR_RATING_RO_ROLLUP[],MATCH($B26,MMWR_RATING_RO_ROLLUP[MMWR_RATING_RO_ROLLUP],0),MATCH(H$9,MMWR_RATING_RO_ROLLUP[#Headers],0)),"ERROR"))</f>
        <v>52.334905660399997</v>
      </c>
      <c r="I26" s="155">
        <f>IF($B26=" ","",IFERROR(INDEX(MMWR_RATING_RO_ROLLUP[],MATCH($B26,MMWR_RATING_RO_ROLLUP[MMWR_RATING_RO_ROLLUP],0),MATCH(I$9,MMWR_RATING_RO_ROLLUP[#Headers],0)),"ERROR"))</f>
        <v>49.519949066199999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11436</v>
      </c>
      <c r="D27" s="155">
        <f>IF($B27=" ","",IFERROR(INDEX(MMWR_RATING_RO_ROLLUP[],MATCH($B27,MMWR_RATING_RO_ROLLUP[MMWR_RATING_RO_ROLLUP],0),MATCH(D$9,MMWR_RATING_RO_ROLLUP[#Headers],0)),"ERROR"))</f>
        <v>86.369097586600006</v>
      </c>
      <c r="E27" s="156">
        <f>IF($B27=" ","",IFERROR(INDEX(MMWR_RATING_RO_ROLLUP[],MATCH($B27,MMWR_RATING_RO_ROLLUP[MMWR_RATING_RO_ROLLUP],0),MATCH(E$9,MMWR_RATING_RO_ROLLUP[#Headers],0))/$C27,"ERROR"))</f>
        <v>0.17296257432668766</v>
      </c>
      <c r="F27" s="154">
        <f>IF($B27=" ","",IFERROR(INDEX(MMWR_RATING_RO_ROLLUP[],MATCH($B27,MMWR_RATING_RO_ROLLUP[MMWR_RATING_RO_ROLLUP],0),MATCH(F$9,MMWR_RATING_RO_ROLLUP[#Headers],0)),"ERROR"))</f>
        <v>1196</v>
      </c>
      <c r="G27" s="154">
        <f>IF($B27=" ","",IFERROR(INDEX(MMWR_RATING_RO_ROLLUP[],MATCH($B27,MMWR_RATING_RO_ROLLUP[MMWR_RATING_RO_ROLLUP],0),MATCH(G$9,MMWR_RATING_RO_ROLLUP[#Headers],0)),"ERROR"))</f>
        <v>3744</v>
      </c>
      <c r="H27" s="155">
        <f>IF($B27=" ","",IFERROR(INDEX(MMWR_RATING_RO_ROLLUP[],MATCH($B27,MMWR_RATING_RO_ROLLUP[MMWR_RATING_RO_ROLLUP],0),MATCH(H$9,MMWR_RATING_RO_ROLLUP[#Headers],0)),"ERROR"))</f>
        <v>150.96906354519999</v>
      </c>
      <c r="I27" s="155">
        <f>IF($B27=" ","",IFERROR(INDEX(MMWR_RATING_RO_ROLLUP[],MATCH($B27,MMWR_RATING_RO_ROLLUP[MMWR_RATING_RO_ROLLUP],0),MATCH(I$9,MMWR_RATING_RO_ROLLUP[#Headers],0)),"ERROR"))</f>
        <v>144.51575854699999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1222</v>
      </c>
      <c r="D28" s="155">
        <f>IF($B28=" ","",IFERROR(INDEX(MMWR_RATING_RO_ROLLUP[],MATCH($B28,MMWR_RATING_RO_ROLLUP[MMWR_RATING_RO_ROLLUP],0),MATCH(D$9,MMWR_RATING_RO_ROLLUP[#Headers],0)),"ERROR"))</f>
        <v>68.358428805200006</v>
      </c>
      <c r="E28" s="156">
        <f>IF($B28=" ","",IFERROR(INDEX(MMWR_RATING_RO_ROLLUP[],MATCH($B28,MMWR_RATING_RO_ROLLUP[MMWR_RATING_RO_ROLLUP],0),MATCH(E$9,MMWR_RATING_RO_ROLLUP[#Headers],0))/$C28,"ERROR"))</f>
        <v>0.13338788870703763</v>
      </c>
      <c r="F28" s="154">
        <f>IF($B28=" ","",IFERROR(INDEX(MMWR_RATING_RO_ROLLUP[],MATCH($B28,MMWR_RATING_RO_ROLLUP[MMWR_RATING_RO_ROLLUP],0),MATCH(F$9,MMWR_RATING_RO_ROLLUP[#Headers],0)),"ERROR"))</f>
        <v>190</v>
      </c>
      <c r="G28" s="154">
        <f>IF($B28=" ","",IFERROR(INDEX(MMWR_RATING_RO_ROLLUP[],MATCH($B28,MMWR_RATING_RO_ROLLUP[MMWR_RATING_RO_ROLLUP],0),MATCH(G$9,MMWR_RATING_RO_ROLLUP[#Headers],0)),"ERROR"))</f>
        <v>696</v>
      </c>
      <c r="H28" s="155">
        <f>IF($B28=" ","",IFERROR(INDEX(MMWR_RATING_RO_ROLLUP[],MATCH($B28,MMWR_RATING_RO_ROLLUP[MMWR_RATING_RO_ROLLUP],0),MATCH(H$9,MMWR_RATING_RO_ROLLUP[#Headers],0)),"ERROR"))</f>
        <v>102.7894736842</v>
      </c>
      <c r="I28" s="155">
        <f>IF($B28=" ","",IFERROR(INDEX(MMWR_RATING_RO_ROLLUP[],MATCH($B28,MMWR_RATING_RO_ROLLUP[MMWR_RATING_RO_ROLLUP],0),MATCH(I$9,MMWR_RATING_RO_ROLLUP[#Headers],0)),"ERROR"))</f>
        <v>106.8117816092</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465</v>
      </c>
      <c r="D29" s="155">
        <f>IF($B29=" ","",IFERROR(INDEX(MMWR_RATING_RO_ROLLUP[],MATCH($B29,MMWR_RATING_RO_ROLLUP[MMWR_RATING_RO_ROLLUP],0),MATCH(D$9,MMWR_RATING_RO_ROLLUP[#Headers],0)),"ERROR"))</f>
        <v>84.8344086022</v>
      </c>
      <c r="E29" s="156">
        <f>IF($B29=" ","",IFERROR(INDEX(MMWR_RATING_RO_ROLLUP[],MATCH($B29,MMWR_RATING_RO_ROLLUP[MMWR_RATING_RO_ROLLUP],0),MATCH(E$9,MMWR_RATING_RO_ROLLUP[#Headers],0))/$C29,"ERROR"))</f>
        <v>0.17849462365591398</v>
      </c>
      <c r="F29" s="154">
        <f>IF($B29=" ","",IFERROR(INDEX(MMWR_RATING_RO_ROLLUP[],MATCH($B29,MMWR_RATING_RO_ROLLUP[MMWR_RATING_RO_ROLLUP],0),MATCH(F$9,MMWR_RATING_RO_ROLLUP[#Headers],0)),"ERROR"))</f>
        <v>27</v>
      </c>
      <c r="G29" s="154">
        <f>IF($B29=" ","",IFERROR(INDEX(MMWR_RATING_RO_ROLLUP[],MATCH($B29,MMWR_RATING_RO_ROLLUP[MMWR_RATING_RO_ROLLUP],0),MATCH(G$9,MMWR_RATING_RO_ROLLUP[#Headers],0)),"ERROR"))</f>
        <v>84</v>
      </c>
      <c r="H29" s="155">
        <f>IF($B29=" ","",IFERROR(INDEX(MMWR_RATING_RO_ROLLUP[],MATCH($B29,MMWR_RATING_RO_ROLLUP[MMWR_RATING_RO_ROLLUP],0),MATCH(H$9,MMWR_RATING_RO_ROLLUP[#Headers],0)),"ERROR"))</f>
        <v>188.6666666667</v>
      </c>
      <c r="I29" s="155">
        <f>IF($B29=" ","",IFERROR(INDEX(MMWR_RATING_RO_ROLLUP[],MATCH($B29,MMWR_RATING_RO_ROLLUP[MMWR_RATING_RO_ROLLUP],0),MATCH(I$9,MMWR_RATING_RO_ROLLUP[#Headers],0)),"ERROR"))</f>
        <v>138.4166666667</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786</v>
      </c>
      <c r="D30" s="155">
        <f>IF($B30=" ","",IFERROR(INDEX(MMWR_RATING_RO_ROLLUP[],MATCH($B30,MMWR_RATING_RO_ROLLUP[MMWR_RATING_RO_ROLLUP],0),MATCH(D$9,MMWR_RATING_RO_ROLLUP[#Headers],0)),"ERROR"))</f>
        <v>102.6603053435</v>
      </c>
      <c r="E30" s="156">
        <f>IF($B30=" ","",IFERROR(INDEX(MMWR_RATING_RO_ROLLUP[],MATCH($B30,MMWR_RATING_RO_ROLLUP[MMWR_RATING_RO_ROLLUP],0),MATCH(E$9,MMWR_RATING_RO_ROLLUP[#Headers],0))/$C30,"ERROR"))</f>
        <v>0.22900763358778625</v>
      </c>
      <c r="F30" s="154">
        <f>IF($B30=" ","",IFERROR(INDEX(MMWR_RATING_RO_ROLLUP[],MATCH($B30,MMWR_RATING_RO_ROLLUP[MMWR_RATING_RO_ROLLUP],0),MATCH(F$9,MMWR_RATING_RO_ROLLUP[#Headers],0)),"ERROR"))</f>
        <v>114</v>
      </c>
      <c r="G30" s="154">
        <f>IF($B30=" ","",IFERROR(INDEX(MMWR_RATING_RO_ROLLUP[],MATCH($B30,MMWR_RATING_RO_ROLLUP[MMWR_RATING_RO_ROLLUP],0),MATCH(G$9,MMWR_RATING_RO_ROLLUP[#Headers],0)),"ERROR"))</f>
        <v>308</v>
      </c>
      <c r="H30" s="155">
        <f>IF($B30=" ","",IFERROR(INDEX(MMWR_RATING_RO_ROLLUP[],MATCH($B30,MMWR_RATING_RO_ROLLUP[MMWR_RATING_RO_ROLLUP],0),MATCH(H$9,MMWR_RATING_RO_ROLLUP[#Headers],0)),"ERROR"))</f>
        <v>137.8333333333</v>
      </c>
      <c r="I30" s="155">
        <f>IF($B30=" ","",IFERROR(INDEX(MMWR_RATING_RO_ROLLUP[],MATCH($B30,MMWR_RATING_RO_ROLLUP[MMWR_RATING_RO_ROLLUP],0),MATCH(I$9,MMWR_RATING_RO_ROLLUP[#Headers],0)),"ERROR"))</f>
        <v>140.0746753247</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18436</v>
      </c>
      <c r="D31" s="155">
        <f>IF($B31=" ","",IFERROR(INDEX(MMWR_RATING_RO_ROLLUP[],MATCH($B31,MMWR_RATING_RO_ROLLUP[MMWR_RATING_RO_ROLLUP],0),MATCH(D$9,MMWR_RATING_RO_ROLLUP[#Headers],0)),"ERROR"))</f>
        <v>98.261716207399999</v>
      </c>
      <c r="E31" s="156">
        <f>IF($B31=" ","",IFERROR(INDEX(MMWR_RATING_RO_ROLLUP[],MATCH($B31,MMWR_RATING_RO_ROLLUP[MMWR_RATING_RO_ROLLUP],0),MATCH(E$9,MMWR_RATING_RO_ROLLUP[#Headers],0))/$C31,"ERROR"))</f>
        <v>0.23616836623996529</v>
      </c>
      <c r="F31" s="154">
        <f>IF($B31=" ","",IFERROR(INDEX(MMWR_RATING_RO_ROLLUP[],MATCH($B31,MMWR_RATING_RO_ROLLUP[MMWR_RATING_RO_ROLLUP],0),MATCH(F$9,MMWR_RATING_RO_ROLLUP[#Headers],0)),"ERROR"))</f>
        <v>2170</v>
      </c>
      <c r="G31" s="154">
        <f>IF($B31=" ","",IFERROR(INDEX(MMWR_RATING_RO_ROLLUP[],MATCH($B31,MMWR_RATING_RO_ROLLUP[MMWR_RATING_RO_ROLLUP],0),MATCH(G$9,MMWR_RATING_RO_ROLLUP[#Headers],0)),"ERROR"))</f>
        <v>6206</v>
      </c>
      <c r="H31" s="155">
        <f>IF($B31=" ","",IFERROR(INDEX(MMWR_RATING_RO_ROLLUP[],MATCH($B31,MMWR_RATING_RO_ROLLUP[MMWR_RATING_RO_ROLLUP],0),MATCH(H$9,MMWR_RATING_RO_ROLLUP[#Headers],0)),"ERROR"))</f>
        <v>149.31843317970001</v>
      </c>
      <c r="I31" s="155">
        <f>IF($B31=" ","",IFERROR(INDEX(MMWR_RATING_RO_ROLLUP[],MATCH($B31,MMWR_RATING_RO_ROLLUP[MMWR_RATING_RO_ROLLUP],0),MATCH(I$9,MMWR_RATING_RO_ROLLUP[#Headers],0)),"ERROR"))</f>
        <v>154.82645826620001</v>
      </c>
      <c r="J31" s="42"/>
      <c r="K31" s="42"/>
      <c r="L31" s="42"/>
      <c r="M31" s="42"/>
      <c r="N31" s="28"/>
    </row>
    <row r="32" spans="1:14" x14ac:dyDescent="0.2">
      <c r="A32" s="25"/>
      <c r="B32" s="361" t="s">
        <v>740</v>
      </c>
      <c r="C32" s="362"/>
      <c r="D32" s="362"/>
      <c r="E32" s="362"/>
      <c r="F32" s="362"/>
      <c r="G32" s="362"/>
      <c r="H32" s="362"/>
      <c r="I32" s="362"/>
      <c r="J32" s="362"/>
      <c r="K32" s="362"/>
      <c r="L32" s="362"/>
      <c r="M32" s="371"/>
      <c r="N32" s="28"/>
    </row>
    <row r="33" spans="1:14" x14ac:dyDescent="0.2">
      <c r="A33" s="25"/>
      <c r="B33" s="11" t="s">
        <v>703</v>
      </c>
      <c r="C33" s="154">
        <f>IF($B33=" ","",IFERROR(INDEX(MMWR_RATING_RO_ROLLUP[],MATCH($B33,MMWR_RATING_RO_ROLLUP[MMWR_RATING_RO_ROLLUP],0),MATCH(C$9,MMWR_RATING_RO_ROLLUP[#Headers],0)),"ERROR"))</f>
        <v>24249</v>
      </c>
      <c r="D33" s="155">
        <f>IF($B33=" ","",IFERROR(INDEX(MMWR_RATING_RO_ROLLUP[],MATCH($B33,MMWR_RATING_RO_ROLLUP[MMWR_RATING_RO_ROLLUP],0),MATCH(D$9,MMWR_RATING_RO_ROLLUP[#Headers],0)),"ERROR"))</f>
        <v>63.736978844500001</v>
      </c>
      <c r="E33" s="156">
        <f>IF($B33=" ","",IFERROR(INDEX(MMWR_RATING_RO_ROLLUP[],MATCH($B33,MMWR_RATING_RO_ROLLUP[MMWR_RATING_RO_ROLLUP],0),MATCH(E$9,MMWR_RATING_RO_ROLLUP[#Headers],0))/$C33,"ERROR"))</f>
        <v>8.3549837106684816E-2</v>
      </c>
      <c r="F33" s="154">
        <f>IF($B33=" ","",IFERROR(INDEX(MMWR_RATING_RO_ROLLUP[],MATCH($B33,MMWR_RATING_RO_ROLLUP[MMWR_RATING_RO_ROLLUP],0),MATCH(F$9,MMWR_RATING_RO_ROLLUP[#Headers],0)),"ERROR"))</f>
        <v>5217</v>
      </c>
      <c r="G33" s="154">
        <f>IF($B33=" ","",IFERROR(INDEX(MMWR_RATING_RO_ROLLUP[],MATCH($B33,MMWR_RATING_RO_ROLLUP[MMWR_RATING_RO_ROLLUP],0),MATCH(G$9,MMWR_RATING_RO_ROLLUP[#Headers],0)),"ERROR"))</f>
        <v>17083</v>
      </c>
      <c r="H33" s="155">
        <f>IF($B33=" ","",IFERROR(INDEX(MMWR_RATING_RO_ROLLUP[],MATCH($B33,MMWR_RATING_RO_ROLLUP[MMWR_RATING_RO_ROLLUP],0),MATCH(H$9,MMWR_RATING_RO_ROLLUP[#Headers],0)),"ERROR"))</f>
        <v>68.825570251100004</v>
      </c>
      <c r="I33" s="155">
        <f>IF($B33=" ","",IFERROR(INDEX(MMWR_RATING_RO_ROLLUP[],MATCH($B33,MMWR_RATING_RO_ROLLUP[MMWR_RATING_RO_ROLLUP],0),MATCH(I$9,MMWR_RATING_RO_ROLLUP[#Headers],0)),"ERROR"))</f>
        <v>68.267751565899999</v>
      </c>
      <c r="J33" s="42"/>
      <c r="K33" s="42"/>
      <c r="L33" s="42"/>
      <c r="M33" s="42"/>
      <c r="N33" s="28"/>
    </row>
    <row r="34" spans="1:14" x14ac:dyDescent="0.2">
      <c r="A34" s="25"/>
      <c r="B34" s="12" t="s">
        <v>216</v>
      </c>
      <c r="C34" s="154">
        <f>IF($B34=" ","",IFERROR(INDEX(MMWR_RATING_RO_ROLLUP[],MATCH($B34,MMWR_RATING_RO_ROLLUP[MMWR_RATING_RO_ROLLUP],0),MATCH(C$9,MMWR_RATING_RO_ROLLUP[#Headers],0)),"ERROR"))</f>
        <v>8843</v>
      </c>
      <c r="D34" s="155">
        <f>IF($B34=" ","",IFERROR(INDEX(MMWR_RATING_RO_ROLLUP[],MATCH($B34,MMWR_RATING_RO_ROLLUP[MMWR_RATING_RO_ROLLUP],0),MATCH(D$9,MMWR_RATING_RO_ROLLUP[#Headers],0)),"ERROR"))</f>
        <v>65.893814316399997</v>
      </c>
      <c r="E34" s="156">
        <f>IF($B34=" ","",IFERROR(INDEX(MMWR_RATING_RO_ROLLUP[],MATCH($B34,MMWR_RATING_RO_ROLLUP[MMWR_RATING_RO_ROLLUP],0),MATCH(E$9,MMWR_RATING_RO_ROLLUP[#Headers],0))/$C34,"ERROR"))</f>
        <v>9.1824041614836593E-2</v>
      </c>
      <c r="F34" s="154">
        <f>IF($B34=" ","",IFERROR(INDEX(MMWR_RATING_RO_ROLLUP[],MATCH($B34,MMWR_RATING_RO_ROLLUP[MMWR_RATING_RO_ROLLUP],0),MATCH(F$9,MMWR_RATING_RO_ROLLUP[#Headers],0)),"ERROR"))</f>
        <v>1674</v>
      </c>
      <c r="G34" s="154">
        <f>IF($B34=" ","",IFERROR(INDEX(MMWR_RATING_RO_ROLLUP[],MATCH($B34,MMWR_RATING_RO_ROLLUP[MMWR_RATING_RO_ROLLUP],0),MATCH(G$9,MMWR_RATING_RO_ROLLUP[#Headers],0)),"ERROR"))</f>
        <v>5250</v>
      </c>
      <c r="H34" s="155">
        <f>IF($B34=" ","",IFERROR(INDEX(MMWR_RATING_RO_ROLLUP[],MATCH($B34,MMWR_RATING_RO_ROLLUP[MMWR_RATING_RO_ROLLUP],0),MATCH(H$9,MMWR_RATING_RO_ROLLUP[#Headers],0)),"ERROR"))</f>
        <v>77.890681003599994</v>
      </c>
      <c r="I34" s="155">
        <f>IF($B34=" ","",IFERROR(INDEX(MMWR_RATING_RO_ROLLUP[],MATCH($B34,MMWR_RATING_RO_ROLLUP[MMWR_RATING_RO_ROLLUP],0),MATCH(I$9,MMWR_RATING_RO_ROLLUP[#Headers],0)),"ERROR"))</f>
        <v>80.195809523799994</v>
      </c>
      <c r="J34" s="42"/>
      <c r="K34" s="42"/>
      <c r="L34" s="42"/>
      <c r="M34" s="42"/>
      <c r="N34" s="28"/>
    </row>
    <row r="35" spans="1:14" x14ac:dyDescent="0.2">
      <c r="A35" s="43"/>
      <c r="B35" s="12" t="s">
        <v>215</v>
      </c>
      <c r="C35" s="154">
        <f>IF($B35=" ","",IFERROR(INDEX(MMWR_RATING_RO_ROLLUP[],MATCH($B35,MMWR_RATING_RO_ROLLUP[MMWR_RATING_RO_ROLLUP],0),MATCH(C$9,MMWR_RATING_RO_ROLLUP[#Headers],0)),"ERROR"))</f>
        <v>7019</v>
      </c>
      <c r="D35" s="155">
        <f>IF($B35=" ","",IFERROR(INDEX(MMWR_RATING_RO_ROLLUP[],MATCH($B35,MMWR_RATING_RO_ROLLUP[MMWR_RATING_RO_ROLLUP],0),MATCH(D$9,MMWR_RATING_RO_ROLLUP[#Headers],0)),"ERROR"))</f>
        <v>61.279242057300003</v>
      </c>
      <c r="E35" s="156">
        <f>IF($B35=" ","",IFERROR(INDEX(MMWR_RATING_RO_ROLLUP[],MATCH($B35,MMWR_RATING_RO_ROLLUP[MMWR_RATING_RO_ROLLUP],0),MATCH(E$9,MMWR_RATING_RO_ROLLUP[#Headers],0))/$C35,"ERROR"))</f>
        <v>6.924063256874198E-2</v>
      </c>
      <c r="F35" s="154">
        <f>IF($B35=" ","",IFERROR(INDEX(MMWR_RATING_RO_ROLLUP[],MATCH($B35,MMWR_RATING_RO_ROLLUP[MMWR_RATING_RO_ROLLUP],0),MATCH(F$9,MMWR_RATING_RO_ROLLUP[#Headers],0)),"ERROR"))</f>
        <v>1451</v>
      </c>
      <c r="G35" s="154">
        <f>IF($B35=" ","",IFERROR(INDEX(MMWR_RATING_RO_ROLLUP[],MATCH($B35,MMWR_RATING_RO_ROLLUP[MMWR_RATING_RO_ROLLUP],0),MATCH(G$9,MMWR_RATING_RO_ROLLUP[#Headers],0)),"ERROR"))</f>
        <v>4569</v>
      </c>
      <c r="H35" s="155">
        <f>IF($B35=" ","",IFERROR(INDEX(MMWR_RATING_RO_ROLLUP[],MATCH($B35,MMWR_RATING_RO_ROLLUP[MMWR_RATING_RO_ROLLUP],0),MATCH(H$9,MMWR_RATING_RO_ROLLUP[#Headers],0)),"ERROR"))</f>
        <v>64.959338387299994</v>
      </c>
      <c r="I35" s="155">
        <f>IF($B35=" ","",IFERROR(INDEX(MMWR_RATING_RO_ROLLUP[],MATCH($B35,MMWR_RATING_RO_ROLLUP[MMWR_RATING_RO_ROLLUP],0),MATCH(I$9,MMWR_RATING_RO_ROLLUP[#Headers],0)),"ERROR"))</f>
        <v>63.476909608200003</v>
      </c>
      <c r="J35" s="42"/>
      <c r="K35" s="42"/>
      <c r="L35" s="42"/>
      <c r="M35" s="42"/>
      <c r="N35" s="28"/>
    </row>
    <row r="36" spans="1:14" x14ac:dyDescent="0.2">
      <c r="A36" s="25"/>
      <c r="B36" s="12" t="s">
        <v>218</v>
      </c>
      <c r="C36" s="154">
        <f>IF($B36=" ","",IFERROR(INDEX(MMWR_RATING_RO_ROLLUP[],MATCH($B36,MMWR_RATING_RO_ROLLUP[MMWR_RATING_RO_ROLLUP],0),MATCH(C$9,MMWR_RATING_RO_ROLLUP[#Headers],0)),"ERROR"))</f>
        <v>7799</v>
      </c>
      <c r="D36" s="155">
        <f>IF($B36=" ","",IFERROR(INDEX(MMWR_RATING_RO_ROLLUP[],MATCH($B36,MMWR_RATING_RO_ROLLUP[MMWR_RATING_RO_ROLLUP],0),MATCH(D$9,MMWR_RATING_RO_ROLLUP[#Headers],0)),"ERROR"))</f>
        <v>55.858186947</v>
      </c>
      <c r="E36" s="156">
        <f>IF($B36=" ","",IFERROR(INDEX(MMWR_RATING_RO_ROLLUP[],MATCH($B36,MMWR_RATING_RO_ROLLUP[MMWR_RATING_RO_ROLLUP],0),MATCH(E$9,MMWR_RATING_RO_ROLLUP[#Headers],0))/$C36,"ERROR"))</f>
        <v>5.9879471727144508E-2</v>
      </c>
      <c r="F36" s="154">
        <f>IF($B36=" ","",IFERROR(INDEX(MMWR_RATING_RO_ROLLUP[],MATCH($B36,MMWR_RATING_RO_ROLLUP[MMWR_RATING_RO_ROLLUP],0),MATCH(F$9,MMWR_RATING_RO_ROLLUP[#Headers],0)),"ERROR"))</f>
        <v>1891</v>
      </c>
      <c r="G36" s="154">
        <f>IF($B36=" ","",IFERROR(INDEX(MMWR_RATING_RO_ROLLUP[],MATCH($B36,MMWR_RATING_RO_ROLLUP[MMWR_RATING_RO_ROLLUP],0),MATCH(G$9,MMWR_RATING_RO_ROLLUP[#Headers],0)),"ERROR"))</f>
        <v>6635</v>
      </c>
      <c r="H36" s="155">
        <f>IF($B36=" ","",IFERROR(INDEX(MMWR_RATING_RO_ROLLUP[],MATCH($B36,MMWR_RATING_RO_ROLLUP[MMWR_RATING_RO_ROLLUP],0),MATCH(H$9,MMWR_RATING_RO_ROLLUP[#Headers],0)),"ERROR"))</f>
        <v>65.505023796900005</v>
      </c>
      <c r="I36" s="155">
        <f>IF($B36=" ","",IFERROR(INDEX(MMWR_RATING_RO_ROLLUP[],MATCH($B36,MMWR_RATING_RO_ROLLUP[MMWR_RATING_RO_ROLLUP],0),MATCH(I$9,MMWR_RATING_RO_ROLLUP[#Headers],0)),"ERROR"))</f>
        <v>63.573926149199998</v>
      </c>
      <c r="J36" s="42"/>
      <c r="K36" s="42"/>
      <c r="L36" s="42"/>
      <c r="M36" s="42"/>
      <c r="N36" s="28"/>
    </row>
    <row r="37" spans="1:14" x14ac:dyDescent="0.2">
      <c r="A37" s="25"/>
      <c r="B37" s="13" t="s">
        <v>230</v>
      </c>
      <c r="C37" s="154">
        <f>IF($B37=" ","",IFERROR(INDEX(MMWR_RATING_RO_ROLLUP[],MATCH($B37,MMWR_RATING_RO_ROLLUP[MMWR_RATING_RO_ROLLUP],0),MATCH(C$9,MMWR_RATING_RO_ROLLUP[#Headers],0)),"ERROR"))</f>
        <v>588</v>
      </c>
      <c r="D37" s="155">
        <f>IF($B37=" ","",IFERROR(INDEX(MMWR_RATING_RO_ROLLUP[],MATCH($B37,MMWR_RATING_RO_ROLLUP[MMWR_RATING_RO_ROLLUP],0),MATCH(D$9,MMWR_RATING_RO_ROLLUP[#Headers],0)),"ERROR"))</f>
        <v>165.13945578229999</v>
      </c>
      <c r="E37" s="156">
        <f>IF($B37=" ","",IFERROR(INDEX(MMWR_RATING_RO_ROLLUP[],MATCH($B37,MMWR_RATING_RO_ROLLUP[MMWR_RATING_RO_ROLLUP],0),MATCH(E$9,MMWR_RATING_RO_ROLLUP[#Headers],0))/$C37,"ERROR"))</f>
        <v>0.44387755102040816</v>
      </c>
      <c r="F37" s="154">
        <f>IF($B37=" ","",IFERROR(INDEX(MMWR_RATING_RO_ROLLUP[],MATCH($B37,MMWR_RATING_RO_ROLLUP[MMWR_RATING_RO_ROLLUP],0),MATCH(F$9,MMWR_RATING_RO_ROLLUP[#Headers],0)),"ERROR"))</f>
        <v>201</v>
      </c>
      <c r="G37" s="154">
        <f>IF($B37=" ","",IFERROR(INDEX(MMWR_RATING_RO_ROLLUP[],MATCH($B37,MMWR_RATING_RO_ROLLUP[MMWR_RATING_RO_ROLLUP],0),MATCH(G$9,MMWR_RATING_RO_ROLLUP[#Headers],0)),"ERROR"))</f>
        <v>629</v>
      </c>
      <c r="H37" s="155">
        <f>IF($B37=" ","",IFERROR(INDEX(MMWR_RATING_RO_ROLLUP[],MATCH($B37,MMWR_RATING_RO_ROLLUP[MMWR_RATING_RO_ROLLUP],0),MATCH(H$9,MMWR_RATING_RO_ROLLUP[#Headers],0)),"ERROR"))</f>
        <v>52.477611940300001</v>
      </c>
      <c r="I37" s="155">
        <f>IF($B37=" ","",IFERROR(INDEX(MMWR_RATING_RO_ROLLUP[],MATCH($B37,MMWR_RATING_RO_ROLLUP[MMWR_RATING_RO_ROLLUP],0),MATCH(I$9,MMWR_RATING_RO_ROLLUP[#Headers],0)),"ERROR"))</f>
        <v>53.022257551700001</v>
      </c>
      <c r="J37" s="42"/>
      <c r="K37" s="42"/>
      <c r="L37" s="42"/>
      <c r="M37" s="42"/>
      <c r="N37" s="28"/>
    </row>
    <row r="38" spans="1:14" x14ac:dyDescent="0.2">
      <c r="A38" s="25"/>
      <c r="B38" s="361" t="s">
        <v>923</v>
      </c>
      <c r="C38" s="362"/>
      <c r="D38" s="362"/>
      <c r="E38" s="362"/>
      <c r="F38" s="362"/>
      <c r="G38" s="362"/>
      <c r="H38" s="362"/>
      <c r="I38" s="362"/>
      <c r="J38" s="362"/>
      <c r="K38" s="362"/>
      <c r="L38" s="362"/>
      <c r="M38" s="371"/>
      <c r="N38" s="28"/>
    </row>
    <row r="39" spans="1:14" x14ac:dyDescent="0.2">
      <c r="A39" s="25"/>
      <c r="B39" s="44" t="s">
        <v>704</v>
      </c>
      <c r="C39" s="154">
        <f>IF($B39=" ","",IFERROR(INDEX(MMWR_RATING_RO_ROLLUP[],MATCH($B39,MMWR_RATING_RO_ROLLUP[MMWR_RATING_RO_ROLLUP],0),MATCH(C$9,MMWR_RATING_RO_ROLLUP[#Headers],0)),"ERROR"))</f>
        <v>10558</v>
      </c>
      <c r="D39" s="155">
        <f>IF($B39=" ","",IFERROR(INDEX(MMWR_RATING_RO_ROLLUP[],MATCH($B39,MMWR_RATING_RO_ROLLUP[MMWR_RATING_RO_ROLLUP],0),MATCH(D$9,MMWR_RATING_RO_ROLLUP[#Headers],0)),"ERROR"))</f>
        <v>75.202121613900005</v>
      </c>
      <c r="E39" s="156">
        <f>IF($B39=" ","",IFERROR(INDEX(MMWR_RATING_RO_ROLLUP[],MATCH($B39,MMWR_RATING_RO_ROLLUP[MMWR_RATING_RO_ROLLUP],0),MATCH(E$9,MMWR_RATING_RO_ROLLUP[#Headers],0))/$C39,"ERROR"))</f>
        <v>0.15476415987876491</v>
      </c>
      <c r="F39" s="154">
        <f>IF($B39=" ","",IFERROR(INDEX(MMWR_RATING_RO_ROLLUP[],MATCH($B39,MMWR_RATING_RO_ROLLUP[MMWR_RATING_RO_ROLLUP],0),MATCH(F$9,MMWR_RATING_RO_ROLLUP[#Headers],0)),"ERROR"))</f>
        <v>749</v>
      </c>
      <c r="G39" s="154">
        <f>IF($B39=" ","",IFERROR(INDEX(MMWR_RATING_RO_ROLLUP[],MATCH($B39,MMWR_RATING_RO_ROLLUP[MMWR_RATING_RO_ROLLUP],0),MATCH(G$9,MMWR_RATING_RO_ROLLUP[#Headers],0)),"ERROR"))</f>
        <v>2147</v>
      </c>
      <c r="H39" s="155">
        <f>IF($B39=" ","",IFERROR(INDEX(MMWR_RATING_RO_ROLLUP[],MATCH($B39,MMWR_RATING_RO_ROLLUP[MMWR_RATING_RO_ROLLUP],0),MATCH(H$9,MMWR_RATING_RO_ROLLUP[#Headers],0)),"ERROR"))</f>
        <v>137.7543391188</v>
      </c>
      <c r="I39" s="155">
        <f>IF($B39=" ","",IFERROR(INDEX(MMWR_RATING_RO_ROLLUP[],MATCH($B39,MMWR_RATING_RO_ROLLUP[MMWR_RATING_RO_ROLLUP],0),MATCH(I$9,MMWR_RATING_RO_ROLLUP[#Headers],0)),"ERROR"))</f>
        <v>134.65533302279999</v>
      </c>
      <c r="J39" s="42"/>
      <c r="K39" s="42"/>
      <c r="L39" s="42"/>
      <c r="M39" s="42"/>
      <c r="N39" s="28"/>
    </row>
    <row r="40" spans="1:14" x14ac:dyDescent="0.2">
      <c r="A40" s="25"/>
      <c r="B40" s="53" t="s">
        <v>963</v>
      </c>
      <c r="C40" s="154">
        <f>IF($B40=" ","",IFERROR(INDEX(MMWR_RATING_RO_ROLLUP[],MATCH($B40,MMWR_RATING_RO_ROLLUP[MMWR_RATING_RO_ROLLUP],0),MATCH(C$9,MMWR_RATING_RO_ROLLUP[#Headers],0)),"ERROR"))</f>
        <v>1847</v>
      </c>
      <c r="D40" s="155">
        <f>IF($B40=" ","",IFERROR(INDEX(MMWR_RATING_RO_ROLLUP[],MATCH($B40,MMWR_RATING_RO_ROLLUP[MMWR_RATING_RO_ROLLUP],0),MATCH(D$9,MMWR_RATING_RO_ROLLUP[#Headers],0)),"ERROR"))</f>
        <v>71.022198159200002</v>
      </c>
      <c r="E40" s="156">
        <f>IF($B40=" ","",IFERROR(INDEX(MMWR_RATING_RO_ROLLUP[],MATCH($B40,MMWR_RATING_RO_ROLLUP[MMWR_RATING_RO_ROLLUP],0),MATCH(E$9,MMWR_RATING_RO_ROLLUP[#Headers],0))/$C40,"ERROR"))</f>
        <v>9.5831077422847855E-2</v>
      </c>
      <c r="F40" s="154">
        <f>IF($B40=" ","",IFERROR(INDEX(MMWR_RATING_RO_ROLLUP[],MATCH($B40,MMWR_RATING_RO_ROLLUP[MMWR_RATING_RO_ROLLUP],0),MATCH(F$9,MMWR_RATING_RO_ROLLUP[#Headers],0)),"ERROR"))</f>
        <v>174</v>
      </c>
      <c r="G40" s="154">
        <f>IF($B40=" ","",IFERROR(INDEX(MMWR_RATING_RO_ROLLUP[],MATCH($B40,MMWR_RATING_RO_ROLLUP[MMWR_RATING_RO_ROLLUP],0),MATCH(G$9,MMWR_RATING_RO_ROLLUP[#Headers],0)),"ERROR"))</f>
        <v>544</v>
      </c>
      <c r="H40" s="155">
        <f>IF($B40=" ","",IFERROR(INDEX(MMWR_RATING_RO_ROLLUP[],MATCH($B40,MMWR_RATING_RO_ROLLUP[MMWR_RATING_RO_ROLLUP],0),MATCH(H$9,MMWR_RATING_RO_ROLLUP[#Headers],0)),"ERROR"))</f>
        <v>125.7988505747</v>
      </c>
      <c r="I40" s="155">
        <f>IF($B40=" ","",IFERROR(INDEX(MMWR_RATING_RO_ROLLUP[],MATCH($B40,MMWR_RATING_RO_ROLLUP[MMWR_RATING_RO_ROLLUP],0),MATCH(I$9,MMWR_RATING_RO_ROLLUP[#Headers],0)),"ERROR"))</f>
        <v>116.7113970588</v>
      </c>
      <c r="J40" s="42"/>
      <c r="K40" s="42"/>
      <c r="L40" s="42"/>
      <c r="M40" s="42"/>
      <c r="N40" s="28"/>
    </row>
    <row r="41" spans="1:14" x14ac:dyDescent="0.2">
      <c r="A41" s="25"/>
      <c r="B41" s="53" t="s">
        <v>964</v>
      </c>
      <c r="C41" s="154">
        <f>IF($B41=" ","",IFERROR(INDEX(MMWR_RATING_RO_ROLLUP[],MATCH($B41,MMWR_RATING_RO_ROLLUP[MMWR_RATING_RO_ROLLUP],0),MATCH(C$9,MMWR_RATING_RO_ROLLUP[#Headers],0)),"ERROR"))</f>
        <v>1825</v>
      </c>
      <c r="D41" s="155">
        <f>IF($B41=" ","",IFERROR(INDEX(MMWR_RATING_RO_ROLLUP[],MATCH($B41,MMWR_RATING_RO_ROLLUP[MMWR_RATING_RO_ROLLUP],0),MATCH(D$9,MMWR_RATING_RO_ROLLUP[#Headers],0)),"ERROR"))</f>
        <v>79.094794520500002</v>
      </c>
      <c r="E41" s="156">
        <f>IF($B41=" ","",IFERROR(INDEX(MMWR_RATING_RO_ROLLUP[],MATCH($B41,MMWR_RATING_RO_ROLLUP[MMWR_RATING_RO_ROLLUP],0),MATCH(E$9,MMWR_RATING_RO_ROLLUP[#Headers],0))/$C41,"ERROR"))</f>
        <v>0.18575342465753425</v>
      </c>
      <c r="F41" s="154">
        <f>IF($B41=" ","",IFERROR(INDEX(MMWR_RATING_RO_ROLLUP[],MATCH($B41,MMWR_RATING_RO_ROLLUP[MMWR_RATING_RO_ROLLUP],0),MATCH(F$9,MMWR_RATING_RO_ROLLUP[#Headers],0)),"ERROR"))</f>
        <v>182</v>
      </c>
      <c r="G41" s="154">
        <f>IF($B41=" ","",IFERROR(INDEX(MMWR_RATING_RO_ROLLUP[],MATCH($B41,MMWR_RATING_RO_ROLLUP[MMWR_RATING_RO_ROLLUP],0),MATCH(G$9,MMWR_RATING_RO_ROLLUP[#Headers],0)),"ERROR"))</f>
        <v>393</v>
      </c>
      <c r="H41" s="155">
        <f>IF($B41=" ","",IFERROR(INDEX(MMWR_RATING_RO_ROLLUP[],MATCH($B41,MMWR_RATING_RO_ROLLUP[MMWR_RATING_RO_ROLLUP],0),MATCH(H$9,MMWR_RATING_RO_ROLLUP[#Headers],0)),"ERROR"))</f>
        <v>150.8956043956</v>
      </c>
      <c r="I41" s="155">
        <f>IF($B41=" ","",IFERROR(INDEX(MMWR_RATING_RO_ROLLUP[],MATCH($B41,MMWR_RATING_RO_ROLLUP[MMWR_RATING_RO_ROLLUP],0),MATCH(I$9,MMWR_RATING_RO_ROLLUP[#Headers],0)),"ERROR"))</f>
        <v>151.737913486</v>
      </c>
      <c r="J41" s="42"/>
      <c r="K41" s="42"/>
      <c r="L41" s="42"/>
      <c r="M41" s="42"/>
      <c r="N41" s="28"/>
    </row>
    <row r="42" spans="1:14" x14ac:dyDescent="0.2">
      <c r="A42" s="25"/>
      <c r="B42" s="46" t="s">
        <v>313</v>
      </c>
      <c r="C42" s="154">
        <f>IF($B42=" ","",IFERROR(INDEX(MMWR_RATING_RO_ROLLUP[],MATCH($B42,MMWR_RATING_RO_ROLLUP[MMWR_RATING_RO_ROLLUP],0),MATCH(C$9,MMWR_RATING_RO_ROLLUP[#Headers],0)),"ERROR"))</f>
        <v>6886</v>
      </c>
      <c r="D42" s="155">
        <f>IF($B42=" ","",IFERROR(INDEX(MMWR_RATING_RO_ROLLUP[],MATCH($B42,MMWR_RATING_RO_ROLLUP[MMWR_RATING_RO_ROLLUP],0),MATCH(D$9,MMWR_RATING_RO_ROLLUP[#Headers],0)),"ERROR"))</f>
        <v>75.291606157399997</v>
      </c>
      <c r="E42" s="156">
        <f>IF($B42=" ","",IFERROR(INDEX(MMWR_RATING_RO_ROLLUP[],MATCH($B42,MMWR_RATING_RO_ROLLUP[MMWR_RATING_RO_ROLLUP],0),MATCH(E$9,MMWR_RATING_RO_ROLLUP[#Headers],0))/$C42,"ERROR"))</f>
        <v>0.16235840836479815</v>
      </c>
      <c r="F42" s="154">
        <f>IF($B42=" ","",IFERROR(INDEX(MMWR_RATING_RO_ROLLUP[],MATCH($B42,MMWR_RATING_RO_ROLLUP[MMWR_RATING_RO_ROLLUP],0),MATCH(F$9,MMWR_RATING_RO_ROLLUP[#Headers],0)),"ERROR"))</f>
        <v>393</v>
      </c>
      <c r="G42" s="154">
        <f>IF($B42=" ","",IFERROR(INDEX(MMWR_RATING_RO_ROLLUP[],MATCH($B42,MMWR_RATING_RO_ROLLUP[MMWR_RATING_RO_ROLLUP],0),MATCH(G$9,MMWR_RATING_RO_ROLLUP[#Headers],0)),"ERROR"))</f>
        <v>1210</v>
      </c>
      <c r="H42" s="155">
        <f>IF($B42=" ","",IFERROR(INDEX(MMWR_RATING_RO_ROLLUP[],MATCH($B42,MMWR_RATING_RO_ROLLUP[MMWR_RATING_RO_ROLLUP],0),MATCH(H$9,MMWR_RATING_RO_ROLLUP[#Headers],0)),"ERROR"))</f>
        <v>136.96183206110001</v>
      </c>
      <c r="I42" s="155">
        <f>IF($B42=" ","",IFERROR(INDEX(MMWR_RATING_RO_ROLLUP[],MATCH($B42,MMWR_RATING_RO_ROLLUP[MMWR_RATING_RO_ROLLUP],0),MATCH(I$9,MMWR_RATING_RO_ROLLUP[#Headers],0)),"ERROR"))</f>
        <v>137.17438016529999</v>
      </c>
      <c r="J42" s="42"/>
      <c r="K42" s="42"/>
      <c r="L42" s="42"/>
      <c r="M42" s="42"/>
      <c r="N42" s="28"/>
    </row>
    <row r="43" spans="1:14" x14ac:dyDescent="0.2">
      <c r="A43" s="25"/>
      <c r="B43" s="361" t="s">
        <v>741</v>
      </c>
      <c r="C43" s="362"/>
      <c r="D43" s="362"/>
      <c r="E43" s="362"/>
      <c r="F43" s="362"/>
      <c r="G43" s="362"/>
      <c r="H43" s="362"/>
      <c r="I43" s="362"/>
      <c r="J43" s="362"/>
      <c r="K43" s="362"/>
      <c r="L43" s="362"/>
      <c r="M43" s="371"/>
      <c r="N43" s="28"/>
    </row>
    <row r="44" spans="1:14" x14ac:dyDescent="0.2">
      <c r="A44" s="25"/>
      <c r="B44" s="44" t="s">
        <v>702</v>
      </c>
      <c r="C44" s="154">
        <f>IF($B44=" ","",IFERROR(INDEX(MMWR_RATING_RO_ROLLUP[],MATCH($B44,MMWR_RATING_RO_ROLLUP[MMWR_RATING_RO_ROLLUP],0),MATCH(C$9,MMWR_RATING_RO_ROLLUP[#Headers],0)),"ERROR"))</f>
        <v>11811</v>
      </c>
      <c r="D44" s="155">
        <f>IF($B44=" ","",IFERROR(INDEX(MMWR_RATING_RO_ROLLUP[],MATCH($B44,MMWR_RATING_RO_ROLLUP[MMWR_RATING_RO_ROLLUP],0),MATCH(D$9,MMWR_RATING_RO_ROLLUP[#Headers],0)),"ERROR"))</f>
        <v>75.277876555800006</v>
      </c>
      <c r="E44" s="156">
        <f>IF($B44=" ","",IFERROR(INDEX(MMWR_RATING_RO_ROLLUP[],MATCH($B44,MMWR_RATING_RO_ROLLUP[MMWR_RATING_RO_ROLLUP],0),MATCH(E$9,MMWR_RATING_RO_ROLLUP[#Headers],0))/$C44,"ERROR"))</f>
        <v>0.1565489797646262</v>
      </c>
      <c r="F44" s="154">
        <f>IF($B44=" ","",IFERROR(INDEX(MMWR_RATING_RO_ROLLUP[],MATCH($B44,MMWR_RATING_RO_ROLLUP[MMWR_RATING_RO_ROLLUP],0),MATCH(F$9,MMWR_RATING_RO_ROLLUP[#Headers],0)),"ERROR"))</f>
        <v>952</v>
      </c>
      <c r="G44" s="154">
        <f>IF($B44=" ","",IFERROR(INDEX(MMWR_RATING_RO_ROLLUP[],MATCH($B44,MMWR_RATING_RO_ROLLUP[MMWR_RATING_RO_ROLLUP],0),MATCH(G$9,MMWR_RATING_RO_ROLLUP[#Headers],0)),"ERROR"))</f>
        <v>2528</v>
      </c>
      <c r="H44" s="155">
        <f>IF($B44=" ","",IFERROR(INDEX(MMWR_RATING_RO_ROLLUP[],MATCH($B44,MMWR_RATING_RO_ROLLUP[MMWR_RATING_RO_ROLLUP],0),MATCH(H$9,MMWR_RATING_RO_ROLLUP[#Headers],0)),"ERROR"))</f>
        <v>128.09663865549999</v>
      </c>
      <c r="I44" s="155">
        <f>IF($B44=" ","",IFERROR(INDEX(MMWR_RATING_RO_ROLLUP[],MATCH($B44,MMWR_RATING_RO_ROLLUP[MMWR_RATING_RO_ROLLUP],0),MATCH(I$9,MMWR_RATING_RO_ROLLUP[#Headers],0)),"ERROR"))</f>
        <v>128.66455696200001</v>
      </c>
      <c r="J44" s="42"/>
      <c r="K44" s="42"/>
      <c r="L44" s="42"/>
      <c r="M44" s="42"/>
      <c r="N44" s="28"/>
    </row>
    <row r="45" spans="1:14" x14ac:dyDescent="0.2">
      <c r="A45" s="25"/>
      <c r="B45" s="45" t="s">
        <v>217</v>
      </c>
      <c r="C45" s="154">
        <f>IF($B45=" ","",IFERROR(INDEX(MMWR_RATING_RO_ROLLUP[],MATCH($B45,MMWR_RATING_RO_ROLLUP[MMWR_RATING_RO_ROLLUP],0),MATCH(C$9,MMWR_RATING_RO_ROLLUP[#Headers],0)),"ERROR"))</f>
        <v>73</v>
      </c>
      <c r="D45" s="155">
        <f>IF($B45=" ","",IFERROR(INDEX(MMWR_RATING_RO_ROLLUP[],MATCH($B45,MMWR_RATING_RO_ROLLUP[MMWR_RATING_RO_ROLLUP],0),MATCH(D$9,MMWR_RATING_RO_ROLLUP[#Headers],0)),"ERROR"))</f>
        <v>73.506849315099998</v>
      </c>
      <c r="E45" s="156">
        <f>IF($B45=" ","",IFERROR(INDEX(MMWR_RATING_RO_ROLLUP[],MATCH($B45,MMWR_RATING_RO_ROLLUP[MMWR_RATING_RO_ROLLUP],0),MATCH(E$9,MMWR_RATING_RO_ROLLUP[#Headers],0))/$C45,"ERROR"))</f>
        <v>0.1095890410958904</v>
      </c>
      <c r="F45" s="154">
        <f>IF($B45=" ","",IFERROR(INDEX(MMWR_RATING_RO_ROLLUP[],MATCH($B45,MMWR_RATING_RO_ROLLUP[MMWR_RATING_RO_ROLLUP],0),MATCH(F$9,MMWR_RATING_RO_ROLLUP[#Headers],0)),"ERROR"))</f>
        <v>6</v>
      </c>
      <c r="G45" s="154">
        <f>IF($B45=" ","",IFERROR(INDEX(MMWR_RATING_RO_ROLLUP[],MATCH($B45,MMWR_RATING_RO_ROLLUP[MMWR_RATING_RO_ROLLUP],0),MATCH(G$9,MMWR_RATING_RO_ROLLUP[#Headers],0)),"ERROR"))</f>
        <v>18</v>
      </c>
      <c r="H45" s="155">
        <f>IF($B45=" ","",IFERROR(INDEX(MMWR_RATING_RO_ROLLUP[],MATCH($B45,MMWR_RATING_RO_ROLLUP[MMWR_RATING_RO_ROLLUP],0),MATCH(H$9,MMWR_RATING_RO_ROLLUP[#Headers],0)),"ERROR"))</f>
        <v>82.166666666699996</v>
      </c>
      <c r="I45" s="155">
        <f>IF($B45=" ","",IFERROR(INDEX(MMWR_RATING_RO_ROLLUP[],MATCH($B45,MMWR_RATING_RO_ROLLUP[MMWR_RATING_RO_ROLLUP],0),MATCH(I$9,MMWR_RATING_RO_ROLLUP[#Headers],0)),"ERROR"))</f>
        <v>164.1666666667</v>
      </c>
      <c r="J45" s="42"/>
      <c r="K45" s="42"/>
      <c r="L45" s="42"/>
      <c r="M45" s="42"/>
      <c r="N45" s="28"/>
    </row>
    <row r="46" spans="1:14" x14ac:dyDescent="0.2">
      <c r="A46" s="25"/>
      <c r="B46" s="45" t="s">
        <v>219</v>
      </c>
      <c r="C46" s="154">
        <f>IF($B46=" ","",IFERROR(INDEX(MMWR_RATING_RO_ROLLUP[],MATCH($B46,MMWR_RATING_RO_ROLLUP[MMWR_RATING_RO_ROLLUP],0),MATCH(C$9,MMWR_RATING_RO_ROLLUP[#Headers],0)),"ERROR"))</f>
        <v>2032</v>
      </c>
      <c r="D46" s="155">
        <f>IF($B46=" ","",IFERROR(INDEX(MMWR_RATING_RO_ROLLUP[],MATCH($B46,MMWR_RATING_RO_ROLLUP[MMWR_RATING_RO_ROLLUP],0),MATCH(D$9,MMWR_RATING_RO_ROLLUP[#Headers],0)),"ERROR"))</f>
        <v>82.916830708700004</v>
      </c>
      <c r="E46" s="156">
        <f>IF($B46=" ","",IFERROR(INDEX(MMWR_RATING_RO_ROLLUP[],MATCH($B46,MMWR_RATING_RO_ROLLUP[MMWR_RATING_RO_ROLLUP],0),MATCH(E$9,MMWR_RATING_RO_ROLLUP[#Headers],0))/$C46,"ERROR"))</f>
        <v>0.19832677165354332</v>
      </c>
      <c r="F46" s="154">
        <f>IF($B46=" ","",IFERROR(INDEX(MMWR_RATING_RO_ROLLUP[],MATCH($B46,MMWR_RATING_RO_ROLLUP[MMWR_RATING_RO_ROLLUP],0),MATCH(F$9,MMWR_RATING_RO_ROLLUP[#Headers],0)),"ERROR"))</f>
        <v>210</v>
      </c>
      <c r="G46" s="154">
        <f>IF($B46=" ","",IFERROR(INDEX(MMWR_RATING_RO_ROLLUP[],MATCH($B46,MMWR_RATING_RO_ROLLUP[MMWR_RATING_RO_ROLLUP],0),MATCH(G$9,MMWR_RATING_RO_ROLLUP[#Headers],0)),"ERROR"))</f>
        <v>462</v>
      </c>
      <c r="H46" s="155">
        <f>IF($B46=" ","",IFERROR(INDEX(MMWR_RATING_RO_ROLLUP[],MATCH($B46,MMWR_RATING_RO_ROLLUP[MMWR_RATING_RO_ROLLUP],0),MATCH(H$9,MMWR_RATING_RO_ROLLUP[#Headers],0)),"ERROR"))</f>
        <v>139.89047619050001</v>
      </c>
      <c r="I46" s="155">
        <f>IF($B46=" ","",IFERROR(INDEX(MMWR_RATING_RO_ROLLUP[],MATCH($B46,MMWR_RATING_RO_ROLLUP[MMWR_RATING_RO_ROLLUP],0),MATCH(I$9,MMWR_RATING_RO_ROLLUP[#Headers],0)),"ERROR"))</f>
        <v>143.37662337660001</v>
      </c>
      <c r="J46" s="42"/>
      <c r="K46" s="42"/>
      <c r="L46" s="42"/>
      <c r="M46" s="42"/>
      <c r="N46" s="28"/>
    </row>
    <row r="47" spans="1:14" x14ac:dyDescent="0.2">
      <c r="A47" s="25"/>
      <c r="B47" s="47" t="s">
        <v>314</v>
      </c>
      <c r="C47" s="154">
        <f>IF($B47=" ","",IFERROR(INDEX(MMWR_RATING_RO_ROLLUP[],MATCH($B47,MMWR_RATING_RO_ROLLUP[MMWR_RATING_RO_ROLLUP],0),MATCH(C$9,MMWR_RATING_RO_ROLLUP[#Headers],0)),"ERROR"))</f>
        <v>9706</v>
      </c>
      <c r="D47" s="155">
        <f>IF($B47=" ","",IFERROR(INDEX(MMWR_RATING_RO_ROLLUP[],MATCH($B47,MMWR_RATING_RO_ROLLUP[MMWR_RATING_RO_ROLLUP],0),MATCH(D$9,MMWR_RATING_RO_ROLLUP[#Headers],0)),"ERROR"))</f>
        <v>73.691943128000005</v>
      </c>
      <c r="E47" s="156">
        <f>IF($B47=" ","",IFERROR(INDEX(MMWR_RATING_RO_ROLLUP[],MATCH($B47,MMWR_RATING_RO_ROLLUP[MMWR_RATING_RO_ROLLUP],0),MATCH(E$9,MMWR_RATING_RO_ROLLUP[#Headers],0))/$C47,"ERROR"))</f>
        <v>0.14815577992994025</v>
      </c>
      <c r="F47" s="154">
        <f>IF($B47=" ","",IFERROR(INDEX(MMWR_RATING_RO_ROLLUP[],MATCH($B47,MMWR_RATING_RO_ROLLUP[MMWR_RATING_RO_ROLLUP],0),MATCH(F$9,MMWR_RATING_RO_ROLLUP[#Headers],0)),"ERROR"))</f>
        <v>736</v>
      </c>
      <c r="G47" s="154">
        <f>IF($B47=" ","",IFERROR(INDEX(MMWR_RATING_RO_ROLLUP[],MATCH($B47,MMWR_RATING_RO_ROLLUP[MMWR_RATING_RO_ROLLUP],0),MATCH(G$9,MMWR_RATING_RO_ROLLUP[#Headers],0)),"ERROR"))</f>
        <v>2048</v>
      </c>
      <c r="H47" s="155">
        <f>IF($B47=" ","",IFERROR(INDEX(MMWR_RATING_RO_ROLLUP[],MATCH($B47,MMWR_RATING_RO_ROLLUP[MMWR_RATING_RO_ROLLUP],0),MATCH(H$9,MMWR_RATING_RO_ROLLUP[#Headers],0)),"ERROR"))</f>
        <v>125.1059782609</v>
      </c>
      <c r="I47" s="155">
        <f>IF($B47=" ","",IFERROR(INDEX(MMWR_RATING_RO_ROLLUP[],MATCH($B47,MMWR_RATING_RO_ROLLUP[MMWR_RATING_RO_ROLLUP],0),MATCH(I$9,MMWR_RATING_RO_ROLLUP[#Headers],0)),"ERROR"))</f>
        <v>125.03369140629999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33" t="s">
        <v>985</v>
      </c>
      <c r="D2" s="334"/>
      <c r="E2" s="334"/>
      <c r="F2" s="334"/>
      <c r="G2" s="334"/>
      <c r="H2" s="334"/>
      <c r="I2" s="334"/>
      <c r="J2" s="333" t="s">
        <v>306</v>
      </c>
      <c r="K2" s="334"/>
      <c r="L2" s="334"/>
      <c r="M2" s="335"/>
      <c r="N2" s="28"/>
    </row>
    <row r="3" spans="1:15" ht="24" customHeight="1" thickBot="1" x14ac:dyDescent="0.4">
      <c r="A3" s="25"/>
      <c r="B3" s="29"/>
      <c r="C3" s="336"/>
      <c r="D3" s="337"/>
      <c r="E3" s="337"/>
      <c r="F3" s="337"/>
      <c r="G3" s="337"/>
      <c r="H3" s="337"/>
      <c r="I3" s="337"/>
      <c r="J3" s="336" t="str">
        <f>Transformation!B4</f>
        <v>As of: November 14, 2015</v>
      </c>
      <c r="K3" s="337"/>
      <c r="L3" s="337"/>
      <c r="M3" s="338"/>
      <c r="N3" s="28"/>
    </row>
    <row r="4" spans="1:15" ht="51.75" customHeight="1" thickBot="1" x14ac:dyDescent="0.35">
      <c r="A4" s="30"/>
      <c r="B4" s="247" t="s">
        <v>462</v>
      </c>
      <c r="C4" s="339" t="s">
        <v>438</v>
      </c>
      <c r="D4" s="340"/>
      <c r="E4" s="340"/>
      <c r="F4" s="340"/>
      <c r="G4" s="340"/>
      <c r="H4" s="340"/>
      <c r="I4" s="340"/>
      <c r="J4" s="340"/>
      <c r="K4" s="340"/>
      <c r="L4" s="340"/>
      <c r="M4" s="341"/>
      <c r="N4" s="28"/>
    </row>
    <row r="5" spans="1:15" ht="27" customHeight="1" thickBot="1" x14ac:dyDescent="0.25">
      <c r="A5" s="30"/>
      <c r="B5" s="246" t="s">
        <v>376</v>
      </c>
      <c r="C5" s="342" t="s">
        <v>1049</v>
      </c>
      <c r="D5" s="343"/>
      <c r="E5" s="343"/>
      <c r="F5" s="343"/>
      <c r="G5" s="343"/>
      <c r="H5" s="343"/>
      <c r="I5" s="343"/>
      <c r="J5" s="343"/>
      <c r="K5" s="343"/>
      <c r="L5" s="343"/>
      <c r="M5" s="343"/>
      <c r="N5" s="343"/>
      <c r="O5" s="344"/>
    </row>
    <row r="6" spans="1:15" ht="55.5" customHeight="1" x14ac:dyDescent="0.2">
      <c r="A6" s="30"/>
      <c r="B6" s="31"/>
      <c r="C6" s="32" t="s">
        <v>196</v>
      </c>
      <c r="D6" s="345" t="s">
        <v>16</v>
      </c>
      <c r="E6" s="346"/>
      <c r="F6" s="33" t="s">
        <v>199</v>
      </c>
      <c r="G6" s="345" t="s">
        <v>204</v>
      </c>
      <c r="H6" s="347"/>
      <c r="I6" s="33" t="s">
        <v>202</v>
      </c>
      <c r="J6" s="49" t="s">
        <v>14</v>
      </c>
      <c r="K6" s="33" t="s">
        <v>207</v>
      </c>
      <c r="L6" s="351" t="s">
        <v>88</v>
      </c>
      <c r="M6" s="379"/>
      <c r="N6" s="28"/>
    </row>
    <row r="7" spans="1:15" ht="51.75" customHeight="1" x14ac:dyDescent="0.2">
      <c r="A7" s="30"/>
      <c r="B7" s="34"/>
      <c r="C7" s="35" t="s">
        <v>197</v>
      </c>
      <c r="D7" s="363" t="s">
        <v>0</v>
      </c>
      <c r="E7" s="364"/>
      <c r="F7" s="36" t="s">
        <v>200</v>
      </c>
      <c r="G7" s="365" t="s">
        <v>205</v>
      </c>
      <c r="H7" s="365"/>
      <c r="I7" s="36" t="s">
        <v>203</v>
      </c>
      <c r="J7" s="50" t="s">
        <v>19</v>
      </c>
      <c r="K7" s="36" t="s">
        <v>208</v>
      </c>
      <c r="L7" s="375" t="s">
        <v>90</v>
      </c>
      <c r="M7" s="376"/>
      <c r="N7" s="28"/>
    </row>
    <row r="8" spans="1:15" ht="51.75" customHeight="1" thickBot="1" x14ac:dyDescent="0.25">
      <c r="A8" s="25"/>
      <c r="B8" s="28"/>
      <c r="C8" s="37" t="s">
        <v>198</v>
      </c>
      <c r="D8" s="366" t="s">
        <v>18</v>
      </c>
      <c r="E8" s="367"/>
      <c r="F8" s="38" t="s">
        <v>201</v>
      </c>
      <c r="G8" s="368" t="s">
        <v>17</v>
      </c>
      <c r="H8" s="368"/>
      <c r="I8" s="38" t="s">
        <v>206</v>
      </c>
      <c r="J8" s="51" t="s">
        <v>87</v>
      </c>
      <c r="K8" s="38" t="s">
        <v>209</v>
      </c>
      <c r="L8" s="377" t="s">
        <v>89</v>
      </c>
      <c r="M8" s="378"/>
      <c r="N8" s="28"/>
    </row>
    <row r="9" spans="1:15" x14ac:dyDescent="0.2">
      <c r="A9" s="28"/>
      <c r="B9" s="39"/>
      <c r="C9" s="39" t="s">
        <v>721</v>
      </c>
      <c r="D9" s="39" t="s">
        <v>723</v>
      </c>
      <c r="E9" s="39" t="s">
        <v>722</v>
      </c>
      <c r="F9" s="39" t="s">
        <v>725</v>
      </c>
      <c r="G9" s="39" t="s">
        <v>724</v>
      </c>
      <c r="H9" s="39" t="s">
        <v>727</v>
      </c>
      <c r="I9" s="39" t="s">
        <v>726</v>
      </c>
      <c r="J9" s="39"/>
      <c r="K9" s="39"/>
      <c r="L9" s="39"/>
      <c r="M9" s="39"/>
      <c r="N9" s="39"/>
    </row>
    <row r="10" spans="1:15" ht="15.75" customHeight="1" x14ac:dyDescent="0.2">
      <c r="A10" s="25"/>
      <c r="B10" s="26"/>
      <c r="C10" s="369" t="s">
        <v>299</v>
      </c>
      <c r="D10" s="369"/>
      <c r="E10" s="369"/>
      <c r="F10" s="369"/>
      <c r="G10" s="369"/>
      <c r="H10" s="369"/>
      <c r="I10" s="369"/>
      <c r="J10" s="369"/>
      <c r="K10" s="369"/>
      <c r="L10" s="369"/>
      <c r="M10" s="370"/>
      <c r="N10" s="28"/>
    </row>
    <row r="11" spans="1:15" ht="63.75" customHeight="1" x14ac:dyDescent="0.2">
      <c r="A11" s="25"/>
      <c r="B11" s="26"/>
      <c r="C11" s="52" t="s">
        <v>232</v>
      </c>
      <c r="D11" s="52" t="s">
        <v>140</v>
      </c>
      <c r="E11" s="52" t="s">
        <v>233</v>
      </c>
      <c r="F11" s="52" t="s">
        <v>195</v>
      </c>
      <c r="G11" s="52" t="s">
        <v>210</v>
      </c>
      <c r="H11" s="52" t="s">
        <v>212</v>
      </c>
      <c r="I11" s="52" t="s">
        <v>213</v>
      </c>
      <c r="J11" s="372" t="s">
        <v>979</v>
      </c>
      <c r="K11" s="373"/>
      <c r="L11" s="373"/>
      <c r="M11" s="374"/>
      <c r="N11" s="28"/>
    </row>
    <row r="12" spans="1:15" x14ac:dyDescent="0.2">
      <c r="A12" s="25"/>
      <c r="B12" s="41" t="s">
        <v>736</v>
      </c>
      <c r="C12" s="154">
        <f>IF($B12=" ","",IFERROR(INDEX(MMWR_RATING_STATE_ROLLUP_VSC[],MATCH($B12,MMWR_RATING_STATE_ROLLUP_VSC[MMWR_RATING_STATE_ROLLUP_VSC],0),MATCH(C$9,MMWR_RATING_STATE_ROLLUP_VSC[#Headers],0)),"ERROR"))</f>
        <v>373198</v>
      </c>
      <c r="D12" s="155">
        <f>IF($B12=" ","",IFERROR(INDEX(MMWR_RATING_STATE_ROLLUP_VSC[],MATCH($B12,MMWR_RATING_STATE_ROLLUP_VSC[MMWR_RATING_STATE_ROLLUP_VSC],0),MATCH(D$9,MMWR_RATING_STATE_ROLLUP_VSC[#Headers],0)),"ERROR"))</f>
        <v>90.457783803799998</v>
      </c>
      <c r="E12" s="158">
        <f>IF($B12=" ","",IFERROR(INDEX(MMWR_RATING_STATE_ROLLUP_VSC[],MATCH($B12,MMWR_RATING_STATE_ROLLUP_VSC[MMWR_RATING_STATE_ROLLUP_VSC],0),MATCH(E$9,MMWR_RATING_STATE_ROLLUP_VSC[#Headers],0))/$C12,"ERROR"))</f>
        <v>0.20220633551090841</v>
      </c>
      <c r="F12" s="154">
        <f>IF($B12=" ","",IFERROR(INDEX(MMWR_RATING_STATE_ROLLUP_VSC[],MATCH($B12,MMWR_RATING_STATE_ROLLUP_VSC[MMWR_RATING_STATE_ROLLUP_VSC],0),MATCH(F$9,MMWR_RATING_STATE_ROLLUP_VSC[#Headers],0)),"ERROR"))</f>
        <v>48775</v>
      </c>
      <c r="G12" s="154">
        <f>IF($B12=" ","",IFERROR(INDEX(MMWR_RATING_STATE_ROLLUP_VSC[],MATCH($B12,MMWR_RATING_STATE_ROLLUP_VSC[MMWR_RATING_STATE_ROLLUP_VSC],0),MATCH(G$9,MMWR_RATING_STATE_ROLLUP_VSC[#Headers],0)),"ERROR"))</f>
        <v>149640</v>
      </c>
      <c r="H12" s="155">
        <f>IF($B12=" ","",IFERROR(INDEX(MMWR_RATING_STATE_ROLLUP_VSC[],MATCH($B12,MMWR_RATING_STATE_ROLLUP_VSC[MMWR_RATING_STATE_ROLLUP_VSC],0),MATCH(H$9,MMWR_RATING_STATE_ROLLUP_VSC[#Headers],0)),"ERROR"))</f>
        <v>127.22814966679999</v>
      </c>
      <c r="I12" s="155">
        <f>IF($B12=" ","",IFERROR(INDEX(MMWR_RATING_STATE_ROLLUP_VSC[],MATCH($B12,MMWR_RATING_STATE_ROLLUP_VSC[MMWR_RATING_STATE_ROLLUP_VSC],0),MATCH(I$9,MMWR_RATING_STATE_ROLLUP_VSC[#Headers],0)),"ERROR"))</f>
        <v>128.6788024592</v>
      </c>
      <c r="J12" s="42"/>
      <c r="K12" s="42"/>
      <c r="L12" s="42"/>
      <c r="M12" s="42"/>
      <c r="N12" s="28"/>
    </row>
    <row r="13" spans="1:15" x14ac:dyDescent="0.2">
      <c r="A13" s="25"/>
      <c r="B13" s="361" t="s">
        <v>965</v>
      </c>
      <c r="C13" s="362"/>
      <c r="D13" s="362"/>
      <c r="E13" s="362"/>
      <c r="F13" s="362"/>
      <c r="G13" s="362"/>
      <c r="H13" s="362"/>
      <c r="I13" s="362"/>
      <c r="J13" s="362"/>
      <c r="K13" s="362"/>
      <c r="L13" s="362"/>
      <c r="M13" s="371"/>
      <c r="N13" s="28"/>
    </row>
    <row r="14" spans="1:15" x14ac:dyDescent="0.2">
      <c r="A14" s="25"/>
      <c r="B14" s="41" t="s">
        <v>1043</v>
      </c>
      <c r="C14" s="154">
        <f>IF($B14=" ","",IFERROR(INDEX(MMWR_RATING_STATE_ROLLUP_VSC[],MATCH($B14,MMWR_RATING_STATE_ROLLUP_VSC[MMWR_RATING_STATE_ROLLUP_VSC],0),MATCH(C$9,MMWR_RATING_STATE_ROLLUP_VSC[#Headers],0)),"ERROR"))</f>
        <v>326580</v>
      </c>
      <c r="D14" s="155">
        <f>IF($B14=" ","",IFERROR(INDEX(MMWR_RATING_STATE_ROLLUP_VSC[],MATCH($B14,MMWR_RATING_STATE_ROLLUP_VSC[MMWR_RATING_STATE_ROLLUP_VSC],0),MATCH(D$9,MMWR_RATING_STATE_ROLLUP_VSC[#Headers],0)),"ERROR"))</f>
        <v>93.4840314777</v>
      </c>
      <c r="E14" s="156">
        <f>IF($B14=" ","",IFERROR(INDEX(MMWR_RATING_STATE_ROLLUP_VSC[],MATCH($B14,MMWR_RATING_STATE_ROLLUP_VSC[MMWR_RATING_STATE_ROLLUP_VSC],0),MATCH(E$9,MMWR_RATING_STATE_ROLLUP_VSC[#Headers],0))/$C14,"ERROR"))</f>
        <v>0.21420172698879295</v>
      </c>
      <c r="F14" s="154">
        <f>IF($B14=" ","",IFERROR(INDEX(MMWR_RATING_STATE_ROLLUP_VSC[],MATCH($B14,MMWR_RATING_STATE_ROLLUP_VSC[MMWR_RATING_STATE_ROLLUP_VSC],0),MATCH(F$9,MMWR_RATING_STATE_ROLLUP_VSC[#Headers],0)),"ERROR"))</f>
        <v>41857</v>
      </c>
      <c r="G14" s="154">
        <f>IF($B14=" ","",IFERROR(INDEX(MMWR_RATING_STATE_ROLLUP_VSC[],MATCH($B14,MMWR_RATING_STATE_ROLLUP_VSC[MMWR_RATING_STATE_ROLLUP_VSC],0),MATCH(G$9,MMWR_RATING_STATE_ROLLUP_VSC[#Headers],0)),"ERROR"))</f>
        <v>127882</v>
      </c>
      <c r="H14" s="155">
        <f>IF($B14=" ","",IFERROR(INDEX(MMWR_RATING_STATE_ROLLUP_VSC[],MATCH($B14,MMWR_RATING_STATE_ROLLUP_VSC[MMWR_RATING_STATE_ROLLUP_VSC],0),MATCH(H$9,MMWR_RATING_STATE_ROLLUP_VSC[#Headers],0)),"ERROR"))</f>
        <v>134.29925699410001</v>
      </c>
      <c r="I14" s="155">
        <f>IF($B14=" ","",IFERROR(INDEX(MMWR_RATING_STATE_ROLLUP_VSC[],MATCH($B14,MMWR_RATING_STATE_ROLLUP_VSC[MMWR_RATING_STATE_ROLLUP_VSC],0),MATCH(I$9,MMWR_RATING_STATE_ROLLUP_VSC[#Headers],0)),"ERROR"))</f>
        <v>136.64869958240001</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70284</v>
      </c>
      <c r="D15" s="155">
        <f>IF($B15=" ","",IFERROR(INDEX(MMWR_RATING_STATE_ROLLUP_VSC[],MATCH($B15,MMWR_RATING_STATE_ROLLUP_VSC[MMWR_RATING_STATE_ROLLUP_VSC],0),MATCH(D$9,MMWR_RATING_STATE_ROLLUP_VSC[#Headers],0)),"ERROR"))</f>
        <v>95.431520687499997</v>
      </c>
      <c r="E15" s="156">
        <f>IF($B15=" ","",IFERROR(INDEX(MMWR_RATING_STATE_ROLLUP_VSC[],MATCH($B15,MMWR_RATING_STATE_ROLLUP_VSC[MMWR_RATING_STATE_ROLLUP_VSC],0),MATCH(E$9,MMWR_RATING_STATE_ROLLUP_VSC[#Headers],0))/$C15,"ERROR"))</f>
        <v>0.22387741164418645</v>
      </c>
      <c r="F15" s="154">
        <f>IF($B15=" ","",IFERROR(INDEX(MMWR_RATING_STATE_ROLLUP_VSC[],MATCH($B15,MMWR_RATING_STATE_ROLLUP_VSC[MMWR_RATING_STATE_ROLLUP_VSC],0),MATCH(F$9,MMWR_RATING_STATE_ROLLUP_VSC[#Headers],0)),"ERROR"))</f>
        <v>8684</v>
      </c>
      <c r="G15" s="154">
        <f>IF($B15=" ","",IFERROR(INDEX(MMWR_RATING_STATE_ROLLUP_VSC[],MATCH($B15,MMWR_RATING_STATE_ROLLUP_VSC[MMWR_RATING_STATE_ROLLUP_VSC],0),MATCH(G$9,MMWR_RATING_STATE_ROLLUP_VSC[#Headers],0)),"ERROR"))</f>
        <v>27031</v>
      </c>
      <c r="H15" s="155">
        <f>IF($B15=" ","",IFERROR(INDEX(MMWR_RATING_STATE_ROLLUP_VSC[],MATCH($B15,MMWR_RATING_STATE_ROLLUP_VSC[MMWR_RATING_STATE_ROLLUP_VSC],0),MATCH(H$9,MMWR_RATING_STATE_ROLLUP_VSC[#Headers],0)),"ERROR"))</f>
        <v>136.32600184250001</v>
      </c>
      <c r="I15" s="155">
        <f>IF($B15=" ","",IFERROR(INDEX(MMWR_RATING_STATE_ROLLUP_VSC[],MATCH($B15,MMWR_RATING_STATE_ROLLUP_VSC[MMWR_RATING_STATE_ROLLUP_VSC],0),MATCH(I$9,MMWR_RATING_STATE_ROLLUP_VSC[#Headers],0)),"ERROR"))</f>
        <v>138.65532166770001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1851</v>
      </c>
      <c r="D16" s="155">
        <f>IF($B16=" ","",IFERROR(INDEX(MMWR_RATING_STATE_ROLLUP_VSC[],MATCH($B16,MMWR_RATING_STATE_ROLLUP_VSC[MMWR_RATING_STATE_ROLLUP_VSC],0),MATCH(D$9,MMWR_RATING_STATE_ROLLUP_VSC[#Headers],0)),"ERROR"))</f>
        <v>80.513776337099998</v>
      </c>
      <c r="E16" s="156">
        <f>IF($B16=" ","",IFERROR(INDEX(MMWR_RATING_STATE_ROLLUP_VSC[],MATCH($B16,MMWR_RATING_STATE_ROLLUP_VSC[MMWR_RATING_STATE_ROLLUP_VSC],0),MATCH(E$9,MMWR_RATING_STATE_ROLLUP_VSC[#Headers],0))/$C16,"ERROR"))</f>
        <v>0.16693679092382496</v>
      </c>
      <c r="F16" s="154">
        <f>IF($B16=" ","",IFERROR(INDEX(MMWR_RATING_STATE_ROLLUP_VSC[],MATCH($B16,MMWR_RATING_STATE_ROLLUP_VSC[MMWR_RATING_STATE_ROLLUP_VSC],0),MATCH(F$9,MMWR_RATING_STATE_ROLLUP_VSC[#Headers],0)),"ERROR"))</f>
        <v>272</v>
      </c>
      <c r="G16" s="154">
        <f>IF($B16=" ","",IFERROR(INDEX(MMWR_RATING_STATE_ROLLUP_VSC[],MATCH($B16,MMWR_RATING_STATE_ROLLUP_VSC[MMWR_RATING_STATE_ROLLUP_VSC],0),MATCH(G$9,MMWR_RATING_STATE_ROLLUP_VSC[#Headers],0)),"ERROR"))</f>
        <v>890</v>
      </c>
      <c r="H16" s="155">
        <f>IF($B16=" ","",IFERROR(INDEX(MMWR_RATING_STATE_ROLLUP_VSC[],MATCH($B16,MMWR_RATING_STATE_ROLLUP_VSC[MMWR_RATING_STATE_ROLLUP_VSC],0),MATCH(H$9,MMWR_RATING_STATE_ROLLUP_VSC[#Headers],0)),"ERROR"))</f>
        <v>104.0257352941</v>
      </c>
      <c r="I16" s="155">
        <f>IF($B16=" ","",IFERROR(INDEX(MMWR_RATING_STATE_ROLLUP_VSC[],MATCH($B16,MMWR_RATING_STATE_ROLLUP_VSC[MMWR_RATING_STATE_ROLLUP_VSC],0),MATCH(I$9,MMWR_RATING_STATE_ROLLUP_VSC[#Headers],0)),"ERROR"))</f>
        <v>105.63707865169999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895</v>
      </c>
      <c r="D17" s="155">
        <f>IF($B17=" ","",IFERROR(INDEX(MMWR_RATING_STATE_ROLLUP_VSC[],MATCH($B17,MMWR_RATING_STATE_ROLLUP_VSC[MMWR_RATING_STATE_ROLLUP_VSC],0),MATCH(D$9,MMWR_RATING_STATE_ROLLUP_VSC[#Headers],0)),"ERROR"))</f>
        <v>107.974301676</v>
      </c>
      <c r="E17" s="156">
        <f>IF($B17=" ","",IFERROR(INDEX(MMWR_RATING_STATE_ROLLUP_VSC[],MATCH($B17,MMWR_RATING_STATE_ROLLUP_VSC[MMWR_RATING_STATE_ROLLUP_VSC],0),MATCH(E$9,MMWR_RATING_STATE_ROLLUP_VSC[#Headers],0))/$C17,"ERROR"))</f>
        <v>0.24916201117318434</v>
      </c>
      <c r="F17" s="154">
        <f>IF($B17=" ","",IFERROR(INDEX(MMWR_RATING_STATE_ROLLUP_VSC[],MATCH($B17,MMWR_RATING_STATE_ROLLUP_VSC[MMWR_RATING_STATE_ROLLUP_VSC],0),MATCH(F$9,MMWR_RATING_STATE_ROLLUP_VSC[#Headers],0)),"ERROR"))</f>
        <v>136</v>
      </c>
      <c r="G17" s="154">
        <f>IF($B17=" ","",IFERROR(INDEX(MMWR_RATING_STATE_ROLLUP_VSC[],MATCH($B17,MMWR_RATING_STATE_ROLLUP_VSC[MMWR_RATING_STATE_ROLLUP_VSC],0),MATCH(G$9,MMWR_RATING_STATE_ROLLUP_VSC[#Headers],0)),"ERROR"))</f>
        <v>366</v>
      </c>
      <c r="H17" s="155">
        <f>IF($B17=" ","",IFERROR(INDEX(MMWR_RATING_STATE_ROLLUP_VSC[],MATCH($B17,MMWR_RATING_STATE_ROLLUP_VSC[MMWR_RATING_STATE_ROLLUP_VSC],0),MATCH(H$9,MMWR_RATING_STATE_ROLLUP_VSC[#Headers],0)),"ERROR"))</f>
        <v>145.5367647059</v>
      </c>
      <c r="I17" s="155">
        <f>IF($B17=" ","",IFERROR(INDEX(MMWR_RATING_STATE_ROLLUP_VSC[],MATCH($B17,MMWR_RATING_STATE_ROLLUP_VSC[MMWR_RATING_STATE_ROLLUP_VSC],0),MATCH(I$9,MMWR_RATING_STATE_ROLLUP_VSC[#Headers],0)),"ERROR"))</f>
        <v>143.2158469945</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418</v>
      </c>
      <c r="D18" s="155">
        <f>IF($B18=" ","",IFERROR(INDEX(MMWR_RATING_STATE_ROLLUP_VSC[],MATCH($B18,MMWR_RATING_STATE_ROLLUP_VSC[MMWR_RATING_STATE_ROLLUP_VSC],0),MATCH(D$9,MMWR_RATING_STATE_ROLLUP_VSC[#Headers],0)),"ERROR"))</f>
        <v>95.734449760800004</v>
      </c>
      <c r="E18" s="156">
        <f>IF($B18=" ","",IFERROR(INDEX(MMWR_RATING_STATE_ROLLUP_VSC[],MATCH($B18,MMWR_RATING_STATE_ROLLUP_VSC[MMWR_RATING_STATE_ROLLUP_VSC],0),MATCH(E$9,MMWR_RATING_STATE_ROLLUP_VSC[#Headers],0))/$C18,"ERROR"))</f>
        <v>0.20813397129186603</v>
      </c>
      <c r="F18" s="154">
        <f>IF($B18=" ","",IFERROR(INDEX(MMWR_RATING_STATE_ROLLUP_VSC[],MATCH($B18,MMWR_RATING_STATE_ROLLUP_VSC[MMWR_RATING_STATE_ROLLUP_VSC],0),MATCH(F$9,MMWR_RATING_STATE_ROLLUP_VSC[#Headers],0)),"ERROR"))</f>
        <v>42</v>
      </c>
      <c r="G18" s="154">
        <f>IF($B18=" ","",IFERROR(INDEX(MMWR_RATING_STATE_ROLLUP_VSC[],MATCH($B18,MMWR_RATING_STATE_ROLLUP_VSC[MMWR_RATING_STATE_ROLLUP_VSC],0),MATCH(G$9,MMWR_RATING_STATE_ROLLUP_VSC[#Headers],0)),"ERROR"))</f>
        <v>172</v>
      </c>
      <c r="H18" s="155">
        <f>IF($B18=" ","",IFERROR(INDEX(MMWR_RATING_STATE_ROLLUP_VSC[],MATCH($B18,MMWR_RATING_STATE_ROLLUP_VSC[MMWR_RATING_STATE_ROLLUP_VSC],0),MATCH(H$9,MMWR_RATING_STATE_ROLLUP_VSC[#Headers],0)),"ERROR"))</f>
        <v>143.92857142860001</v>
      </c>
      <c r="I18" s="155">
        <f>IF($B18=" ","",IFERROR(INDEX(MMWR_RATING_STATE_ROLLUP_VSC[],MATCH($B18,MMWR_RATING_STATE_ROLLUP_VSC[MMWR_RATING_STATE_ROLLUP_VSC],0),MATCH(I$9,MMWR_RATING_STATE_ROLLUP_VSC[#Headers],0)),"ERROR"))</f>
        <v>157.26744186050001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1264</v>
      </c>
      <c r="D19" s="155">
        <f>IF($B19=" ","",IFERROR(INDEX(MMWR_RATING_STATE_ROLLUP_VSC[],MATCH($B19,MMWR_RATING_STATE_ROLLUP_VSC[MMWR_RATING_STATE_ROLLUP_VSC],0),MATCH(D$9,MMWR_RATING_STATE_ROLLUP_VSC[#Headers],0)),"ERROR"))</f>
        <v>70.524525316500004</v>
      </c>
      <c r="E19" s="156">
        <f>IF($B19=" ","",IFERROR(INDEX(MMWR_RATING_STATE_ROLLUP_VSC[],MATCH($B19,MMWR_RATING_STATE_ROLLUP_VSC[MMWR_RATING_STATE_ROLLUP_VSC],0),MATCH(E$9,MMWR_RATING_STATE_ROLLUP_VSC[#Headers],0))/$C19,"ERROR"))</f>
        <v>0.14398734177215189</v>
      </c>
      <c r="F19" s="154">
        <f>IF($B19=" ","",IFERROR(INDEX(MMWR_RATING_STATE_ROLLUP_VSC[],MATCH($B19,MMWR_RATING_STATE_ROLLUP_VSC[MMWR_RATING_STATE_ROLLUP_VSC],0),MATCH(F$9,MMWR_RATING_STATE_ROLLUP_VSC[#Headers],0)),"ERROR"))</f>
        <v>188</v>
      </c>
      <c r="G19" s="154">
        <f>IF($B19=" ","",IFERROR(INDEX(MMWR_RATING_STATE_ROLLUP_VSC[],MATCH($B19,MMWR_RATING_STATE_ROLLUP_VSC[MMWR_RATING_STATE_ROLLUP_VSC],0),MATCH(G$9,MMWR_RATING_STATE_ROLLUP_VSC[#Headers],0)),"ERROR"))</f>
        <v>708</v>
      </c>
      <c r="H19" s="155">
        <f>IF($B19=" ","",IFERROR(INDEX(MMWR_RATING_STATE_ROLLUP_VSC[],MATCH($B19,MMWR_RATING_STATE_ROLLUP_VSC[MMWR_RATING_STATE_ROLLUP_VSC],0),MATCH(H$9,MMWR_RATING_STATE_ROLLUP_VSC[#Headers],0)),"ERROR"))</f>
        <v>105.05851063830001</v>
      </c>
      <c r="I19" s="155">
        <f>IF($B19=" ","",IFERROR(INDEX(MMWR_RATING_STATE_ROLLUP_VSC[],MATCH($B19,MMWR_RATING_STATE_ROLLUP_VSC[MMWR_RATING_STATE_ROLLUP_VSC],0),MATCH(I$9,MMWR_RATING_STATE_ROLLUP_VSC[#Headers],0)),"ERROR"))</f>
        <v>104.5480225989</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5430</v>
      </c>
      <c r="D20" s="155">
        <f>IF($B20=" ","",IFERROR(INDEX(MMWR_RATING_STATE_ROLLUP_VSC[],MATCH($B20,MMWR_RATING_STATE_ROLLUP_VSC[MMWR_RATING_STATE_ROLLUP_VSC],0),MATCH(D$9,MMWR_RATING_STATE_ROLLUP_VSC[#Headers],0)),"ERROR"))</f>
        <v>93.355801104999998</v>
      </c>
      <c r="E20" s="156">
        <f>IF($B20=" ","",IFERROR(INDEX(MMWR_RATING_STATE_ROLLUP_VSC[],MATCH($B20,MMWR_RATING_STATE_ROLLUP_VSC[MMWR_RATING_STATE_ROLLUP_VSC],0),MATCH(E$9,MMWR_RATING_STATE_ROLLUP_VSC[#Headers],0))/$C20,"ERROR"))</f>
        <v>0.20939226519337018</v>
      </c>
      <c r="F20" s="154">
        <f>IF($B20=" ","",IFERROR(INDEX(MMWR_RATING_STATE_ROLLUP_VSC[],MATCH($B20,MMWR_RATING_STATE_ROLLUP_VSC[MMWR_RATING_STATE_ROLLUP_VSC],0),MATCH(F$9,MMWR_RATING_STATE_ROLLUP_VSC[#Headers],0)),"ERROR"))</f>
        <v>675</v>
      </c>
      <c r="G20" s="154">
        <f>IF($B20=" ","",IFERROR(INDEX(MMWR_RATING_STATE_ROLLUP_VSC[],MATCH($B20,MMWR_RATING_STATE_ROLLUP_VSC[MMWR_RATING_STATE_ROLLUP_VSC],0),MATCH(G$9,MMWR_RATING_STATE_ROLLUP_VSC[#Headers],0)),"ERROR"))</f>
        <v>2270</v>
      </c>
      <c r="H20" s="155">
        <f>IF($B20=" ","",IFERROR(INDEX(MMWR_RATING_STATE_ROLLUP_VSC[],MATCH($B20,MMWR_RATING_STATE_ROLLUP_VSC[MMWR_RATING_STATE_ROLLUP_VSC],0),MATCH(H$9,MMWR_RATING_STATE_ROLLUP_VSC[#Headers],0)),"ERROR"))</f>
        <v>137.7614814815</v>
      </c>
      <c r="I20" s="155">
        <f>IF($B20=" ","",IFERROR(INDEX(MMWR_RATING_STATE_ROLLUP_VSC[],MATCH($B20,MMWR_RATING_STATE_ROLLUP_VSC[MMWR_RATING_STATE_ROLLUP_VSC],0),MATCH(I$9,MMWR_RATING_STATE_ROLLUP_VSC[#Headers],0)),"ERROR"))</f>
        <v>137.83392070479999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4339</v>
      </c>
      <c r="D21" s="155">
        <f>IF($B21=" ","",IFERROR(INDEX(MMWR_RATING_STATE_ROLLUP_VSC[],MATCH($B21,MMWR_RATING_STATE_ROLLUP_VSC[MMWR_RATING_STATE_ROLLUP_VSC],0),MATCH(D$9,MMWR_RATING_STATE_ROLLUP_VSC[#Headers],0)),"ERROR"))</f>
        <v>96.348928324499994</v>
      </c>
      <c r="E21" s="156">
        <f>IF($B21=" ","",IFERROR(INDEX(MMWR_RATING_STATE_ROLLUP_VSC[],MATCH($B21,MMWR_RATING_STATE_ROLLUP_VSC[MMWR_RATING_STATE_ROLLUP_VSC],0),MATCH(E$9,MMWR_RATING_STATE_ROLLUP_VSC[#Headers],0))/$C21,"ERROR"))</f>
        <v>0.24452638856879466</v>
      </c>
      <c r="F21" s="154">
        <f>IF($B21=" ","",IFERROR(INDEX(MMWR_RATING_STATE_ROLLUP_VSC[],MATCH($B21,MMWR_RATING_STATE_ROLLUP_VSC[MMWR_RATING_STATE_ROLLUP_VSC],0),MATCH(F$9,MMWR_RATING_STATE_ROLLUP_VSC[#Headers],0)),"ERROR"))</f>
        <v>559</v>
      </c>
      <c r="G21" s="154">
        <f>IF($B21=" ","",IFERROR(INDEX(MMWR_RATING_STATE_ROLLUP_VSC[],MATCH($B21,MMWR_RATING_STATE_ROLLUP_VSC[MMWR_RATING_STATE_ROLLUP_VSC],0),MATCH(G$9,MMWR_RATING_STATE_ROLLUP_VSC[#Headers],0)),"ERROR"))</f>
        <v>1746</v>
      </c>
      <c r="H21" s="155">
        <f>IF($B21=" ","",IFERROR(INDEX(MMWR_RATING_STATE_ROLLUP_VSC[],MATCH($B21,MMWR_RATING_STATE_ROLLUP_VSC[MMWR_RATING_STATE_ROLLUP_VSC],0),MATCH(H$9,MMWR_RATING_STATE_ROLLUP_VSC[#Headers],0)),"ERROR"))</f>
        <v>119.4257602862</v>
      </c>
      <c r="I21" s="155">
        <f>IF($B21=" ","",IFERROR(INDEX(MMWR_RATING_STATE_ROLLUP_VSC[],MATCH($B21,MMWR_RATING_STATE_ROLLUP_VSC[MMWR_RATING_STATE_ROLLUP_VSC],0),MATCH(I$9,MMWR_RATING_STATE_ROLLUP_VSC[#Headers],0)),"ERROR"))</f>
        <v>120.186139748</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1390</v>
      </c>
      <c r="D22" s="155">
        <f>IF($B22=" ","",IFERROR(INDEX(MMWR_RATING_STATE_ROLLUP_VSC[],MATCH($B22,MMWR_RATING_STATE_ROLLUP_VSC[MMWR_RATING_STATE_ROLLUP_VSC],0),MATCH(D$9,MMWR_RATING_STATE_ROLLUP_VSC[#Headers],0)),"ERROR"))</f>
        <v>92.004316546799998</v>
      </c>
      <c r="E22" s="156">
        <f>IF($B22=" ","",IFERROR(INDEX(MMWR_RATING_STATE_ROLLUP_VSC[],MATCH($B22,MMWR_RATING_STATE_ROLLUP_VSC[MMWR_RATING_STATE_ROLLUP_VSC],0),MATCH(E$9,MMWR_RATING_STATE_ROLLUP_VSC[#Headers],0))/$C22,"ERROR"))</f>
        <v>0.22158273381294963</v>
      </c>
      <c r="F22" s="154">
        <f>IF($B22=" ","",IFERROR(INDEX(MMWR_RATING_STATE_ROLLUP_VSC[],MATCH($B22,MMWR_RATING_STATE_ROLLUP_VSC[MMWR_RATING_STATE_ROLLUP_VSC],0),MATCH(F$9,MMWR_RATING_STATE_ROLLUP_VSC[#Headers],0)),"ERROR"))</f>
        <v>153</v>
      </c>
      <c r="G22" s="154">
        <f>IF($B22=" ","",IFERROR(INDEX(MMWR_RATING_STATE_ROLLUP_VSC[],MATCH($B22,MMWR_RATING_STATE_ROLLUP_VSC[MMWR_RATING_STATE_ROLLUP_VSC],0),MATCH(G$9,MMWR_RATING_STATE_ROLLUP_VSC[#Headers],0)),"ERROR"))</f>
        <v>464</v>
      </c>
      <c r="H22" s="155">
        <f>IF($B22=" ","",IFERROR(INDEX(MMWR_RATING_STATE_ROLLUP_VSC[],MATCH($B22,MMWR_RATING_STATE_ROLLUP_VSC[MMWR_RATING_STATE_ROLLUP_VSC],0),MATCH(H$9,MMWR_RATING_STATE_ROLLUP_VSC[#Headers],0)),"ERROR"))</f>
        <v>129.2810457516</v>
      </c>
      <c r="I22" s="155">
        <f>IF($B22=" ","",IFERROR(INDEX(MMWR_RATING_STATE_ROLLUP_VSC[],MATCH($B22,MMWR_RATING_STATE_ROLLUP_VSC[MMWR_RATING_STATE_ROLLUP_VSC],0),MATCH(I$9,MMWR_RATING_STATE_ROLLUP_VSC[#Headers],0)),"ERROR"))</f>
        <v>131.6681034483</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4013</v>
      </c>
      <c r="D23" s="155">
        <f>IF($B23=" ","",IFERROR(INDEX(MMWR_RATING_STATE_ROLLUP_VSC[],MATCH($B23,MMWR_RATING_STATE_ROLLUP_VSC[MMWR_RATING_STATE_ROLLUP_VSC],0),MATCH(D$9,MMWR_RATING_STATE_ROLLUP_VSC[#Headers],0)),"ERROR"))</f>
        <v>97.613755295299995</v>
      </c>
      <c r="E23" s="156">
        <f>IF($B23=" ","",IFERROR(INDEX(MMWR_RATING_STATE_ROLLUP_VSC[],MATCH($B23,MMWR_RATING_STATE_ROLLUP_VSC[MMWR_RATING_STATE_ROLLUP_VSC],0),MATCH(E$9,MMWR_RATING_STATE_ROLLUP_VSC[#Headers],0))/$C23,"ERROR"))</f>
        <v>0.23997009718415152</v>
      </c>
      <c r="F23" s="154">
        <f>IF($B23=" ","",IFERROR(INDEX(MMWR_RATING_STATE_ROLLUP_VSC[],MATCH($B23,MMWR_RATING_STATE_ROLLUP_VSC[MMWR_RATING_STATE_ROLLUP_VSC],0),MATCH(F$9,MMWR_RATING_STATE_ROLLUP_VSC[#Headers],0)),"ERROR"))</f>
        <v>549</v>
      </c>
      <c r="G23" s="154">
        <f>IF($B23=" ","",IFERROR(INDEX(MMWR_RATING_STATE_ROLLUP_VSC[],MATCH($B23,MMWR_RATING_STATE_ROLLUP_VSC[MMWR_RATING_STATE_ROLLUP_VSC],0),MATCH(G$9,MMWR_RATING_STATE_ROLLUP_VSC[#Headers],0)),"ERROR"))</f>
        <v>1670</v>
      </c>
      <c r="H23" s="155">
        <f>IF($B23=" ","",IFERROR(INDEX(MMWR_RATING_STATE_ROLLUP_VSC[],MATCH($B23,MMWR_RATING_STATE_ROLLUP_VSC[MMWR_RATING_STATE_ROLLUP_VSC],0),MATCH(H$9,MMWR_RATING_STATE_ROLLUP_VSC[#Headers],0)),"ERROR"))</f>
        <v>140.47358834240001</v>
      </c>
      <c r="I23" s="155">
        <f>IF($B23=" ","",IFERROR(INDEX(MMWR_RATING_STATE_ROLLUP_VSC[],MATCH($B23,MMWR_RATING_STATE_ROLLUP_VSC[MMWR_RATING_STATE_ROLLUP_VSC],0),MATCH(I$9,MMWR_RATING_STATE_ROLLUP_VSC[#Headers],0)),"ERROR"))</f>
        <v>140.63473053889999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8853</v>
      </c>
      <c r="D24" s="155">
        <f>IF($B24=" ","",IFERROR(INDEX(MMWR_RATING_STATE_ROLLUP_VSC[],MATCH($B24,MMWR_RATING_STATE_ROLLUP_VSC[MMWR_RATING_STATE_ROLLUP_VSC],0),MATCH(D$9,MMWR_RATING_STATE_ROLLUP_VSC[#Headers],0)),"ERROR"))</f>
        <v>93.421777928400004</v>
      </c>
      <c r="E24" s="156">
        <f>IF($B24=" ","",IFERROR(INDEX(MMWR_RATING_STATE_ROLLUP_VSC[],MATCH($B24,MMWR_RATING_STATE_ROLLUP_VSC[MMWR_RATING_STATE_ROLLUP_VSC],0),MATCH(E$9,MMWR_RATING_STATE_ROLLUP_VSC[#Headers],0))/$C24,"ERROR"))</f>
        <v>0.21766632779848638</v>
      </c>
      <c r="F24" s="154">
        <f>IF($B24=" ","",IFERROR(INDEX(MMWR_RATING_STATE_ROLLUP_VSC[],MATCH($B24,MMWR_RATING_STATE_ROLLUP_VSC[MMWR_RATING_STATE_ROLLUP_VSC],0),MATCH(F$9,MMWR_RATING_STATE_ROLLUP_VSC[#Headers],0)),"ERROR"))</f>
        <v>1107</v>
      </c>
      <c r="G24" s="154">
        <f>IF($B24=" ","",IFERROR(INDEX(MMWR_RATING_STATE_ROLLUP_VSC[],MATCH($B24,MMWR_RATING_STATE_ROLLUP_VSC[MMWR_RATING_STATE_ROLLUP_VSC],0),MATCH(G$9,MMWR_RATING_STATE_ROLLUP_VSC[#Headers],0)),"ERROR"))</f>
        <v>3408</v>
      </c>
      <c r="H24" s="155">
        <f>IF($B24=" ","",IFERROR(INDEX(MMWR_RATING_STATE_ROLLUP_VSC[],MATCH($B24,MMWR_RATING_STATE_ROLLUP_VSC[MMWR_RATING_STATE_ROLLUP_VSC],0),MATCH(H$9,MMWR_RATING_STATE_ROLLUP_VSC[#Headers],0)),"ERROR"))</f>
        <v>134.5790424571</v>
      </c>
      <c r="I24" s="155">
        <f>IF($B24=" ","",IFERROR(INDEX(MMWR_RATING_STATE_ROLLUP_VSC[],MATCH($B24,MMWR_RATING_STATE_ROLLUP_VSC[MMWR_RATING_STATE_ROLLUP_VSC],0),MATCH(I$9,MMWR_RATING_STATE_ROLLUP_VSC[#Headers],0)),"ERROR"))</f>
        <v>140.66167840380001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17361</v>
      </c>
      <c r="D25" s="155">
        <f>IF($B25=" ","",IFERROR(INDEX(MMWR_RATING_STATE_ROLLUP_VSC[],MATCH($B25,MMWR_RATING_STATE_ROLLUP_VSC[MMWR_RATING_STATE_ROLLUP_VSC],0),MATCH(D$9,MMWR_RATING_STATE_ROLLUP_VSC[#Headers],0)),"ERROR"))</f>
        <v>98.979263867300006</v>
      </c>
      <c r="E25" s="156">
        <f>IF($B25=" ","",IFERROR(INDEX(MMWR_RATING_STATE_ROLLUP_VSC[],MATCH($B25,MMWR_RATING_STATE_ROLLUP_VSC[MMWR_RATING_STATE_ROLLUP_VSC],0),MATCH(E$9,MMWR_RATING_STATE_ROLLUP_VSC[#Headers],0))/$C25,"ERROR"))</f>
        <v>0.2406543401877772</v>
      </c>
      <c r="F25" s="154">
        <f>IF($B25=" ","",IFERROR(INDEX(MMWR_RATING_STATE_ROLLUP_VSC[],MATCH($B25,MMWR_RATING_STATE_ROLLUP_VSC[MMWR_RATING_STATE_ROLLUP_VSC],0),MATCH(F$9,MMWR_RATING_STATE_ROLLUP_VSC[#Headers],0)),"ERROR"))</f>
        <v>2074</v>
      </c>
      <c r="G25" s="154">
        <f>IF($B25=" ","",IFERROR(INDEX(MMWR_RATING_STATE_ROLLUP_VSC[],MATCH($B25,MMWR_RATING_STATE_ROLLUP_VSC[MMWR_RATING_STATE_ROLLUP_VSC],0),MATCH(G$9,MMWR_RATING_STATE_ROLLUP_VSC[#Headers],0)),"ERROR"))</f>
        <v>6088</v>
      </c>
      <c r="H25" s="155">
        <f>IF($B25=" ","",IFERROR(INDEX(MMWR_RATING_STATE_ROLLUP_VSC[],MATCH($B25,MMWR_RATING_STATE_ROLLUP_VSC[MMWR_RATING_STATE_ROLLUP_VSC],0),MATCH(H$9,MMWR_RATING_STATE_ROLLUP_VSC[#Headers],0)),"ERROR"))</f>
        <v>144.8915139826</v>
      </c>
      <c r="I25" s="155">
        <f>IF($B25=" ","",IFERROR(INDEX(MMWR_RATING_STATE_ROLLUP_VSC[],MATCH($B25,MMWR_RATING_STATE_ROLLUP_VSC[MMWR_RATING_STATE_ROLLUP_VSC],0),MATCH(I$9,MMWR_RATING_STATE_ROLLUP_VSC[#Headers],0)),"ERROR"))</f>
        <v>148.69678055189999</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9223</v>
      </c>
      <c r="D26" s="155">
        <f>IF($B26=" ","",IFERROR(INDEX(MMWR_RATING_STATE_ROLLUP_VSC[],MATCH($B26,MMWR_RATING_STATE_ROLLUP_VSC[MMWR_RATING_STATE_ROLLUP_VSC],0),MATCH(D$9,MMWR_RATING_STATE_ROLLUP_VSC[#Headers],0)),"ERROR"))</f>
        <v>110.7821749973</v>
      </c>
      <c r="E26" s="156">
        <f>IF($B26=" ","",IFERROR(INDEX(MMWR_RATING_STATE_ROLLUP_VSC[],MATCH($B26,MMWR_RATING_STATE_ROLLUP_VSC[MMWR_RATING_STATE_ROLLUP_VSC],0),MATCH(E$9,MMWR_RATING_STATE_ROLLUP_VSC[#Headers],0))/$C26,"ERROR"))</f>
        <v>0.2873251653475008</v>
      </c>
      <c r="F26" s="154">
        <f>IF($B26=" ","",IFERROR(INDEX(MMWR_RATING_STATE_ROLLUP_VSC[],MATCH($B26,MMWR_RATING_STATE_ROLLUP_VSC[MMWR_RATING_STATE_ROLLUP_VSC],0),MATCH(F$9,MMWR_RATING_STATE_ROLLUP_VSC[#Headers],0)),"ERROR"))</f>
        <v>1156</v>
      </c>
      <c r="G26" s="154">
        <f>IF($B26=" ","",IFERROR(INDEX(MMWR_RATING_STATE_ROLLUP_VSC[],MATCH($B26,MMWR_RATING_STATE_ROLLUP_VSC[MMWR_RATING_STATE_ROLLUP_VSC],0),MATCH(G$9,MMWR_RATING_STATE_ROLLUP_VSC[#Headers],0)),"ERROR"))</f>
        <v>3619</v>
      </c>
      <c r="H26" s="155">
        <f>IF($B26=" ","",IFERROR(INDEX(MMWR_RATING_STATE_ROLLUP_VSC[],MATCH($B26,MMWR_RATING_STATE_ROLLUP_VSC[MMWR_RATING_STATE_ROLLUP_VSC],0),MATCH(H$9,MMWR_RATING_STATE_ROLLUP_VSC[#Headers],0)),"ERROR"))</f>
        <v>142.4411764706</v>
      </c>
      <c r="I26" s="155">
        <f>IF($B26=" ","",IFERROR(INDEX(MMWR_RATING_STATE_ROLLUP_VSC[],MATCH($B26,MMWR_RATING_STATE_ROLLUP_VSC[MMWR_RATING_STATE_ROLLUP_VSC],0),MATCH(I$9,MMWR_RATING_STATE_ROLLUP_VSC[#Headers],0)),"ERROR"))</f>
        <v>151.82785299810001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982</v>
      </c>
      <c r="D27" s="155">
        <f>IF($B27=" ","",IFERROR(INDEX(MMWR_RATING_STATE_ROLLUP_VSC[],MATCH($B27,MMWR_RATING_STATE_ROLLUP_VSC[MMWR_RATING_STATE_ROLLUP_VSC],0),MATCH(D$9,MMWR_RATING_STATE_ROLLUP_VSC[#Headers],0)),"ERROR"))</f>
        <v>81.074338085500003</v>
      </c>
      <c r="E27" s="156">
        <f>IF($B27=" ","",IFERROR(INDEX(MMWR_RATING_STATE_ROLLUP_VSC[],MATCH($B27,MMWR_RATING_STATE_ROLLUP_VSC[MMWR_RATING_STATE_ROLLUP_VSC],0),MATCH(E$9,MMWR_RATING_STATE_ROLLUP_VSC[#Headers],0))/$C27,"ERROR"))</f>
        <v>0.16089613034623218</v>
      </c>
      <c r="F27" s="154">
        <f>IF($B27=" ","",IFERROR(INDEX(MMWR_RATING_STATE_ROLLUP_VSC[],MATCH($B27,MMWR_RATING_STATE_ROLLUP_VSC[MMWR_RATING_STATE_ROLLUP_VSC],0),MATCH(F$9,MMWR_RATING_STATE_ROLLUP_VSC[#Headers],0)),"ERROR"))</f>
        <v>100</v>
      </c>
      <c r="G27" s="154">
        <f>IF($B27=" ","",IFERROR(INDEX(MMWR_RATING_STATE_ROLLUP_VSC[],MATCH($B27,MMWR_RATING_STATE_ROLLUP_VSC[MMWR_RATING_STATE_ROLLUP_VSC],0),MATCH(G$9,MMWR_RATING_STATE_ROLLUP_VSC[#Headers],0)),"ERROR"))</f>
        <v>388</v>
      </c>
      <c r="H27" s="155">
        <f>IF($B27=" ","",IFERROR(INDEX(MMWR_RATING_STATE_ROLLUP_VSC[],MATCH($B27,MMWR_RATING_STATE_ROLLUP_VSC[MMWR_RATING_STATE_ROLLUP_VSC],0),MATCH(H$9,MMWR_RATING_STATE_ROLLUP_VSC[#Headers],0)),"ERROR"))</f>
        <v>114.87</v>
      </c>
      <c r="I27" s="155">
        <f>IF($B27=" ","",IFERROR(INDEX(MMWR_RATING_STATE_ROLLUP_VSC[],MATCH($B27,MMWR_RATING_STATE_ROLLUP_VSC[MMWR_RATING_STATE_ROLLUP_VSC],0),MATCH(I$9,MMWR_RATING_STATE_ROLLUP_VSC[#Headers],0)),"ERROR"))</f>
        <v>108.9845360825</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449</v>
      </c>
      <c r="D28" s="155">
        <f>IF($B28=" ","",IFERROR(INDEX(MMWR_RATING_STATE_ROLLUP_VSC[],MATCH($B28,MMWR_RATING_STATE_ROLLUP_VSC[MMWR_RATING_STATE_ROLLUP_VSC],0),MATCH(D$9,MMWR_RATING_STATE_ROLLUP_VSC[#Headers],0)),"ERROR"))</f>
        <v>87.828507795099995</v>
      </c>
      <c r="E28" s="156">
        <f>IF($B28=" ","",IFERROR(INDEX(MMWR_RATING_STATE_ROLLUP_VSC[],MATCH($B28,MMWR_RATING_STATE_ROLLUP_VSC[MMWR_RATING_STATE_ROLLUP_VSC],0),MATCH(E$9,MMWR_RATING_STATE_ROLLUP_VSC[#Headers],0))/$C28,"ERROR"))</f>
        <v>0.19821826280623608</v>
      </c>
      <c r="F28" s="154">
        <f>IF($B28=" ","",IFERROR(INDEX(MMWR_RATING_STATE_ROLLUP_VSC[],MATCH($B28,MMWR_RATING_STATE_ROLLUP_VSC[MMWR_RATING_STATE_ROLLUP_VSC],0),MATCH(F$9,MMWR_RATING_STATE_ROLLUP_VSC[#Headers],0)),"ERROR"))</f>
        <v>33</v>
      </c>
      <c r="G28" s="154">
        <f>IF($B28=" ","",IFERROR(INDEX(MMWR_RATING_STATE_ROLLUP_VSC[],MATCH($B28,MMWR_RATING_STATE_ROLLUP_VSC[MMWR_RATING_STATE_ROLLUP_VSC],0),MATCH(G$9,MMWR_RATING_STATE_ROLLUP_VSC[#Headers],0)),"ERROR"))</f>
        <v>112</v>
      </c>
      <c r="H28" s="155">
        <f>IF($B28=" ","",IFERROR(INDEX(MMWR_RATING_STATE_ROLLUP_VSC[],MATCH($B28,MMWR_RATING_STATE_ROLLUP_VSC[MMWR_RATING_STATE_ROLLUP_VSC],0),MATCH(H$9,MMWR_RATING_STATE_ROLLUP_VSC[#Headers],0)),"ERROR"))</f>
        <v>165.93939393939999</v>
      </c>
      <c r="I28" s="155">
        <f>IF($B28=" ","",IFERROR(INDEX(MMWR_RATING_STATE_ROLLUP_VSC[],MATCH($B28,MMWR_RATING_STATE_ROLLUP_VSC[MMWR_RATING_STATE_ROLLUP_VSC],0),MATCH(I$9,MMWR_RATING_STATE_ROLLUP_VSC[#Headers],0)),"ERROR"))</f>
        <v>134.375</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11204</v>
      </c>
      <c r="D29" s="155">
        <f>IF($B29=" ","",IFERROR(INDEX(MMWR_RATING_STATE_ROLLUP_VSC[],MATCH($B29,MMWR_RATING_STATE_ROLLUP_VSC[MMWR_RATING_STATE_ROLLUP_VSC],0),MATCH(D$9,MMWR_RATING_STATE_ROLLUP_VSC[#Headers],0)),"ERROR"))</f>
        <v>88.852463405899996</v>
      </c>
      <c r="E29" s="156">
        <f>IF($B29=" ","",IFERROR(INDEX(MMWR_RATING_STATE_ROLLUP_VSC[],MATCH($B29,MMWR_RATING_STATE_ROLLUP_VSC[MMWR_RATING_STATE_ROLLUP_VSC],0),MATCH(E$9,MMWR_RATING_STATE_ROLLUP_VSC[#Headers],0))/$C29,"ERROR"))</f>
        <v>0.18743305962156373</v>
      </c>
      <c r="F29" s="154">
        <f>IF($B29=" ","",IFERROR(INDEX(MMWR_RATING_STATE_ROLLUP_VSC[],MATCH($B29,MMWR_RATING_STATE_ROLLUP_VSC[MMWR_RATING_STATE_ROLLUP_VSC],0),MATCH(F$9,MMWR_RATING_STATE_ROLLUP_VSC[#Headers],0)),"ERROR"))</f>
        <v>1278</v>
      </c>
      <c r="G29" s="154">
        <f>IF($B29=" ","",IFERROR(INDEX(MMWR_RATING_STATE_ROLLUP_VSC[],MATCH($B29,MMWR_RATING_STATE_ROLLUP_VSC[MMWR_RATING_STATE_ROLLUP_VSC],0),MATCH(G$9,MMWR_RATING_STATE_ROLLUP_VSC[#Headers],0)),"ERROR"))</f>
        <v>4019</v>
      </c>
      <c r="H29" s="155">
        <f>IF($B29=" ","",IFERROR(INDEX(MMWR_RATING_STATE_ROLLUP_VSC[],MATCH($B29,MMWR_RATING_STATE_ROLLUP_VSC[MMWR_RATING_STATE_ROLLUP_VSC],0),MATCH(H$9,MMWR_RATING_STATE_ROLLUP_VSC[#Headers],0)),"ERROR"))</f>
        <v>142.2042253521</v>
      </c>
      <c r="I29" s="155">
        <f>IF($B29=" ","",IFERROR(INDEX(MMWR_RATING_STATE_ROLLUP_VSC[],MATCH($B29,MMWR_RATING_STATE_ROLLUP_VSC[MMWR_RATING_STATE_ROLLUP_VSC],0),MATCH(I$9,MMWR_RATING_STATE_ROLLUP_VSC[#Headers],0)),"ERROR"))</f>
        <v>139.65140582230001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2612</v>
      </c>
      <c r="D30" s="155">
        <f>IF($B30=" ","",IFERROR(INDEX(MMWR_RATING_STATE_ROLLUP_VSC[],MATCH($B30,MMWR_RATING_STATE_ROLLUP_VSC[MMWR_RATING_STATE_ROLLUP_VSC],0),MATCH(D$9,MMWR_RATING_STATE_ROLLUP_VSC[#Headers],0)),"ERROR"))</f>
        <v>78.924961715199998</v>
      </c>
      <c r="E30" s="156">
        <f>IF($B30=" ","",IFERROR(INDEX(MMWR_RATING_STATE_ROLLUP_VSC[],MATCH($B30,MMWR_RATING_STATE_ROLLUP_VSC[MMWR_RATING_STATE_ROLLUP_VSC],0),MATCH(E$9,MMWR_RATING_STATE_ROLLUP_VSC[#Headers],0))/$C30,"ERROR"))</f>
        <v>0.1389739663093415</v>
      </c>
      <c r="F30" s="154">
        <f>IF($B30=" ","",IFERROR(INDEX(MMWR_RATING_STATE_ROLLUP_VSC[],MATCH($B30,MMWR_RATING_STATE_ROLLUP_VSC[MMWR_RATING_STATE_ROLLUP_VSC],0),MATCH(F$9,MMWR_RATING_STATE_ROLLUP_VSC[#Headers],0)),"ERROR"))</f>
        <v>362</v>
      </c>
      <c r="G30" s="154">
        <f>IF($B30=" ","",IFERROR(INDEX(MMWR_RATING_STATE_ROLLUP_VSC[],MATCH($B30,MMWR_RATING_STATE_ROLLUP_VSC[MMWR_RATING_STATE_ROLLUP_VSC],0),MATCH(G$9,MMWR_RATING_STATE_ROLLUP_VSC[#Headers],0)),"ERROR"))</f>
        <v>1111</v>
      </c>
      <c r="H30" s="155">
        <f>IF($B30=" ","",IFERROR(INDEX(MMWR_RATING_STATE_ROLLUP_VSC[],MATCH($B30,MMWR_RATING_STATE_ROLLUP_VSC[MMWR_RATING_STATE_ROLLUP_VSC],0),MATCH(H$9,MMWR_RATING_STATE_ROLLUP_VSC[#Headers],0)),"ERROR"))</f>
        <v>111.8149171271</v>
      </c>
      <c r="I30" s="155">
        <f>IF($B30=" ","",IFERROR(INDEX(MMWR_RATING_STATE_ROLLUP_VSC[],MATCH($B30,MMWR_RATING_STATE_ROLLUP_VSC[MMWR_RATING_STATE_ROLLUP_VSC],0),MATCH(I$9,MMWR_RATING_STATE_ROLLUP_VSC[#Headers],0)),"ERROR"))</f>
        <v>116.20612061209999</v>
      </c>
      <c r="J30" s="42"/>
      <c r="K30" s="42"/>
      <c r="L30" s="42"/>
      <c r="M30" s="42"/>
      <c r="N30" s="28"/>
    </row>
    <row r="31" spans="1:14" x14ac:dyDescent="0.2">
      <c r="A31" s="25"/>
      <c r="B31" s="361" t="s">
        <v>966</v>
      </c>
      <c r="C31" s="362"/>
      <c r="D31" s="362"/>
      <c r="E31" s="362"/>
      <c r="F31" s="362"/>
      <c r="G31" s="362"/>
      <c r="H31" s="362"/>
      <c r="I31" s="362"/>
      <c r="J31" s="362"/>
      <c r="K31" s="362"/>
      <c r="L31" s="362"/>
      <c r="M31" s="371"/>
      <c r="N31" s="28"/>
    </row>
    <row r="32" spans="1:14" x14ac:dyDescent="0.2">
      <c r="A32" s="25"/>
      <c r="B32" s="41" t="s">
        <v>1045</v>
      </c>
      <c r="C32" s="154">
        <f>IF($B32=" ","",IFERROR(INDEX(MMWR_RATING_STATE_ROLLUP_PMC[],MATCH($B32,MMWR_RATING_STATE_ROLLUP_PMC[MMWR_RATING_STATE_ROLLUP_PMC],0),MATCH(C$9,MMWR_RATING_STATE_ROLLUP_PMC[#Headers],0)),"ERROR"))</f>
        <v>24249</v>
      </c>
      <c r="D32" s="155">
        <f>IF($B32=" ","",IFERROR(INDEX(MMWR_RATING_STATE_ROLLUP_PMC[],MATCH($B32,MMWR_RATING_STATE_ROLLUP_PMC[MMWR_RATING_STATE_ROLLUP_PMC],0),MATCH(D$9,MMWR_RATING_STATE_ROLLUP_PMC[#Headers],0)),"ERROR"))</f>
        <v>63.736978844500001</v>
      </c>
      <c r="E32" s="156">
        <f>IF($B32=" ","",IFERROR(INDEX(MMWR_RATING_STATE_ROLLUP_PMC[],MATCH($B32,MMWR_RATING_STATE_ROLLUP_PMC[MMWR_RATING_STATE_ROLLUP_PMC],0),MATCH(E$9,MMWR_RATING_STATE_ROLLUP_PMC[#Headers],0))/$C32,"ERROR"))</f>
        <v>8.3549837106684816E-2</v>
      </c>
      <c r="F32" s="154">
        <f>IF($B32=" ","",IFERROR(INDEX(MMWR_RATING_STATE_ROLLUP_PMC[],MATCH($B32,MMWR_RATING_STATE_ROLLUP_PMC[MMWR_RATING_STATE_ROLLUP_PMC],0),MATCH(F$9,MMWR_RATING_STATE_ROLLUP_PMC[#Headers],0)),"ERROR"))</f>
        <v>5217</v>
      </c>
      <c r="G32" s="154">
        <f>IF($B32=" ","",IFERROR(INDEX(MMWR_RATING_STATE_ROLLUP_PMC[],MATCH($B32,MMWR_RATING_STATE_ROLLUP_PMC[MMWR_RATING_STATE_ROLLUP_PMC],0),MATCH(G$9,MMWR_RATING_STATE_ROLLUP_PMC[#Headers],0)),"ERROR"))</f>
        <v>17083</v>
      </c>
      <c r="H32" s="155">
        <f>IF($B32=" ","",IFERROR(INDEX(MMWR_RATING_STATE_ROLLUP_PMC[],MATCH($B32,MMWR_RATING_STATE_ROLLUP_PMC[MMWR_RATING_STATE_ROLLUP_PMC],0),MATCH(H$9,MMWR_RATING_STATE_ROLLUP_PMC[#Headers],0)),"ERROR"))</f>
        <v>68.825570251100004</v>
      </c>
      <c r="I32" s="155">
        <f>IF($B32=" ","",IFERROR(INDEX(MMWR_RATING_STATE_ROLLUP_PMC[],MATCH($B32,MMWR_RATING_STATE_ROLLUP_PMC[MMWR_RATING_STATE_ROLLUP_PMC],0),MATCH(I$9,MMWR_RATING_STATE_ROLLUP_PMC[#Headers],0)),"ERROR"))</f>
        <v>68.267751565899999</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5588</v>
      </c>
      <c r="D33" s="155">
        <f>IF($B33=" ","",IFERROR(INDEX(MMWR_RATING_STATE_ROLLUP_PMC[],MATCH($B33,MMWR_RATING_STATE_ROLLUP_PMC[MMWR_RATING_STATE_ROLLUP_PMC],0),MATCH(D$9,MMWR_RATING_STATE_ROLLUP_PMC[#Headers],0)),"ERROR"))</f>
        <v>70.050107372900001</v>
      </c>
      <c r="E33" s="156">
        <f>IF($B33=" ","",IFERROR(INDEX(MMWR_RATING_STATE_ROLLUP_PMC[],MATCH($B33,MMWR_RATING_STATE_ROLLUP_PMC[MMWR_RATING_STATE_ROLLUP_PMC],0),MATCH(E$9,MMWR_RATING_STATE_ROLLUP_PMC[#Headers],0))/$C33,"ERROR"))</f>
        <v>0.10540443808160344</v>
      </c>
      <c r="F33" s="154">
        <f>IF($B33=" ","",IFERROR(INDEX(MMWR_RATING_STATE_ROLLUP_PMC[],MATCH($B33,MMWR_RATING_STATE_ROLLUP_PMC[MMWR_RATING_STATE_ROLLUP_PMC],0),MATCH(F$9,MMWR_RATING_STATE_ROLLUP_PMC[#Headers],0)),"ERROR"))</f>
        <v>1046</v>
      </c>
      <c r="G33" s="154">
        <f>IF($B33=" ","",IFERROR(INDEX(MMWR_RATING_STATE_ROLLUP_PMC[],MATCH($B33,MMWR_RATING_STATE_ROLLUP_PMC[MMWR_RATING_STATE_ROLLUP_PMC],0),MATCH(G$9,MMWR_RATING_STATE_ROLLUP_PMC[#Headers],0)),"ERROR"))</f>
        <v>3322</v>
      </c>
      <c r="H33" s="155">
        <f>IF($B33=" ","",IFERROR(INDEX(MMWR_RATING_STATE_ROLLUP_PMC[],MATCH($B33,MMWR_RATING_STATE_ROLLUP_PMC[MMWR_RATING_STATE_ROLLUP_PMC],0),MATCH(H$9,MMWR_RATING_STATE_ROLLUP_PMC[#Headers],0)),"ERROR"))</f>
        <v>79.886233269599998</v>
      </c>
      <c r="I33" s="155">
        <f>IF($B33=" ","",IFERROR(INDEX(MMWR_RATING_STATE_ROLLUP_PMC[],MATCH($B33,MMWR_RATING_STATE_ROLLUP_PMC[MMWR_RATING_STATE_ROLLUP_PMC],0),MATCH(I$9,MMWR_RATING_STATE_ROLLUP_PMC[#Headers],0)),"ERROR"))</f>
        <v>80.5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150</v>
      </c>
      <c r="D34" s="155">
        <f>IF($B34=" ","",IFERROR(INDEX(MMWR_RATING_STATE_ROLLUP_PMC[],MATCH($B34,MMWR_RATING_STATE_ROLLUP_PMC[MMWR_RATING_STATE_ROLLUP_PMC],0),MATCH(D$9,MMWR_RATING_STATE_ROLLUP_PMC[#Headers],0)),"ERROR"))</f>
        <v>75.14</v>
      </c>
      <c r="E34" s="156">
        <f>IF($B34=" ","",IFERROR(INDEX(MMWR_RATING_STATE_ROLLUP_PMC[],MATCH($B34,MMWR_RATING_STATE_ROLLUP_PMC[MMWR_RATING_STATE_ROLLUP_PMC],0),MATCH(E$9,MMWR_RATING_STATE_ROLLUP_PMC[#Headers],0))/$C34,"ERROR"))</f>
        <v>0.12</v>
      </c>
      <c r="F34" s="154">
        <f>IF($B34=" ","",IFERROR(INDEX(MMWR_RATING_STATE_ROLLUP_PMC[],MATCH($B34,MMWR_RATING_STATE_ROLLUP_PMC[MMWR_RATING_STATE_ROLLUP_PMC],0),MATCH(F$9,MMWR_RATING_STATE_ROLLUP_PMC[#Headers],0)),"ERROR"))</f>
        <v>31</v>
      </c>
      <c r="G34" s="154">
        <f>IF($B34=" ","",IFERROR(INDEX(MMWR_RATING_STATE_ROLLUP_PMC[],MATCH($B34,MMWR_RATING_STATE_ROLLUP_PMC[MMWR_RATING_STATE_ROLLUP_PMC],0),MATCH(G$9,MMWR_RATING_STATE_ROLLUP_PMC[#Headers],0)),"ERROR"))</f>
        <v>98</v>
      </c>
      <c r="H34" s="155">
        <f>IF($B34=" ","",IFERROR(INDEX(MMWR_RATING_STATE_ROLLUP_PMC[],MATCH($B34,MMWR_RATING_STATE_ROLLUP_PMC[MMWR_RATING_STATE_ROLLUP_PMC],0),MATCH(H$9,MMWR_RATING_STATE_ROLLUP_PMC[#Headers],0)),"ERROR"))</f>
        <v>68.032258064499999</v>
      </c>
      <c r="I34" s="155">
        <f>IF($B34=" ","",IFERROR(INDEX(MMWR_RATING_STATE_ROLLUP_PMC[],MATCH($B34,MMWR_RATING_STATE_ROLLUP_PMC[MMWR_RATING_STATE_ROLLUP_PMC],0),MATCH(I$9,MMWR_RATING_STATE_ROLLUP_PMC[#Headers],0)),"ERROR"))</f>
        <v>79.346938775500007</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56</v>
      </c>
      <c r="D35" s="155">
        <f>IF($B35=" ","",IFERROR(INDEX(MMWR_RATING_STATE_ROLLUP_PMC[],MATCH($B35,MMWR_RATING_STATE_ROLLUP_PMC[MMWR_RATING_STATE_ROLLUP_PMC],0),MATCH(D$9,MMWR_RATING_STATE_ROLLUP_PMC[#Headers],0)),"ERROR"))</f>
        <v>82.785714285699996</v>
      </c>
      <c r="E35" s="156">
        <f>IF($B35=" ","",IFERROR(INDEX(MMWR_RATING_STATE_ROLLUP_PMC[],MATCH($B35,MMWR_RATING_STATE_ROLLUP_PMC[MMWR_RATING_STATE_ROLLUP_PMC],0),MATCH(E$9,MMWR_RATING_STATE_ROLLUP_PMC[#Headers],0))/$C35,"ERROR"))</f>
        <v>0.10714285714285714</v>
      </c>
      <c r="F35" s="154">
        <f>IF($B35=" ","",IFERROR(INDEX(MMWR_RATING_STATE_ROLLUP_PMC[],MATCH($B35,MMWR_RATING_STATE_ROLLUP_PMC[MMWR_RATING_STATE_ROLLUP_PMC],0),MATCH(F$9,MMWR_RATING_STATE_ROLLUP_PMC[#Headers],0)),"ERROR"))</f>
        <v>14</v>
      </c>
      <c r="G35" s="154">
        <f>IF($B35=" ","",IFERROR(INDEX(MMWR_RATING_STATE_ROLLUP_PMC[],MATCH($B35,MMWR_RATING_STATE_ROLLUP_PMC[MMWR_RATING_STATE_ROLLUP_PMC],0),MATCH(G$9,MMWR_RATING_STATE_ROLLUP_PMC[#Headers],0)),"ERROR"))</f>
        <v>31</v>
      </c>
      <c r="H35" s="155">
        <f>IF($B35=" ","",IFERROR(INDEX(MMWR_RATING_STATE_ROLLUP_PMC[],MATCH($B35,MMWR_RATING_STATE_ROLLUP_PMC[MMWR_RATING_STATE_ROLLUP_PMC],0),MATCH(H$9,MMWR_RATING_STATE_ROLLUP_PMC[#Headers],0)),"ERROR"))</f>
        <v>57</v>
      </c>
      <c r="I35" s="155">
        <f>IF($B35=" ","",IFERROR(INDEX(MMWR_RATING_STATE_ROLLUP_PMC[],MATCH($B35,MMWR_RATING_STATE_ROLLUP_PMC[MMWR_RATING_STATE_ROLLUP_PMC],0),MATCH(I$9,MMWR_RATING_STATE_ROLLUP_PMC[#Headers],0)),"ERROR"))</f>
        <v>65.258064516100006</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61</v>
      </c>
      <c r="D36" s="155">
        <f>IF($B36=" ","",IFERROR(INDEX(MMWR_RATING_STATE_ROLLUP_PMC[],MATCH($B36,MMWR_RATING_STATE_ROLLUP_PMC[MMWR_RATING_STATE_ROLLUP_PMC],0),MATCH(D$9,MMWR_RATING_STATE_ROLLUP_PMC[#Headers],0)),"ERROR"))</f>
        <v>66.0819672131</v>
      </c>
      <c r="E36" s="156">
        <f>IF($B36=" ","",IFERROR(INDEX(MMWR_RATING_STATE_ROLLUP_PMC[],MATCH($B36,MMWR_RATING_STATE_ROLLUP_PMC[MMWR_RATING_STATE_ROLLUP_PMC],0),MATCH(E$9,MMWR_RATING_STATE_ROLLUP_PMC[#Headers],0))/$C36,"ERROR"))</f>
        <v>4.9180327868852458E-2</v>
      </c>
      <c r="F36" s="154">
        <f>IF($B36=" ","",IFERROR(INDEX(MMWR_RATING_STATE_ROLLUP_PMC[],MATCH($B36,MMWR_RATING_STATE_ROLLUP_PMC[MMWR_RATING_STATE_ROLLUP_PMC],0),MATCH(F$9,MMWR_RATING_STATE_ROLLUP_PMC[#Headers],0)),"ERROR"))</f>
        <v>6</v>
      </c>
      <c r="G36" s="154">
        <f>IF($B36=" ","",IFERROR(INDEX(MMWR_RATING_STATE_ROLLUP_PMC[],MATCH($B36,MMWR_RATING_STATE_ROLLUP_PMC[MMWR_RATING_STATE_ROLLUP_PMC],0),MATCH(G$9,MMWR_RATING_STATE_ROLLUP_PMC[#Headers],0)),"ERROR"))</f>
        <v>39</v>
      </c>
      <c r="H36" s="155">
        <f>IF($B36=" ","",IFERROR(INDEX(MMWR_RATING_STATE_ROLLUP_PMC[],MATCH($B36,MMWR_RATING_STATE_ROLLUP_PMC[MMWR_RATING_STATE_ROLLUP_PMC],0),MATCH(H$9,MMWR_RATING_STATE_ROLLUP_PMC[#Headers],0)),"ERROR"))</f>
        <v>93</v>
      </c>
      <c r="I36" s="155">
        <f>IF($B36=" ","",IFERROR(INDEX(MMWR_RATING_STATE_ROLLUP_PMC[],MATCH($B36,MMWR_RATING_STATE_ROLLUP_PMC[MMWR_RATING_STATE_ROLLUP_PMC],0),MATCH(I$9,MMWR_RATING_STATE_ROLLUP_PMC[#Headers],0)),"ERROR"))</f>
        <v>81.743589743599998</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90</v>
      </c>
      <c r="D37" s="155">
        <f>IF($B37=" ","",IFERROR(INDEX(MMWR_RATING_STATE_ROLLUP_PMC[],MATCH($B37,MMWR_RATING_STATE_ROLLUP_PMC[MMWR_RATING_STATE_ROLLUP_PMC],0),MATCH(D$9,MMWR_RATING_STATE_ROLLUP_PMC[#Headers],0)),"ERROR"))</f>
        <v>65.033333333300007</v>
      </c>
      <c r="E37" s="156">
        <f>IF($B37=" ","",IFERROR(INDEX(MMWR_RATING_STATE_ROLLUP_PMC[],MATCH($B37,MMWR_RATING_STATE_ROLLUP_PMC[MMWR_RATING_STATE_ROLLUP_PMC],0),MATCH(E$9,MMWR_RATING_STATE_ROLLUP_PMC[#Headers],0))/$C37,"ERROR"))</f>
        <v>0.1</v>
      </c>
      <c r="F37" s="154">
        <f>IF($B37=" ","",IFERROR(INDEX(MMWR_RATING_STATE_ROLLUP_PMC[],MATCH($B37,MMWR_RATING_STATE_ROLLUP_PMC[MMWR_RATING_STATE_ROLLUP_PMC],0),MATCH(F$9,MMWR_RATING_STATE_ROLLUP_PMC[#Headers],0)),"ERROR"))</f>
        <v>24</v>
      </c>
      <c r="G37" s="154">
        <f>IF($B37=" ","",IFERROR(INDEX(MMWR_RATING_STATE_ROLLUP_PMC[],MATCH($B37,MMWR_RATING_STATE_ROLLUP_PMC[MMWR_RATING_STATE_ROLLUP_PMC],0),MATCH(G$9,MMWR_RATING_STATE_ROLLUP_PMC[#Headers],0)),"ERROR"))</f>
        <v>65</v>
      </c>
      <c r="H37" s="155">
        <f>IF($B37=" ","",IFERROR(INDEX(MMWR_RATING_STATE_ROLLUP_PMC[],MATCH($B37,MMWR_RATING_STATE_ROLLUP_PMC[MMWR_RATING_STATE_ROLLUP_PMC],0),MATCH(H$9,MMWR_RATING_STATE_ROLLUP_PMC[#Headers],0)),"ERROR"))</f>
        <v>74.416666666699996</v>
      </c>
      <c r="I37" s="155">
        <f>IF($B37=" ","",IFERROR(INDEX(MMWR_RATING_STATE_ROLLUP_PMC[],MATCH($B37,MMWR_RATING_STATE_ROLLUP_PMC[MMWR_RATING_STATE_ROLLUP_PMC],0),MATCH(I$9,MMWR_RATING_STATE_ROLLUP_PMC[#Headers],0)),"ERROR"))</f>
        <v>66.369230769200001</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384</v>
      </c>
      <c r="D38" s="155">
        <f>IF($B38=" ","",IFERROR(INDEX(MMWR_RATING_STATE_ROLLUP_PMC[],MATCH($B38,MMWR_RATING_STATE_ROLLUP_PMC[MMWR_RATING_STATE_ROLLUP_PMC],0),MATCH(D$9,MMWR_RATING_STATE_ROLLUP_PMC[#Headers],0)),"ERROR"))</f>
        <v>71.466145833300004</v>
      </c>
      <c r="E38" s="156">
        <f>IF($B38=" ","",IFERROR(INDEX(MMWR_RATING_STATE_ROLLUP_PMC[],MATCH($B38,MMWR_RATING_STATE_ROLLUP_PMC[MMWR_RATING_STATE_ROLLUP_PMC],0),MATCH(E$9,MMWR_RATING_STATE_ROLLUP_PMC[#Headers],0))/$C38,"ERROR"))</f>
        <v>8.59375E-2</v>
      </c>
      <c r="F38" s="154">
        <f>IF($B38=" ","",IFERROR(INDEX(MMWR_RATING_STATE_ROLLUP_PMC[],MATCH($B38,MMWR_RATING_STATE_ROLLUP_PMC[MMWR_RATING_STATE_ROLLUP_PMC],0),MATCH(F$9,MMWR_RATING_STATE_ROLLUP_PMC[#Headers],0)),"ERROR"))</f>
        <v>57</v>
      </c>
      <c r="G38" s="154">
        <f>IF($B38=" ","",IFERROR(INDEX(MMWR_RATING_STATE_ROLLUP_PMC[],MATCH($B38,MMWR_RATING_STATE_ROLLUP_PMC[MMWR_RATING_STATE_ROLLUP_PMC],0),MATCH(G$9,MMWR_RATING_STATE_ROLLUP_PMC[#Headers],0)),"ERROR"))</f>
        <v>191</v>
      </c>
      <c r="H38" s="155">
        <f>IF($B38=" ","",IFERROR(INDEX(MMWR_RATING_STATE_ROLLUP_PMC[],MATCH($B38,MMWR_RATING_STATE_ROLLUP_PMC[MMWR_RATING_STATE_ROLLUP_PMC],0),MATCH(H$9,MMWR_RATING_STATE_ROLLUP_PMC[#Headers],0)),"ERROR"))</f>
        <v>87.9122807018</v>
      </c>
      <c r="I38" s="155">
        <f>IF($B38=" ","",IFERROR(INDEX(MMWR_RATING_STATE_ROLLUP_PMC[],MATCH($B38,MMWR_RATING_STATE_ROLLUP_PMC[MMWR_RATING_STATE_ROLLUP_PMC],0),MATCH(I$9,MMWR_RATING_STATE_ROLLUP_PMC[#Headers],0)),"ERROR"))</f>
        <v>79.706806282700001</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358</v>
      </c>
      <c r="D39" s="155">
        <f>IF($B39=" ","",IFERROR(INDEX(MMWR_RATING_STATE_ROLLUP_PMC[],MATCH($B39,MMWR_RATING_STATE_ROLLUP_PMC[MMWR_RATING_STATE_ROLLUP_PMC],0),MATCH(D$9,MMWR_RATING_STATE_ROLLUP_PMC[#Headers],0)),"ERROR"))</f>
        <v>68.050279329600002</v>
      </c>
      <c r="E39" s="156">
        <f>IF($B39=" ","",IFERROR(INDEX(MMWR_RATING_STATE_ROLLUP_PMC[],MATCH($B39,MMWR_RATING_STATE_ROLLUP_PMC[MMWR_RATING_STATE_ROLLUP_PMC],0),MATCH(E$9,MMWR_RATING_STATE_ROLLUP_PMC[#Headers],0))/$C39,"ERROR"))</f>
        <v>9.217877094972067E-2</v>
      </c>
      <c r="F39" s="154">
        <f>IF($B39=" ","",IFERROR(INDEX(MMWR_RATING_STATE_ROLLUP_PMC[],MATCH($B39,MMWR_RATING_STATE_ROLLUP_PMC[MMWR_RATING_STATE_ROLLUP_PMC],0),MATCH(F$9,MMWR_RATING_STATE_ROLLUP_PMC[#Headers],0)),"ERROR"))</f>
        <v>67</v>
      </c>
      <c r="G39" s="154">
        <f>IF($B39=" ","",IFERROR(INDEX(MMWR_RATING_STATE_ROLLUP_PMC[],MATCH($B39,MMWR_RATING_STATE_ROLLUP_PMC[MMWR_RATING_STATE_ROLLUP_PMC],0),MATCH(G$9,MMWR_RATING_STATE_ROLLUP_PMC[#Headers],0)),"ERROR"))</f>
        <v>218</v>
      </c>
      <c r="H39" s="155">
        <f>IF($B39=" ","",IFERROR(INDEX(MMWR_RATING_STATE_ROLLUP_PMC[],MATCH($B39,MMWR_RATING_STATE_ROLLUP_PMC[MMWR_RATING_STATE_ROLLUP_PMC],0),MATCH(H$9,MMWR_RATING_STATE_ROLLUP_PMC[#Headers],0)),"ERROR"))</f>
        <v>68.089552238799996</v>
      </c>
      <c r="I39" s="155">
        <f>IF($B39=" ","",IFERROR(INDEX(MMWR_RATING_STATE_ROLLUP_PMC[],MATCH($B39,MMWR_RATING_STATE_ROLLUP_PMC[MMWR_RATING_STATE_ROLLUP_PMC],0),MATCH(I$9,MMWR_RATING_STATE_ROLLUP_PMC[#Headers],0)),"ERROR"))</f>
        <v>77.385321100900001</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78</v>
      </c>
      <c r="D40" s="155">
        <f>IF($B40=" ","",IFERROR(INDEX(MMWR_RATING_STATE_ROLLUP_PMC[],MATCH($B40,MMWR_RATING_STATE_ROLLUP_PMC[MMWR_RATING_STATE_ROLLUP_PMC],0),MATCH(D$9,MMWR_RATING_STATE_ROLLUP_PMC[#Headers],0)),"ERROR"))</f>
        <v>75.641025640999999</v>
      </c>
      <c r="E40" s="156">
        <f>IF($B40=" ","",IFERROR(INDEX(MMWR_RATING_STATE_ROLLUP_PMC[],MATCH($B40,MMWR_RATING_STATE_ROLLUP_PMC[MMWR_RATING_STATE_ROLLUP_PMC],0),MATCH(E$9,MMWR_RATING_STATE_ROLLUP_PMC[#Headers],0))/$C40,"ERROR"))</f>
        <v>0.17948717948717949</v>
      </c>
      <c r="F40" s="154">
        <f>IF($B40=" ","",IFERROR(INDEX(MMWR_RATING_STATE_ROLLUP_PMC[],MATCH($B40,MMWR_RATING_STATE_ROLLUP_PMC[MMWR_RATING_STATE_ROLLUP_PMC],0),MATCH(F$9,MMWR_RATING_STATE_ROLLUP_PMC[#Headers],0)),"ERROR"))</f>
        <v>16</v>
      </c>
      <c r="G40" s="154">
        <f>IF($B40=" ","",IFERROR(INDEX(MMWR_RATING_STATE_ROLLUP_PMC[],MATCH($B40,MMWR_RATING_STATE_ROLLUP_PMC[MMWR_RATING_STATE_ROLLUP_PMC],0),MATCH(G$9,MMWR_RATING_STATE_ROLLUP_PMC[#Headers],0)),"ERROR"))</f>
        <v>55</v>
      </c>
      <c r="H40" s="155">
        <f>IF($B40=" ","",IFERROR(INDEX(MMWR_RATING_STATE_ROLLUP_PMC[],MATCH($B40,MMWR_RATING_STATE_ROLLUP_PMC[MMWR_RATING_STATE_ROLLUP_PMC],0),MATCH(H$9,MMWR_RATING_STATE_ROLLUP_PMC[#Headers],0)),"ERROR"))</f>
        <v>89.4375</v>
      </c>
      <c r="I40" s="155">
        <f>IF($B40=" ","",IFERROR(INDEX(MMWR_RATING_STATE_ROLLUP_PMC[],MATCH($B40,MMWR_RATING_STATE_ROLLUP_PMC[MMWR_RATING_STATE_ROLLUP_PMC],0),MATCH(I$9,MMWR_RATING_STATE_ROLLUP_PMC[#Headers],0)),"ERROR"))</f>
        <v>80.981818181799994</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358</v>
      </c>
      <c r="D41" s="155">
        <f>IF($B41=" ","",IFERROR(INDEX(MMWR_RATING_STATE_ROLLUP_PMC[],MATCH($B41,MMWR_RATING_STATE_ROLLUP_PMC[MMWR_RATING_STATE_ROLLUP_PMC],0),MATCH(D$9,MMWR_RATING_STATE_ROLLUP_PMC[#Headers],0)),"ERROR"))</f>
        <v>74.055865921800006</v>
      </c>
      <c r="E41" s="156">
        <f>IF($B41=" ","",IFERROR(INDEX(MMWR_RATING_STATE_ROLLUP_PMC[],MATCH($B41,MMWR_RATING_STATE_ROLLUP_PMC[MMWR_RATING_STATE_ROLLUP_PMC],0),MATCH(E$9,MMWR_RATING_STATE_ROLLUP_PMC[#Headers],0))/$C41,"ERROR"))</f>
        <v>0.10335195530726257</v>
      </c>
      <c r="F41" s="154">
        <f>IF($B41=" ","",IFERROR(INDEX(MMWR_RATING_STATE_ROLLUP_PMC[],MATCH($B41,MMWR_RATING_STATE_ROLLUP_PMC[MMWR_RATING_STATE_ROLLUP_PMC],0),MATCH(F$9,MMWR_RATING_STATE_ROLLUP_PMC[#Headers],0)),"ERROR"))</f>
        <v>74</v>
      </c>
      <c r="G41" s="154">
        <f>IF($B41=" ","",IFERROR(INDEX(MMWR_RATING_STATE_ROLLUP_PMC[],MATCH($B41,MMWR_RATING_STATE_ROLLUP_PMC[MMWR_RATING_STATE_ROLLUP_PMC],0),MATCH(G$9,MMWR_RATING_STATE_ROLLUP_PMC[#Headers],0)),"ERROR"))</f>
        <v>251</v>
      </c>
      <c r="H41" s="155">
        <f>IF($B41=" ","",IFERROR(INDEX(MMWR_RATING_STATE_ROLLUP_PMC[],MATCH($B41,MMWR_RATING_STATE_ROLLUP_PMC[MMWR_RATING_STATE_ROLLUP_PMC],0),MATCH(H$9,MMWR_RATING_STATE_ROLLUP_PMC[#Headers],0)),"ERROR"))</f>
        <v>75.256756756800002</v>
      </c>
      <c r="I41" s="155">
        <f>IF($B41=" ","",IFERROR(INDEX(MMWR_RATING_STATE_ROLLUP_PMC[],MATCH($B41,MMWR_RATING_STATE_ROLLUP_PMC[MMWR_RATING_STATE_ROLLUP_PMC],0),MATCH(I$9,MMWR_RATING_STATE_ROLLUP_PMC[#Headers],0)),"ERROR"))</f>
        <v>74.521912350600005</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1041</v>
      </c>
      <c r="D42" s="155">
        <f>IF($B42=" ","",IFERROR(INDEX(MMWR_RATING_STATE_ROLLUP_PMC[],MATCH($B42,MMWR_RATING_STATE_ROLLUP_PMC[MMWR_RATING_STATE_ROLLUP_PMC],0),MATCH(D$9,MMWR_RATING_STATE_ROLLUP_PMC[#Headers],0)),"ERROR"))</f>
        <v>66.6522574448</v>
      </c>
      <c r="E42" s="156">
        <f>IF($B42=" ","",IFERROR(INDEX(MMWR_RATING_STATE_ROLLUP_PMC[],MATCH($B42,MMWR_RATING_STATE_ROLLUP_PMC[MMWR_RATING_STATE_ROLLUP_PMC],0),MATCH(E$9,MMWR_RATING_STATE_ROLLUP_PMC[#Headers],0))/$C42,"ERROR"))</f>
        <v>9.6061479346781942E-2</v>
      </c>
      <c r="F42" s="154">
        <f>IF($B42=" ","",IFERROR(INDEX(MMWR_RATING_STATE_ROLLUP_PMC[],MATCH($B42,MMWR_RATING_STATE_ROLLUP_PMC[MMWR_RATING_STATE_ROLLUP_PMC],0),MATCH(F$9,MMWR_RATING_STATE_ROLLUP_PMC[#Headers],0)),"ERROR"))</f>
        <v>179</v>
      </c>
      <c r="G42" s="154">
        <f>IF($B42=" ","",IFERROR(INDEX(MMWR_RATING_STATE_ROLLUP_PMC[],MATCH($B42,MMWR_RATING_STATE_ROLLUP_PMC[MMWR_RATING_STATE_ROLLUP_PMC],0),MATCH(G$9,MMWR_RATING_STATE_ROLLUP_PMC[#Headers],0)),"ERROR"))</f>
        <v>567</v>
      </c>
      <c r="H42" s="155">
        <f>IF($B42=" ","",IFERROR(INDEX(MMWR_RATING_STATE_ROLLUP_PMC[],MATCH($B42,MMWR_RATING_STATE_ROLLUP_PMC[MMWR_RATING_STATE_ROLLUP_PMC],0),MATCH(H$9,MMWR_RATING_STATE_ROLLUP_PMC[#Headers],0)),"ERROR"))</f>
        <v>79.055865921800006</v>
      </c>
      <c r="I42" s="155">
        <f>IF($B42=" ","",IFERROR(INDEX(MMWR_RATING_STATE_ROLLUP_PMC[],MATCH($B42,MMWR_RATING_STATE_ROLLUP_PMC[MMWR_RATING_STATE_ROLLUP_PMC],0),MATCH(I$9,MMWR_RATING_STATE_ROLLUP_PMC[#Headers],0)),"ERROR"))</f>
        <v>77.895943562599996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889</v>
      </c>
      <c r="D43" s="155">
        <f>IF($B43=" ","",IFERROR(INDEX(MMWR_RATING_STATE_ROLLUP_PMC[],MATCH($B43,MMWR_RATING_STATE_ROLLUP_PMC[MMWR_RATING_STATE_ROLLUP_PMC],0),MATCH(D$9,MMWR_RATING_STATE_ROLLUP_PMC[#Headers],0)),"ERROR"))</f>
        <v>70.830146231699999</v>
      </c>
      <c r="E43" s="156">
        <f>IF($B43=" ","",IFERROR(INDEX(MMWR_RATING_STATE_ROLLUP_PMC[],MATCH($B43,MMWR_RATING_STATE_ROLLUP_PMC[MMWR_RATING_STATE_ROLLUP_PMC],0),MATCH(E$9,MMWR_RATING_STATE_ROLLUP_PMC[#Headers],0))/$C43,"ERROR"))</f>
        <v>0.12260967379077616</v>
      </c>
      <c r="F43" s="154">
        <f>IF($B43=" ","",IFERROR(INDEX(MMWR_RATING_STATE_ROLLUP_PMC[],MATCH($B43,MMWR_RATING_STATE_ROLLUP_PMC[MMWR_RATING_STATE_ROLLUP_PMC],0),MATCH(F$9,MMWR_RATING_STATE_ROLLUP_PMC[#Headers],0)),"ERROR"))</f>
        <v>184</v>
      </c>
      <c r="G43" s="154">
        <f>IF($B43=" ","",IFERROR(INDEX(MMWR_RATING_STATE_ROLLUP_PMC[],MATCH($B43,MMWR_RATING_STATE_ROLLUP_PMC[MMWR_RATING_STATE_ROLLUP_PMC],0),MATCH(G$9,MMWR_RATING_STATE_ROLLUP_PMC[#Headers],0)),"ERROR"))</f>
        <v>561</v>
      </c>
      <c r="H43" s="155">
        <f>IF($B43=" ","",IFERROR(INDEX(MMWR_RATING_STATE_ROLLUP_PMC[],MATCH($B43,MMWR_RATING_STATE_ROLLUP_PMC[MMWR_RATING_STATE_ROLLUP_PMC],0),MATCH(H$9,MMWR_RATING_STATE_ROLLUP_PMC[#Headers],0)),"ERROR"))</f>
        <v>78.396739130399993</v>
      </c>
      <c r="I43" s="155">
        <f>IF($B43=" ","",IFERROR(INDEX(MMWR_RATING_STATE_ROLLUP_PMC[],MATCH($B43,MMWR_RATING_STATE_ROLLUP_PMC[MMWR_RATING_STATE_ROLLUP_PMC],0),MATCH(I$9,MMWR_RATING_STATE_ROLLUP_PMC[#Headers],0)),"ERROR"))</f>
        <v>80.973262032099996</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1187</v>
      </c>
      <c r="D44" s="155">
        <f>IF($B44=" ","",IFERROR(INDEX(MMWR_RATING_STATE_ROLLUP_PMC[],MATCH($B44,MMWR_RATING_STATE_ROLLUP_PMC[MMWR_RATING_STATE_ROLLUP_PMC],0),MATCH(D$9,MMWR_RATING_STATE_ROLLUP_PMC[#Headers],0)),"ERROR"))</f>
        <v>65.241786015200006</v>
      </c>
      <c r="E44" s="156">
        <f>IF($B44=" ","",IFERROR(INDEX(MMWR_RATING_STATE_ROLLUP_PMC[],MATCH($B44,MMWR_RATING_STATE_ROLLUP_PMC[MMWR_RATING_STATE_ROLLUP_PMC],0),MATCH(E$9,MMWR_RATING_STATE_ROLLUP_PMC[#Headers],0))/$C44,"ERROR"))</f>
        <v>9.4355518112889641E-2</v>
      </c>
      <c r="F44" s="154">
        <f>IF($B44=" ","",IFERROR(INDEX(MMWR_RATING_STATE_ROLLUP_PMC[],MATCH($B44,MMWR_RATING_STATE_ROLLUP_PMC[MMWR_RATING_STATE_ROLLUP_PMC],0),MATCH(F$9,MMWR_RATING_STATE_ROLLUP_PMC[#Headers],0)),"ERROR"))</f>
        <v>215</v>
      </c>
      <c r="G44" s="154">
        <f>IF($B44=" ","",IFERROR(INDEX(MMWR_RATING_STATE_ROLLUP_PMC[],MATCH($B44,MMWR_RATING_STATE_ROLLUP_PMC[MMWR_RATING_STATE_ROLLUP_PMC],0),MATCH(G$9,MMWR_RATING_STATE_ROLLUP_PMC[#Headers],0)),"ERROR"))</f>
        <v>675</v>
      </c>
      <c r="H44" s="155">
        <f>IF($B44=" ","",IFERROR(INDEX(MMWR_RATING_STATE_ROLLUP_PMC[],MATCH($B44,MMWR_RATING_STATE_ROLLUP_PMC[MMWR_RATING_STATE_ROLLUP_PMC],0),MATCH(H$9,MMWR_RATING_STATE_ROLLUP_PMC[#Headers],0)),"ERROR"))</f>
        <v>81.041860465100001</v>
      </c>
      <c r="I44" s="155">
        <f>IF($B44=" ","",IFERROR(INDEX(MMWR_RATING_STATE_ROLLUP_PMC[],MATCH($B44,MMWR_RATING_STATE_ROLLUP_PMC[MMWR_RATING_STATE_ROLLUP_PMC],0),MATCH(I$9,MMWR_RATING_STATE_ROLLUP_PMC[#Headers],0)),"ERROR"))</f>
        <v>83.380740740700006</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92</v>
      </c>
      <c r="D45" s="155">
        <f>IF($B45=" ","",IFERROR(INDEX(MMWR_RATING_STATE_ROLLUP_PMC[],MATCH($B45,MMWR_RATING_STATE_ROLLUP_PMC[MMWR_RATING_STATE_ROLLUP_PMC],0),MATCH(D$9,MMWR_RATING_STATE_ROLLUP_PMC[#Headers],0)),"ERROR"))</f>
        <v>80.576086956500006</v>
      </c>
      <c r="E45" s="156">
        <f>IF($B45=" ","",IFERROR(INDEX(MMWR_RATING_STATE_ROLLUP_PMC[],MATCH($B45,MMWR_RATING_STATE_ROLLUP_PMC[MMWR_RATING_STATE_ROLLUP_PMC],0),MATCH(E$9,MMWR_RATING_STATE_ROLLUP_PMC[#Headers],0))/$C45,"ERROR"))</f>
        <v>9.7826086956521743E-2</v>
      </c>
      <c r="F45" s="154">
        <f>IF($B45=" ","",IFERROR(INDEX(MMWR_RATING_STATE_ROLLUP_PMC[],MATCH($B45,MMWR_RATING_STATE_ROLLUP_PMC[MMWR_RATING_STATE_ROLLUP_PMC],0),MATCH(F$9,MMWR_RATING_STATE_ROLLUP_PMC[#Headers],0)),"ERROR"))</f>
        <v>26</v>
      </c>
      <c r="G45" s="154">
        <f>IF($B45=" ","",IFERROR(INDEX(MMWR_RATING_STATE_ROLLUP_PMC[],MATCH($B45,MMWR_RATING_STATE_ROLLUP_PMC[MMWR_RATING_STATE_ROLLUP_PMC],0),MATCH(G$9,MMWR_RATING_STATE_ROLLUP_PMC[#Headers],0)),"ERROR"))</f>
        <v>63</v>
      </c>
      <c r="H45" s="155">
        <f>IF($B45=" ","",IFERROR(INDEX(MMWR_RATING_STATE_ROLLUP_PMC[],MATCH($B45,MMWR_RATING_STATE_ROLLUP_PMC[MMWR_RATING_STATE_ROLLUP_PMC],0),MATCH(H$9,MMWR_RATING_STATE_ROLLUP_PMC[#Headers],0)),"ERROR"))</f>
        <v>71.192307692300005</v>
      </c>
      <c r="I45" s="155">
        <f>IF($B45=" ","",IFERROR(INDEX(MMWR_RATING_STATE_ROLLUP_PMC[],MATCH($B45,MMWR_RATING_STATE_ROLLUP_PMC[MMWR_RATING_STATE_ROLLUP_PMC],0),MATCH(I$9,MMWR_RATING_STATE_ROLLUP_PMC[#Headers],0)),"ERROR"))</f>
        <v>80.380952381</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31</v>
      </c>
      <c r="D46" s="155">
        <f>IF($B46=" ","",IFERROR(INDEX(MMWR_RATING_STATE_ROLLUP_PMC[],MATCH($B46,MMWR_RATING_STATE_ROLLUP_PMC[MMWR_RATING_STATE_ROLLUP_PMC],0),MATCH(D$9,MMWR_RATING_STATE_ROLLUP_PMC[#Headers],0)),"ERROR"))</f>
        <v>69.096774193499996</v>
      </c>
      <c r="E46" s="156">
        <f>IF($B46=" ","",IFERROR(INDEX(MMWR_RATING_STATE_ROLLUP_PMC[],MATCH($B46,MMWR_RATING_STATE_ROLLUP_PMC[MMWR_RATING_STATE_ROLLUP_PMC],0),MATCH(E$9,MMWR_RATING_STATE_ROLLUP_PMC[#Headers],0))/$C46,"ERROR"))</f>
        <v>0.19354838709677419</v>
      </c>
      <c r="F46" s="154">
        <f>IF($B46=" ","",IFERROR(INDEX(MMWR_RATING_STATE_ROLLUP_PMC[],MATCH($B46,MMWR_RATING_STATE_ROLLUP_PMC[MMWR_RATING_STATE_ROLLUP_PMC],0),MATCH(F$9,MMWR_RATING_STATE_ROLLUP_PMC[#Headers],0)),"ERROR"))</f>
        <v>3</v>
      </c>
      <c r="G46" s="154">
        <f>IF($B46=" ","",IFERROR(INDEX(MMWR_RATING_STATE_ROLLUP_PMC[],MATCH($B46,MMWR_RATING_STATE_ROLLUP_PMC[MMWR_RATING_STATE_ROLLUP_PMC],0),MATCH(G$9,MMWR_RATING_STATE_ROLLUP_PMC[#Headers],0)),"ERROR"))</f>
        <v>15</v>
      </c>
      <c r="H46" s="155">
        <f>IF($B46=" ","",IFERROR(INDEX(MMWR_RATING_STATE_ROLLUP_PMC[],MATCH($B46,MMWR_RATING_STATE_ROLLUP_PMC[MMWR_RATING_STATE_ROLLUP_PMC],0),MATCH(H$9,MMWR_RATING_STATE_ROLLUP_PMC[#Headers],0)),"ERROR"))</f>
        <v>73.333333333300004</v>
      </c>
      <c r="I46" s="155">
        <f>IF($B46=" ","",IFERROR(INDEX(MMWR_RATING_STATE_ROLLUP_PMC[],MATCH($B46,MMWR_RATING_STATE_ROLLUP_PMC[MMWR_RATING_STATE_ROLLUP_PMC],0),MATCH(I$9,MMWR_RATING_STATE_ROLLUP_PMC[#Headers],0)),"ERROR"))</f>
        <v>68.599999999999994</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622</v>
      </c>
      <c r="D47" s="155">
        <f>IF($B47=" ","",IFERROR(INDEX(MMWR_RATING_STATE_ROLLUP_PMC[],MATCH($B47,MMWR_RATING_STATE_ROLLUP_PMC[MMWR_RATING_STATE_ROLLUP_PMC],0),MATCH(D$9,MMWR_RATING_STATE_ROLLUP_PMC[#Headers],0)),"ERROR"))</f>
        <v>75.273311897100001</v>
      </c>
      <c r="E47" s="156">
        <f>IF($B47=" ","",IFERROR(INDEX(MMWR_RATING_STATE_ROLLUP_PMC[],MATCH($B47,MMWR_RATING_STATE_ROLLUP_PMC[MMWR_RATING_STATE_ROLLUP_PMC],0),MATCH(E$9,MMWR_RATING_STATE_ROLLUP_PMC[#Headers],0))/$C47,"ERROR"))</f>
        <v>0.12861736334405144</v>
      </c>
      <c r="F47" s="154">
        <f>IF($B47=" ","",IFERROR(INDEX(MMWR_RATING_STATE_ROLLUP_PMC[],MATCH($B47,MMWR_RATING_STATE_ROLLUP_PMC[MMWR_RATING_STATE_ROLLUP_PMC],0),MATCH(F$9,MMWR_RATING_STATE_ROLLUP_PMC[#Headers],0)),"ERROR"))</f>
        <v>116</v>
      </c>
      <c r="G47" s="154">
        <f>IF($B47=" ","",IFERROR(INDEX(MMWR_RATING_STATE_ROLLUP_PMC[],MATCH($B47,MMWR_RATING_STATE_ROLLUP_PMC[MMWR_RATING_STATE_ROLLUP_PMC],0),MATCH(G$9,MMWR_RATING_STATE_ROLLUP_PMC[#Headers],0)),"ERROR"))</f>
        <v>367</v>
      </c>
      <c r="H47" s="155">
        <f>IF($B47=" ","",IFERROR(INDEX(MMWR_RATING_STATE_ROLLUP_PMC[],MATCH($B47,MMWR_RATING_STATE_ROLLUP_PMC[MMWR_RATING_STATE_ROLLUP_PMC],0),MATCH(H$9,MMWR_RATING_STATE_ROLLUP_PMC[#Headers],0)),"ERROR"))</f>
        <v>95.051724137899996</v>
      </c>
      <c r="I47" s="155">
        <f>IF($B47=" ","",IFERROR(INDEX(MMWR_RATING_STATE_ROLLUP_PMC[],MATCH($B47,MMWR_RATING_STATE_ROLLUP_PMC[MMWR_RATING_STATE_ROLLUP_PMC],0),MATCH(I$9,MMWR_RATING_STATE_ROLLUP_PMC[#Headers],0)),"ERROR"))</f>
        <v>89.340599455000003</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191</v>
      </c>
      <c r="D48" s="155">
        <f>IF($B48=" ","",IFERROR(INDEX(MMWR_RATING_STATE_ROLLUP_PMC[],MATCH($B48,MMWR_RATING_STATE_ROLLUP_PMC[MMWR_RATING_STATE_ROLLUP_PMC],0),MATCH(D$9,MMWR_RATING_STATE_ROLLUP_PMC[#Headers],0)),"ERROR"))</f>
        <v>79.905759162300001</v>
      </c>
      <c r="E48" s="156">
        <f>IF($B48=" ","",IFERROR(INDEX(MMWR_RATING_STATE_ROLLUP_PMC[],MATCH($B48,MMWR_RATING_STATE_ROLLUP_PMC[MMWR_RATING_STATE_ROLLUP_PMC],0),MATCH(E$9,MMWR_RATING_STATE_ROLLUP_PMC[#Headers],0))/$C48,"ERROR"))</f>
        <v>0.10471204188481675</v>
      </c>
      <c r="F48" s="154">
        <f>IF($B48=" ","",IFERROR(INDEX(MMWR_RATING_STATE_ROLLUP_PMC[],MATCH($B48,MMWR_RATING_STATE_ROLLUP_PMC[MMWR_RATING_STATE_ROLLUP_PMC],0),MATCH(F$9,MMWR_RATING_STATE_ROLLUP_PMC[#Headers],0)),"ERROR"))</f>
        <v>34</v>
      </c>
      <c r="G48" s="154">
        <f>IF($B48=" ","",IFERROR(INDEX(MMWR_RATING_STATE_ROLLUP_PMC[],MATCH($B48,MMWR_RATING_STATE_ROLLUP_PMC[MMWR_RATING_STATE_ROLLUP_PMC],0),MATCH(G$9,MMWR_RATING_STATE_ROLLUP_PMC[#Headers],0)),"ERROR"))</f>
        <v>126</v>
      </c>
      <c r="H48" s="155">
        <f>IF($B48=" ","",IFERROR(INDEX(MMWR_RATING_STATE_ROLLUP_PMC[],MATCH($B48,MMWR_RATING_STATE_ROLLUP_PMC[MMWR_RATING_STATE_ROLLUP_PMC],0),MATCH(H$9,MMWR_RATING_STATE_ROLLUP_PMC[#Headers],0)),"ERROR"))</f>
        <v>77.647058823500004</v>
      </c>
      <c r="I48" s="155">
        <f>IF($B48=" ","",IFERROR(INDEX(MMWR_RATING_STATE_ROLLUP_PMC[],MATCH($B48,MMWR_RATING_STATE_ROLLUP_PMC[MMWR_RATING_STATE_ROLLUP_PMC],0),MATCH(I$9,MMWR_RATING_STATE_ROLLUP_PMC[#Headers],0)),"ERROR"))</f>
        <v>80.246031746</v>
      </c>
      <c r="J48" s="42"/>
      <c r="K48" s="42"/>
      <c r="L48" s="42"/>
      <c r="M48" s="42"/>
      <c r="N48" s="28"/>
    </row>
    <row r="49" spans="1:14" x14ac:dyDescent="0.2">
      <c r="A49" s="25"/>
      <c r="B49" s="361" t="s">
        <v>1047</v>
      </c>
      <c r="C49" s="362"/>
      <c r="D49" s="362"/>
      <c r="E49" s="362"/>
      <c r="F49" s="362"/>
      <c r="G49" s="362"/>
      <c r="H49" s="362"/>
      <c r="I49" s="362"/>
      <c r="J49" s="362"/>
      <c r="K49" s="362"/>
      <c r="L49" s="362"/>
      <c r="M49" s="371"/>
      <c r="N49" s="28"/>
    </row>
    <row r="50" spans="1:14" x14ac:dyDescent="0.2">
      <c r="A50" s="25"/>
      <c r="B50" s="41" t="s">
        <v>1046</v>
      </c>
      <c r="C50" s="154">
        <f>IF($B50=" ","",IFERROR(INDEX(MMWR_RATING_STATE_ROLLUP_QST[],MATCH($B50,MMWR_RATING_STATE_ROLLUP_QST[MMWR_RATING_STATE_ROLLUP_QST],0),MATCH(C$9,MMWR_RATING_STATE_ROLLUP_QST[#Headers],0)),"ERROR"))</f>
        <v>10558</v>
      </c>
      <c r="D50" s="155">
        <f>IF($B50=" ","",IFERROR(INDEX(MMWR_RATING_STATE_ROLLUP_QST[],MATCH($B50,MMWR_RATING_STATE_ROLLUP_QST[MMWR_RATING_STATE_ROLLUP_QST],0),MATCH(D$9,MMWR_RATING_STATE_ROLLUP_QST[#Headers],0)),"ERROR"))</f>
        <v>75.202121613900005</v>
      </c>
      <c r="E50" s="156">
        <f>IF($B50=" ","",IFERROR(INDEX(MMWR_RATING_STATE_ROLLUP_QST[],MATCH($B50,MMWR_RATING_STATE_ROLLUP_QST[MMWR_RATING_STATE_ROLLUP_QST],0),MATCH(E$9,MMWR_RATING_STATE_ROLLUP_QST[#Headers],0))/$C50,"ERROR"))</f>
        <v>0.15476415987876491</v>
      </c>
      <c r="F50" s="154">
        <f>IF($B50=" ","",IFERROR(INDEX(MMWR_RATING_STATE_ROLLUP_QST[],MATCH($B50,MMWR_RATING_STATE_ROLLUP_QST[MMWR_RATING_STATE_ROLLUP_QST],0),MATCH(F$9,MMWR_RATING_STATE_ROLLUP_QST[#Headers],0)),"ERROR"))</f>
        <v>749</v>
      </c>
      <c r="G50" s="154">
        <f>IF($B50=" ","",IFERROR(INDEX(MMWR_RATING_STATE_ROLLUP_QST[],MATCH($B50,MMWR_RATING_STATE_ROLLUP_QST[MMWR_RATING_STATE_ROLLUP_QST],0),MATCH(G$9,MMWR_RATING_STATE_ROLLUP_QST[#Headers],0)),"ERROR"))</f>
        <v>2147</v>
      </c>
      <c r="H50" s="155">
        <f>IF($B50=" ","",IFERROR(INDEX(MMWR_RATING_STATE_ROLLUP_QST[],MATCH($B50,MMWR_RATING_STATE_ROLLUP_QST[MMWR_RATING_STATE_ROLLUP_QST],0),MATCH(H$9,MMWR_RATING_STATE_ROLLUP_QST[#Headers],0)),"ERROR"))</f>
        <v>137.7543391188</v>
      </c>
      <c r="I50" s="155">
        <f>IF($B50=" ","",IFERROR(INDEX(MMWR_RATING_STATE_ROLLUP_QST[],MATCH($B50,MMWR_RATING_STATE_ROLLUP_QST[MMWR_RATING_STATE_ROLLUP_QST],0),MATCH(I$9,MMWR_RATING_STATE_ROLLUP_QST[#Headers],0)),"ERROR"))</f>
        <v>134.65533302279999</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2508</v>
      </c>
      <c r="D51" s="155">
        <f>IF($B51=" ","",IFERROR(INDEX(MMWR_RATING_STATE_ROLLUP_QST[],MATCH($B51,MMWR_RATING_STATE_ROLLUP_QST[MMWR_RATING_STATE_ROLLUP_QST],0),MATCH(D$9,MMWR_RATING_STATE_ROLLUP_QST[#Headers],0)),"ERROR"))</f>
        <v>79.019936204100006</v>
      </c>
      <c r="E51" s="156">
        <f>IF($B51=" ","",IFERROR(INDEX(MMWR_RATING_STATE_ROLLUP_QST[],MATCH($B51,MMWR_RATING_STATE_ROLLUP_QST[MMWR_RATING_STATE_ROLLUP_QST],0),MATCH(E$9,MMWR_RATING_STATE_ROLLUP_QST[#Headers],0))/$C51,"ERROR"))</f>
        <v>0.1854066985645933</v>
      </c>
      <c r="F51" s="154">
        <f>IF($B51=" ","",IFERROR(INDEX(MMWR_RATING_STATE_ROLLUP_QST[],MATCH($B51,MMWR_RATING_STATE_ROLLUP_QST[MMWR_RATING_STATE_ROLLUP_QST],0),MATCH(F$9,MMWR_RATING_STATE_ROLLUP_QST[#Headers],0)),"ERROR"))</f>
        <v>178</v>
      </c>
      <c r="G51" s="154">
        <f>IF($B51=" ","",IFERROR(INDEX(MMWR_RATING_STATE_ROLLUP_QST[],MATCH($B51,MMWR_RATING_STATE_ROLLUP_QST[MMWR_RATING_STATE_ROLLUP_QST],0),MATCH(G$9,MMWR_RATING_STATE_ROLLUP_QST[#Headers],0)),"ERROR"))</f>
        <v>470</v>
      </c>
      <c r="H51" s="155">
        <f>IF($B51=" ","",IFERROR(INDEX(MMWR_RATING_STATE_ROLLUP_QST[],MATCH($B51,MMWR_RATING_STATE_ROLLUP_QST[MMWR_RATING_STATE_ROLLUP_QST],0),MATCH(H$9,MMWR_RATING_STATE_ROLLUP_QST[#Headers],0)),"ERROR"))</f>
        <v>140.43258426969999</v>
      </c>
      <c r="I51" s="155">
        <f>IF($B51=" ","",IFERROR(INDEX(MMWR_RATING_STATE_ROLLUP_QST[],MATCH($B51,MMWR_RATING_STATE_ROLLUP_QST[MMWR_RATING_STATE_ROLLUP_QST],0),MATCH(I$9,MMWR_RATING_STATE_ROLLUP_QST[#Headers],0)),"ERROR"))</f>
        <v>142.64255319150001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65</v>
      </c>
      <c r="D52" s="155">
        <f>IF($B52=" ","",IFERROR(INDEX(MMWR_RATING_STATE_ROLLUP_QST[],MATCH($B52,MMWR_RATING_STATE_ROLLUP_QST[MMWR_RATING_STATE_ROLLUP_QST],0),MATCH(D$9,MMWR_RATING_STATE_ROLLUP_QST[#Headers],0)),"ERROR"))</f>
        <v>78.215384615399998</v>
      </c>
      <c r="E52" s="156">
        <f>IF($B52=" ","",IFERROR(INDEX(MMWR_RATING_STATE_ROLLUP_QST[],MATCH($B52,MMWR_RATING_STATE_ROLLUP_QST[MMWR_RATING_STATE_ROLLUP_QST],0),MATCH(E$9,MMWR_RATING_STATE_ROLLUP_QST[#Headers],0))/$C52,"ERROR"))</f>
        <v>0.18461538461538463</v>
      </c>
      <c r="F52" s="154">
        <f>IF($B52=" ","",IFERROR(INDEX(MMWR_RATING_STATE_ROLLUP_QST[],MATCH($B52,MMWR_RATING_STATE_ROLLUP_QST[MMWR_RATING_STATE_ROLLUP_QST],0),MATCH(F$9,MMWR_RATING_STATE_ROLLUP_QST[#Headers],0)),"ERROR"))</f>
        <v>2</v>
      </c>
      <c r="G52" s="154">
        <f>IF($B52=" ","",IFERROR(INDEX(MMWR_RATING_STATE_ROLLUP_QST[],MATCH($B52,MMWR_RATING_STATE_ROLLUP_QST[MMWR_RATING_STATE_ROLLUP_QST],0),MATCH(G$9,MMWR_RATING_STATE_ROLLUP_QST[#Headers],0)),"ERROR"))</f>
        <v>10</v>
      </c>
      <c r="H52" s="155">
        <f>IF($B52=" ","",IFERROR(INDEX(MMWR_RATING_STATE_ROLLUP_QST[],MATCH($B52,MMWR_RATING_STATE_ROLLUP_QST[MMWR_RATING_STATE_ROLLUP_QST],0),MATCH(H$9,MMWR_RATING_STATE_ROLLUP_QST[#Headers],0)),"ERROR"))</f>
        <v>105</v>
      </c>
      <c r="I52" s="155">
        <f>IF($B52=" ","",IFERROR(INDEX(MMWR_RATING_STATE_ROLLUP_QST[],MATCH($B52,MMWR_RATING_STATE_ROLLUP_QST[MMWR_RATING_STATE_ROLLUP_QST],0),MATCH(I$9,MMWR_RATING_STATE_ROLLUP_QST[#Headers],0)),"ERROR"))</f>
        <v>109.4</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17</v>
      </c>
      <c r="D53" s="155">
        <f>IF($B53=" ","",IFERROR(INDEX(MMWR_RATING_STATE_ROLLUP_QST[],MATCH($B53,MMWR_RATING_STATE_ROLLUP_QST[MMWR_RATING_STATE_ROLLUP_QST],0),MATCH(D$9,MMWR_RATING_STATE_ROLLUP_QST[#Headers],0)),"ERROR"))</f>
        <v>71</v>
      </c>
      <c r="E53" s="156">
        <f>IF($B53=" ","",IFERROR(INDEX(MMWR_RATING_STATE_ROLLUP_QST[],MATCH($B53,MMWR_RATING_STATE_ROLLUP_QST[MMWR_RATING_STATE_ROLLUP_QST],0),MATCH(E$9,MMWR_RATING_STATE_ROLLUP_QST[#Headers],0))/$C53,"ERROR"))</f>
        <v>0.11764705882352941</v>
      </c>
      <c r="F53" s="154">
        <f>IF($B53=" ","",IFERROR(INDEX(MMWR_RATING_STATE_ROLLUP_QST[],MATCH($B53,MMWR_RATING_STATE_ROLLUP_QST[MMWR_RATING_STATE_ROLLUP_QST],0),MATCH(F$9,MMWR_RATING_STATE_ROLLUP_QST[#Headers],0)),"ERROR"))</f>
        <v>4</v>
      </c>
      <c r="G53" s="154">
        <f>IF($B53=" ","",IFERROR(INDEX(MMWR_RATING_STATE_ROLLUP_QST[],MATCH($B53,MMWR_RATING_STATE_ROLLUP_QST[MMWR_RATING_STATE_ROLLUP_QST],0),MATCH(G$9,MMWR_RATING_STATE_ROLLUP_QST[#Headers],0)),"ERROR"))</f>
        <v>8</v>
      </c>
      <c r="H53" s="155">
        <f>IF($B53=" ","",IFERROR(INDEX(MMWR_RATING_STATE_ROLLUP_QST[],MATCH($B53,MMWR_RATING_STATE_ROLLUP_QST[MMWR_RATING_STATE_ROLLUP_QST],0),MATCH(H$9,MMWR_RATING_STATE_ROLLUP_QST[#Headers],0)),"ERROR"))</f>
        <v>149.5</v>
      </c>
      <c r="I53" s="155">
        <f>IF($B53=" ","",IFERROR(INDEX(MMWR_RATING_STATE_ROLLUP_QST[],MATCH($B53,MMWR_RATING_STATE_ROLLUP_QST[MMWR_RATING_STATE_ROLLUP_QST],0),MATCH(I$9,MMWR_RATING_STATE_ROLLUP_QST[#Headers],0)),"ERROR"))</f>
        <v>149.5</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22</v>
      </c>
      <c r="D54" s="155">
        <f>IF($B54=" ","",IFERROR(INDEX(MMWR_RATING_STATE_ROLLUP_QST[],MATCH($B54,MMWR_RATING_STATE_ROLLUP_QST[MMWR_RATING_STATE_ROLLUP_QST],0),MATCH(D$9,MMWR_RATING_STATE_ROLLUP_QST[#Headers],0)),"ERROR"))</f>
        <v>76.818181818200003</v>
      </c>
      <c r="E54" s="156">
        <f>IF($B54=" ","",IFERROR(INDEX(MMWR_RATING_STATE_ROLLUP_QST[],MATCH($B54,MMWR_RATING_STATE_ROLLUP_QST[MMWR_RATING_STATE_ROLLUP_QST],0),MATCH(E$9,MMWR_RATING_STATE_ROLLUP_QST[#Headers],0))/$C54,"ERROR"))</f>
        <v>0.22727272727272727</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3</v>
      </c>
      <c r="H54" s="155">
        <f>IF($B54=" ","",IFERROR(INDEX(MMWR_RATING_STATE_ROLLUP_QST[],MATCH($B54,MMWR_RATING_STATE_ROLLUP_QST[MMWR_RATING_STATE_ROLLUP_QST],0),MATCH(H$9,MMWR_RATING_STATE_ROLLUP_QST[#Headers],0)),"ERROR"))</f>
        <v>138</v>
      </c>
      <c r="I54" s="155">
        <f>IF($B54=" ","",IFERROR(INDEX(MMWR_RATING_STATE_ROLLUP_QST[],MATCH($B54,MMWR_RATING_STATE_ROLLUP_QST[MMWR_RATING_STATE_ROLLUP_QST],0),MATCH(I$9,MMWR_RATING_STATE_ROLLUP_QST[#Headers],0)),"ERROR"))</f>
        <v>139.3333333333</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30</v>
      </c>
      <c r="D55" s="155">
        <f>IF($B55=" ","",IFERROR(INDEX(MMWR_RATING_STATE_ROLLUP_QST[],MATCH($B55,MMWR_RATING_STATE_ROLLUP_QST[MMWR_RATING_STATE_ROLLUP_QST],0),MATCH(D$9,MMWR_RATING_STATE_ROLLUP_QST[#Headers],0)),"ERROR"))</f>
        <v>63.133333333300001</v>
      </c>
      <c r="E55" s="156">
        <f>IF($B55=" ","",IFERROR(INDEX(MMWR_RATING_STATE_ROLLUP_QST[],MATCH($B55,MMWR_RATING_STATE_ROLLUP_QST[MMWR_RATING_STATE_ROLLUP_QST],0),MATCH(E$9,MMWR_RATING_STATE_ROLLUP_QST[#Headers],0))/$C55,"ERROR"))</f>
        <v>0.16666666666666666</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4</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147.5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262</v>
      </c>
      <c r="D56" s="155">
        <f>IF($B56=" ","",IFERROR(INDEX(MMWR_RATING_STATE_ROLLUP_QST[],MATCH($B56,MMWR_RATING_STATE_ROLLUP_QST[MMWR_RATING_STATE_ROLLUP_QST],0),MATCH(D$9,MMWR_RATING_STATE_ROLLUP_QST[#Headers],0)),"ERROR"))</f>
        <v>81.3320610687</v>
      </c>
      <c r="E56" s="156">
        <f>IF($B56=" ","",IFERROR(INDEX(MMWR_RATING_STATE_ROLLUP_QST[],MATCH($B56,MMWR_RATING_STATE_ROLLUP_QST[MMWR_RATING_STATE_ROLLUP_QST],0),MATCH(E$9,MMWR_RATING_STATE_ROLLUP_QST[#Headers],0))/$C56,"ERROR"))</f>
        <v>0.1717557251908397</v>
      </c>
      <c r="F56" s="154">
        <f>IF($B56=" ","",IFERROR(INDEX(MMWR_RATING_STATE_ROLLUP_QST[],MATCH($B56,MMWR_RATING_STATE_ROLLUP_QST[MMWR_RATING_STATE_ROLLUP_QST],0),MATCH(F$9,MMWR_RATING_STATE_ROLLUP_QST[#Headers],0)),"ERROR"))</f>
        <v>16</v>
      </c>
      <c r="G56" s="154">
        <f>IF($B56=" ","",IFERROR(INDEX(MMWR_RATING_STATE_ROLLUP_QST[],MATCH($B56,MMWR_RATING_STATE_ROLLUP_QST[MMWR_RATING_STATE_ROLLUP_QST],0),MATCH(G$9,MMWR_RATING_STATE_ROLLUP_QST[#Headers],0)),"ERROR"))</f>
        <v>54</v>
      </c>
      <c r="H56" s="155">
        <f>IF($B56=" ","",IFERROR(INDEX(MMWR_RATING_STATE_ROLLUP_QST[],MATCH($B56,MMWR_RATING_STATE_ROLLUP_QST[MMWR_RATING_STATE_ROLLUP_QST],0),MATCH(H$9,MMWR_RATING_STATE_ROLLUP_QST[#Headers],0)),"ERROR"))</f>
        <v>135.75</v>
      </c>
      <c r="I56" s="155">
        <f>IF($B56=" ","",IFERROR(INDEX(MMWR_RATING_STATE_ROLLUP_QST[],MATCH($B56,MMWR_RATING_STATE_ROLLUP_QST[MMWR_RATING_STATE_ROLLUP_QST],0),MATCH(I$9,MMWR_RATING_STATE_ROLLUP_QST[#Headers],0)),"ERROR"))</f>
        <v>134.14814814810001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97</v>
      </c>
      <c r="D57" s="155">
        <f>IF($B57=" ","",IFERROR(INDEX(MMWR_RATING_STATE_ROLLUP_QST[],MATCH($B57,MMWR_RATING_STATE_ROLLUP_QST[MMWR_RATING_STATE_ROLLUP_QST],0),MATCH(D$9,MMWR_RATING_STATE_ROLLUP_QST[#Headers],0)),"ERROR"))</f>
        <v>81.711340206200006</v>
      </c>
      <c r="E57" s="156">
        <f>IF($B57=" ","",IFERROR(INDEX(MMWR_RATING_STATE_ROLLUP_QST[],MATCH($B57,MMWR_RATING_STATE_ROLLUP_QST[MMWR_RATING_STATE_ROLLUP_QST],0),MATCH(E$9,MMWR_RATING_STATE_ROLLUP_QST[#Headers],0))/$C57,"ERROR"))</f>
        <v>0.23711340206185566</v>
      </c>
      <c r="F57" s="154">
        <f>IF($B57=" ","",IFERROR(INDEX(MMWR_RATING_STATE_ROLLUP_QST[],MATCH($B57,MMWR_RATING_STATE_ROLLUP_QST[MMWR_RATING_STATE_ROLLUP_QST],0),MATCH(F$9,MMWR_RATING_STATE_ROLLUP_QST[#Headers],0)),"ERROR"))</f>
        <v>15</v>
      </c>
      <c r="G57" s="154">
        <f>IF($B57=" ","",IFERROR(INDEX(MMWR_RATING_STATE_ROLLUP_QST[],MATCH($B57,MMWR_RATING_STATE_ROLLUP_QST[MMWR_RATING_STATE_ROLLUP_QST],0),MATCH(G$9,MMWR_RATING_STATE_ROLLUP_QST[#Headers],0)),"ERROR"))</f>
        <v>25</v>
      </c>
      <c r="H57" s="155">
        <f>IF($B57=" ","",IFERROR(INDEX(MMWR_RATING_STATE_ROLLUP_QST[],MATCH($B57,MMWR_RATING_STATE_ROLLUP_QST[MMWR_RATING_STATE_ROLLUP_QST],0),MATCH(H$9,MMWR_RATING_STATE_ROLLUP_QST[#Headers],0)),"ERROR"))</f>
        <v>143.80000000000001</v>
      </c>
      <c r="I57" s="155">
        <f>IF($B57=" ","",IFERROR(INDEX(MMWR_RATING_STATE_ROLLUP_QST[],MATCH($B57,MMWR_RATING_STATE_ROLLUP_QST[MMWR_RATING_STATE_ROLLUP_QST],0),MATCH(I$9,MMWR_RATING_STATE_ROLLUP_QST[#Headers],0)),"ERROR"))</f>
        <v>135.88</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29</v>
      </c>
      <c r="D58" s="155">
        <f>IF($B58=" ","",IFERROR(INDEX(MMWR_RATING_STATE_ROLLUP_QST[],MATCH($B58,MMWR_RATING_STATE_ROLLUP_QST[MMWR_RATING_STATE_ROLLUP_QST],0),MATCH(D$9,MMWR_RATING_STATE_ROLLUP_QST[#Headers],0)),"ERROR"))</f>
        <v>69.068965517199999</v>
      </c>
      <c r="E58" s="156">
        <f>IF($B58=" ","",IFERROR(INDEX(MMWR_RATING_STATE_ROLLUP_QST[],MATCH($B58,MMWR_RATING_STATE_ROLLUP_QST[MMWR_RATING_STATE_ROLLUP_QST],0),MATCH(E$9,MMWR_RATING_STATE_ROLLUP_QST[#Headers],0))/$C58,"ERROR"))</f>
        <v>0.10344827586206896</v>
      </c>
      <c r="F58" s="154">
        <f>IF($B58=" ","",IFERROR(INDEX(MMWR_RATING_STATE_ROLLUP_QST[],MATCH($B58,MMWR_RATING_STATE_ROLLUP_QST[MMWR_RATING_STATE_ROLLUP_QST],0),MATCH(F$9,MMWR_RATING_STATE_ROLLUP_QST[#Headers],0)),"ERROR"))</f>
        <v>3</v>
      </c>
      <c r="G58" s="154">
        <f>IF($B58=" ","",IFERROR(INDEX(MMWR_RATING_STATE_ROLLUP_QST[],MATCH($B58,MMWR_RATING_STATE_ROLLUP_QST[MMWR_RATING_STATE_ROLLUP_QST],0),MATCH(G$9,MMWR_RATING_STATE_ROLLUP_QST[#Headers],0)),"ERROR"))</f>
        <v>3</v>
      </c>
      <c r="H58" s="155">
        <f>IF($B58=" ","",IFERROR(INDEX(MMWR_RATING_STATE_ROLLUP_QST[],MATCH($B58,MMWR_RATING_STATE_ROLLUP_QST[MMWR_RATING_STATE_ROLLUP_QST],0),MATCH(H$9,MMWR_RATING_STATE_ROLLUP_QST[#Headers],0)),"ERROR"))</f>
        <v>131.6666666667</v>
      </c>
      <c r="I58" s="155">
        <f>IF($B58=" ","",IFERROR(INDEX(MMWR_RATING_STATE_ROLLUP_QST[],MATCH($B58,MMWR_RATING_STATE_ROLLUP_QST[MMWR_RATING_STATE_ROLLUP_QST],0),MATCH(I$9,MMWR_RATING_STATE_ROLLUP_QST[#Headers],0)),"ERROR"))</f>
        <v>131.6666666667</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114</v>
      </c>
      <c r="D59" s="155">
        <f>IF($B59=" ","",IFERROR(INDEX(MMWR_RATING_STATE_ROLLUP_QST[],MATCH($B59,MMWR_RATING_STATE_ROLLUP_QST[MMWR_RATING_STATE_ROLLUP_QST],0),MATCH(D$9,MMWR_RATING_STATE_ROLLUP_QST[#Headers],0)),"ERROR"))</f>
        <v>75.789473684200004</v>
      </c>
      <c r="E59" s="156">
        <f>IF($B59=" ","",IFERROR(INDEX(MMWR_RATING_STATE_ROLLUP_QST[],MATCH($B59,MMWR_RATING_STATE_ROLLUP_QST[MMWR_RATING_STATE_ROLLUP_QST],0),MATCH(E$9,MMWR_RATING_STATE_ROLLUP_QST[#Headers],0))/$C59,"ERROR"))</f>
        <v>0.15789473684210525</v>
      </c>
      <c r="F59" s="154">
        <f>IF($B59=" ","",IFERROR(INDEX(MMWR_RATING_STATE_ROLLUP_QST[],MATCH($B59,MMWR_RATING_STATE_ROLLUP_QST[MMWR_RATING_STATE_ROLLUP_QST],0),MATCH(F$9,MMWR_RATING_STATE_ROLLUP_QST[#Headers],0)),"ERROR"))</f>
        <v>4</v>
      </c>
      <c r="G59" s="154">
        <f>IF($B59=" ","",IFERROR(INDEX(MMWR_RATING_STATE_ROLLUP_QST[],MATCH($B59,MMWR_RATING_STATE_ROLLUP_QST[MMWR_RATING_STATE_ROLLUP_QST],0),MATCH(G$9,MMWR_RATING_STATE_ROLLUP_QST[#Headers],0)),"ERROR"))</f>
        <v>15</v>
      </c>
      <c r="H59" s="155">
        <f>IF($B59=" ","",IFERROR(INDEX(MMWR_RATING_STATE_ROLLUP_QST[],MATCH($B59,MMWR_RATING_STATE_ROLLUP_QST[MMWR_RATING_STATE_ROLLUP_QST],0),MATCH(H$9,MMWR_RATING_STATE_ROLLUP_QST[#Headers],0)),"ERROR"))</f>
        <v>150</v>
      </c>
      <c r="I59" s="155">
        <f>IF($B59=" ","",IFERROR(INDEX(MMWR_RATING_STATE_ROLLUP_QST[],MATCH($B59,MMWR_RATING_STATE_ROLLUP_QST[MMWR_RATING_STATE_ROLLUP_QST],0),MATCH(I$9,MMWR_RATING_STATE_ROLLUP_QST[#Headers],0)),"ERROR"))</f>
        <v>142.3333333333</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269</v>
      </c>
      <c r="D60" s="155">
        <f>IF($B60=" ","",IFERROR(INDEX(MMWR_RATING_STATE_ROLLUP_QST[],MATCH($B60,MMWR_RATING_STATE_ROLLUP_QST[MMWR_RATING_STATE_ROLLUP_QST],0),MATCH(D$9,MMWR_RATING_STATE_ROLLUP_QST[#Headers],0)),"ERROR"))</f>
        <v>71.654275092899994</v>
      </c>
      <c r="E60" s="156">
        <f>IF($B60=" ","",IFERROR(INDEX(MMWR_RATING_STATE_ROLLUP_QST[],MATCH($B60,MMWR_RATING_STATE_ROLLUP_QST[MMWR_RATING_STATE_ROLLUP_QST],0),MATCH(E$9,MMWR_RATING_STATE_ROLLUP_QST[#Headers],0))/$C60,"ERROR"))</f>
        <v>0.14869888475836432</v>
      </c>
      <c r="F60" s="154">
        <f>IF($B60=" ","",IFERROR(INDEX(MMWR_RATING_STATE_ROLLUP_QST[],MATCH($B60,MMWR_RATING_STATE_ROLLUP_QST[MMWR_RATING_STATE_ROLLUP_QST],0),MATCH(F$9,MMWR_RATING_STATE_ROLLUP_QST[#Headers],0)),"ERROR"))</f>
        <v>21</v>
      </c>
      <c r="G60" s="154">
        <f>IF($B60=" ","",IFERROR(INDEX(MMWR_RATING_STATE_ROLLUP_QST[],MATCH($B60,MMWR_RATING_STATE_ROLLUP_QST[MMWR_RATING_STATE_ROLLUP_QST],0),MATCH(G$9,MMWR_RATING_STATE_ROLLUP_QST[#Headers],0)),"ERROR"))</f>
        <v>52</v>
      </c>
      <c r="H60" s="155">
        <f>IF($B60=" ","",IFERROR(INDEX(MMWR_RATING_STATE_ROLLUP_QST[],MATCH($B60,MMWR_RATING_STATE_ROLLUP_QST[MMWR_RATING_STATE_ROLLUP_QST],0),MATCH(H$9,MMWR_RATING_STATE_ROLLUP_QST[#Headers],0)),"ERROR"))</f>
        <v>108.1428571429</v>
      </c>
      <c r="I60" s="155">
        <f>IF($B60=" ","",IFERROR(INDEX(MMWR_RATING_STATE_ROLLUP_QST[],MATCH($B60,MMWR_RATING_STATE_ROLLUP_QST[MMWR_RATING_STATE_ROLLUP_QST],0),MATCH(I$9,MMWR_RATING_STATE_ROLLUP_QST[#Headers],0)),"ERROR"))</f>
        <v>114.0961538462</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662</v>
      </c>
      <c r="D61" s="155">
        <f>IF($B61=" ","",IFERROR(INDEX(MMWR_RATING_STATE_ROLLUP_QST[],MATCH($B61,MMWR_RATING_STATE_ROLLUP_QST[MMWR_RATING_STATE_ROLLUP_QST],0),MATCH(D$9,MMWR_RATING_STATE_ROLLUP_QST[#Headers],0)),"ERROR"))</f>
        <v>78.4592145015</v>
      </c>
      <c r="E61" s="156">
        <f>IF($B61=" ","",IFERROR(INDEX(MMWR_RATING_STATE_ROLLUP_QST[],MATCH($B61,MMWR_RATING_STATE_ROLLUP_QST[MMWR_RATING_STATE_ROLLUP_QST],0),MATCH(E$9,MMWR_RATING_STATE_ROLLUP_QST[#Headers],0))/$C61,"ERROR"))</f>
        <v>0.17673716012084592</v>
      </c>
      <c r="F61" s="154">
        <f>IF($B61=" ","",IFERROR(INDEX(MMWR_RATING_STATE_ROLLUP_QST[],MATCH($B61,MMWR_RATING_STATE_ROLLUP_QST[MMWR_RATING_STATE_ROLLUP_QST],0),MATCH(F$9,MMWR_RATING_STATE_ROLLUP_QST[#Headers],0)),"ERROR"))</f>
        <v>52</v>
      </c>
      <c r="G61" s="154">
        <f>IF($B61=" ","",IFERROR(INDEX(MMWR_RATING_STATE_ROLLUP_QST[],MATCH($B61,MMWR_RATING_STATE_ROLLUP_QST[MMWR_RATING_STATE_ROLLUP_QST],0),MATCH(G$9,MMWR_RATING_STATE_ROLLUP_QST[#Headers],0)),"ERROR"))</f>
        <v>119</v>
      </c>
      <c r="H61" s="155">
        <f>IF($B61=" ","",IFERROR(INDEX(MMWR_RATING_STATE_ROLLUP_QST[],MATCH($B61,MMWR_RATING_STATE_ROLLUP_QST[MMWR_RATING_STATE_ROLLUP_QST],0),MATCH(H$9,MMWR_RATING_STATE_ROLLUP_QST[#Headers],0)),"ERROR"))</f>
        <v>146.25</v>
      </c>
      <c r="I61" s="155">
        <f>IF($B61=" ","",IFERROR(INDEX(MMWR_RATING_STATE_ROLLUP_QST[],MATCH($B61,MMWR_RATING_STATE_ROLLUP_QST[MMWR_RATING_STATE_ROLLUP_QST],0),MATCH(I$9,MMWR_RATING_STATE_ROLLUP_QST[#Headers],0)),"ERROR"))</f>
        <v>144.66386554619999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209</v>
      </c>
      <c r="D62" s="155">
        <f>IF($B62=" ","",IFERROR(INDEX(MMWR_RATING_STATE_ROLLUP_QST[],MATCH($B62,MMWR_RATING_STATE_ROLLUP_QST[MMWR_RATING_STATE_ROLLUP_QST],0),MATCH(D$9,MMWR_RATING_STATE_ROLLUP_QST[#Headers],0)),"ERROR"))</f>
        <v>78.578947368399994</v>
      </c>
      <c r="E62" s="156">
        <f>IF($B62=" ","",IFERROR(INDEX(MMWR_RATING_STATE_ROLLUP_QST[],MATCH($B62,MMWR_RATING_STATE_ROLLUP_QST[MMWR_RATING_STATE_ROLLUP_QST],0),MATCH(E$9,MMWR_RATING_STATE_ROLLUP_QST[#Headers],0))/$C62,"ERROR"))</f>
        <v>0.18181818181818182</v>
      </c>
      <c r="F62" s="154">
        <f>IF($B62=" ","",IFERROR(INDEX(MMWR_RATING_STATE_ROLLUP_QST[],MATCH($B62,MMWR_RATING_STATE_ROLLUP_QST[MMWR_RATING_STATE_ROLLUP_QST],0),MATCH(F$9,MMWR_RATING_STATE_ROLLUP_QST[#Headers],0)),"ERROR"))</f>
        <v>19</v>
      </c>
      <c r="G62" s="154">
        <f>IF($B62=" ","",IFERROR(INDEX(MMWR_RATING_STATE_ROLLUP_QST[],MATCH($B62,MMWR_RATING_STATE_ROLLUP_QST[MMWR_RATING_STATE_ROLLUP_QST],0),MATCH(G$9,MMWR_RATING_STATE_ROLLUP_QST[#Headers],0)),"ERROR"))</f>
        <v>48</v>
      </c>
      <c r="H62" s="155">
        <f>IF($B62=" ","",IFERROR(INDEX(MMWR_RATING_STATE_ROLLUP_QST[],MATCH($B62,MMWR_RATING_STATE_ROLLUP_QST[MMWR_RATING_STATE_ROLLUP_QST],0),MATCH(H$9,MMWR_RATING_STATE_ROLLUP_QST[#Headers],0)),"ERROR"))</f>
        <v>123.4736842105</v>
      </c>
      <c r="I62" s="155">
        <f>IF($B62=" ","",IFERROR(INDEX(MMWR_RATING_STATE_ROLLUP_QST[],MATCH($B62,MMWR_RATING_STATE_ROLLUP_QST[MMWR_RATING_STATE_ROLLUP_QST],0),MATCH(I$9,MMWR_RATING_STATE_ROLLUP_QST[#Headers],0)),"ERROR"))</f>
        <v>129.0833333333</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11</v>
      </c>
      <c r="D63" s="155">
        <f>IF($B63=" ","",IFERROR(INDEX(MMWR_RATING_STATE_ROLLUP_QST[],MATCH($B63,MMWR_RATING_STATE_ROLLUP_QST[MMWR_RATING_STATE_ROLLUP_QST],0),MATCH(D$9,MMWR_RATING_STATE_ROLLUP_QST[#Headers],0)),"ERROR"))</f>
        <v>101.36363636359999</v>
      </c>
      <c r="E63" s="156">
        <f>IF($B63=" ","",IFERROR(INDEX(MMWR_RATING_STATE_ROLLUP_QST[],MATCH($B63,MMWR_RATING_STATE_ROLLUP_QST[MMWR_RATING_STATE_ROLLUP_QST],0),MATCH(E$9,MMWR_RATING_STATE_ROLLUP_QST[#Headers],0))/$C63,"ERROR"))</f>
        <v>0.18181818181818182</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3</v>
      </c>
      <c r="H63" s="155">
        <f>IF($B63=" ","",IFERROR(INDEX(MMWR_RATING_STATE_ROLLUP_QST[],MATCH($B63,MMWR_RATING_STATE_ROLLUP_QST[MMWR_RATING_STATE_ROLLUP_QST],0),MATCH(H$9,MMWR_RATING_STATE_ROLLUP_QST[#Headers],0)),"ERROR"))</f>
        <v>157</v>
      </c>
      <c r="I63" s="155">
        <f>IF($B63=" ","",IFERROR(INDEX(MMWR_RATING_STATE_ROLLUP_QST[],MATCH($B63,MMWR_RATING_STATE_ROLLUP_QST[MMWR_RATING_STATE_ROLLUP_QST],0),MATCH(I$9,MMWR_RATING_STATE_ROLLUP_QST[#Headers],0)),"ERROR"))</f>
        <v>173.3333333333</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6</v>
      </c>
      <c r="D64" s="155">
        <f>IF($B64=" ","",IFERROR(INDEX(MMWR_RATING_STATE_ROLLUP_QST[],MATCH($B64,MMWR_RATING_STATE_ROLLUP_QST[MMWR_RATING_STATE_ROLLUP_QST],0),MATCH(D$9,MMWR_RATING_STATE_ROLLUP_QST[#Headers],0)),"ERROR"))</f>
        <v>83.166666666699996</v>
      </c>
      <c r="E64" s="156">
        <f>IF($B64=" ","",IFERROR(INDEX(MMWR_RATING_STATE_ROLLUP_QST[],MATCH($B64,MMWR_RATING_STATE_ROLLUP_QST[MMWR_RATING_STATE_ROLLUP_QST],0),MATCH(E$9,MMWR_RATING_STATE_ROLLUP_QST[#Headers],0))/$C64,"ERROR"))</f>
        <v>0</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1</v>
      </c>
      <c r="H64" s="155">
        <f>IF($B64=" ","",IFERROR(INDEX(MMWR_RATING_STATE_ROLLUP_QST[],MATCH($B64,MMWR_RATING_STATE_ROLLUP_QST[MMWR_RATING_STATE_ROLLUP_QST],0),MATCH(H$9,MMWR_RATING_STATE_ROLLUP_QST[#Headers],0)),"ERROR"))</f>
        <v>76</v>
      </c>
      <c r="I64" s="155">
        <f>IF($B64=" ","",IFERROR(INDEX(MMWR_RATING_STATE_ROLLUP_QST[],MATCH($B64,MMWR_RATING_STATE_ROLLUP_QST[MMWR_RATING_STATE_ROLLUP_QST],0),MATCH(I$9,MMWR_RATING_STATE_ROLLUP_QST[#Headers],0)),"ERROR"))</f>
        <v>76</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691</v>
      </c>
      <c r="D65" s="155">
        <f>IF($B65=" ","",IFERROR(INDEX(MMWR_RATING_STATE_ROLLUP_QST[],MATCH($B65,MMWR_RATING_STATE_ROLLUP_QST[MMWR_RATING_STATE_ROLLUP_QST],0),MATCH(D$9,MMWR_RATING_STATE_ROLLUP_QST[#Headers],0)),"ERROR"))</f>
        <v>82.978292330000002</v>
      </c>
      <c r="E65" s="156">
        <f>IF($B65=" ","",IFERROR(INDEX(MMWR_RATING_STATE_ROLLUP_QST[],MATCH($B65,MMWR_RATING_STATE_ROLLUP_QST[MMWR_RATING_STATE_ROLLUP_QST],0),MATCH(E$9,MMWR_RATING_STATE_ROLLUP_QST[#Headers],0))/$C65,"ERROR"))</f>
        <v>0.21997105643994211</v>
      </c>
      <c r="F65" s="154">
        <f>IF($B65=" ","",IFERROR(INDEX(MMWR_RATING_STATE_ROLLUP_QST[],MATCH($B65,MMWR_RATING_STATE_ROLLUP_QST[MMWR_RATING_STATE_ROLLUP_QST],0),MATCH(F$9,MMWR_RATING_STATE_ROLLUP_QST[#Headers],0)),"ERROR"))</f>
        <v>38</v>
      </c>
      <c r="G65" s="154">
        <f>IF($B65=" ","",IFERROR(INDEX(MMWR_RATING_STATE_ROLLUP_QST[],MATCH($B65,MMWR_RATING_STATE_ROLLUP_QST[MMWR_RATING_STATE_ROLLUP_QST],0),MATCH(G$9,MMWR_RATING_STATE_ROLLUP_QST[#Headers],0)),"ERROR"))</f>
        <v>121</v>
      </c>
      <c r="H65" s="155">
        <f>IF($B65=" ","",IFERROR(INDEX(MMWR_RATING_STATE_ROLLUP_QST[],MATCH($B65,MMWR_RATING_STATE_ROLLUP_QST[MMWR_RATING_STATE_ROLLUP_QST],0),MATCH(H$9,MMWR_RATING_STATE_ROLLUP_QST[#Headers],0)),"ERROR"))</f>
        <v>161.42105263159999</v>
      </c>
      <c r="I65" s="155">
        <f>IF($B65=" ","",IFERROR(INDEX(MMWR_RATING_STATE_ROLLUP_QST[],MATCH($B65,MMWR_RATING_STATE_ROLLUP_QST[MMWR_RATING_STATE_ROLLUP_QST],0),MATCH(I$9,MMWR_RATING_STATE_ROLLUP_QST[#Headers],0)),"ERROR"))</f>
        <v>165.47107438020001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24</v>
      </c>
      <c r="D66" s="155">
        <f>IF($B66=" ","",IFERROR(INDEX(MMWR_RATING_STATE_ROLLUP_QST[],MATCH($B66,MMWR_RATING_STATE_ROLLUP_QST[MMWR_RATING_STATE_ROLLUP_QST],0),MATCH(D$9,MMWR_RATING_STATE_ROLLUP_QST[#Headers],0)),"ERROR"))</f>
        <v>76.625</v>
      </c>
      <c r="E66" s="156">
        <f>IF($B66=" ","",IFERROR(INDEX(MMWR_RATING_STATE_ROLLUP_QST[],MATCH($B66,MMWR_RATING_STATE_ROLLUP_QST[MMWR_RATING_STATE_ROLLUP_QST],0),MATCH(E$9,MMWR_RATING_STATE_ROLLUP_QST[#Headers],0))/$C66,"ERROR"))</f>
        <v>0.125</v>
      </c>
      <c r="F66" s="154">
        <f>IF($B66=" ","",IFERROR(INDEX(MMWR_RATING_STATE_ROLLUP_QST[],MATCH($B66,MMWR_RATING_STATE_ROLLUP_QST[MMWR_RATING_STATE_ROLLUP_QST],0),MATCH(F$9,MMWR_RATING_STATE_ROLLUP_QST[#Headers],0)),"ERROR"))</f>
        <v>0</v>
      </c>
      <c r="G66" s="154">
        <f>IF($B66=" ","",IFERROR(INDEX(MMWR_RATING_STATE_ROLLUP_QST[],MATCH($B66,MMWR_RATING_STATE_ROLLUP_QST[MMWR_RATING_STATE_ROLLUP_QST],0),MATCH(G$9,MMWR_RATING_STATE_ROLLUP_QST[#Headers],0)),"ERROR"))</f>
        <v>4</v>
      </c>
      <c r="H66" s="155">
        <f>IF($B66=" ","",IFERROR(INDEX(MMWR_RATING_STATE_ROLLUP_QST[],MATCH($B66,MMWR_RATING_STATE_ROLLUP_QST[MMWR_RATING_STATE_ROLLUP_QST],0),MATCH(H$9,MMWR_RATING_STATE_ROLLUP_QST[#Headers],0)),"ERROR"))</f>
        <v>0</v>
      </c>
      <c r="I66" s="155">
        <f>IF($B66=" ","",IFERROR(INDEX(MMWR_RATING_STATE_ROLLUP_QST[],MATCH($B66,MMWR_RATING_STATE_ROLLUP_QST[MMWR_RATING_STATE_ROLLUP_QST],0),MATCH(I$9,MMWR_RATING_STATE_ROLLUP_QST[#Headers],0)),"ERROR"))</f>
        <v>152.75</v>
      </c>
      <c r="J66" s="42"/>
      <c r="K66" s="42"/>
      <c r="L66" s="42"/>
      <c r="M66" s="42"/>
      <c r="N66" s="28"/>
    </row>
    <row r="67" spans="1:14" x14ac:dyDescent="0.2">
      <c r="A67" s="25"/>
      <c r="B67" s="361" t="s">
        <v>1048</v>
      </c>
      <c r="C67" s="362"/>
      <c r="D67" s="362"/>
      <c r="E67" s="362"/>
      <c r="F67" s="362"/>
      <c r="G67" s="362"/>
      <c r="H67" s="362"/>
      <c r="I67" s="362"/>
      <c r="J67" s="362"/>
      <c r="K67" s="362"/>
      <c r="L67" s="362"/>
      <c r="M67" s="371"/>
      <c r="N67" s="28"/>
    </row>
    <row r="68" spans="1:14" ht="25.5" x14ac:dyDescent="0.2">
      <c r="A68" s="25"/>
      <c r="B68" s="251" t="s">
        <v>1044</v>
      </c>
      <c r="C68" s="154">
        <f>IF($B68=" ","",IFERROR(INDEX(MMWR_RATING_STATE_ROLLUP_BDD[],MATCH($B68,MMWR_RATING_STATE_ROLLUP_BDD[MMWR_RATING_STATE_ROLLUP_BDD],0),MATCH(C$9,MMWR_RATING_STATE_ROLLUP_BDD[#Headers],0)),"ERROR"))</f>
        <v>11811</v>
      </c>
      <c r="D68" s="155">
        <f>IF($B68=" ","",IFERROR(INDEX(MMWR_RATING_STATE_ROLLUP_BDD[],MATCH($B68,MMWR_RATING_STATE_ROLLUP_BDD[MMWR_RATING_STATE_ROLLUP_BDD],0),MATCH(D$9,MMWR_RATING_STATE_ROLLUP_BDD[#Headers],0)),"ERROR"))</f>
        <v>75.277876555800006</v>
      </c>
      <c r="E68" s="156">
        <f>IF($B68=" ","",IFERROR(INDEX(MMWR_RATING_STATE_ROLLUP_BDD[],MATCH($B68,MMWR_RATING_STATE_ROLLUP_BDD[MMWR_RATING_STATE_ROLLUP_BDD],0),MATCH(E$9,MMWR_RATING_STATE_ROLLUP_BDD[#Headers],0))/$C68,"ERROR"))</f>
        <v>0.1565489797646262</v>
      </c>
      <c r="F68" s="154">
        <f>IF($B68=" ","",IFERROR(INDEX(MMWR_RATING_STATE_ROLLUP_BDD[],MATCH($B68,MMWR_RATING_STATE_ROLLUP_BDD[MMWR_RATING_STATE_ROLLUP_BDD],0),MATCH(F$9,MMWR_RATING_STATE_ROLLUP_BDD[#Headers],0)),"ERROR"))</f>
        <v>952</v>
      </c>
      <c r="G68" s="154">
        <f>IF($B68=" ","",IFERROR(INDEX(MMWR_RATING_STATE_ROLLUP_BDD[],MATCH($B68,MMWR_RATING_STATE_ROLLUP_BDD[MMWR_RATING_STATE_ROLLUP_BDD],0),MATCH(G$9,MMWR_RATING_STATE_ROLLUP_BDD[#Headers],0)),"ERROR"))</f>
        <v>2528</v>
      </c>
      <c r="H68" s="155">
        <f>IF($B68=" ","",IFERROR(INDEX(MMWR_RATING_STATE_ROLLUP_BDD[],MATCH($B68,MMWR_RATING_STATE_ROLLUP_BDD[MMWR_RATING_STATE_ROLLUP_BDD],0),MATCH(H$9,MMWR_RATING_STATE_ROLLUP_BDD[#Headers],0)),"ERROR"))</f>
        <v>128.09663865549999</v>
      </c>
      <c r="I68" s="155">
        <f>IF($B68=" ","",IFERROR(INDEX(MMWR_RATING_STATE_ROLLUP_BDD[],MATCH($B68,MMWR_RATING_STATE_ROLLUP_BDD[MMWR_RATING_STATE_ROLLUP_BDD],0),MATCH(I$9,MMWR_RATING_STATE_ROLLUP_BDD[#Headers],0)),"ERROR"))</f>
        <v>128.66455696200001</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3661</v>
      </c>
      <c r="D69" s="155">
        <f>IF($B69=" ","",IFERROR(INDEX(MMWR_RATING_STATE_ROLLUP_BDD[],MATCH($B69,MMWR_RATING_STATE_ROLLUP_BDD[MMWR_RATING_STATE_ROLLUP_BDD],0),MATCH(D$9,MMWR_RATING_STATE_ROLLUP_BDD[#Headers],0)),"ERROR"))</f>
        <v>79.344168260000004</v>
      </c>
      <c r="E69" s="156">
        <f>IF($B69=" ","",IFERROR(INDEX(MMWR_RATING_STATE_ROLLUP_BDD[],MATCH($B69,MMWR_RATING_STATE_ROLLUP_BDD[MMWR_RATING_STATE_ROLLUP_BDD],0),MATCH(E$9,MMWR_RATING_STATE_ROLLUP_BDD[#Headers],0))/$C69,"ERROR"))</f>
        <v>0.19147773832286261</v>
      </c>
      <c r="F69" s="154">
        <f>IF($B69=" ","",IFERROR(INDEX(MMWR_RATING_STATE_ROLLUP_BDD[],MATCH($B69,MMWR_RATING_STATE_ROLLUP_BDD[MMWR_RATING_STATE_ROLLUP_BDD],0),MATCH(F$9,MMWR_RATING_STATE_ROLLUP_BDD[#Headers],0)),"ERROR"))</f>
        <v>217</v>
      </c>
      <c r="G69" s="154">
        <f>IF($B69=" ","",IFERROR(INDEX(MMWR_RATING_STATE_ROLLUP_BDD[],MATCH($B69,MMWR_RATING_STATE_ROLLUP_BDD[MMWR_RATING_STATE_ROLLUP_BDD],0),MATCH(G$9,MMWR_RATING_STATE_ROLLUP_BDD[#Headers],0)),"ERROR"))</f>
        <v>568</v>
      </c>
      <c r="H69" s="155">
        <f>IF($B69=" ","",IFERROR(INDEX(MMWR_RATING_STATE_ROLLUP_BDD[],MATCH($B69,MMWR_RATING_STATE_ROLLUP_BDD[MMWR_RATING_STATE_ROLLUP_BDD],0),MATCH(H$9,MMWR_RATING_STATE_ROLLUP_BDD[#Headers],0)),"ERROR"))</f>
        <v>139.9723502304</v>
      </c>
      <c r="I69" s="155">
        <f>IF($B69=" ","",IFERROR(INDEX(MMWR_RATING_STATE_ROLLUP_BDD[],MATCH($B69,MMWR_RATING_STATE_ROLLUP_BDD[MMWR_RATING_STATE_ROLLUP_BDD],0),MATCH(I$9,MMWR_RATING_STATE_ROLLUP_BDD[#Headers],0)),"ERROR"))</f>
        <v>140.05281690140001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70</v>
      </c>
      <c r="D70" s="155">
        <f>IF($B70=" ","",IFERROR(INDEX(MMWR_RATING_STATE_ROLLUP_BDD[],MATCH($B70,MMWR_RATING_STATE_ROLLUP_BDD[MMWR_RATING_STATE_ROLLUP_BDD],0),MATCH(D$9,MMWR_RATING_STATE_ROLLUP_BDD[#Headers],0)),"ERROR"))</f>
        <v>85.271428571399994</v>
      </c>
      <c r="E70" s="156">
        <f>IF($B70=" ","",IFERROR(INDEX(MMWR_RATING_STATE_ROLLUP_BDD[],MATCH($B70,MMWR_RATING_STATE_ROLLUP_BDD[MMWR_RATING_STATE_ROLLUP_BDD],0),MATCH(E$9,MMWR_RATING_STATE_ROLLUP_BDD[#Headers],0))/$C70,"ERROR"))</f>
        <v>0.24285714285714285</v>
      </c>
      <c r="F70" s="154">
        <f>IF($B70=" ","",IFERROR(INDEX(MMWR_RATING_STATE_ROLLUP_BDD[],MATCH($B70,MMWR_RATING_STATE_ROLLUP_BDD[MMWR_RATING_STATE_ROLLUP_BDD],0),MATCH(F$9,MMWR_RATING_STATE_ROLLUP_BDD[#Headers],0)),"ERROR"))</f>
        <v>3</v>
      </c>
      <c r="G70" s="154">
        <f>IF($B70=" ","",IFERROR(INDEX(MMWR_RATING_STATE_ROLLUP_BDD[],MATCH($B70,MMWR_RATING_STATE_ROLLUP_BDD[MMWR_RATING_STATE_ROLLUP_BDD],0),MATCH(G$9,MMWR_RATING_STATE_ROLLUP_BDD[#Headers],0)),"ERROR"))</f>
        <v>9</v>
      </c>
      <c r="H70" s="155">
        <f>IF($B70=" ","",IFERROR(INDEX(MMWR_RATING_STATE_ROLLUP_BDD[],MATCH($B70,MMWR_RATING_STATE_ROLLUP_BDD[MMWR_RATING_STATE_ROLLUP_BDD],0),MATCH(H$9,MMWR_RATING_STATE_ROLLUP_BDD[#Headers],0)),"ERROR"))</f>
        <v>136</v>
      </c>
      <c r="I70" s="155">
        <f>IF($B70=" ","",IFERROR(INDEX(MMWR_RATING_STATE_ROLLUP_BDD[],MATCH($B70,MMWR_RATING_STATE_ROLLUP_BDD[MMWR_RATING_STATE_ROLLUP_BDD],0),MATCH(I$9,MMWR_RATING_STATE_ROLLUP_BDD[#Headers],0)),"ERROR"))</f>
        <v>127.2222222222</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34</v>
      </c>
      <c r="D71" s="155">
        <f>IF($B71=" ","",IFERROR(INDEX(MMWR_RATING_STATE_ROLLUP_BDD[],MATCH($B71,MMWR_RATING_STATE_ROLLUP_BDD[MMWR_RATING_STATE_ROLLUP_BDD],0),MATCH(D$9,MMWR_RATING_STATE_ROLLUP_BDD[#Headers],0)),"ERROR"))</f>
        <v>84.5</v>
      </c>
      <c r="E71" s="156">
        <f>IF($B71=" ","",IFERROR(INDEX(MMWR_RATING_STATE_ROLLUP_BDD[],MATCH($B71,MMWR_RATING_STATE_ROLLUP_BDD[MMWR_RATING_STATE_ROLLUP_BDD],0),MATCH(E$9,MMWR_RATING_STATE_ROLLUP_BDD[#Headers],0))/$C71,"ERROR"))</f>
        <v>0.20588235294117646</v>
      </c>
      <c r="F71" s="154">
        <f>IF($B71=" ","",IFERROR(INDEX(MMWR_RATING_STATE_ROLLUP_BDD[],MATCH($B71,MMWR_RATING_STATE_ROLLUP_BDD[MMWR_RATING_STATE_ROLLUP_BDD],0),MATCH(F$9,MMWR_RATING_STATE_ROLLUP_BDD[#Headers],0)),"ERROR"))</f>
        <v>1</v>
      </c>
      <c r="G71" s="154">
        <f>IF($B71=" ","",IFERROR(INDEX(MMWR_RATING_STATE_ROLLUP_BDD[],MATCH($B71,MMWR_RATING_STATE_ROLLUP_BDD[MMWR_RATING_STATE_ROLLUP_BDD],0),MATCH(G$9,MMWR_RATING_STATE_ROLLUP_BDD[#Headers],0)),"ERROR"))</f>
        <v>1</v>
      </c>
      <c r="H71" s="155">
        <f>IF($B71=" ","",IFERROR(INDEX(MMWR_RATING_STATE_ROLLUP_BDD[],MATCH($B71,MMWR_RATING_STATE_ROLLUP_BDD[MMWR_RATING_STATE_ROLLUP_BDD],0),MATCH(H$9,MMWR_RATING_STATE_ROLLUP_BDD[#Headers],0)),"ERROR"))</f>
        <v>223</v>
      </c>
      <c r="I71" s="155">
        <f>IF($B71=" ","",IFERROR(INDEX(MMWR_RATING_STATE_ROLLUP_BDD[],MATCH($B71,MMWR_RATING_STATE_ROLLUP_BDD[MMWR_RATING_STATE_ROLLUP_BDD],0),MATCH(I$9,MMWR_RATING_STATE_ROLLUP_BDD[#Headers],0)),"ERROR"))</f>
        <v>223</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33</v>
      </c>
      <c r="D72" s="155">
        <f>IF($B72=" ","",IFERROR(INDEX(MMWR_RATING_STATE_ROLLUP_BDD[],MATCH($B72,MMWR_RATING_STATE_ROLLUP_BDD[MMWR_RATING_STATE_ROLLUP_BDD],0),MATCH(D$9,MMWR_RATING_STATE_ROLLUP_BDD[#Headers],0)),"ERROR"))</f>
        <v>79.515151515200003</v>
      </c>
      <c r="E72" s="156">
        <f>IF($B72=" ","",IFERROR(INDEX(MMWR_RATING_STATE_ROLLUP_BDD[],MATCH($B72,MMWR_RATING_STATE_ROLLUP_BDD[MMWR_RATING_STATE_ROLLUP_BDD],0),MATCH(E$9,MMWR_RATING_STATE_ROLLUP_BDD[#Headers],0))/$C72,"ERROR"))</f>
        <v>0.15151515151515152</v>
      </c>
      <c r="F72" s="154">
        <f>IF($B72=" ","",IFERROR(INDEX(MMWR_RATING_STATE_ROLLUP_BDD[],MATCH($B72,MMWR_RATING_STATE_ROLLUP_BDD[MMWR_RATING_STATE_ROLLUP_BDD],0),MATCH(F$9,MMWR_RATING_STATE_ROLLUP_BDD[#Headers],0)),"ERROR"))</f>
        <v>1</v>
      </c>
      <c r="G72" s="154">
        <f>IF($B72=" ","",IFERROR(INDEX(MMWR_RATING_STATE_ROLLUP_BDD[],MATCH($B72,MMWR_RATING_STATE_ROLLUP_BDD[MMWR_RATING_STATE_ROLLUP_BDD],0),MATCH(G$9,MMWR_RATING_STATE_ROLLUP_BDD[#Headers],0)),"ERROR"))</f>
        <v>3</v>
      </c>
      <c r="H72" s="155">
        <f>IF($B72=" ","",IFERROR(INDEX(MMWR_RATING_STATE_ROLLUP_BDD[],MATCH($B72,MMWR_RATING_STATE_ROLLUP_BDD[MMWR_RATING_STATE_ROLLUP_BDD],0),MATCH(H$9,MMWR_RATING_STATE_ROLLUP_BDD[#Headers],0)),"ERROR"))</f>
        <v>136</v>
      </c>
      <c r="I72" s="155">
        <f>IF($B72=" ","",IFERROR(INDEX(MMWR_RATING_STATE_ROLLUP_BDD[],MATCH($B72,MMWR_RATING_STATE_ROLLUP_BDD[MMWR_RATING_STATE_ROLLUP_BDD],0),MATCH(I$9,MMWR_RATING_STATE_ROLLUP_BDD[#Headers],0)),"ERROR"))</f>
        <v>149.6666666667</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20</v>
      </c>
      <c r="D73" s="155">
        <f>IF($B73=" ","",IFERROR(INDEX(MMWR_RATING_STATE_ROLLUP_BDD[],MATCH($B73,MMWR_RATING_STATE_ROLLUP_BDD[MMWR_RATING_STATE_ROLLUP_BDD],0),MATCH(D$9,MMWR_RATING_STATE_ROLLUP_BDD[#Headers],0)),"ERROR"))</f>
        <v>86.95</v>
      </c>
      <c r="E73" s="156">
        <f>IF($B73=" ","",IFERROR(INDEX(MMWR_RATING_STATE_ROLLUP_BDD[],MATCH($B73,MMWR_RATING_STATE_ROLLUP_BDD[MMWR_RATING_STATE_ROLLUP_BDD],0),MATCH(E$9,MMWR_RATING_STATE_ROLLUP_BDD[#Headers],0))/$C73,"ERROR"))</f>
        <v>0.25</v>
      </c>
      <c r="F73" s="154">
        <f>IF($B73=" ","",IFERROR(INDEX(MMWR_RATING_STATE_ROLLUP_BDD[],MATCH($B73,MMWR_RATING_STATE_ROLLUP_BDD[MMWR_RATING_STATE_ROLLUP_BDD],0),MATCH(F$9,MMWR_RATING_STATE_ROLLUP_BDD[#Headers],0)),"ERROR"))</f>
        <v>4</v>
      </c>
      <c r="G73" s="154">
        <f>IF($B73=" ","",IFERROR(INDEX(MMWR_RATING_STATE_ROLLUP_BDD[],MATCH($B73,MMWR_RATING_STATE_ROLLUP_BDD[MMWR_RATING_STATE_ROLLUP_BDD],0),MATCH(G$9,MMWR_RATING_STATE_ROLLUP_BDD[#Headers],0)),"ERROR"))</f>
        <v>6</v>
      </c>
      <c r="H73" s="155">
        <f>IF($B73=" ","",IFERROR(INDEX(MMWR_RATING_STATE_ROLLUP_BDD[],MATCH($B73,MMWR_RATING_STATE_ROLLUP_BDD[MMWR_RATING_STATE_ROLLUP_BDD],0),MATCH(H$9,MMWR_RATING_STATE_ROLLUP_BDD[#Headers],0)),"ERROR"))</f>
        <v>152.5</v>
      </c>
      <c r="I73" s="155">
        <f>IF($B73=" ","",IFERROR(INDEX(MMWR_RATING_STATE_ROLLUP_BDD[],MATCH($B73,MMWR_RATING_STATE_ROLLUP_BDD[MMWR_RATING_STATE_ROLLUP_BDD],0),MATCH(I$9,MMWR_RATING_STATE_ROLLUP_BDD[#Headers],0)),"ERROR"))</f>
        <v>150.3333333333</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389</v>
      </c>
      <c r="D74" s="155">
        <f>IF($B74=" ","",IFERROR(INDEX(MMWR_RATING_STATE_ROLLUP_BDD[],MATCH($B74,MMWR_RATING_STATE_ROLLUP_BDD[MMWR_RATING_STATE_ROLLUP_BDD],0),MATCH(D$9,MMWR_RATING_STATE_ROLLUP_BDD[#Headers],0)),"ERROR"))</f>
        <v>78.794344472999995</v>
      </c>
      <c r="E74" s="156">
        <f>IF($B74=" ","",IFERROR(INDEX(MMWR_RATING_STATE_ROLLUP_BDD[],MATCH($B74,MMWR_RATING_STATE_ROLLUP_BDD[MMWR_RATING_STATE_ROLLUP_BDD],0),MATCH(E$9,MMWR_RATING_STATE_ROLLUP_BDD[#Headers],0))/$C74,"ERROR"))</f>
        <v>0.21079691516709512</v>
      </c>
      <c r="F74" s="154">
        <f>IF($B74=" ","",IFERROR(INDEX(MMWR_RATING_STATE_ROLLUP_BDD[],MATCH($B74,MMWR_RATING_STATE_ROLLUP_BDD[MMWR_RATING_STATE_ROLLUP_BDD],0),MATCH(F$9,MMWR_RATING_STATE_ROLLUP_BDD[#Headers],0)),"ERROR"))</f>
        <v>15</v>
      </c>
      <c r="G74" s="154">
        <f>IF($B74=" ","",IFERROR(INDEX(MMWR_RATING_STATE_ROLLUP_BDD[],MATCH($B74,MMWR_RATING_STATE_ROLLUP_BDD[MMWR_RATING_STATE_ROLLUP_BDD],0),MATCH(G$9,MMWR_RATING_STATE_ROLLUP_BDD[#Headers],0)),"ERROR"))</f>
        <v>47</v>
      </c>
      <c r="H74" s="155">
        <f>IF($B74=" ","",IFERROR(INDEX(MMWR_RATING_STATE_ROLLUP_BDD[],MATCH($B74,MMWR_RATING_STATE_ROLLUP_BDD[MMWR_RATING_STATE_ROLLUP_BDD],0),MATCH(H$9,MMWR_RATING_STATE_ROLLUP_BDD[#Headers],0)),"ERROR"))</f>
        <v>140.46666666670001</v>
      </c>
      <c r="I74" s="155">
        <f>IF($B74=" ","",IFERROR(INDEX(MMWR_RATING_STATE_ROLLUP_BDD[],MATCH($B74,MMWR_RATING_STATE_ROLLUP_BDD[MMWR_RATING_STATE_ROLLUP_BDD],0),MATCH(I$9,MMWR_RATING_STATE_ROLLUP_BDD[#Headers],0)),"ERROR"))</f>
        <v>139.74468085109999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58</v>
      </c>
      <c r="D75" s="155">
        <f>IF($B75=" ","",IFERROR(INDEX(MMWR_RATING_STATE_ROLLUP_BDD[],MATCH($B75,MMWR_RATING_STATE_ROLLUP_BDD[MMWR_RATING_STATE_ROLLUP_BDD],0),MATCH(D$9,MMWR_RATING_STATE_ROLLUP_BDD[#Headers],0)),"ERROR"))</f>
        <v>88.758620689699995</v>
      </c>
      <c r="E75" s="156">
        <f>IF($B75=" ","",IFERROR(INDEX(MMWR_RATING_STATE_ROLLUP_BDD[],MATCH($B75,MMWR_RATING_STATE_ROLLUP_BDD[MMWR_RATING_STATE_ROLLUP_BDD],0),MATCH(E$9,MMWR_RATING_STATE_ROLLUP_BDD[#Headers],0))/$C75,"ERROR"))</f>
        <v>0.20689655172413793</v>
      </c>
      <c r="F75" s="154">
        <f>IF($B75=" ","",IFERROR(INDEX(MMWR_RATING_STATE_ROLLUP_BDD[],MATCH($B75,MMWR_RATING_STATE_ROLLUP_BDD[MMWR_RATING_STATE_ROLLUP_BDD],0),MATCH(F$9,MMWR_RATING_STATE_ROLLUP_BDD[#Headers],0)),"ERROR"))</f>
        <v>8</v>
      </c>
      <c r="G75" s="154">
        <f>IF($B75=" ","",IFERROR(INDEX(MMWR_RATING_STATE_ROLLUP_BDD[],MATCH($B75,MMWR_RATING_STATE_ROLLUP_BDD[MMWR_RATING_STATE_ROLLUP_BDD],0),MATCH(G$9,MMWR_RATING_STATE_ROLLUP_BDD[#Headers],0)),"ERROR"))</f>
        <v>10</v>
      </c>
      <c r="H75" s="155">
        <f>IF($B75=" ","",IFERROR(INDEX(MMWR_RATING_STATE_ROLLUP_BDD[],MATCH($B75,MMWR_RATING_STATE_ROLLUP_BDD[MMWR_RATING_STATE_ROLLUP_BDD],0),MATCH(H$9,MMWR_RATING_STATE_ROLLUP_BDD[#Headers],0)),"ERROR"))</f>
        <v>137.75</v>
      </c>
      <c r="I75" s="155">
        <f>IF($B75=" ","",IFERROR(INDEX(MMWR_RATING_STATE_ROLLUP_BDD[],MATCH($B75,MMWR_RATING_STATE_ROLLUP_BDD[MMWR_RATING_STATE_ROLLUP_BDD],0),MATCH(I$9,MMWR_RATING_STATE_ROLLUP_BDD[#Headers],0)),"ERROR"))</f>
        <v>135.5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22</v>
      </c>
      <c r="D76" s="155">
        <f>IF($B76=" ","",IFERROR(INDEX(MMWR_RATING_STATE_ROLLUP_BDD[],MATCH($B76,MMWR_RATING_STATE_ROLLUP_BDD[MMWR_RATING_STATE_ROLLUP_BDD],0),MATCH(D$9,MMWR_RATING_STATE_ROLLUP_BDD[#Headers],0)),"ERROR"))</f>
        <v>60.863636363600001</v>
      </c>
      <c r="E76" s="156">
        <f>IF($B76=" ","",IFERROR(INDEX(MMWR_RATING_STATE_ROLLUP_BDD[],MATCH($B76,MMWR_RATING_STATE_ROLLUP_BDD[MMWR_RATING_STATE_ROLLUP_BDD],0),MATCH(E$9,MMWR_RATING_STATE_ROLLUP_BDD[#Headers],0))/$C76,"ERROR"))</f>
        <v>9.0909090909090912E-2</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6</v>
      </c>
      <c r="H76" s="155">
        <f>IF($B76=" ","",IFERROR(INDEX(MMWR_RATING_STATE_ROLLUP_BDD[],MATCH($B76,MMWR_RATING_STATE_ROLLUP_BDD[MMWR_RATING_STATE_ROLLUP_BDD],0),MATCH(H$9,MMWR_RATING_STATE_ROLLUP_BDD[#Headers],0)),"ERROR"))</f>
        <v>99</v>
      </c>
      <c r="I76" s="155">
        <f>IF($B76=" ","",IFERROR(INDEX(MMWR_RATING_STATE_ROLLUP_BDD[],MATCH($B76,MMWR_RATING_STATE_ROLLUP_BDD[MMWR_RATING_STATE_ROLLUP_BDD],0),MATCH(I$9,MMWR_RATING_STATE_ROLLUP_BDD[#Headers],0)),"ERROR"))</f>
        <v>167.6666666667</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91</v>
      </c>
      <c r="D77" s="155">
        <f>IF($B77=" ","",IFERROR(INDEX(MMWR_RATING_STATE_ROLLUP_BDD[],MATCH($B77,MMWR_RATING_STATE_ROLLUP_BDD[MMWR_RATING_STATE_ROLLUP_BDD],0),MATCH(D$9,MMWR_RATING_STATE_ROLLUP_BDD[#Headers],0)),"ERROR"))</f>
        <v>78.065934065899995</v>
      </c>
      <c r="E77" s="156">
        <f>IF($B77=" ","",IFERROR(INDEX(MMWR_RATING_STATE_ROLLUP_BDD[],MATCH($B77,MMWR_RATING_STATE_ROLLUP_BDD[MMWR_RATING_STATE_ROLLUP_BDD],0),MATCH(E$9,MMWR_RATING_STATE_ROLLUP_BDD[#Headers],0))/$C77,"ERROR"))</f>
        <v>0.2087912087912088</v>
      </c>
      <c r="F77" s="154">
        <f>IF($B77=" ","",IFERROR(INDEX(MMWR_RATING_STATE_ROLLUP_BDD[],MATCH($B77,MMWR_RATING_STATE_ROLLUP_BDD[MMWR_RATING_STATE_ROLLUP_BDD],0),MATCH(F$9,MMWR_RATING_STATE_ROLLUP_BDD[#Headers],0)),"ERROR"))</f>
        <v>8</v>
      </c>
      <c r="G77" s="154">
        <f>IF($B77=" ","",IFERROR(INDEX(MMWR_RATING_STATE_ROLLUP_BDD[],MATCH($B77,MMWR_RATING_STATE_ROLLUP_BDD[MMWR_RATING_STATE_ROLLUP_BDD],0),MATCH(G$9,MMWR_RATING_STATE_ROLLUP_BDD[#Headers],0)),"ERROR"))</f>
        <v>16</v>
      </c>
      <c r="H77" s="155">
        <f>IF($B77=" ","",IFERROR(INDEX(MMWR_RATING_STATE_ROLLUP_BDD[],MATCH($B77,MMWR_RATING_STATE_ROLLUP_BDD[MMWR_RATING_STATE_ROLLUP_BDD],0),MATCH(H$9,MMWR_RATING_STATE_ROLLUP_BDD[#Headers],0)),"ERROR"))</f>
        <v>139.875</v>
      </c>
      <c r="I77" s="155">
        <f>IF($B77=" ","",IFERROR(INDEX(MMWR_RATING_STATE_ROLLUP_BDD[],MATCH($B77,MMWR_RATING_STATE_ROLLUP_BDD[MMWR_RATING_STATE_ROLLUP_BDD],0),MATCH(I$9,MMWR_RATING_STATE_ROLLUP_BDD[#Headers],0)),"ERROR"))</f>
        <v>123.4375</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167</v>
      </c>
      <c r="D78" s="155">
        <f>IF($B78=" ","",IFERROR(INDEX(MMWR_RATING_STATE_ROLLUP_BDD[],MATCH($B78,MMWR_RATING_STATE_ROLLUP_BDD[MMWR_RATING_STATE_ROLLUP_BDD],0),MATCH(D$9,MMWR_RATING_STATE_ROLLUP_BDD[#Headers],0)),"ERROR"))</f>
        <v>80.467065868299997</v>
      </c>
      <c r="E78" s="156">
        <f>IF($B78=" ","",IFERROR(INDEX(MMWR_RATING_STATE_ROLLUP_BDD[],MATCH($B78,MMWR_RATING_STATE_ROLLUP_BDD[MMWR_RATING_STATE_ROLLUP_BDD],0),MATCH(E$9,MMWR_RATING_STATE_ROLLUP_BDD[#Headers],0))/$C78,"ERROR"))</f>
        <v>0.17964071856287425</v>
      </c>
      <c r="F78" s="154">
        <f>IF($B78=" ","",IFERROR(INDEX(MMWR_RATING_STATE_ROLLUP_BDD[],MATCH($B78,MMWR_RATING_STATE_ROLLUP_BDD[MMWR_RATING_STATE_ROLLUP_BDD],0),MATCH(F$9,MMWR_RATING_STATE_ROLLUP_BDD[#Headers],0)),"ERROR"))</f>
        <v>12</v>
      </c>
      <c r="G78" s="154">
        <f>IF($B78=" ","",IFERROR(INDEX(MMWR_RATING_STATE_ROLLUP_BDD[],MATCH($B78,MMWR_RATING_STATE_ROLLUP_BDD[MMWR_RATING_STATE_ROLLUP_BDD],0),MATCH(G$9,MMWR_RATING_STATE_ROLLUP_BDD[#Headers],0)),"ERROR"))</f>
        <v>34</v>
      </c>
      <c r="H78" s="155">
        <f>IF($B78=" ","",IFERROR(INDEX(MMWR_RATING_STATE_ROLLUP_BDD[],MATCH($B78,MMWR_RATING_STATE_ROLLUP_BDD[MMWR_RATING_STATE_ROLLUP_BDD],0),MATCH(H$9,MMWR_RATING_STATE_ROLLUP_BDD[#Headers],0)),"ERROR"))</f>
        <v>125.0833333333</v>
      </c>
      <c r="I78" s="155">
        <f>IF($B78=" ","",IFERROR(INDEX(MMWR_RATING_STATE_ROLLUP_BDD[],MATCH($B78,MMWR_RATING_STATE_ROLLUP_BDD[MMWR_RATING_STATE_ROLLUP_BDD],0),MATCH(I$9,MMWR_RATING_STATE_ROLLUP_BDD[#Headers],0)),"ERROR"))</f>
        <v>145.20588235290001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1337</v>
      </c>
      <c r="D79" s="155">
        <f>IF($B79=" ","",IFERROR(INDEX(MMWR_RATING_STATE_ROLLUP_BDD[],MATCH($B79,MMWR_RATING_STATE_ROLLUP_BDD[MMWR_RATING_STATE_ROLLUP_BDD],0),MATCH(D$9,MMWR_RATING_STATE_ROLLUP_BDD[#Headers],0)),"ERROR"))</f>
        <v>77.1989528796</v>
      </c>
      <c r="E79" s="156">
        <f>IF($B79=" ","",IFERROR(INDEX(MMWR_RATING_STATE_ROLLUP_BDD[],MATCH($B79,MMWR_RATING_STATE_ROLLUP_BDD[MMWR_RATING_STATE_ROLLUP_BDD],0),MATCH(E$9,MMWR_RATING_STATE_ROLLUP_BDD[#Headers],0))/$C79,"ERROR"))</f>
        <v>0.17576664173522813</v>
      </c>
      <c r="F79" s="154">
        <f>IF($B79=" ","",IFERROR(INDEX(MMWR_RATING_STATE_ROLLUP_BDD[],MATCH($B79,MMWR_RATING_STATE_ROLLUP_BDD[MMWR_RATING_STATE_ROLLUP_BDD],0),MATCH(F$9,MMWR_RATING_STATE_ROLLUP_BDD[#Headers],0)),"ERROR"))</f>
        <v>78</v>
      </c>
      <c r="G79" s="154">
        <f>IF($B79=" ","",IFERROR(INDEX(MMWR_RATING_STATE_ROLLUP_BDD[],MATCH($B79,MMWR_RATING_STATE_ROLLUP_BDD[MMWR_RATING_STATE_ROLLUP_BDD],0),MATCH(G$9,MMWR_RATING_STATE_ROLLUP_BDD[#Headers],0)),"ERROR"))</f>
        <v>195</v>
      </c>
      <c r="H79" s="155">
        <f>IF($B79=" ","",IFERROR(INDEX(MMWR_RATING_STATE_ROLLUP_BDD[],MATCH($B79,MMWR_RATING_STATE_ROLLUP_BDD[MMWR_RATING_STATE_ROLLUP_BDD],0),MATCH(H$9,MMWR_RATING_STATE_ROLLUP_BDD[#Headers],0)),"ERROR"))</f>
        <v>137.11538461539999</v>
      </c>
      <c r="I79" s="155">
        <f>IF($B79=" ","",IFERROR(INDEX(MMWR_RATING_STATE_ROLLUP_BDD[],MATCH($B79,MMWR_RATING_STATE_ROLLUP_BDD[MMWR_RATING_STATE_ROLLUP_BDD],0),MATCH(I$9,MMWR_RATING_STATE_ROLLUP_BDD[#Headers],0)),"ERROR"))</f>
        <v>137.3487179487</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129</v>
      </c>
      <c r="D80" s="155">
        <f>IF($B80=" ","",IFERROR(INDEX(MMWR_RATING_STATE_ROLLUP_BDD[],MATCH($B80,MMWR_RATING_STATE_ROLLUP_BDD[MMWR_RATING_STATE_ROLLUP_BDD],0),MATCH(D$9,MMWR_RATING_STATE_ROLLUP_BDD[#Headers],0)),"ERROR"))</f>
        <v>90.821705426400001</v>
      </c>
      <c r="E80" s="156">
        <f>IF($B80=" ","",IFERROR(INDEX(MMWR_RATING_STATE_ROLLUP_BDD[],MATCH($B80,MMWR_RATING_STATE_ROLLUP_BDD[MMWR_RATING_STATE_ROLLUP_BDD],0),MATCH(E$9,MMWR_RATING_STATE_ROLLUP_BDD[#Headers],0))/$C80,"ERROR"))</f>
        <v>0.17829457364341086</v>
      </c>
      <c r="F80" s="154">
        <f>IF($B80=" ","",IFERROR(INDEX(MMWR_RATING_STATE_ROLLUP_BDD[],MATCH($B80,MMWR_RATING_STATE_ROLLUP_BDD[MMWR_RATING_STATE_ROLLUP_BDD],0),MATCH(F$9,MMWR_RATING_STATE_ROLLUP_BDD[#Headers],0)),"ERROR"))</f>
        <v>14</v>
      </c>
      <c r="G80" s="154">
        <f>IF($B80=" ","",IFERROR(INDEX(MMWR_RATING_STATE_ROLLUP_BDD[],MATCH($B80,MMWR_RATING_STATE_ROLLUP_BDD[MMWR_RATING_STATE_ROLLUP_BDD],0),MATCH(G$9,MMWR_RATING_STATE_ROLLUP_BDD[#Headers],0)),"ERROR"))</f>
        <v>43</v>
      </c>
      <c r="H80" s="155">
        <f>IF($B80=" ","",IFERROR(INDEX(MMWR_RATING_STATE_ROLLUP_BDD[],MATCH($B80,MMWR_RATING_STATE_ROLLUP_BDD[MMWR_RATING_STATE_ROLLUP_BDD],0),MATCH(H$9,MMWR_RATING_STATE_ROLLUP_BDD[#Headers],0)),"ERROR"))</f>
        <v>121.5</v>
      </c>
      <c r="I80" s="155">
        <f>IF($B80=" ","",IFERROR(INDEX(MMWR_RATING_STATE_ROLLUP_BDD[],MATCH($B80,MMWR_RATING_STATE_ROLLUP_BDD[MMWR_RATING_STATE_ROLLUP_BDD],0),MATCH(I$9,MMWR_RATING_STATE_ROLLUP_BDD[#Headers],0)),"ERROR"))</f>
        <v>119.90697674419999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13</v>
      </c>
      <c r="D81" s="155">
        <f>IF($B81=" ","",IFERROR(INDEX(MMWR_RATING_STATE_ROLLUP_BDD[],MATCH($B81,MMWR_RATING_STATE_ROLLUP_BDD[MMWR_RATING_STATE_ROLLUP_BDD],0),MATCH(D$9,MMWR_RATING_STATE_ROLLUP_BDD[#Headers],0)),"ERROR"))</f>
        <v>74.615384615400004</v>
      </c>
      <c r="E81" s="156">
        <f>IF($B81=" ","",IFERROR(INDEX(MMWR_RATING_STATE_ROLLUP_BDD[],MATCH($B81,MMWR_RATING_STATE_ROLLUP_BDD[MMWR_RATING_STATE_ROLLUP_BDD],0),MATCH(E$9,MMWR_RATING_STATE_ROLLUP_BDD[#Headers],0))/$C81,"ERROR"))</f>
        <v>0.15384615384615385</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2</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99.5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6</v>
      </c>
      <c r="D82" s="155">
        <f>IF($B82=" ","",IFERROR(INDEX(MMWR_RATING_STATE_ROLLUP_BDD[],MATCH($B82,MMWR_RATING_STATE_ROLLUP_BDD[MMWR_RATING_STATE_ROLLUP_BDD],0),MATCH(D$9,MMWR_RATING_STATE_ROLLUP_BDD[#Headers],0)),"ERROR"))</f>
        <v>54.166666666700003</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2</v>
      </c>
      <c r="G82" s="154">
        <f>IF($B82=" ","",IFERROR(INDEX(MMWR_RATING_STATE_ROLLUP_BDD[],MATCH($B82,MMWR_RATING_STATE_ROLLUP_BDD[MMWR_RATING_STATE_ROLLUP_BDD],0),MATCH(G$9,MMWR_RATING_STATE_ROLLUP_BDD[#Headers],0)),"ERROR"))</f>
        <v>4</v>
      </c>
      <c r="H82" s="155">
        <f>IF($B82=" ","",IFERROR(INDEX(MMWR_RATING_STATE_ROLLUP_BDD[],MATCH($B82,MMWR_RATING_STATE_ROLLUP_BDD[MMWR_RATING_STATE_ROLLUP_BDD],0),MATCH(H$9,MMWR_RATING_STATE_ROLLUP_BDD[#Headers],0)),"ERROR"))</f>
        <v>119</v>
      </c>
      <c r="I82" s="155">
        <f>IF($B82=" ","",IFERROR(INDEX(MMWR_RATING_STATE_ROLLUP_BDD[],MATCH($B82,MMWR_RATING_STATE_ROLLUP_BDD[MMWR_RATING_STATE_ROLLUP_BDD],0),MATCH(I$9,MMWR_RATING_STATE_ROLLUP_BDD[#Headers],0)),"ERROR"))</f>
        <v>84.25</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1263</v>
      </c>
      <c r="D83" s="155">
        <f>IF($B83=" ","",IFERROR(INDEX(MMWR_RATING_STATE_ROLLUP_BDD[],MATCH($B83,MMWR_RATING_STATE_ROLLUP_BDD[MMWR_RATING_STATE_ROLLUP_BDD],0),MATCH(D$9,MMWR_RATING_STATE_ROLLUP_BDD[#Headers],0)),"ERROR"))</f>
        <v>79.552652414899995</v>
      </c>
      <c r="E83" s="156">
        <f>IF($B83=" ","",IFERROR(INDEX(MMWR_RATING_STATE_ROLLUP_BDD[],MATCH($B83,MMWR_RATING_STATE_ROLLUP_BDD[MMWR_RATING_STATE_ROLLUP_BDD],0),MATCH(E$9,MMWR_RATING_STATE_ROLLUP_BDD[#Headers],0))/$C83,"ERROR"))</f>
        <v>0.1995249406175772</v>
      </c>
      <c r="F83" s="154">
        <f>IF($B83=" ","",IFERROR(INDEX(MMWR_RATING_STATE_ROLLUP_BDD[],MATCH($B83,MMWR_RATING_STATE_ROLLUP_BDD[MMWR_RATING_STATE_ROLLUP_BDD],0),MATCH(F$9,MMWR_RATING_STATE_ROLLUP_BDD[#Headers],0)),"ERROR"))</f>
        <v>69</v>
      </c>
      <c r="G83" s="154">
        <f>IF($B83=" ","",IFERROR(INDEX(MMWR_RATING_STATE_ROLLUP_BDD[],MATCH($B83,MMWR_RATING_STATE_ROLLUP_BDD[MMWR_RATING_STATE_ROLLUP_BDD],0),MATCH(G$9,MMWR_RATING_STATE_ROLLUP_BDD[#Headers],0)),"ERROR"))</f>
        <v>191</v>
      </c>
      <c r="H83" s="155">
        <f>IF($B83=" ","",IFERROR(INDEX(MMWR_RATING_STATE_ROLLUP_BDD[],MATCH($B83,MMWR_RATING_STATE_ROLLUP_BDD[MMWR_RATING_STATE_ROLLUP_BDD],0),MATCH(H$9,MMWR_RATING_STATE_ROLLUP_BDD[#Headers],0)),"ERROR"))</f>
        <v>149.79710144929999</v>
      </c>
      <c r="I83" s="155">
        <f>IF($B83=" ","",IFERROR(INDEX(MMWR_RATING_STATE_ROLLUP_BDD[],MATCH($B83,MMWR_RATING_STATE_ROLLUP_BDD[MMWR_RATING_STATE_ROLLUP_BDD],0),MATCH(I$9,MMWR_RATING_STATE_ROLLUP_BDD[#Headers],0)),"ERROR"))</f>
        <v>148.5183246073</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29</v>
      </c>
      <c r="D84" s="155">
        <f>IF($B84=" ","",IFERROR(INDEX(MMWR_RATING_STATE_ROLLUP_BDD[],MATCH($B84,MMWR_RATING_STATE_ROLLUP_BDD[MMWR_RATING_STATE_ROLLUP_BDD],0),MATCH(D$9,MMWR_RATING_STATE_ROLLUP_BDD[#Headers],0)),"ERROR"))</f>
        <v>99.758620689699995</v>
      </c>
      <c r="E84" s="156">
        <f>IF($B84=" ","",IFERROR(INDEX(MMWR_RATING_STATE_ROLLUP_BDD[],MATCH($B84,MMWR_RATING_STATE_ROLLUP_BDD[MMWR_RATING_STATE_ROLLUP_BDD],0),MATCH(E$9,MMWR_RATING_STATE_ROLLUP_BDD[#Headers],0))/$C84,"ERROR"))</f>
        <v>0.34482758620689657</v>
      </c>
      <c r="F84" s="154">
        <f>IF($B84=" ","",IFERROR(INDEX(MMWR_RATING_STATE_ROLLUP_BDD[],MATCH($B84,MMWR_RATING_STATE_ROLLUP_BDD[MMWR_RATING_STATE_ROLLUP_BDD],0),MATCH(F$9,MMWR_RATING_STATE_ROLLUP_BDD[#Headers],0)),"ERROR"))</f>
        <v>0</v>
      </c>
      <c r="G84" s="154">
        <f>IF($B84=" ","",IFERROR(INDEX(MMWR_RATING_STATE_ROLLUP_BDD[],MATCH($B84,MMWR_RATING_STATE_ROLLUP_BDD[MMWR_RATING_STATE_ROLLUP_BDD],0),MATCH(G$9,MMWR_RATING_STATE_ROLLUP_BDD[#Headers],0)),"ERROR"))</f>
        <v>1</v>
      </c>
      <c r="H84" s="155">
        <f>IF($B84=" ","",IFERROR(INDEX(MMWR_RATING_STATE_ROLLUP_BDD[],MATCH($B84,MMWR_RATING_STATE_ROLLUP_BDD[MMWR_RATING_STATE_ROLLUP_BDD],0),MATCH(H$9,MMWR_RATING_STATE_ROLLUP_BDD[#Headers],0)),"ERROR"))</f>
        <v>0</v>
      </c>
      <c r="I84" s="155">
        <f>IF($B84=" ","",IFERROR(INDEX(MMWR_RATING_STATE_ROLLUP_BDD[],MATCH($B84,MMWR_RATING_STATE_ROLLUP_BDD[MMWR_RATING_STATE_ROLLUP_BDD],0),MATCH(I$9,MMWR_RATING_STATE_ROLLUP_BDD[#Headers],0)),"ERROR"))</f>
        <v>148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399" t="s">
        <v>302</v>
      </c>
      <c r="C2" s="400"/>
      <c r="D2" s="400"/>
      <c r="E2" s="400"/>
      <c r="F2" s="400"/>
      <c r="G2" s="400"/>
      <c r="H2" s="400"/>
      <c r="I2" s="400"/>
      <c r="J2" s="400"/>
      <c r="K2" s="400"/>
      <c r="L2" s="400"/>
      <c r="M2" s="400"/>
      <c r="N2" s="400"/>
      <c r="O2" s="400"/>
      <c r="P2" s="400"/>
      <c r="Q2" s="400"/>
      <c r="R2" s="400"/>
      <c r="S2" s="400"/>
      <c r="T2" s="400"/>
      <c r="U2" s="401"/>
      <c r="V2" s="25"/>
    </row>
    <row r="3" spans="1:22" s="1" customFormat="1" ht="63" customHeight="1" thickBot="1" x14ac:dyDescent="0.25">
      <c r="A3" s="25"/>
      <c r="B3" s="408" t="s">
        <v>317</v>
      </c>
      <c r="C3" s="409"/>
      <c r="D3" s="409"/>
      <c r="E3" s="409"/>
      <c r="F3" s="409"/>
      <c r="G3" s="409"/>
      <c r="H3" s="409"/>
      <c r="I3" s="409"/>
      <c r="J3" s="409"/>
      <c r="K3" s="409"/>
      <c r="L3" s="409"/>
      <c r="M3" s="409"/>
      <c r="N3" s="409"/>
      <c r="O3" s="409"/>
      <c r="P3" s="409"/>
      <c r="Q3" s="409"/>
      <c r="R3" s="409"/>
      <c r="S3" s="409"/>
      <c r="T3" s="409"/>
      <c r="U3" s="410"/>
      <c r="V3" s="25"/>
    </row>
    <row r="4" spans="1:22" s="1" customFormat="1" ht="32.25" customHeight="1" thickBot="1" x14ac:dyDescent="0.25">
      <c r="A4" s="25"/>
      <c r="B4" s="405" t="str">
        <f>Transformation!B4</f>
        <v>As of: November 14, 2015</v>
      </c>
      <c r="C4" s="406"/>
      <c r="D4" s="406"/>
      <c r="E4" s="406"/>
      <c r="F4" s="406"/>
      <c r="G4" s="406"/>
      <c r="H4" s="406"/>
      <c r="I4" s="406"/>
      <c r="J4" s="406"/>
      <c r="K4" s="406"/>
      <c r="L4" s="406"/>
      <c r="M4" s="406"/>
      <c r="N4" s="406"/>
      <c r="O4" s="406"/>
      <c r="P4" s="406"/>
      <c r="Q4" s="406"/>
      <c r="R4" s="406"/>
      <c r="S4" s="406"/>
      <c r="T4" s="406"/>
      <c r="U4" s="407"/>
      <c r="V4" s="25"/>
    </row>
    <row r="5" spans="1:22" s="1" customFormat="1" ht="27" customHeight="1" thickBot="1" x14ac:dyDescent="0.45">
      <c r="A5" s="25"/>
      <c r="B5" s="412" t="s">
        <v>245</v>
      </c>
      <c r="C5" s="413"/>
      <c r="D5" s="413"/>
      <c r="E5" s="413"/>
      <c r="F5" s="413"/>
      <c r="G5" s="413"/>
      <c r="H5" s="414"/>
      <c r="I5" s="55"/>
      <c r="J5" s="412" t="s">
        <v>242</v>
      </c>
      <c r="K5" s="413"/>
      <c r="L5" s="413"/>
      <c r="M5" s="413"/>
      <c r="N5" s="414"/>
      <c r="O5" s="56"/>
      <c r="P5" s="415" t="s">
        <v>11</v>
      </c>
      <c r="Q5" s="416"/>
      <c r="R5" s="416"/>
      <c r="S5" s="416"/>
      <c r="T5" s="416"/>
      <c r="U5" s="417"/>
      <c r="V5" s="25"/>
    </row>
    <row r="6" spans="1:22" s="1" customFormat="1" ht="65.25" customHeight="1" thickBot="1" x14ac:dyDescent="0.25">
      <c r="A6" s="25"/>
      <c r="B6" s="402" t="s">
        <v>285</v>
      </c>
      <c r="C6" s="403"/>
      <c r="D6" s="403"/>
      <c r="E6" s="404"/>
      <c r="F6" s="57" t="s">
        <v>12</v>
      </c>
      <c r="G6" s="58" t="s">
        <v>3</v>
      </c>
      <c r="H6" s="59" t="s">
        <v>4</v>
      </c>
      <c r="I6" s="25"/>
      <c r="J6" s="391" t="s">
        <v>285</v>
      </c>
      <c r="K6" s="392"/>
      <c r="L6" s="60" t="s">
        <v>12</v>
      </c>
      <c r="M6" s="61" t="s">
        <v>3</v>
      </c>
      <c r="N6" s="62" t="s">
        <v>4</v>
      </c>
      <c r="O6" s="63"/>
      <c r="P6" s="418" t="s">
        <v>285</v>
      </c>
      <c r="Q6" s="419"/>
      <c r="R6" s="64" t="s">
        <v>495</v>
      </c>
      <c r="S6" s="420" t="s">
        <v>285</v>
      </c>
      <c r="T6" s="421"/>
      <c r="U6" s="65" t="s">
        <v>140</v>
      </c>
      <c r="V6" s="25"/>
    </row>
    <row r="7" spans="1:22" s="1" customFormat="1" ht="32.25" customHeight="1" thickBot="1" x14ac:dyDescent="0.25">
      <c r="A7" s="25"/>
      <c r="B7" s="385" t="s">
        <v>304</v>
      </c>
      <c r="C7" s="386"/>
      <c r="D7" s="386"/>
      <c r="E7" s="386"/>
      <c r="F7" s="167">
        <f>SUM(F8:F10)</f>
        <v>126157</v>
      </c>
      <c r="G7" s="168">
        <f>SUM(G8:G10)</f>
        <v>32770</v>
      </c>
      <c r="H7" s="169">
        <f t="shared" ref="H7:H44" si="0">IF(G7="--", 0, G7/F7)</f>
        <v>0.25975570122942049</v>
      </c>
      <c r="I7" s="25"/>
      <c r="J7" s="385" t="s">
        <v>270</v>
      </c>
      <c r="K7" s="386"/>
      <c r="L7" s="168">
        <f>SUM(L8:L10)</f>
        <v>30555</v>
      </c>
      <c r="M7" s="168">
        <f>SUM(M8:M10)</f>
        <v>4493</v>
      </c>
      <c r="N7" s="179">
        <f>IF(M7="--", 0, M7/L7)</f>
        <v>0.14704630993290788</v>
      </c>
      <c r="O7" s="66"/>
      <c r="P7" s="385" t="s">
        <v>973</v>
      </c>
      <c r="Q7" s="386"/>
      <c r="R7" s="180">
        <f>R8+R9+R10+R11+R12</f>
        <v>323251</v>
      </c>
      <c r="S7" s="385"/>
      <c r="T7" s="386"/>
      <c r="U7" s="67"/>
      <c r="V7" s="25"/>
    </row>
    <row r="8" spans="1:22" s="1" customFormat="1" ht="51" customHeight="1" x14ac:dyDescent="0.2">
      <c r="A8" s="25"/>
      <c r="B8" s="284" t="s">
        <v>255</v>
      </c>
      <c r="C8" s="285"/>
      <c r="D8" s="285"/>
      <c r="E8" s="411"/>
      <c r="F8" s="170">
        <f>IFERROR(VLOOKUP(MID(B8,4,3),MMWR_TRAD_AGG_NATIONAL[],2,0),"--")</f>
        <v>296</v>
      </c>
      <c r="G8" s="171">
        <f>IFERROR(VLOOKUP(MID(B8,4,3),MMWR_TRAD_AGG_NATIONAL[],3,0),"--")</f>
        <v>181</v>
      </c>
      <c r="H8" s="172">
        <f t="shared" si="0"/>
        <v>0.61148648648648651</v>
      </c>
      <c r="I8" s="25"/>
      <c r="J8" s="387" t="s">
        <v>272</v>
      </c>
      <c r="K8" s="388"/>
      <c r="L8" s="170">
        <f>IFERROR(VLOOKUP(MID(J8,4,3),MMWR_TRAD_AGG_NATIONAL[],2,0),"--")</f>
        <v>7836</v>
      </c>
      <c r="M8" s="171">
        <f>IFERROR(VLOOKUP(MID(J8,4,3),MMWR_TRAD_AGG_NATIONAL[],3,0),"--")</f>
        <v>285</v>
      </c>
      <c r="N8" s="172">
        <f>IF(M8="--", 0, M8/L8)</f>
        <v>3.6370597243491579E-2</v>
      </c>
      <c r="O8" s="68" t="s">
        <v>316</v>
      </c>
      <c r="P8" s="422" t="s">
        <v>246</v>
      </c>
      <c r="Q8" s="423"/>
      <c r="R8" s="181">
        <f>VLOOKUP(P8,MMWR_APP_NATIONAL[],2,0)</f>
        <v>231794</v>
      </c>
      <c r="S8" s="390" t="s">
        <v>235</v>
      </c>
      <c r="T8" s="389"/>
      <c r="U8" s="182">
        <f>VLOOKUP(P8,MMWR_APP_NATIONAL[],3,0)</f>
        <v>395.32417577680002</v>
      </c>
      <c r="V8" s="25"/>
    </row>
    <row r="9" spans="1:22" s="1" customFormat="1" ht="45" customHeight="1" x14ac:dyDescent="0.2">
      <c r="A9" s="25"/>
      <c r="B9" s="284" t="s">
        <v>253</v>
      </c>
      <c r="C9" s="285"/>
      <c r="D9" s="285"/>
      <c r="E9" s="411"/>
      <c r="F9" s="170">
        <f>IFERROR(VLOOKUP(MID(B9,4,3),MMWR_TRAD_AGG_NATIONAL[],2,0),"--")</f>
        <v>42203</v>
      </c>
      <c r="G9" s="171">
        <f>IFERROR(VLOOKUP(MID(B9,4,3),MMWR_TRAD_AGG_NATIONAL[],3,0),"--")</f>
        <v>12051</v>
      </c>
      <c r="H9" s="172">
        <f t="shared" si="0"/>
        <v>0.28554842072838421</v>
      </c>
      <c r="I9" s="68" t="s">
        <v>316</v>
      </c>
      <c r="J9" s="284" t="s">
        <v>271</v>
      </c>
      <c r="K9" s="285"/>
      <c r="L9" s="170">
        <f>IFERROR(VLOOKUP(MID(J9,4,3),MMWR_TRAD_AGG_NATIONAL[],2,0),"--")</f>
        <v>7185</v>
      </c>
      <c r="M9" s="171">
        <f>IFERROR(VLOOKUP(MID(J9,4,3),MMWR_TRAD_AGG_NATIONAL[],3,0),"--")</f>
        <v>286</v>
      </c>
      <c r="N9" s="172">
        <f>IF(M9="--", 0, M9/L9)</f>
        <v>3.980514961725818E-2</v>
      </c>
      <c r="O9" s="68" t="s">
        <v>316</v>
      </c>
      <c r="P9" s="433" t="s">
        <v>247</v>
      </c>
      <c r="Q9" s="434"/>
      <c r="R9" s="183">
        <f>VLOOKUP(P9,MMWR_APP_NATIONAL[],2,0)</f>
        <v>55103</v>
      </c>
      <c r="S9" s="435" t="s">
        <v>236</v>
      </c>
      <c r="T9" s="380"/>
      <c r="U9" s="184">
        <f>VLOOKUP(P9,MMWR_APP_NATIONAL[],3,0)</f>
        <v>618.04678511149996</v>
      </c>
      <c r="V9" s="25"/>
    </row>
    <row r="10" spans="1:22" s="1" customFormat="1" ht="63" customHeight="1" thickBot="1" x14ac:dyDescent="0.25">
      <c r="A10" s="25"/>
      <c r="B10" s="284" t="s">
        <v>254</v>
      </c>
      <c r="C10" s="285"/>
      <c r="D10" s="285"/>
      <c r="E10" s="411"/>
      <c r="F10" s="170">
        <f>IFERROR(VLOOKUP(MID(B10,4,3),MMWR_TRAD_AGG_NATIONAL[],2,0),"--")</f>
        <v>83658</v>
      </c>
      <c r="G10" s="171">
        <f>IFERROR(VLOOKUP(MID(B10,4,3),MMWR_TRAD_AGG_NATIONAL[],3,0),"--")</f>
        <v>20538</v>
      </c>
      <c r="H10" s="172">
        <f t="shared" si="0"/>
        <v>0.24549953381625189</v>
      </c>
      <c r="I10" s="68" t="s">
        <v>316</v>
      </c>
      <c r="J10" s="286" t="s">
        <v>273</v>
      </c>
      <c r="K10" s="287"/>
      <c r="L10" s="170">
        <f>IFERROR(VLOOKUP(MID(J10,4,3),MMWR_TRAD_AGG_NATIONAL[],2,0),"--")</f>
        <v>15534</v>
      </c>
      <c r="M10" s="171">
        <f>IFERROR(VLOOKUP(MID(J10,4,3),MMWR_TRAD_AGG_NATIONAL[],3,0),"--")</f>
        <v>3922</v>
      </c>
      <c r="N10" s="172">
        <f>IF(M10="--", 0, M10/L10)</f>
        <v>0.252478434401957</v>
      </c>
      <c r="O10" s="69"/>
      <c r="P10" s="433" t="s">
        <v>248</v>
      </c>
      <c r="Q10" s="434"/>
      <c r="R10" s="183">
        <f>VLOOKUP(P10,MMWR_APP_NATIONAL[],2,0)</f>
        <v>24794</v>
      </c>
      <c r="S10" s="435" t="s">
        <v>237</v>
      </c>
      <c r="T10" s="380"/>
      <c r="U10" s="184">
        <f>VLOOKUP(P10,MMWR_APP_NATIONAL[],3,0)</f>
        <v>516.20053238690002</v>
      </c>
      <c r="V10" s="25"/>
    </row>
    <row r="11" spans="1:22" s="1" customFormat="1" ht="45" customHeight="1" thickBot="1" x14ac:dyDescent="0.25">
      <c r="A11" s="25"/>
      <c r="B11" s="385" t="s">
        <v>305</v>
      </c>
      <c r="C11" s="386"/>
      <c r="D11" s="386"/>
      <c r="E11" s="386"/>
      <c r="F11" s="167">
        <f>SUM(F12:F13)</f>
        <v>7918</v>
      </c>
      <c r="G11" s="168">
        <f>SUM(G12:G13)</f>
        <v>1494</v>
      </c>
      <c r="H11" s="169">
        <f t="shared" si="0"/>
        <v>0.18868401111391767</v>
      </c>
      <c r="I11" s="25"/>
      <c r="J11" s="385" t="s">
        <v>243</v>
      </c>
      <c r="K11" s="386"/>
      <c r="L11" s="167">
        <f>SUM(L12:L17)</f>
        <v>26064</v>
      </c>
      <c r="M11" s="167">
        <f>SUM(M12:M17)</f>
        <v>6564</v>
      </c>
      <c r="N11" s="160">
        <f>IF(M11="--", 0, M11/L11)</f>
        <v>0.25184162062615101</v>
      </c>
      <c r="O11" s="69"/>
      <c r="P11" s="433" t="s">
        <v>974</v>
      </c>
      <c r="Q11" s="434"/>
      <c r="R11" s="183">
        <f>VLOOKUP(P11,MMWR_APP_NATIONAL[],2,0)</f>
        <v>11115</v>
      </c>
      <c r="S11" s="435" t="s">
        <v>238</v>
      </c>
      <c r="T11" s="380"/>
      <c r="U11" s="184">
        <f>VLOOKUP(P11,MMWR_APP_NATIONAL[],3,0)</f>
        <v>177.56068376069999</v>
      </c>
      <c r="V11" s="25"/>
    </row>
    <row r="12" spans="1:22" s="1" customFormat="1" ht="46.5" customHeight="1" thickBot="1" x14ac:dyDescent="0.25">
      <c r="A12" s="25"/>
      <c r="B12" s="381" t="s">
        <v>275</v>
      </c>
      <c r="C12" s="382"/>
      <c r="D12" s="382"/>
      <c r="E12" s="383"/>
      <c r="F12" s="170">
        <f>IFERROR(VLOOKUP(MID(B12,4,3),MMWR_TRAD_AGG_NATIONAL[],2,0),"--")</f>
        <v>7472</v>
      </c>
      <c r="G12" s="171">
        <f>IFERROR(VLOOKUP(MID(B12,4,3),MMWR_TRAD_AGG_NATIONAL[],3,0),"--")</f>
        <v>1187</v>
      </c>
      <c r="H12" s="172">
        <f t="shared" si="0"/>
        <v>0.15885974304068523</v>
      </c>
      <c r="I12" s="68" t="s">
        <v>316</v>
      </c>
      <c r="J12" s="286" t="s">
        <v>265</v>
      </c>
      <c r="K12" s="380"/>
      <c r="L12" s="170">
        <f>IFERROR(VLOOKUP(MID(J12,4,3)&amp;"p",MMWR_TRAD_AGG_NATIONAL[],2,0),"--")</f>
        <v>1139</v>
      </c>
      <c r="M12" s="171">
        <f>IFERROR(VLOOKUP(MID(J12,4,3)&amp;"p",MMWR_TRAD_AGG_NATIONAL[],3,0),"--")</f>
        <v>245</v>
      </c>
      <c r="N12" s="172">
        <f t="shared" ref="N12:N17" si="1">IF(L12="--", 0,M12/L12)</f>
        <v>0.2151009657594381</v>
      </c>
      <c r="O12" s="69"/>
      <c r="P12" s="433" t="s">
        <v>955</v>
      </c>
      <c r="Q12" s="434"/>
      <c r="R12" s="183">
        <f>VLOOKUP(P12,MMWR_APP_NATIONAL[],2,0)</f>
        <v>445</v>
      </c>
      <c r="S12" s="436" t="s">
        <v>972</v>
      </c>
      <c r="T12" s="384"/>
      <c r="U12" s="184">
        <f>VLOOKUP(P12,MMWR_APP_NATIONAL[],3,0)</f>
        <v>447.54382022470003</v>
      </c>
      <c r="V12" s="25"/>
    </row>
    <row r="13" spans="1:22" s="1" customFormat="1" ht="49.5" customHeight="1" thickBot="1" x14ac:dyDescent="0.25">
      <c r="A13" s="25"/>
      <c r="B13" s="381" t="s">
        <v>1065</v>
      </c>
      <c r="C13" s="382"/>
      <c r="D13" s="382"/>
      <c r="E13" s="383"/>
      <c r="F13" s="170">
        <f>IFERROR(VLOOKUP(MID(B13,4,3),MMWR_TRAD_AGG_NATIONAL[],2,0),"--")</f>
        <v>446</v>
      </c>
      <c r="G13" s="171">
        <f>IFERROR(VLOOKUP(MID(B13,4,3),MMWR_TRAD_AGG_NATIONAL[],3,0),"--")</f>
        <v>307</v>
      </c>
      <c r="H13" s="172">
        <f t="shared" si="0"/>
        <v>0.68834080717488788</v>
      </c>
      <c r="I13" s="25"/>
      <c r="J13" s="286" t="s">
        <v>274</v>
      </c>
      <c r="K13" s="380"/>
      <c r="L13" s="170">
        <f>IFERROR(VLOOKUP(MID(J13,4,3),MMWR_TRAD_AGG_NATIONAL[],2,0),"--")</f>
        <v>3903</v>
      </c>
      <c r="M13" s="171">
        <f>IFERROR(VLOOKUP(MID(J13,4,3),MMWR_TRAD_AGG_NATIONAL[],3,0),"--")</f>
        <v>936</v>
      </c>
      <c r="N13" s="172">
        <f t="shared" si="1"/>
        <v>0.23981552651806304</v>
      </c>
      <c r="O13" s="69"/>
      <c r="P13" s="385" t="s">
        <v>984</v>
      </c>
      <c r="Q13" s="386"/>
      <c r="R13" s="429"/>
      <c r="S13" s="430">
        <f>VLOOKUP(P13,MMWR_APP_NATIONAL[],2,0)</f>
        <v>20487</v>
      </c>
      <c r="T13" s="431"/>
      <c r="U13" s="432"/>
      <c r="V13" s="25"/>
    </row>
    <row r="14" spans="1:22" s="1" customFormat="1" ht="45" customHeight="1" thickBot="1" x14ac:dyDescent="0.25">
      <c r="A14" s="25"/>
      <c r="B14" s="385" t="s">
        <v>1</v>
      </c>
      <c r="C14" s="386"/>
      <c r="D14" s="386"/>
      <c r="E14" s="386"/>
      <c r="F14" s="167">
        <f>SUM(F15:F21)</f>
        <v>208969</v>
      </c>
      <c r="G14" s="168">
        <f>SUM(G15:G21)</f>
        <v>39254</v>
      </c>
      <c r="H14" s="169">
        <f t="shared" si="0"/>
        <v>0.18784604415008924</v>
      </c>
      <c r="I14" s="25"/>
      <c r="J14" s="286" t="s">
        <v>276</v>
      </c>
      <c r="K14" s="380"/>
      <c r="L14" s="170">
        <f>IFERROR(VLOOKUP(MID(J14,4,3),MMWR_TRAD_AGG_NATIONAL[],2,0),"--")</f>
        <v>10280</v>
      </c>
      <c r="M14" s="171">
        <f>IFERROR(VLOOKUP(MID(J14,4,3),MMWR_TRAD_AGG_NATIONAL[],3,0),"--")</f>
        <v>2901</v>
      </c>
      <c r="N14" s="172">
        <f t="shared" si="1"/>
        <v>0.28219844357976653</v>
      </c>
      <c r="O14" s="69"/>
      <c r="P14" s="21"/>
      <c r="Q14" s="21"/>
      <c r="R14" s="21"/>
      <c r="S14" s="28"/>
      <c r="T14" s="28"/>
      <c r="U14" s="70"/>
      <c r="V14" s="25"/>
    </row>
    <row r="15" spans="1:22" s="1" customFormat="1" ht="44.25" customHeight="1" thickBot="1" x14ac:dyDescent="0.25">
      <c r="A15" s="25"/>
      <c r="B15" s="284" t="s">
        <v>256</v>
      </c>
      <c r="C15" s="285"/>
      <c r="D15" s="285"/>
      <c r="E15" s="411"/>
      <c r="F15" s="170">
        <f>IFERROR(VLOOKUP(MID(B15,4,3),MMWR_TRAD_AGG_NATIONAL[],2,0),"--")</f>
        <v>208518</v>
      </c>
      <c r="G15" s="171">
        <f>IFERROR(VLOOKUP(MID(B15,4,3),MMWR_TRAD_AGG_NATIONAL[],3,0),"--")</f>
        <v>39052</v>
      </c>
      <c r="H15" s="172">
        <f t="shared" si="0"/>
        <v>0.18728359182420704</v>
      </c>
      <c r="I15" s="68" t="s">
        <v>316</v>
      </c>
      <c r="J15" s="286" t="s">
        <v>277</v>
      </c>
      <c r="K15" s="380"/>
      <c r="L15" s="170">
        <f>IFERROR(VLOOKUP(MID(J15,4,3),MMWR_TRAD_AGG_NATIONAL[],2,0),"--")</f>
        <v>3</v>
      </c>
      <c r="M15" s="171">
        <f>IFERROR(VLOOKUP(MID(J15,4,3),MMWR_TRAD_AGG_NATIONAL[],3,0),"--")</f>
        <v>3</v>
      </c>
      <c r="N15" s="172">
        <f t="shared" si="1"/>
        <v>1</v>
      </c>
      <c r="O15" s="69"/>
      <c r="P15" s="25"/>
      <c r="Q15" s="25"/>
      <c r="R15" s="25"/>
      <c r="S15" s="25"/>
      <c r="T15" s="28"/>
      <c r="U15" s="71"/>
      <c r="V15" s="25"/>
    </row>
    <row r="16" spans="1:22" s="1" customFormat="1" ht="57.75" customHeight="1" thickBot="1" x14ac:dyDescent="0.25">
      <c r="A16" s="25"/>
      <c r="B16" s="286" t="s">
        <v>257</v>
      </c>
      <c r="C16" s="287"/>
      <c r="D16" s="287"/>
      <c r="E16" s="380"/>
      <c r="F16" s="170">
        <f>IFERROR(VLOOKUP(MID(B16,4,3),MMWR_TRAD_AGG_NATIONAL[],2,0),"--")</f>
        <v>275</v>
      </c>
      <c r="G16" s="171">
        <f>IFERROR(VLOOKUP(MID(B16,4,3),MMWR_TRAD_AGG_NATIONAL[],3,0),"--")</f>
        <v>59</v>
      </c>
      <c r="H16" s="172">
        <f t="shared" si="0"/>
        <v>0.21454545454545454</v>
      </c>
      <c r="I16" s="68" t="s">
        <v>316</v>
      </c>
      <c r="J16" s="286" t="s">
        <v>278</v>
      </c>
      <c r="K16" s="380"/>
      <c r="L16" s="170">
        <f>IFERROR(VLOOKUP(MID(J16,4,3),MMWR_TRAD_AGG_NATIONAL[],2,0),"--")</f>
        <v>3411</v>
      </c>
      <c r="M16" s="171">
        <f>IFERROR(VLOOKUP(MID(J16,4,3),MMWR_TRAD_AGG_NATIONAL[],3,0),"--")</f>
        <v>1324</v>
      </c>
      <c r="N16" s="172">
        <f t="shared" si="1"/>
        <v>0.38815596599237762</v>
      </c>
      <c r="O16" s="69"/>
      <c r="P16" s="415" t="s">
        <v>956</v>
      </c>
      <c r="Q16" s="416"/>
      <c r="R16" s="416"/>
      <c r="S16" s="417"/>
      <c r="T16" s="28"/>
      <c r="U16" s="71"/>
      <c r="V16" s="25"/>
    </row>
    <row r="17" spans="1:22" s="1" customFormat="1" ht="31.5" customHeight="1" thickBot="1" x14ac:dyDescent="0.25">
      <c r="A17" s="25"/>
      <c r="B17" s="286" t="s">
        <v>258</v>
      </c>
      <c r="C17" s="287"/>
      <c r="D17" s="287"/>
      <c r="E17" s="380"/>
      <c r="F17" s="170">
        <f>IFERROR(VLOOKUP(MID(B17,4,3),MMWR_TRAD_AGG_NATIONAL[],2,0),"--")</f>
        <v>157</v>
      </c>
      <c r="G17" s="171">
        <f>IFERROR(VLOOKUP(MID(B17,4,3),MMWR_TRAD_AGG_NATIONAL[],3,0),"--")</f>
        <v>131</v>
      </c>
      <c r="H17" s="172">
        <f t="shared" si="0"/>
        <v>0.83439490445859876</v>
      </c>
      <c r="I17" s="25"/>
      <c r="J17" s="286" t="s">
        <v>279</v>
      </c>
      <c r="K17" s="380"/>
      <c r="L17" s="170">
        <f>IFERROR(VLOOKUP(MID(J17,4,3),MMWR_TRAD_AGG_NATIONAL[],2,0),"--")</f>
        <v>7328</v>
      </c>
      <c r="M17" s="171">
        <f>IFERROR(VLOOKUP(MID(J17,4,3),MMWR_TRAD_AGG_NATIONAL[],3,0),"--")</f>
        <v>1155</v>
      </c>
      <c r="N17" s="172">
        <f t="shared" si="1"/>
        <v>0.15761462882096069</v>
      </c>
      <c r="O17" s="72"/>
      <c r="P17" s="424" t="s">
        <v>251</v>
      </c>
      <c r="Q17" s="425"/>
      <c r="R17" s="425"/>
      <c r="S17" s="185">
        <f>IFERROR(VLOOKUP("160",MMWR_TRAD_AGG_NATIONAL[],2,0),"--")</f>
        <v>24585</v>
      </c>
      <c r="T17" s="28"/>
      <c r="U17" s="71"/>
      <c r="V17" s="25"/>
    </row>
    <row r="18" spans="1:22" s="1" customFormat="1" ht="32.25" customHeight="1" thickBot="1" x14ac:dyDescent="0.25">
      <c r="A18" s="25"/>
      <c r="B18" s="286" t="s">
        <v>259</v>
      </c>
      <c r="C18" s="287"/>
      <c r="D18" s="287"/>
      <c r="E18" s="380"/>
      <c r="F18" s="170">
        <f>IFERROR(VLOOKUP(MID(B18,4,3),MMWR_TRAD_AGG_NATIONAL[],2,0),"--")</f>
        <v>11</v>
      </c>
      <c r="G18" s="171">
        <f>IFERROR(VLOOKUP(MID(B18,4,3),MMWR_TRAD_AGG_NATIONAL[],3,0),"--")</f>
        <v>8</v>
      </c>
      <c r="H18" s="172">
        <f t="shared" si="0"/>
        <v>0.72727272727272729</v>
      </c>
      <c r="I18" s="68" t="s">
        <v>316</v>
      </c>
      <c r="J18" s="385" t="s">
        <v>15</v>
      </c>
      <c r="K18" s="386"/>
      <c r="L18" s="167">
        <f>SUM(L19:L21)</f>
        <v>636</v>
      </c>
      <c r="M18" s="167">
        <f>SUM(M19:M21)</f>
        <v>591</v>
      </c>
      <c r="N18" s="160">
        <f t="shared" ref="N18:N26" si="2">IF(M18="--", 0, M18/L18)</f>
        <v>0.92924528301886788</v>
      </c>
      <c r="O18" s="73"/>
      <c r="P18" s="426" t="s">
        <v>252</v>
      </c>
      <c r="Q18" s="427"/>
      <c r="R18" s="427"/>
      <c r="S18" s="186">
        <f>IFERROR(VLOOKUP("165",MMWR_TRAD_AGG_NATIONAL[],2,0),"--")</f>
        <v>9474</v>
      </c>
      <c r="T18" s="28"/>
      <c r="U18" s="71"/>
      <c r="V18" s="25"/>
    </row>
    <row r="19" spans="1:22" s="1" customFormat="1" ht="41.25" customHeight="1" x14ac:dyDescent="0.4">
      <c r="A19" s="25"/>
      <c r="B19" s="286" t="s">
        <v>260</v>
      </c>
      <c r="C19" s="287"/>
      <c r="D19" s="287"/>
      <c r="E19" s="380"/>
      <c r="F19" s="170">
        <f>IFERROR(VLOOKUP(MID(B19,4,3),MMWR_TRAD_AGG_NATIONAL[],2,0),"--")</f>
        <v>2</v>
      </c>
      <c r="G19" s="171">
        <f>IFERROR(VLOOKUP(MID(B19,4,3),MMWR_TRAD_AGG_NATIONAL[],3,0),"--")</f>
        <v>0</v>
      </c>
      <c r="H19" s="172">
        <f t="shared" si="0"/>
        <v>0</v>
      </c>
      <c r="I19" s="68" t="s">
        <v>316</v>
      </c>
      <c r="J19" s="286" t="s">
        <v>280</v>
      </c>
      <c r="K19" s="380"/>
      <c r="L19" s="170">
        <f>IFERROR(VLOOKUP(MID(J19,4,3),MMWR_TRAD_AGG_NATIONAL[],2,0),"--")</f>
        <v>527</v>
      </c>
      <c r="M19" s="171">
        <f>IFERROR(VLOOKUP(MID(J19,4,3),MMWR_TRAD_AGG_NATIONAL[],3,0),"--")</f>
        <v>523</v>
      </c>
      <c r="N19" s="172">
        <f t="shared" si="2"/>
        <v>0.99240986717267554</v>
      </c>
      <c r="O19" s="56"/>
      <c r="P19" s="25"/>
      <c r="Q19" s="25"/>
      <c r="R19" s="25"/>
      <c r="S19" s="25"/>
      <c r="T19" s="28"/>
      <c r="U19" s="71"/>
      <c r="V19" s="25"/>
    </row>
    <row r="20" spans="1:22" s="1" customFormat="1" ht="40.5" customHeight="1" x14ac:dyDescent="0.4">
      <c r="A20" s="25"/>
      <c r="B20" s="286" t="s">
        <v>261</v>
      </c>
      <c r="C20" s="287"/>
      <c r="D20" s="287"/>
      <c r="E20" s="380"/>
      <c r="F20" s="170">
        <f>IFERROR(VLOOKUP(MID(B20,4,3),MMWR_TRAD_AGG_NATIONAL[],2,0),"--")</f>
        <v>3</v>
      </c>
      <c r="G20" s="171">
        <f>IFERROR(VLOOKUP(MID(B20,4,3),MMWR_TRAD_AGG_NATIONAL[],3,0),"--")</f>
        <v>2</v>
      </c>
      <c r="H20" s="172">
        <f t="shared" si="0"/>
        <v>0.66666666666666663</v>
      </c>
      <c r="I20" s="68" t="s">
        <v>316</v>
      </c>
      <c r="J20" s="286" t="s">
        <v>303</v>
      </c>
      <c r="K20" s="380"/>
      <c r="L20" s="170">
        <f>IFERROR(VLOOKUP(MID(J20,4,3),MMWR_TRAD_AGG_NATIONAL[],2,0),"--")</f>
        <v>86</v>
      </c>
      <c r="M20" s="171">
        <f>IFERROR(VLOOKUP(MID(J20,4,3),MMWR_TRAD_AGG_NATIONAL[],3,0),"--")</f>
        <v>59</v>
      </c>
      <c r="N20" s="172">
        <f t="shared" si="2"/>
        <v>0.68604651162790697</v>
      </c>
      <c r="O20" s="56"/>
      <c r="P20" s="56"/>
      <c r="Q20" s="56"/>
      <c r="R20" s="56"/>
      <c r="S20" s="56"/>
      <c r="T20" s="56"/>
      <c r="U20" s="74"/>
      <c r="V20" s="25"/>
    </row>
    <row r="21" spans="1:22" s="1" customFormat="1" ht="39" customHeight="1" thickBot="1" x14ac:dyDescent="0.45">
      <c r="A21" s="25"/>
      <c r="B21" s="286" t="s">
        <v>262</v>
      </c>
      <c r="C21" s="287"/>
      <c r="D21" s="287"/>
      <c r="E21" s="380"/>
      <c r="F21" s="170">
        <f>IFERROR(VLOOKUP(MID(B21,4,3),MMWR_TRAD_AGG_NATIONAL[],2,0),"--")</f>
        <v>3</v>
      </c>
      <c r="G21" s="171">
        <f>IFERROR(VLOOKUP(MID(B21,4,3),MMWR_TRAD_AGG_NATIONAL[],3,0),"--")</f>
        <v>2</v>
      </c>
      <c r="H21" s="172">
        <f t="shared" si="0"/>
        <v>0.66666666666666663</v>
      </c>
      <c r="I21" s="68" t="s">
        <v>316</v>
      </c>
      <c r="J21" s="286" t="s">
        <v>281</v>
      </c>
      <c r="K21" s="380"/>
      <c r="L21" s="170">
        <f>IFERROR(VLOOKUP(MID(J21,4,3),MMWR_TRAD_AGG_NATIONAL[],2,0),"--")</f>
        <v>23</v>
      </c>
      <c r="M21" s="171">
        <f>IFERROR(VLOOKUP(MID(J21,4,3),MMWR_TRAD_AGG_NATIONAL[],3,0),"--")</f>
        <v>9</v>
      </c>
      <c r="N21" s="172">
        <f t="shared" si="2"/>
        <v>0.39130434782608697</v>
      </c>
      <c r="O21" s="56"/>
      <c r="P21" s="56"/>
      <c r="Q21" s="56"/>
      <c r="R21" s="56"/>
      <c r="S21" s="56"/>
      <c r="T21" s="56"/>
      <c r="U21" s="74"/>
      <c r="V21" s="25"/>
    </row>
    <row r="22" spans="1:22" s="1" customFormat="1" ht="32.25" customHeight="1" thickBot="1" x14ac:dyDescent="0.45">
      <c r="A22" s="25"/>
      <c r="B22" s="385" t="s">
        <v>13</v>
      </c>
      <c r="C22" s="386"/>
      <c r="D22" s="386"/>
      <c r="E22" s="386"/>
      <c r="F22" s="167">
        <f>SUM(F23:F29)</f>
        <v>490818</v>
      </c>
      <c r="G22" s="168">
        <f>SUM(G23:G29)</f>
        <v>309983</v>
      </c>
      <c r="H22" s="169">
        <f t="shared" si="0"/>
        <v>0.63156404206854677</v>
      </c>
      <c r="I22" s="25"/>
      <c r="J22" s="385" t="s">
        <v>230</v>
      </c>
      <c r="K22" s="386"/>
      <c r="L22" s="167">
        <f>SUM(L23:L26)</f>
        <v>1496</v>
      </c>
      <c r="M22" s="167">
        <f>SUM(M23:M26)</f>
        <v>545</v>
      </c>
      <c r="N22" s="160">
        <f t="shared" si="2"/>
        <v>0.36430481283422461</v>
      </c>
      <c r="O22" s="56"/>
      <c r="P22" s="25"/>
      <c r="Q22" s="25"/>
      <c r="R22" s="25"/>
      <c r="S22" s="25"/>
      <c r="T22" s="56"/>
      <c r="U22" s="74"/>
      <c r="V22" s="25"/>
    </row>
    <row r="23" spans="1:22" s="1" customFormat="1" ht="26.25" customHeight="1" x14ac:dyDescent="0.4">
      <c r="A23" s="25"/>
      <c r="B23" s="381" t="s">
        <v>263</v>
      </c>
      <c r="C23" s="382"/>
      <c r="D23" s="382"/>
      <c r="E23" s="383"/>
      <c r="F23" s="170">
        <f>IFERROR(VLOOKUP(MID(B23,4,3),MMWR_TRAD_AGG_NATIONAL[],2,0),"--")</f>
        <v>216872</v>
      </c>
      <c r="G23" s="171">
        <f>IFERROR(VLOOKUP(MID(B23,4,3),MMWR_TRAD_AGG_NATIONAL[],3,0),"--")</f>
        <v>150744</v>
      </c>
      <c r="H23" s="172">
        <f t="shared" si="0"/>
        <v>0.69508281382566672</v>
      </c>
      <c r="I23" s="25"/>
      <c r="J23" s="387" t="s">
        <v>284</v>
      </c>
      <c r="K23" s="389"/>
      <c r="L23" s="173">
        <f>IFERROR(VLOOKUP(MID(J23,4,3),MMWR_TRAD_AGG_NATIONAL[],2,0),"--")</f>
        <v>331</v>
      </c>
      <c r="M23" s="174">
        <f>IFERROR(VLOOKUP(MID(J23,4,3),MMWR_TRAD_AGG_NATIONAL[],3,0),"--")</f>
        <v>145</v>
      </c>
      <c r="N23" s="175">
        <f t="shared" si="2"/>
        <v>0.4380664652567976</v>
      </c>
      <c r="O23" s="56"/>
      <c r="P23" s="25"/>
      <c r="Q23" s="25"/>
      <c r="R23" s="25"/>
      <c r="S23" s="25"/>
      <c r="T23" s="56"/>
      <c r="U23" s="74"/>
      <c r="V23" s="25"/>
    </row>
    <row r="24" spans="1:22" s="1" customFormat="1" ht="39.75" customHeight="1" x14ac:dyDescent="0.4">
      <c r="A24" s="25"/>
      <c r="B24" s="381" t="s">
        <v>264</v>
      </c>
      <c r="C24" s="382"/>
      <c r="D24" s="382"/>
      <c r="E24" s="383"/>
      <c r="F24" s="170">
        <f>IFERROR(VLOOKUP(MID(B24,4,3),MMWR_TRAD_AGG_NATIONAL[],2,0),"--")</f>
        <v>212</v>
      </c>
      <c r="G24" s="171">
        <f>IFERROR(VLOOKUP(MID(B24,4,3),MMWR_TRAD_AGG_NATIONAL[],3,0),"--")</f>
        <v>118</v>
      </c>
      <c r="H24" s="172">
        <f t="shared" si="0"/>
        <v>0.55660377358490565</v>
      </c>
      <c r="I24" s="25"/>
      <c r="J24" s="286" t="s">
        <v>283</v>
      </c>
      <c r="K24" s="380"/>
      <c r="L24" s="170">
        <f>IFERROR(VLOOKUP(MID(J24,4,3),MMWR_TRAD_AGG_NATIONAL[],2,0),"--")</f>
        <v>456</v>
      </c>
      <c r="M24" s="171">
        <f>IFERROR(VLOOKUP(MID(J24,4,3),MMWR_TRAD_AGG_NATIONAL[],3,0),"--")</f>
        <v>19</v>
      </c>
      <c r="N24" s="172">
        <f t="shared" si="2"/>
        <v>4.1666666666666664E-2</v>
      </c>
      <c r="O24" s="56"/>
      <c r="P24" s="25"/>
      <c r="Q24" s="25"/>
      <c r="R24" s="25"/>
      <c r="S24" s="25"/>
      <c r="T24" s="56"/>
      <c r="U24" s="74"/>
      <c r="V24" s="25"/>
    </row>
    <row r="25" spans="1:22" s="1" customFormat="1" ht="37.5" customHeight="1" x14ac:dyDescent="0.4">
      <c r="A25" s="25"/>
      <c r="B25" s="381" t="s">
        <v>265</v>
      </c>
      <c r="C25" s="382"/>
      <c r="D25" s="382"/>
      <c r="E25" s="383"/>
      <c r="F25" s="170">
        <f>IFERROR(VLOOKUP(MID(B25,4,3),MMWR_TRAD_AGG_NATIONAL[],2,0),"--")</f>
        <v>271</v>
      </c>
      <c r="G25" s="171">
        <f>IFERROR(VLOOKUP(MID(B25,4,3),MMWR_TRAD_AGG_NATIONAL[],3,0),"--")</f>
        <v>170</v>
      </c>
      <c r="H25" s="172">
        <f t="shared" si="0"/>
        <v>0.62730627306273068</v>
      </c>
      <c r="I25" s="25"/>
      <c r="J25" s="286" t="s">
        <v>282</v>
      </c>
      <c r="K25" s="380"/>
      <c r="L25" s="170">
        <f>IFERROR(VLOOKUP(MID(J25,4,3),MMWR_TRAD_AGG_NATIONAL[],2,0),"--")</f>
        <v>674</v>
      </c>
      <c r="M25" s="171">
        <f>IFERROR(VLOOKUP(MID(J25,4,3),MMWR_TRAD_AGG_NATIONAL[],3,0),"--")</f>
        <v>356</v>
      </c>
      <c r="N25" s="172">
        <f t="shared" si="2"/>
        <v>0.52818991097922852</v>
      </c>
      <c r="O25" s="56"/>
      <c r="P25" s="56"/>
      <c r="Q25" s="56"/>
      <c r="R25" s="56"/>
      <c r="S25" s="56"/>
      <c r="T25" s="56"/>
      <c r="U25" s="74"/>
      <c r="V25" s="25"/>
    </row>
    <row r="26" spans="1:22" s="1" customFormat="1" ht="37.5" customHeight="1" thickBot="1" x14ac:dyDescent="0.45">
      <c r="A26" s="25"/>
      <c r="B26" s="381" t="s">
        <v>266</v>
      </c>
      <c r="C26" s="382"/>
      <c r="D26" s="382"/>
      <c r="E26" s="383"/>
      <c r="F26" s="170">
        <f>IFERROR(VLOOKUP(MID(B26,4,3),MMWR_TRAD_AGG_NATIONAL[],2,0),"--")</f>
        <v>121600</v>
      </c>
      <c r="G26" s="171">
        <f>IFERROR(VLOOKUP(MID(B26,4,3),MMWR_TRAD_AGG_NATIONAL[],3,0),"--")</f>
        <v>95959</v>
      </c>
      <c r="H26" s="172">
        <f t="shared" si="0"/>
        <v>0.78913651315789479</v>
      </c>
      <c r="I26" s="56"/>
      <c r="J26" s="291" t="s">
        <v>319</v>
      </c>
      <c r="K26" s="384"/>
      <c r="L26" s="176">
        <f>IFERROR(VLOOKUP(MID(J26,4,3),MMWR_TRAD_AGG_NATIONAL[],2,0),"--")</f>
        <v>35</v>
      </c>
      <c r="M26" s="177">
        <f>IFERROR(VLOOKUP(MID(J26,4,3),MMWR_TRAD_AGG_NATIONAL[],3,0),"--")</f>
        <v>25</v>
      </c>
      <c r="N26" s="178">
        <f t="shared" si="2"/>
        <v>0.7142857142857143</v>
      </c>
      <c r="O26" s="56"/>
      <c r="P26" s="56"/>
      <c r="Q26" s="56"/>
      <c r="R26" s="56"/>
      <c r="S26" s="56"/>
      <c r="T26" s="56"/>
      <c r="U26" s="74"/>
      <c r="V26" s="25"/>
    </row>
    <row r="27" spans="1:22" s="1" customFormat="1" ht="26.25" customHeight="1" thickBot="1" x14ac:dyDescent="0.45">
      <c r="A27" s="25"/>
      <c r="B27" s="381" t="s">
        <v>267</v>
      </c>
      <c r="C27" s="382"/>
      <c r="D27" s="382"/>
      <c r="E27" s="383"/>
      <c r="F27" s="170">
        <f>IFERROR(VLOOKUP(MID(B27,4,3),MMWR_TRAD_AGG_NATIONAL[],2,0),"--")</f>
        <v>29</v>
      </c>
      <c r="G27" s="171">
        <f>IFERROR(VLOOKUP(MID(B27,4,3),MMWR_TRAD_AGG_NATIONAL[],3,0),"--")</f>
        <v>9</v>
      </c>
      <c r="H27" s="172">
        <f t="shared" si="0"/>
        <v>0.31034482758620691</v>
      </c>
      <c r="I27" s="56"/>
      <c r="J27" s="56"/>
      <c r="K27" s="56"/>
      <c r="L27" s="56"/>
      <c r="M27" s="56"/>
      <c r="N27" s="56"/>
      <c r="O27" s="56"/>
      <c r="P27" s="56"/>
      <c r="Q27" s="56"/>
      <c r="R27" s="56"/>
      <c r="S27" s="56"/>
      <c r="T27" s="56"/>
      <c r="U27" s="74"/>
      <c r="V27" s="25"/>
    </row>
    <row r="28" spans="1:22" s="1" customFormat="1" ht="32.25" customHeight="1" x14ac:dyDescent="0.4">
      <c r="A28" s="25"/>
      <c r="B28" s="381" t="s">
        <v>268</v>
      </c>
      <c r="C28" s="382"/>
      <c r="D28" s="382"/>
      <c r="E28" s="383"/>
      <c r="F28" s="170">
        <f>IFERROR(VLOOKUP(MID(B28,4,3),MMWR_TRAD_AGG_NATIONAL[],2,0),"--")</f>
        <v>16032</v>
      </c>
      <c r="G28" s="171">
        <f>IFERROR(VLOOKUP(MID(B28,4,3),MMWR_TRAD_AGG_NATIONAL[],3,0),"--")</f>
        <v>1993</v>
      </c>
      <c r="H28" s="172">
        <f t="shared" si="0"/>
        <v>0.12431387225548902</v>
      </c>
      <c r="I28" s="68" t="s">
        <v>316</v>
      </c>
      <c r="J28" s="393" t="s">
        <v>318</v>
      </c>
      <c r="K28" s="394"/>
      <c r="L28" s="394"/>
      <c r="M28" s="394"/>
      <c r="N28" s="395"/>
      <c r="O28" s="428" t="s">
        <v>316</v>
      </c>
      <c r="P28" s="75"/>
      <c r="Q28" s="56"/>
      <c r="R28" s="56"/>
      <c r="S28" s="56"/>
      <c r="T28" s="56"/>
      <c r="U28" s="74"/>
      <c r="V28" s="25"/>
    </row>
    <row r="29" spans="1:22" s="1" customFormat="1" ht="27" customHeight="1" thickBot="1" x14ac:dyDescent="0.45">
      <c r="A29" s="25"/>
      <c r="B29" s="381" t="s">
        <v>269</v>
      </c>
      <c r="C29" s="382"/>
      <c r="D29" s="382"/>
      <c r="E29" s="383"/>
      <c r="F29" s="170">
        <f>IFERROR(VLOOKUP(MID(B29,4,3),MMWR_TRAD_AGG_NATIONAL[],2,0),"--")</f>
        <v>135802</v>
      </c>
      <c r="G29" s="171">
        <f>IFERROR(VLOOKUP(MID(B29,4,3),MMWR_TRAD_AGG_NATIONAL[],3,0),"--")</f>
        <v>60990</v>
      </c>
      <c r="H29" s="172">
        <f t="shared" si="0"/>
        <v>0.44910973328816955</v>
      </c>
      <c r="I29" s="56"/>
      <c r="J29" s="396"/>
      <c r="K29" s="397"/>
      <c r="L29" s="397"/>
      <c r="M29" s="397"/>
      <c r="N29" s="398"/>
      <c r="O29" s="428"/>
      <c r="P29" s="76"/>
      <c r="Q29" s="56"/>
      <c r="R29" s="56"/>
      <c r="S29" s="56"/>
      <c r="T29" s="56"/>
      <c r="U29" s="74"/>
      <c r="V29" s="25"/>
    </row>
    <row r="30" spans="1:22" s="1" customFormat="1" ht="32.25" customHeight="1" thickBot="1" x14ac:dyDescent="0.45">
      <c r="A30" s="25"/>
      <c r="B30" s="385" t="s">
        <v>32</v>
      </c>
      <c r="C30" s="386"/>
      <c r="D30" s="386"/>
      <c r="E30" s="386"/>
      <c r="F30" s="168">
        <f>SUM(F31:F37)</f>
        <v>110282</v>
      </c>
      <c r="G30" s="168">
        <f>SUM(G31:G37)</f>
        <v>72754</v>
      </c>
      <c r="H30" s="160">
        <f t="shared" si="0"/>
        <v>0.65970874666763391</v>
      </c>
      <c r="I30" s="56"/>
      <c r="J30" s="28"/>
      <c r="K30" s="28"/>
      <c r="L30" s="28"/>
      <c r="M30" s="28"/>
      <c r="N30" s="28"/>
      <c r="O30" s="28"/>
      <c r="P30" s="56"/>
      <c r="Q30" s="56"/>
      <c r="R30" s="56"/>
      <c r="S30" s="56"/>
      <c r="T30" s="56"/>
      <c r="U30" s="74"/>
      <c r="V30" s="25"/>
    </row>
    <row r="31" spans="1:22" s="1" customFormat="1" ht="33.75" customHeight="1" x14ac:dyDescent="0.4">
      <c r="A31" s="25"/>
      <c r="B31" s="286" t="s">
        <v>286</v>
      </c>
      <c r="C31" s="287"/>
      <c r="D31" s="287"/>
      <c r="E31" s="380"/>
      <c r="F31" s="170">
        <f>IFERROR(VLOOKUP(MID(B31,4,3),MMWR_TRAD_AGG_NATIONAL[],2,0),"--")</f>
        <v>57</v>
      </c>
      <c r="G31" s="171">
        <f>IFERROR(VLOOKUP(MID(B31,4,3),MMWR_TRAD_AGG_NATIONAL[],3,0),"--")</f>
        <v>43</v>
      </c>
      <c r="H31" s="172">
        <f t="shared" si="0"/>
        <v>0.75438596491228072</v>
      </c>
      <c r="I31" s="56"/>
      <c r="J31" s="56"/>
      <c r="K31" s="56"/>
      <c r="L31" s="56"/>
      <c r="M31" s="56"/>
      <c r="N31" s="56"/>
      <c r="O31" s="56"/>
      <c r="P31" s="56"/>
      <c r="Q31" s="56"/>
      <c r="R31" s="56"/>
      <c r="S31" s="56"/>
      <c r="T31" s="56"/>
      <c r="U31" s="74"/>
      <c r="V31" s="25"/>
    </row>
    <row r="32" spans="1:22" s="1" customFormat="1" ht="32.25" customHeight="1" x14ac:dyDescent="0.4">
      <c r="A32" s="25"/>
      <c r="B32" s="286" t="s">
        <v>287</v>
      </c>
      <c r="C32" s="287"/>
      <c r="D32" s="287"/>
      <c r="E32" s="380"/>
      <c r="F32" s="170">
        <f>IFERROR(VLOOKUP(MID(B32,4,3),MMWR_TRAD_AGG_NATIONAL[],2,0),"--")</f>
        <v>25149</v>
      </c>
      <c r="G32" s="171">
        <f>IFERROR(VLOOKUP(MID(B32,4,3),MMWR_TRAD_AGG_NATIONAL[],3,0),"--")</f>
        <v>45</v>
      </c>
      <c r="H32" s="172">
        <f t="shared" si="0"/>
        <v>1.7893355600620304E-3</v>
      </c>
      <c r="I32" s="56"/>
      <c r="J32" s="56"/>
      <c r="K32" s="56"/>
      <c r="L32" s="56"/>
      <c r="M32" s="56"/>
      <c r="N32" s="56"/>
      <c r="O32" s="56"/>
      <c r="P32" s="56"/>
      <c r="Q32" s="56"/>
      <c r="R32" s="56"/>
      <c r="S32" s="56"/>
      <c r="T32" s="56"/>
      <c r="U32" s="74"/>
      <c r="V32" s="25"/>
    </row>
    <row r="33" spans="1:22" s="1" customFormat="1" ht="32.25" customHeight="1" x14ac:dyDescent="0.4">
      <c r="A33" s="25"/>
      <c r="B33" s="286" t="s">
        <v>288</v>
      </c>
      <c r="C33" s="287"/>
      <c r="D33" s="287"/>
      <c r="E33" s="380"/>
      <c r="F33" s="170">
        <f>IFERROR(VLOOKUP(MID(B33,4,3),MMWR_TRAD_AGG_NATIONAL[],2,0),"--")</f>
        <v>684</v>
      </c>
      <c r="G33" s="171">
        <f>IFERROR(VLOOKUP(MID(B33,4,3),MMWR_TRAD_AGG_NATIONAL[],3,0),"--")</f>
        <v>606</v>
      </c>
      <c r="H33" s="172">
        <f t="shared" si="0"/>
        <v>0.88596491228070173</v>
      </c>
      <c r="I33" s="56"/>
      <c r="J33" s="56"/>
      <c r="K33" s="56"/>
      <c r="L33" s="28"/>
      <c r="M33" s="28"/>
      <c r="N33" s="28"/>
      <c r="O33" s="28"/>
      <c r="P33" s="28"/>
      <c r="Q33" s="28"/>
      <c r="R33" s="56"/>
      <c r="S33" s="56"/>
      <c r="T33" s="56"/>
      <c r="U33" s="74"/>
      <c r="V33" s="25"/>
    </row>
    <row r="34" spans="1:22" s="1" customFormat="1" ht="32.25" customHeight="1" x14ac:dyDescent="0.4">
      <c r="A34" s="25"/>
      <c r="B34" s="286" t="s">
        <v>289</v>
      </c>
      <c r="C34" s="287"/>
      <c r="D34" s="287"/>
      <c r="E34" s="380"/>
      <c r="F34" s="170">
        <f>IFERROR(VLOOKUP(MID(B34,4,3),MMWR_TRAD_AGG_NATIONAL[],2,0),"--")</f>
        <v>1323</v>
      </c>
      <c r="G34" s="171">
        <f>IFERROR(VLOOKUP(MID(B34,4,3),MMWR_TRAD_AGG_NATIONAL[],3,0),"--")</f>
        <v>154</v>
      </c>
      <c r="H34" s="172">
        <f t="shared" si="0"/>
        <v>0.1164021164021164</v>
      </c>
      <c r="I34" s="56"/>
      <c r="J34" s="56"/>
      <c r="K34" s="56"/>
      <c r="L34" s="28"/>
      <c r="M34" s="28"/>
      <c r="N34" s="28"/>
      <c r="O34" s="28"/>
      <c r="P34" s="28"/>
      <c r="Q34" s="28"/>
      <c r="R34" s="56"/>
      <c r="S34" s="56"/>
      <c r="T34" s="56"/>
      <c r="U34" s="74"/>
      <c r="V34" s="25"/>
    </row>
    <row r="35" spans="1:22" s="1" customFormat="1" ht="32.25" customHeight="1" x14ac:dyDescent="0.4">
      <c r="A35" s="25"/>
      <c r="B35" s="286" t="s">
        <v>290</v>
      </c>
      <c r="C35" s="287"/>
      <c r="D35" s="287"/>
      <c r="E35" s="380"/>
      <c r="F35" s="170">
        <f>IFERROR(VLOOKUP(MID(B35,4,3),MMWR_TRAD_AGG_NATIONAL[],2,0),"--")</f>
        <v>192</v>
      </c>
      <c r="G35" s="171">
        <f>IFERROR(VLOOKUP(MID(B35,4,3),MMWR_TRAD_AGG_NATIONAL[],3,0),"--")</f>
        <v>187</v>
      </c>
      <c r="H35" s="172">
        <f t="shared" si="0"/>
        <v>0.97395833333333337</v>
      </c>
      <c r="I35" s="56"/>
      <c r="J35" s="56"/>
      <c r="K35" s="56"/>
      <c r="L35" s="56"/>
      <c r="M35" s="56"/>
      <c r="N35" s="56"/>
      <c r="O35" s="56"/>
      <c r="P35" s="56"/>
      <c r="Q35" s="56"/>
      <c r="R35" s="56"/>
      <c r="S35" s="56"/>
      <c r="T35" s="56"/>
      <c r="U35" s="74"/>
      <c r="V35" s="25"/>
    </row>
    <row r="36" spans="1:22" s="1" customFormat="1" ht="32.25" customHeight="1" x14ac:dyDescent="0.4">
      <c r="A36" s="25"/>
      <c r="B36" s="286" t="s">
        <v>291</v>
      </c>
      <c r="C36" s="287"/>
      <c r="D36" s="287"/>
      <c r="E36" s="380"/>
      <c r="F36" s="170">
        <f>IFERROR(VLOOKUP(MID(B36,4,3),MMWR_TRAD_AGG_NATIONAL[],2,0),"--")</f>
        <v>19089</v>
      </c>
      <c r="G36" s="171">
        <f>IFERROR(VLOOKUP(MID(B36,4,3),MMWR_TRAD_AGG_NATIONAL[],3,0),"--")</f>
        <v>14048</v>
      </c>
      <c r="H36" s="172">
        <f t="shared" si="0"/>
        <v>0.73592121116873588</v>
      </c>
      <c r="I36" s="56"/>
      <c r="J36" s="56"/>
      <c r="K36" s="56"/>
      <c r="L36" s="56"/>
      <c r="M36" s="56"/>
      <c r="N36" s="56"/>
      <c r="O36" s="56"/>
      <c r="P36" s="56"/>
      <c r="Q36" s="56"/>
      <c r="R36" s="56"/>
      <c r="S36" s="56"/>
      <c r="T36" s="56"/>
      <c r="U36" s="74"/>
      <c r="V36" s="25"/>
    </row>
    <row r="37" spans="1:22" s="1" customFormat="1" ht="27" customHeight="1" thickBot="1" x14ac:dyDescent="0.45">
      <c r="A37" s="25"/>
      <c r="B37" s="286" t="s">
        <v>292</v>
      </c>
      <c r="C37" s="287"/>
      <c r="D37" s="287"/>
      <c r="E37" s="380"/>
      <c r="F37" s="170">
        <f>IFERROR(VLOOKUP(MID(B37,4,3)&amp;"G",MMWR_TRAD_AGG_NATIONAL[],2,0),"--")</f>
        <v>63788</v>
      </c>
      <c r="G37" s="171">
        <f>IFERROR(VLOOKUP(MID(B37,4,3)&amp;"G",MMWR_TRAD_AGG_NATIONAL[],3,0),"--")</f>
        <v>57671</v>
      </c>
      <c r="H37" s="172">
        <f t="shared" si="0"/>
        <v>0.9041042202295102</v>
      </c>
      <c r="I37" s="56"/>
      <c r="J37" s="56"/>
      <c r="K37" s="56"/>
      <c r="L37" s="56"/>
      <c r="M37" s="56"/>
      <c r="N37" s="56"/>
      <c r="O37" s="56"/>
      <c r="P37" s="56"/>
      <c r="Q37" s="56"/>
      <c r="R37" s="56"/>
      <c r="S37" s="56"/>
      <c r="T37" s="56"/>
      <c r="U37" s="74"/>
      <c r="V37" s="25"/>
    </row>
    <row r="38" spans="1:22" s="1" customFormat="1" ht="32.25" customHeight="1" thickBot="1" x14ac:dyDescent="0.45">
      <c r="A38" s="25"/>
      <c r="B38" s="385" t="s">
        <v>244</v>
      </c>
      <c r="C38" s="386"/>
      <c r="D38" s="386"/>
      <c r="E38" s="386"/>
      <c r="F38" s="167">
        <f>SUM(F39:F44)</f>
        <v>136252</v>
      </c>
      <c r="G38" s="168">
        <f>SUM(G39:G44)</f>
        <v>85312</v>
      </c>
      <c r="H38" s="169">
        <f t="shared" si="0"/>
        <v>0.62613392830930925</v>
      </c>
      <c r="I38" s="56"/>
      <c r="J38" s="56"/>
      <c r="K38" s="75"/>
      <c r="L38" s="75"/>
      <c r="M38" s="75"/>
      <c r="N38" s="75"/>
      <c r="O38" s="75"/>
      <c r="P38" s="56"/>
      <c r="Q38" s="56"/>
      <c r="R38" s="56"/>
      <c r="S38" s="56"/>
      <c r="T38" s="56"/>
      <c r="U38" s="74"/>
      <c r="V38" s="25"/>
    </row>
    <row r="39" spans="1:22" s="1" customFormat="1" ht="26.25" customHeight="1" x14ac:dyDescent="0.4">
      <c r="A39" s="25"/>
      <c r="B39" s="387" t="s">
        <v>293</v>
      </c>
      <c r="C39" s="388"/>
      <c r="D39" s="388"/>
      <c r="E39" s="389"/>
      <c r="F39" s="173">
        <f>IFERROR(VLOOKUP(MID(B39,4,3),MMWR_TRAD_AGG_NATIONAL[],2,0),"--")</f>
        <v>7060</v>
      </c>
      <c r="G39" s="174">
        <f>IFERROR(VLOOKUP(MID(B39,4,3),MMWR_TRAD_AGG_NATIONAL[],3,0),"--")</f>
        <v>5484</v>
      </c>
      <c r="H39" s="175">
        <f t="shared" si="0"/>
        <v>0.77677053824362607</v>
      </c>
      <c r="I39" s="56"/>
      <c r="J39" s="56"/>
      <c r="K39" s="75"/>
      <c r="L39" s="75"/>
      <c r="M39" s="75"/>
      <c r="N39" s="75"/>
      <c r="O39" s="75"/>
      <c r="P39" s="56"/>
      <c r="Q39" s="56"/>
      <c r="R39" s="56"/>
      <c r="S39" s="56"/>
      <c r="T39" s="56"/>
      <c r="U39" s="74"/>
      <c r="V39" s="25"/>
    </row>
    <row r="40" spans="1:22" s="1" customFormat="1" ht="26.25" customHeight="1" x14ac:dyDescent="0.4">
      <c r="A40" s="25"/>
      <c r="B40" s="286" t="s">
        <v>294</v>
      </c>
      <c r="C40" s="287"/>
      <c r="D40" s="287"/>
      <c r="E40" s="380"/>
      <c r="F40" s="170">
        <f>IFERROR(VLOOKUP(MID(B40,4,3),MMWR_TRAD_AGG_NATIONAL[],2,0),"--")</f>
        <v>77000</v>
      </c>
      <c r="G40" s="171">
        <f>IFERROR(VLOOKUP(MID(B40,4,3),MMWR_TRAD_AGG_NATIONAL[],3,0),"--")</f>
        <v>54920</v>
      </c>
      <c r="H40" s="172">
        <f t="shared" si="0"/>
        <v>0.71324675324675324</v>
      </c>
      <c r="I40" s="56"/>
      <c r="J40" s="56"/>
      <c r="K40" s="56"/>
      <c r="L40" s="56"/>
      <c r="M40" s="56"/>
      <c r="N40" s="56"/>
      <c r="O40" s="56"/>
      <c r="P40" s="56"/>
      <c r="Q40" s="56"/>
      <c r="R40" s="56"/>
      <c r="S40" s="56"/>
      <c r="T40" s="56"/>
      <c r="U40" s="74"/>
      <c r="V40" s="25"/>
    </row>
    <row r="41" spans="1:22" s="1" customFormat="1" ht="26.25" customHeight="1" x14ac:dyDescent="0.4">
      <c r="A41" s="25"/>
      <c r="B41" s="286" t="s">
        <v>295</v>
      </c>
      <c r="C41" s="287"/>
      <c r="D41" s="287"/>
      <c r="E41" s="380"/>
      <c r="F41" s="170">
        <f>IFERROR(VLOOKUP(MID(B41,4,3),MMWR_TRAD_AGG_NATIONAL[],2,0),"--")</f>
        <v>1662</v>
      </c>
      <c r="G41" s="171">
        <f>IFERROR(VLOOKUP(MID(B41,4,3),MMWR_TRAD_AGG_NATIONAL[],3,0),"--")</f>
        <v>558</v>
      </c>
      <c r="H41" s="172">
        <f t="shared" si="0"/>
        <v>0.33574007220216606</v>
      </c>
      <c r="I41" s="56"/>
      <c r="J41" s="56"/>
      <c r="K41" s="56"/>
      <c r="L41" s="56"/>
      <c r="M41" s="56"/>
      <c r="N41" s="56"/>
      <c r="O41" s="56"/>
      <c r="P41" s="56"/>
      <c r="Q41" s="56"/>
      <c r="R41" s="56"/>
      <c r="S41" s="56"/>
      <c r="T41" s="56"/>
      <c r="U41" s="74"/>
      <c r="V41" s="25"/>
    </row>
    <row r="42" spans="1:22" s="1" customFormat="1" ht="36" customHeight="1" x14ac:dyDescent="0.4">
      <c r="A42" s="25"/>
      <c r="B42" s="286" t="s">
        <v>296</v>
      </c>
      <c r="C42" s="287"/>
      <c r="D42" s="287"/>
      <c r="E42" s="380"/>
      <c r="F42" s="170">
        <f>IFERROR(VLOOKUP(MID(B42,4,3),MMWR_TRAD_AGG_NATIONAL[],2,0),"--")</f>
        <v>35255</v>
      </c>
      <c r="G42" s="171">
        <f>IFERROR(VLOOKUP(MID(B42,4,3),MMWR_TRAD_AGG_NATIONAL[],3,0),"--")</f>
        <v>11360</v>
      </c>
      <c r="H42" s="172">
        <f t="shared" si="0"/>
        <v>0.3222237980428308</v>
      </c>
      <c r="I42" s="56"/>
      <c r="J42" s="56"/>
      <c r="K42" s="56"/>
      <c r="L42" s="56"/>
      <c r="M42" s="56"/>
      <c r="N42" s="56"/>
      <c r="O42" s="56"/>
      <c r="P42" s="56"/>
      <c r="Q42" s="56"/>
      <c r="R42" s="56"/>
      <c r="S42" s="56"/>
      <c r="T42" s="56"/>
      <c r="U42" s="74"/>
      <c r="V42" s="25"/>
    </row>
    <row r="43" spans="1:22" s="1" customFormat="1" ht="33" customHeight="1" x14ac:dyDescent="0.4">
      <c r="A43" s="25"/>
      <c r="B43" s="286" t="s">
        <v>297</v>
      </c>
      <c r="C43" s="287"/>
      <c r="D43" s="287"/>
      <c r="E43" s="380"/>
      <c r="F43" s="170">
        <f>IFERROR(VLOOKUP(MID(B43,4,3),MMWR_TRAD_AGG_NATIONAL[],2,0),"--")</f>
        <v>14731</v>
      </c>
      <c r="G43" s="171">
        <f>IFERROR(VLOOKUP(MID(B43,4,3),MMWR_TRAD_AGG_NATIONAL[],3,0),"--")</f>
        <v>12521</v>
      </c>
      <c r="H43" s="172">
        <f t="shared" si="0"/>
        <v>0.84997624058108745</v>
      </c>
      <c r="I43" s="56"/>
      <c r="J43" s="56"/>
      <c r="K43" s="56"/>
      <c r="L43" s="56"/>
      <c r="M43" s="56"/>
      <c r="N43" s="56"/>
      <c r="O43" s="56"/>
      <c r="P43" s="56"/>
      <c r="Q43" s="56"/>
      <c r="R43" s="56"/>
      <c r="S43" s="56"/>
      <c r="T43" s="56"/>
      <c r="U43" s="74"/>
      <c r="V43" s="25"/>
    </row>
    <row r="44" spans="1:22" s="1" customFormat="1" ht="27" customHeight="1" thickBot="1" x14ac:dyDescent="0.45">
      <c r="A44" s="25"/>
      <c r="B44" s="291" t="s">
        <v>298</v>
      </c>
      <c r="C44" s="292"/>
      <c r="D44" s="292"/>
      <c r="E44" s="384"/>
      <c r="F44" s="176">
        <f>IFERROR(VLOOKUP(MID(B44,4,3),MMWR_TRAD_AGG_NATIONAL[],2,0),"--")</f>
        <v>544</v>
      </c>
      <c r="G44" s="177">
        <f>IFERROR(VLOOKUP(MID(B44,4,3),MMWR_TRAD_AGG_NATIONAL[],3,0),"--")</f>
        <v>469</v>
      </c>
      <c r="H44" s="178">
        <f t="shared" si="0"/>
        <v>0.86213235294117652</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37" t="str">
        <f>UPPER("INVENTORY BY REGIONAL OFFICE "&amp;Transformation!B4)</f>
        <v>INVENTORY BY REGIONAL OFFICE AS OF: NOVEMBER 14, 2015</v>
      </c>
      <c r="D2" s="438"/>
      <c r="E2" s="438"/>
      <c r="F2" s="438"/>
      <c r="G2" s="438"/>
      <c r="H2" s="438"/>
      <c r="I2" s="438"/>
      <c r="J2" s="438"/>
      <c r="K2" s="438"/>
      <c r="L2" s="438"/>
      <c r="M2" s="438"/>
      <c r="N2" s="438"/>
      <c r="O2" s="438"/>
      <c r="P2" s="438"/>
      <c r="Q2" s="438"/>
      <c r="R2" s="438"/>
      <c r="S2" s="439"/>
      <c r="T2" s="25"/>
    </row>
    <row r="3" spans="1:20" x14ac:dyDescent="0.2">
      <c r="A3" s="25"/>
      <c r="B3" s="26"/>
      <c r="C3" s="440" t="s">
        <v>231</v>
      </c>
      <c r="D3" s="441"/>
      <c r="E3" s="442" t="s">
        <v>211</v>
      </c>
      <c r="F3" s="443"/>
      <c r="G3" s="444"/>
      <c r="H3" s="442" t="s">
        <v>7</v>
      </c>
      <c r="I3" s="443"/>
      <c r="J3" s="444"/>
      <c r="K3" s="442" t="s">
        <v>33</v>
      </c>
      <c r="L3" s="443"/>
      <c r="M3" s="444"/>
      <c r="N3" s="442" t="s">
        <v>8</v>
      </c>
      <c r="O3" s="443"/>
      <c r="P3" s="444"/>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495</v>
      </c>
      <c r="T4" s="91"/>
    </row>
    <row r="5" spans="1:20" ht="26.25" x14ac:dyDescent="0.4">
      <c r="A5" s="25"/>
      <c r="B5" s="26"/>
      <c r="C5" s="437" t="s">
        <v>493</v>
      </c>
      <c r="D5" s="438"/>
      <c r="E5" s="438"/>
      <c r="F5" s="438"/>
      <c r="G5" s="438"/>
      <c r="H5" s="438"/>
      <c r="I5" s="438"/>
      <c r="J5" s="438"/>
      <c r="K5" s="438"/>
      <c r="L5" s="438"/>
      <c r="M5" s="438"/>
      <c r="N5" s="438"/>
      <c r="O5" s="438"/>
      <c r="P5" s="438"/>
      <c r="Q5" s="438"/>
      <c r="R5" s="438"/>
      <c r="S5" s="439"/>
      <c r="T5" s="25"/>
    </row>
    <row r="6" spans="1:20" x14ac:dyDescent="0.2">
      <c r="A6" s="92"/>
      <c r="B6" s="93" t="s">
        <v>468</v>
      </c>
      <c r="C6" s="209">
        <f>IFERROR(VLOOKUP($B6,MMWR_TRAD_AGG_DISTRICT_COMP[],C$1,0),"ERROR")</f>
        <v>338686</v>
      </c>
      <c r="D6" s="187">
        <f>IFERROR(VLOOKUP($B6,MMWR_TRAD_AGG_DISTRICT_COMP[],D$1,0),"ERROR")</f>
        <v>382.67506480930001</v>
      </c>
      <c r="E6" s="195">
        <f>IFERROR(VLOOKUP($B6,MMWR_TRAD_AGG_DISTRICT_COMP[],E$1,0),"ERROR")</f>
        <v>343044</v>
      </c>
      <c r="F6" s="189">
        <f>IFERROR(VLOOKUP($B6,MMWR_TRAD_AGG_DISTRICT_COMP[],F$1,0),"ERROR")</f>
        <v>73518</v>
      </c>
      <c r="G6" s="212">
        <f t="shared" ref="G6:G69" si="0">IFERROR(F6/E6,"0%")</f>
        <v>0.21431070066813587</v>
      </c>
      <c r="H6" s="188">
        <f>IFERROR(VLOOKUP($B6,MMWR_TRAD_AGG_DISTRICT_COMP[],H$1,0),"ERROR")</f>
        <v>490818</v>
      </c>
      <c r="I6" s="189">
        <f>IFERROR(VLOOKUP($B6,MMWR_TRAD_AGG_DISTRICT_COMP[],I$1,0),"ERROR")</f>
        <v>309983</v>
      </c>
      <c r="J6" s="212">
        <f t="shared" ref="J6:J69" si="1">IFERROR(I6/H6,"0%")</f>
        <v>0.63156404206854677</v>
      </c>
      <c r="K6" s="188">
        <f>IFERROR(VLOOKUP($B6,MMWR_TRAD_AGG_DISTRICT_COMP[],K$1,0),"ERROR")</f>
        <v>110282</v>
      </c>
      <c r="L6" s="189">
        <f>IFERROR(VLOOKUP($B6,MMWR_TRAD_AGG_DISTRICT_COMP[],L$1,0),"ERROR")</f>
        <v>72754</v>
      </c>
      <c r="M6" s="212">
        <f t="shared" ref="M6:M69" si="2">IFERROR(L6/K6,"0%")</f>
        <v>0.65970874666763391</v>
      </c>
      <c r="N6" s="188">
        <f>IFERROR(VLOOKUP($B6,MMWR_TRAD_AGG_DISTRICT_COMP[],N$1,0),"ERROR")</f>
        <v>136252</v>
      </c>
      <c r="O6" s="189">
        <f>IFERROR(VLOOKUP($B6,MMWR_TRAD_AGG_DISTRICT_COMP[],O$1,0),"ERROR")</f>
        <v>85312</v>
      </c>
      <c r="P6" s="212">
        <f t="shared" ref="P6:P69" si="3">IFERROR(O6/N6,"0%")</f>
        <v>0.62613392830930925</v>
      </c>
      <c r="Q6" s="201">
        <f>IFERROR(VLOOKUP($B6,MMWR_TRAD_AGG_DISTRICT_COMP[],Q$1,0),"ERROR")</f>
        <v>16980</v>
      </c>
      <c r="R6" s="201">
        <f>IFERROR(VLOOKUP($B6,MMWR_TRAD_AGG_DISTRICT_COMP[],R$1,0),"ERROR")</f>
        <v>3984</v>
      </c>
      <c r="S6" s="204">
        <f>S7+S25+S38+S49+S62+S70</f>
        <v>315620</v>
      </c>
      <c r="T6" s="25"/>
    </row>
    <row r="7" spans="1:20" x14ac:dyDescent="0.2">
      <c r="A7" s="92"/>
      <c r="B7" s="101" t="s">
        <v>376</v>
      </c>
      <c r="C7" s="213">
        <f>IFERROR(VLOOKUP($B7,MMWR_TRAD_AGG_DISTRICT_COMP[],C$1,0),"ERROR")</f>
        <v>107634</v>
      </c>
      <c r="D7" s="198">
        <f>IFERROR(VLOOKUP($B7,MMWR_TRAD_AGG_DISTRICT_COMP[],D$1,0),"ERROR")</f>
        <v>448.89377891740003</v>
      </c>
      <c r="E7" s="214">
        <f>IFERROR(VLOOKUP($B7,MMWR_TRAD_AGG_DISTRICT_COMP[],E$1,0),"ERROR")</f>
        <v>80724</v>
      </c>
      <c r="F7" s="213">
        <f>IFERROR(VLOOKUP($B7,MMWR_TRAD_AGG_DISTRICT_COMP[],F$1,0),"ERROR")</f>
        <v>18268</v>
      </c>
      <c r="G7" s="215">
        <f t="shared" si="0"/>
        <v>0.22630196719686835</v>
      </c>
      <c r="H7" s="213">
        <f>IFERROR(VLOOKUP($B7,MMWR_TRAD_AGG_DISTRICT_COMP[],H$1,0),"ERROR")</f>
        <v>140161</v>
      </c>
      <c r="I7" s="213">
        <f>IFERROR(VLOOKUP($B7,MMWR_TRAD_AGG_DISTRICT_COMP[],I$1,0),"ERROR")</f>
        <v>101445</v>
      </c>
      <c r="J7" s="215">
        <f t="shared" si="1"/>
        <v>0.72377480183503262</v>
      </c>
      <c r="K7" s="213">
        <f>IFERROR(VLOOKUP($B7,MMWR_TRAD_AGG_DISTRICT_COMP[],K$1,0),"ERROR")</f>
        <v>30558</v>
      </c>
      <c r="L7" s="213">
        <f>IFERROR(VLOOKUP($B7,MMWR_TRAD_AGG_DISTRICT_COMP[],L$1,0),"ERROR")</f>
        <v>20536</v>
      </c>
      <c r="M7" s="215">
        <f t="shared" si="2"/>
        <v>0.67203351004646905</v>
      </c>
      <c r="N7" s="213">
        <f>IFERROR(VLOOKUP($B7,MMWR_TRAD_AGG_DISTRICT_COMP[],N$1,0),"ERROR")</f>
        <v>29670</v>
      </c>
      <c r="O7" s="213">
        <f>IFERROR(VLOOKUP($B7,MMWR_TRAD_AGG_DISTRICT_COMP[],O$1,0),"ERROR")</f>
        <v>24379</v>
      </c>
      <c r="P7" s="215">
        <f t="shared" si="3"/>
        <v>0.82167172227839569</v>
      </c>
      <c r="Q7" s="213">
        <f>IFERROR(VLOOKUP($B7,MMWR_TRAD_AGG_DISTRICT_COMP[],Q$1,0),"ERROR")</f>
        <v>11260</v>
      </c>
      <c r="R7" s="216">
        <f>IFERROR(VLOOKUP($B7,MMWR_TRAD_AGG_DISTRICT_COMP[],R$1,0),"ERROR")</f>
        <v>50</v>
      </c>
      <c r="S7" s="216">
        <f>IFERROR(VLOOKUP($B7,MMWR_APP_RO[],S$1,0),"ERROR")</f>
        <v>55927</v>
      </c>
      <c r="T7" s="25"/>
    </row>
    <row r="8" spans="1:20" x14ac:dyDescent="0.2">
      <c r="A8" s="107"/>
      <c r="B8" s="108" t="s">
        <v>36</v>
      </c>
      <c r="C8" s="210">
        <f>IFERROR(VLOOKUP($B8,MMWR_TRAD_AGG_RO_COMP[],C$1,0),"ERROR")</f>
        <v>7819</v>
      </c>
      <c r="D8" s="199">
        <f>IFERROR(VLOOKUP($B8,MMWR_TRAD_AGG_RO_COMP[],D$1,0),"ERROR")</f>
        <v>648.98989640620005</v>
      </c>
      <c r="E8" s="196">
        <f>IFERROR(VLOOKUP($B8,MMWR_TRAD_AGG_RO_COMP[],E$1,0),"ERROR")</f>
        <v>5081</v>
      </c>
      <c r="F8" s="192">
        <f>IFERROR(VLOOKUP($B8,MMWR_TRAD_AGG_RO_COMP[],F$1,0),"ERROR")</f>
        <v>1077</v>
      </c>
      <c r="G8" s="217">
        <f t="shared" si="0"/>
        <v>0.21196614839598504</v>
      </c>
      <c r="H8" s="191">
        <f>IFERROR(VLOOKUP($B8,MMWR_TRAD_AGG_RO_COMP[],H$1,0),"ERROR")</f>
        <v>9102</v>
      </c>
      <c r="I8" s="192">
        <f>IFERROR(VLOOKUP($B8,MMWR_TRAD_AGG_RO_COMP[],I$1,0),"ERROR")</f>
        <v>7365</v>
      </c>
      <c r="J8" s="217">
        <f t="shared" si="1"/>
        <v>0.80916282135794326</v>
      </c>
      <c r="K8" s="205">
        <f>IFERROR(VLOOKUP($B8,MMWR_TRAD_AGG_RO_COMP[],K$1,0),"ERROR")</f>
        <v>1114</v>
      </c>
      <c r="L8" s="206">
        <f>IFERROR(VLOOKUP($B8,MMWR_TRAD_AGG_RO_COMP[],L$1,0),"ERROR")</f>
        <v>808</v>
      </c>
      <c r="M8" s="217">
        <f t="shared" si="2"/>
        <v>0.72531418312387796</v>
      </c>
      <c r="N8" s="205">
        <f>IFERROR(VLOOKUP($B8,MMWR_TRAD_AGG_RO_COMP[],N$1,0),"ERROR")</f>
        <v>5850</v>
      </c>
      <c r="O8" s="206">
        <f>IFERROR(VLOOKUP($B8,MMWR_TRAD_AGG_RO_COMP[],O$1,0),"ERROR")</f>
        <v>5014</v>
      </c>
      <c r="P8" s="217">
        <f t="shared" si="3"/>
        <v>0.85709401709401711</v>
      </c>
      <c r="Q8" s="202">
        <f>IFERROR(VLOOKUP($B8,MMWR_TRAD_AGG_RO_COMP[],Q$1,0),"ERROR")</f>
        <v>22</v>
      </c>
      <c r="R8" s="202">
        <f>IFERROR(VLOOKUP($B8,MMWR_TRAD_AGG_RO_COMP[],R$1,0),"ERROR")</f>
        <v>3</v>
      </c>
      <c r="S8" s="202">
        <f>IFERROR(VLOOKUP($B8,MMWR_APP_RO[],S$1,0),"ERROR")</f>
        <v>5467</v>
      </c>
      <c r="T8" s="25"/>
    </row>
    <row r="9" spans="1:20" x14ac:dyDescent="0.2">
      <c r="A9" s="107"/>
      <c r="B9" s="108" t="s">
        <v>38</v>
      </c>
      <c r="C9" s="210">
        <f>IFERROR(VLOOKUP($B9,MMWR_TRAD_AGG_RO_COMP[],C$1,0),"ERROR")</f>
        <v>4237</v>
      </c>
      <c r="D9" s="199">
        <f>IFERROR(VLOOKUP($B9,MMWR_TRAD_AGG_RO_COMP[],D$1,0),"ERROR")</f>
        <v>577.76870427189999</v>
      </c>
      <c r="E9" s="196">
        <f>IFERROR(VLOOKUP($B9,MMWR_TRAD_AGG_RO_COMP[],E$1,0),"ERROR")</f>
        <v>3394</v>
      </c>
      <c r="F9" s="192">
        <f>IFERROR(VLOOKUP($B9,MMWR_TRAD_AGG_RO_COMP[],F$1,0),"ERROR")</f>
        <v>889</v>
      </c>
      <c r="G9" s="217">
        <f t="shared" si="0"/>
        <v>0.26193282262816736</v>
      </c>
      <c r="H9" s="191">
        <f>IFERROR(VLOOKUP($B9,MMWR_TRAD_AGG_RO_COMP[],H$1,0),"ERROR")</f>
        <v>5624</v>
      </c>
      <c r="I9" s="192">
        <f>IFERROR(VLOOKUP($B9,MMWR_TRAD_AGG_RO_COMP[],I$1,0),"ERROR")</f>
        <v>4348</v>
      </c>
      <c r="J9" s="217">
        <f t="shared" si="1"/>
        <v>0.77311522048364156</v>
      </c>
      <c r="K9" s="205">
        <f>IFERROR(VLOOKUP($B9,MMWR_TRAD_AGG_RO_COMP[],K$1,0),"ERROR")</f>
        <v>2289</v>
      </c>
      <c r="L9" s="206">
        <f>IFERROR(VLOOKUP($B9,MMWR_TRAD_AGG_RO_COMP[],L$1,0),"ERROR")</f>
        <v>1876</v>
      </c>
      <c r="M9" s="217">
        <f t="shared" si="2"/>
        <v>0.81957186544342508</v>
      </c>
      <c r="N9" s="205">
        <f>IFERROR(VLOOKUP($B9,MMWR_TRAD_AGG_RO_COMP[],N$1,0),"ERROR")</f>
        <v>853</v>
      </c>
      <c r="O9" s="206">
        <f>IFERROR(VLOOKUP($B9,MMWR_TRAD_AGG_RO_COMP[],O$1,0),"ERROR")</f>
        <v>755</v>
      </c>
      <c r="P9" s="217">
        <f t="shared" si="3"/>
        <v>0.88511137162954279</v>
      </c>
      <c r="Q9" s="202">
        <f>IFERROR(VLOOKUP($B9,MMWR_TRAD_AGG_RO_COMP[],Q$1,0),"ERROR")</f>
        <v>0</v>
      </c>
      <c r="R9" s="202">
        <f>IFERROR(VLOOKUP($B9,MMWR_TRAD_AGG_RO_COMP[],R$1,0),"ERROR")</f>
        <v>2</v>
      </c>
      <c r="S9" s="202">
        <f>IFERROR(VLOOKUP($B9,MMWR_APP_RO[],S$1,0),"ERROR")</f>
        <v>3335</v>
      </c>
      <c r="T9" s="25"/>
    </row>
    <row r="10" spans="1:20" x14ac:dyDescent="0.2">
      <c r="A10" s="107"/>
      <c r="B10" s="108" t="s">
        <v>24</v>
      </c>
      <c r="C10" s="210">
        <f>IFERROR(VLOOKUP($B10,MMWR_TRAD_AGG_RO_COMP[],C$1,0),"ERROR")</f>
        <v>1831</v>
      </c>
      <c r="D10" s="199">
        <f>IFERROR(VLOOKUP($B10,MMWR_TRAD_AGG_RO_COMP[],D$1,0),"ERROR")</f>
        <v>174.04806116879999</v>
      </c>
      <c r="E10" s="196">
        <f>IFERROR(VLOOKUP($B10,MMWR_TRAD_AGG_RO_COMP[],E$1,0),"ERROR")</f>
        <v>4204</v>
      </c>
      <c r="F10" s="192">
        <f>IFERROR(VLOOKUP($B10,MMWR_TRAD_AGG_RO_COMP[],F$1,0),"ERROR")</f>
        <v>921</v>
      </c>
      <c r="G10" s="217">
        <f t="shared" si="0"/>
        <v>0.21907706945765937</v>
      </c>
      <c r="H10" s="191">
        <f>IFERROR(VLOOKUP($B10,MMWR_TRAD_AGG_RO_COMP[],H$1,0),"ERROR")</f>
        <v>2708</v>
      </c>
      <c r="I10" s="192">
        <f>IFERROR(VLOOKUP($B10,MMWR_TRAD_AGG_RO_COMP[],I$1,0),"ERROR")</f>
        <v>1193</v>
      </c>
      <c r="J10" s="217">
        <f t="shared" si="1"/>
        <v>0.44054652880354506</v>
      </c>
      <c r="K10" s="205">
        <f>IFERROR(VLOOKUP($B10,MMWR_TRAD_AGG_RO_COMP[],K$1,0),"ERROR")</f>
        <v>386</v>
      </c>
      <c r="L10" s="206">
        <f>IFERROR(VLOOKUP($B10,MMWR_TRAD_AGG_RO_COMP[],L$1,0),"ERROR")</f>
        <v>79</v>
      </c>
      <c r="M10" s="217">
        <f t="shared" si="2"/>
        <v>0.20466321243523317</v>
      </c>
      <c r="N10" s="205">
        <f>IFERROR(VLOOKUP($B10,MMWR_TRAD_AGG_RO_COMP[],N$1,0),"ERROR")</f>
        <v>329</v>
      </c>
      <c r="O10" s="206">
        <f>IFERROR(VLOOKUP($B10,MMWR_TRAD_AGG_RO_COMP[],O$1,0),"ERROR")</f>
        <v>206</v>
      </c>
      <c r="P10" s="217">
        <f t="shared" si="3"/>
        <v>0.62613981762917936</v>
      </c>
      <c r="Q10" s="202">
        <f>IFERROR(VLOOKUP($B10,MMWR_TRAD_AGG_RO_COMP[],Q$1,0),"ERROR")</f>
        <v>0</v>
      </c>
      <c r="R10" s="202">
        <f>IFERROR(VLOOKUP($B10,MMWR_TRAD_AGG_RO_COMP[],R$1,0),"ERROR")</f>
        <v>0</v>
      </c>
      <c r="S10" s="202">
        <f>IFERROR(VLOOKUP($B10,MMWR_APP_RO[],S$1,0),"ERROR")</f>
        <v>1877</v>
      </c>
      <c r="T10" s="25"/>
    </row>
    <row r="11" spans="1:20" x14ac:dyDescent="0.2">
      <c r="A11" s="107"/>
      <c r="B11" s="108" t="s">
        <v>47</v>
      </c>
      <c r="C11" s="210">
        <f>IFERROR(VLOOKUP($B11,MMWR_TRAD_AGG_RO_COMP[],C$1,0),"ERROR")</f>
        <v>1460</v>
      </c>
      <c r="D11" s="199">
        <f>IFERROR(VLOOKUP($B11,MMWR_TRAD_AGG_RO_COMP[],D$1,0),"ERROR")</f>
        <v>275.34041095890001</v>
      </c>
      <c r="E11" s="196">
        <f>IFERROR(VLOOKUP($B11,MMWR_TRAD_AGG_RO_COMP[],E$1,0),"ERROR")</f>
        <v>1797</v>
      </c>
      <c r="F11" s="192">
        <f>IFERROR(VLOOKUP($B11,MMWR_TRAD_AGG_RO_COMP[],F$1,0),"ERROR")</f>
        <v>330</v>
      </c>
      <c r="G11" s="217">
        <f t="shared" si="0"/>
        <v>0.18363939899833054</v>
      </c>
      <c r="H11" s="191">
        <f>IFERROR(VLOOKUP($B11,MMWR_TRAD_AGG_RO_COMP[],H$1,0),"ERROR")</f>
        <v>3145</v>
      </c>
      <c r="I11" s="192">
        <f>IFERROR(VLOOKUP($B11,MMWR_TRAD_AGG_RO_COMP[],I$1,0),"ERROR")</f>
        <v>1989</v>
      </c>
      <c r="J11" s="217">
        <f t="shared" si="1"/>
        <v>0.63243243243243241</v>
      </c>
      <c r="K11" s="205">
        <f>IFERROR(VLOOKUP($B11,MMWR_TRAD_AGG_RO_COMP[],K$1,0),"ERROR")</f>
        <v>524</v>
      </c>
      <c r="L11" s="206">
        <f>IFERROR(VLOOKUP($B11,MMWR_TRAD_AGG_RO_COMP[],L$1,0),"ERROR")</f>
        <v>249</v>
      </c>
      <c r="M11" s="217">
        <f t="shared" si="2"/>
        <v>0.47519083969465647</v>
      </c>
      <c r="N11" s="205">
        <f>IFERROR(VLOOKUP($B11,MMWR_TRAD_AGG_RO_COMP[],N$1,0),"ERROR")</f>
        <v>713</v>
      </c>
      <c r="O11" s="206">
        <f>IFERROR(VLOOKUP($B11,MMWR_TRAD_AGG_RO_COMP[],O$1,0),"ERROR")</f>
        <v>551</v>
      </c>
      <c r="P11" s="217">
        <f t="shared" si="3"/>
        <v>0.7727910238429172</v>
      </c>
      <c r="Q11" s="202">
        <f>IFERROR(VLOOKUP($B11,MMWR_TRAD_AGG_RO_COMP[],Q$1,0),"ERROR")</f>
        <v>0</v>
      </c>
      <c r="R11" s="202">
        <f>IFERROR(VLOOKUP($B11,MMWR_TRAD_AGG_RO_COMP[],R$1,0),"ERROR")</f>
        <v>4</v>
      </c>
      <c r="S11" s="202">
        <f>IFERROR(VLOOKUP($B11,MMWR_APP_RO[],S$1,0),"ERROR")</f>
        <v>897</v>
      </c>
      <c r="T11" s="25"/>
    </row>
    <row r="12" spans="1:20" x14ac:dyDescent="0.2">
      <c r="A12" s="107"/>
      <c r="B12" s="108" t="s">
        <v>50</v>
      </c>
      <c r="C12" s="210">
        <f>IFERROR(VLOOKUP($B12,MMWR_TRAD_AGG_RO_COMP[],C$1,0),"ERROR")</f>
        <v>2173</v>
      </c>
      <c r="D12" s="199">
        <f>IFERROR(VLOOKUP($B12,MMWR_TRAD_AGG_RO_COMP[],D$1,0),"ERROR")</f>
        <v>239.8831109066</v>
      </c>
      <c r="E12" s="196">
        <f>IFERROR(VLOOKUP($B12,MMWR_TRAD_AGG_RO_COMP[],E$1,0),"ERROR")</f>
        <v>2389</v>
      </c>
      <c r="F12" s="192">
        <f>IFERROR(VLOOKUP($B12,MMWR_TRAD_AGG_RO_COMP[],F$1,0),"ERROR")</f>
        <v>324</v>
      </c>
      <c r="G12" s="217">
        <f t="shared" si="0"/>
        <v>0.13562159899539555</v>
      </c>
      <c r="H12" s="191">
        <f>IFERROR(VLOOKUP($B12,MMWR_TRAD_AGG_RO_COMP[],H$1,0),"ERROR")</f>
        <v>3447</v>
      </c>
      <c r="I12" s="192">
        <f>IFERROR(VLOOKUP($B12,MMWR_TRAD_AGG_RO_COMP[],I$1,0),"ERROR")</f>
        <v>2057</v>
      </c>
      <c r="J12" s="217">
        <f t="shared" si="1"/>
        <v>0.59675079779518425</v>
      </c>
      <c r="K12" s="205">
        <f>IFERROR(VLOOKUP($B12,MMWR_TRAD_AGG_RO_COMP[],K$1,0),"ERROR")</f>
        <v>485</v>
      </c>
      <c r="L12" s="206">
        <f>IFERROR(VLOOKUP($B12,MMWR_TRAD_AGG_RO_COMP[],L$1,0),"ERROR")</f>
        <v>118</v>
      </c>
      <c r="M12" s="217">
        <f t="shared" si="2"/>
        <v>0.24329896907216494</v>
      </c>
      <c r="N12" s="205">
        <f>IFERROR(VLOOKUP($B12,MMWR_TRAD_AGG_RO_COMP[],N$1,0),"ERROR")</f>
        <v>1021</v>
      </c>
      <c r="O12" s="206">
        <f>IFERROR(VLOOKUP($B12,MMWR_TRAD_AGG_RO_COMP[],O$1,0),"ERROR")</f>
        <v>738</v>
      </c>
      <c r="P12" s="217">
        <f t="shared" si="3"/>
        <v>0.72282076395690498</v>
      </c>
      <c r="Q12" s="202">
        <f>IFERROR(VLOOKUP($B12,MMWR_TRAD_AGG_RO_COMP[],Q$1,0),"ERROR")</f>
        <v>1</v>
      </c>
      <c r="R12" s="202">
        <f>IFERROR(VLOOKUP($B12,MMWR_TRAD_AGG_RO_COMP[],R$1,0),"ERROR")</f>
        <v>12</v>
      </c>
      <c r="S12" s="202">
        <f>IFERROR(VLOOKUP($B12,MMWR_APP_RO[],S$1,0),"ERROR")</f>
        <v>1863</v>
      </c>
      <c r="T12" s="25"/>
    </row>
    <row r="13" spans="1:20" x14ac:dyDescent="0.2">
      <c r="A13" s="107"/>
      <c r="B13" s="108" t="s">
        <v>57</v>
      </c>
      <c r="C13" s="210">
        <f>IFERROR(VLOOKUP($B13,MMWR_TRAD_AGG_RO_COMP[],C$1,0),"ERROR")</f>
        <v>1591</v>
      </c>
      <c r="D13" s="199">
        <f>IFERROR(VLOOKUP($B13,MMWR_TRAD_AGG_RO_COMP[],D$1,0),"ERROR")</f>
        <v>381.50785669390001</v>
      </c>
      <c r="E13" s="196">
        <f>IFERROR(VLOOKUP($B13,MMWR_TRAD_AGG_RO_COMP[],E$1,0),"ERROR")</f>
        <v>1174</v>
      </c>
      <c r="F13" s="192">
        <f>IFERROR(VLOOKUP($B13,MMWR_TRAD_AGG_RO_COMP[],F$1,0),"ERROR")</f>
        <v>272</v>
      </c>
      <c r="G13" s="217">
        <f t="shared" si="0"/>
        <v>0.23168654173764908</v>
      </c>
      <c r="H13" s="191">
        <f>IFERROR(VLOOKUP($B13,MMWR_TRAD_AGG_RO_COMP[],H$1,0),"ERROR")</f>
        <v>2005</v>
      </c>
      <c r="I13" s="192">
        <f>IFERROR(VLOOKUP($B13,MMWR_TRAD_AGG_RO_COMP[],I$1,0),"ERROR")</f>
        <v>1360</v>
      </c>
      <c r="J13" s="217">
        <f t="shared" si="1"/>
        <v>0.67830423940149631</v>
      </c>
      <c r="K13" s="205">
        <f>IFERROR(VLOOKUP($B13,MMWR_TRAD_AGG_RO_COMP[],K$1,0),"ERROR")</f>
        <v>502</v>
      </c>
      <c r="L13" s="206">
        <f>IFERROR(VLOOKUP($B13,MMWR_TRAD_AGG_RO_COMP[],L$1,0),"ERROR")</f>
        <v>403</v>
      </c>
      <c r="M13" s="217">
        <f t="shared" si="2"/>
        <v>0.8027888446215139</v>
      </c>
      <c r="N13" s="205">
        <f>IFERROR(VLOOKUP($B13,MMWR_TRAD_AGG_RO_COMP[],N$1,0),"ERROR")</f>
        <v>74</v>
      </c>
      <c r="O13" s="206">
        <f>IFERROR(VLOOKUP($B13,MMWR_TRAD_AGG_RO_COMP[],O$1,0),"ERROR")</f>
        <v>63</v>
      </c>
      <c r="P13" s="217">
        <f t="shared" si="3"/>
        <v>0.85135135135135132</v>
      </c>
      <c r="Q13" s="202">
        <f>IFERROR(VLOOKUP($B13,MMWR_TRAD_AGG_RO_COMP[],Q$1,0),"ERROR")</f>
        <v>0</v>
      </c>
      <c r="R13" s="202">
        <f>IFERROR(VLOOKUP($B13,MMWR_TRAD_AGG_RO_COMP[],R$1,0),"ERROR")</f>
        <v>1</v>
      </c>
      <c r="S13" s="202">
        <f>IFERROR(VLOOKUP($B13,MMWR_APP_RO[],S$1,0),"ERROR")</f>
        <v>633</v>
      </c>
      <c r="T13" s="25"/>
    </row>
    <row r="14" spans="1:20" x14ac:dyDescent="0.2">
      <c r="A14" s="107"/>
      <c r="B14" s="108" t="s">
        <v>63</v>
      </c>
      <c r="C14" s="210">
        <f>IFERROR(VLOOKUP($B14,MMWR_TRAD_AGG_RO_COMP[],C$1,0),"ERROR")</f>
        <v>3889</v>
      </c>
      <c r="D14" s="199">
        <f>IFERROR(VLOOKUP($B14,MMWR_TRAD_AGG_RO_COMP[],D$1,0),"ERROR")</f>
        <v>277.29056312680001</v>
      </c>
      <c r="E14" s="196">
        <f>IFERROR(VLOOKUP($B14,MMWR_TRAD_AGG_RO_COMP[],E$1,0),"ERROR")</f>
        <v>4682</v>
      </c>
      <c r="F14" s="192">
        <f>IFERROR(VLOOKUP($B14,MMWR_TRAD_AGG_RO_COMP[],F$1,0),"ERROR")</f>
        <v>1061</v>
      </c>
      <c r="G14" s="217">
        <f t="shared" si="0"/>
        <v>0.22661255873558309</v>
      </c>
      <c r="H14" s="191">
        <f>IFERROR(VLOOKUP($B14,MMWR_TRAD_AGG_RO_COMP[],H$1,0),"ERROR")</f>
        <v>5477</v>
      </c>
      <c r="I14" s="192">
        <f>IFERROR(VLOOKUP($B14,MMWR_TRAD_AGG_RO_COMP[],I$1,0),"ERROR")</f>
        <v>3548</v>
      </c>
      <c r="J14" s="217">
        <f t="shared" si="1"/>
        <v>0.64779989045097686</v>
      </c>
      <c r="K14" s="205">
        <f>IFERROR(VLOOKUP($B14,MMWR_TRAD_AGG_RO_COMP[],K$1,0),"ERROR")</f>
        <v>2915</v>
      </c>
      <c r="L14" s="206">
        <f>IFERROR(VLOOKUP($B14,MMWR_TRAD_AGG_RO_COMP[],L$1,0),"ERROR")</f>
        <v>2363</v>
      </c>
      <c r="M14" s="217">
        <f t="shared" si="2"/>
        <v>0.81063464837049748</v>
      </c>
      <c r="N14" s="205">
        <f>IFERROR(VLOOKUP($B14,MMWR_TRAD_AGG_RO_COMP[],N$1,0),"ERROR")</f>
        <v>377</v>
      </c>
      <c r="O14" s="206">
        <f>IFERROR(VLOOKUP($B14,MMWR_TRAD_AGG_RO_COMP[],O$1,0),"ERROR")</f>
        <v>212</v>
      </c>
      <c r="P14" s="217">
        <f t="shared" si="3"/>
        <v>0.56233421750663126</v>
      </c>
      <c r="Q14" s="202">
        <f>IFERROR(VLOOKUP($B14,MMWR_TRAD_AGG_RO_COMP[],Q$1,0),"ERROR")</f>
        <v>0</v>
      </c>
      <c r="R14" s="202">
        <f>IFERROR(VLOOKUP($B14,MMWR_TRAD_AGG_RO_COMP[],R$1,0),"ERROR")</f>
        <v>1</v>
      </c>
      <c r="S14" s="202">
        <f>IFERROR(VLOOKUP($B14,MMWR_APP_RO[],S$1,0),"ERROR")</f>
        <v>3293</v>
      </c>
      <c r="T14" s="25"/>
    </row>
    <row r="15" spans="1:20" x14ac:dyDescent="0.2">
      <c r="A15" s="107"/>
      <c r="B15" s="108" t="s">
        <v>64</v>
      </c>
      <c r="C15" s="210">
        <f>IFERROR(VLOOKUP($B15,MMWR_TRAD_AGG_RO_COMP[],C$1,0),"ERROR")</f>
        <v>922</v>
      </c>
      <c r="D15" s="199">
        <f>IFERROR(VLOOKUP($B15,MMWR_TRAD_AGG_RO_COMP[],D$1,0),"ERROR")</f>
        <v>107.7885032538</v>
      </c>
      <c r="E15" s="196">
        <f>IFERROR(VLOOKUP($B15,MMWR_TRAD_AGG_RO_COMP[],E$1,0),"ERROR")</f>
        <v>2446</v>
      </c>
      <c r="F15" s="192">
        <f>IFERROR(VLOOKUP($B15,MMWR_TRAD_AGG_RO_COMP[],F$1,0),"ERROR")</f>
        <v>539</v>
      </c>
      <c r="G15" s="217">
        <f t="shared" si="0"/>
        <v>0.22035977105478333</v>
      </c>
      <c r="H15" s="191">
        <f>IFERROR(VLOOKUP($B15,MMWR_TRAD_AGG_RO_COMP[],H$1,0),"ERROR")</f>
        <v>1647</v>
      </c>
      <c r="I15" s="192">
        <f>IFERROR(VLOOKUP($B15,MMWR_TRAD_AGG_RO_COMP[],I$1,0),"ERROR")</f>
        <v>383</v>
      </c>
      <c r="J15" s="217">
        <f t="shared" si="1"/>
        <v>0.23254401942926534</v>
      </c>
      <c r="K15" s="205">
        <f>IFERROR(VLOOKUP($B15,MMWR_TRAD_AGG_RO_COMP[],K$1,0),"ERROR")</f>
        <v>768</v>
      </c>
      <c r="L15" s="206">
        <f>IFERROR(VLOOKUP($B15,MMWR_TRAD_AGG_RO_COMP[],L$1,0),"ERROR")</f>
        <v>550</v>
      </c>
      <c r="M15" s="217">
        <f t="shared" si="2"/>
        <v>0.71614583333333337</v>
      </c>
      <c r="N15" s="205">
        <f>IFERROR(VLOOKUP($B15,MMWR_TRAD_AGG_RO_COMP[],N$1,0),"ERROR")</f>
        <v>2089</v>
      </c>
      <c r="O15" s="206">
        <f>IFERROR(VLOOKUP($B15,MMWR_TRAD_AGG_RO_COMP[],O$1,0),"ERROR")</f>
        <v>1322</v>
      </c>
      <c r="P15" s="217">
        <f t="shared" si="3"/>
        <v>0.63283867879368116</v>
      </c>
      <c r="Q15" s="202">
        <f>IFERROR(VLOOKUP($B15,MMWR_TRAD_AGG_RO_COMP[],Q$1,0),"ERROR")</f>
        <v>0</v>
      </c>
      <c r="R15" s="202">
        <f>IFERROR(VLOOKUP($B15,MMWR_TRAD_AGG_RO_COMP[],R$1,0),"ERROR")</f>
        <v>0</v>
      </c>
      <c r="S15" s="202">
        <f>IFERROR(VLOOKUP($B15,MMWR_APP_RO[],S$1,0),"ERROR")</f>
        <v>2719</v>
      </c>
      <c r="T15" s="25"/>
    </row>
    <row r="16" spans="1:20" x14ac:dyDescent="0.2">
      <c r="A16" s="107"/>
      <c r="B16" s="108" t="s">
        <v>66</v>
      </c>
      <c r="C16" s="210">
        <f>IFERROR(VLOOKUP($B16,MMWR_TRAD_AGG_RO_COMP[],C$1,0),"ERROR")</f>
        <v>6174</v>
      </c>
      <c r="D16" s="199">
        <f>IFERROR(VLOOKUP($B16,MMWR_TRAD_AGG_RO_COMP[],D$1,0),"ERROR")</f>
        <v>381.20748299320002</v>
      </c>
      <c r="E16" s="196">
        <f>IFERROR(VLOOKUP($B16,MMWR_TRAD_AGG_RO_COMP[],E$1,0),"ERROR")</f>
        <v>10682</v>
      </c>
      <c r="F16" s="192">
        <f>IFERROR(VLOOKUP($B16,MMWR_TRAD_AGG_RO_COMP[],F$1,0),"ERROR")</f>
        <v>2858</v>
      </c>
      <c r="G16" s="217">
        <f t="shared" si="0"/>
        <v>0.26755289271671973</v>
      </c>
      <c r="H16" s="191">
        <f>IFERROR(VLOOKUP($B16,MMWR_TRAD_AGG_RO_COMP[],H$1,0),"ERROR")</f>
        <v>9343</v>
      </c>
      <c r="I16" s="192">
        <f>IFERROR(VLOOKUP($B16,MMWR_TRAD_AGG_RO_COMP[],I$1,0),"ERROR")</f>
        <v>6423</v>
      </c>
      <c r="J16" s="217">
        <f t="shared" si="1"/>
        <v>0.6874665524991973</v>
      </c>
      <c r="K16" s="205">
        <f>IFERROR(VLOOKUP($B16,MMWR_TRAD_AGG_RO_COMP[],K$1,0),"ERROR")</f>
        <v>1967</v>
      </c>
      <c r="L16" s="206">
        <f>IFERROR(VLOOKUP($B16,MMWR_TRAD_AGG_RO_COMP[],L$1,0),"ERROR")</f>
        <v>387</v>
      </c>
      <c r="M16" s="217">
        <f t="shared" si="2"/>
        <v>0.1967463141840366</v>
      </c>
      <c r="N16" s="205">
        <f>IFERROR(VLOOKUP($B16,MMWR_TRAD_AGG_RO_COMP[],N$1,0),"ERROR")</f>
        <v>6954</v>
      </c>
      <c r="O16" s="206">
        <f>IFERROR(VLOOKUP($B16,MMWR_TRAD_AGG_RO_COMP[],O$1,0),"ERROR")</f>
        <v>6159</v>
      </c>
      <c r="P16" s="217">
        <f t="shared" si="3"/>
        <v>0.88567730802415878</v>
      </c>
      <c r="Q16" s="202">
        <f>IFERROR(VLOOKUP($B16,MMWR_TRAD_AGG_RO_COMP[],Q$1,0),"ERROR")</f>
        <v>11229</v>
      </c>
      <c r="R16" s="202">
        <f>IFERROR(VLOOKUP($B16,MMWR_TRAD_AGG_RO_COMP[],R$1,0),"ERROR")</f>
        <v>0</v>
      </c>
      <c r="S16" s="202">
        <f>IFERROR(VLOOKUP($B16,MMWR_APP_RO[],S$1,0),"ERROR")</f>
        <v>5184</v>
      </c>
      <c r="T16" s="25"/>
    </row>
    <row r="17" spans="1:20" x14ac:dyDescent="0.2">
      <c r="A17" s="107"/>
      <c r="B17" s="108" t="s">
        <v>68</v>
      </c>
      <c r="C17" s="210">
        <f>IFERROR(VLOOKUP($B17,MMWR_TRAD_AGG_RO_COMP[],C$1,0),"ERROR")</f>
        <v>4526</v>
      </c>
      <c r="D17" s="199">
        <f>IFERROR(VLOOKUP($B17,MMWR_TRAD_AGG_RO_COMP[],D$1,0),"ERROR")</f>
        <v>493.97613787009999</v>
      </c>
      <c r="E17" s="196">
        <f>IFERROR(VLOOKUP($B17,MMWR_TRAD_AGG_RO_COMP[],E$1,0),"ERROR")</f>
        <v>5334</v>
      </c>
      <c r="F17" s="192">
        <f>IFERROR(VLOOKUP($B17,MMWR_TRAD_AGG_RO_COMP[],F$1,0),"ERROR")</f>
        <v>1585</v>
      </c>
      <c r="G17" s="217">
        <f t="shared" si="0"/>
        <v>0.29715035620547431</v>
      </c>
      <c r="H17" s="191">
        <f>IFERROR(VLOOKUP($B17,MMWR_TRAD_AGG_RO_COMP[],H$1,0),"ERROR")</f>
        <v>6084</v>
      </c>
      <c r="I17" s="192">
        <f>IFERROR(VLOOKUP($B17,MMWR_TRAD_AGG_RO_COMP[],I$1,0),"ERROR")</f>
        <v>4787</v>
      </c>
      <c r="J17" s="217">
        <f t="shared" si="1"/>
        <v>0.78681788297172917</v>
      </c>
      <c r="K17" s="205">
        <f>IFERROR(VLOOKUP($B17,MMWR_TRAD_AGG_RO_COMP[],K$1,0),"ERROR")</f>
        <v>697</v>
      </c>
      <c r="L17" s="206">
        <f>IFERROR(VLOOKUP($B17,MMWR_TRAD_AGG_RO_COMP[],L$1,0),"ERROR")</f>
        <v>357</v>
      </c>
      <c r="M17" s="217">
        <f t="shared" si="2"/>
        <v>0.51219512195121952</v>
      </c>
      <c r="N17" s="205">
        <f>IFERROR(VLOOKUP($B17,MMWR_TRAD_AGG_RO_COMP[],N$1,0),"ERROR")</f>
        <v>1020</v>
      </c>
      <c r="O17" s="206">
        <f>IFERROR(VLOOKUP($B17,MMWR_TRAD_AGG_RO_COMP[],O$1,0),"ERROR")</f>
        <v>750</v>
      </c>
      <c r="P17" s="217">
        <f t="shared" si="3"/>
        <v>0.73529411764705888</v>
      </c>
      <c r="Q17" s="202">
        <f>IFERROR(VLOOKUP($B17,MMWR_TRAD_AGG_RO_COMP[],Q$1,0),"ERROR")</f>
        <v>0</v>
      </c>
      <c r="R17" s="202">
        <f>IFERROR(VLOOKUP($B17,MMWR_TRAD_AGG_RO_COMP[],R$1,0),"ERROR")</f>
        <v>1</v>
      </c>
      <c r="S17" s="202">
        <f>IFERROR(VLOOKUP($B17,MMWR_APP_RO[],S$1,0),"ERROR")</f>
        <v>5005</v>
      </c>
      <c r="T17" s="25"/>
    </row>
    <row r="18" spans="1:20" x14ac:dyDescent="0.2">
      <c r="A18" s="107"/>
      <c r="B18" s="108" t="s">
        <v>70</v>
      </c>
      <c r="C18" s="210">
        <f>IFERROR(VLOOKUP($B18,MMWR_TRAD_AGG_RO_COMP[],C$1,0),"ERROR")</f>
        <v>1365</v>
      </c>
      <c r="D18" s="199">
        <f>IFERROR(VLOOKUP($B18,MMWR_TRAD_AGG_RO_COMP[],D$1,0),"ERROR")</f>
        <v>235.1091575092</v>
      </c>
      <c r="E18" s="196">
        <f>IFERROR(VLOOKUP($B18,MMWR_TRAD_AGG_RO_COMP[],E$1,0),"ERROR")</f>
        <v>2481</v>
      </c>
      <c r="F18" s="192">
        <f>IFERROR(VLOOKUP($B18,MMWR_TRAD_AGG_RO_COMP[],F$1,0),"ERROR")</f>
        <v>331</v>
      </c>
      <c r="G18" s="217">
        <f t="shared" si="0"/>
        <v>0.13341394598952036</v>
      </c>
      <c r="H18" s="191">
        <f>IFERROR(VLOOKUP($B18,MMWR_TRAD_AGG_RO_COMP[],H$1,0),"ERROR")</f>
        <v>4322</v>
      </c>
      <c r="I18" s="192">
        <f>IFERROR(VLOOKUP($B18,MMWR_TRAD_AGG_RO_COMP[],I$1,0),"ERROR")</f>
        <v>1253</v>
      </c>
      <c r="J18" s="217">
        <f t="shared" si="1"/>
        <v>0.28991207774178623</v>
      </c>
      <c r="K18" s="205">
        <f>IFERROR(VLOOKUP($B18,MMWR_TRAD_AGG_RO_COMP[],K$1,0),"ERROR")</f>
        <v>3334</v>
      </c>
      <c r="L18" s="206">
        <f>IFERROR(VLOOKUP($B18,MMWR_TRAD_AGG_RO_COMP[],L$1,0),"ERROR")</f>
        <v>2345</v>
      </c>
      <c r="M18" s="217">
        <f t="shared" si="2"/>
        <v>0.70335932813437307</v>
      </c>
      <c r="N18" s="205">
        <f>IFERROR(VLOOKUP($B18,MMWR_TRAD_AGG_RO_COMP[],N$1,0),"ERROR")</f>
        <v>319</v>
      </c>
      <c r="O18" s="206">
        <f>IFERROR(VLOOKUP($B18,MMWR_TRAD_AGG_RO_COMP[],O$1,0),"ERROR")</f>
        <v>112</v>
      </c>
      <c r="P18" s="217">
        <f t="shared" si="3"/>
        <v>0.35109717868338558</v>
      </c>
      <c r="Q18" s="202">
        <f>IFERROR(VLOOKUP($B18,MMWR_TRAD_AGG_RO_COMP[],Q$1,0),"ERROR")</f>
        <v>0</v>
      </c>
      <c r="R18" s="202">
        <f>IFERROR(VLOOKUP($B18,MMWR_TRAD_AGG_RO_COMP[],R$1,0),"ERROR")</f>
        <v>0</v>
      </c>
      <c r="S18" s="202">
        <f>IFERROR(VLOOKUP($B18,MMWR_APP_RO[],S$1,0),"ERROR")</f>
        <v>488</v>
      </c>
      <c r="T18" s="25"/>
    </row>
    <row r="19" spans="1:20" x14ac:dyDescent="0.2">
      <c r="A19" s="107"/>
      <c r="B19" s="108" t="s">
        <v>72</v>
      </c>
      <c r="C19" s="210">
        <f>IFERROR(VLOOKUP($B19,MMWR_TRAD_AGG_RO_COMP[],C$1,0),"ERROR")</f>
        <v>14689</v>
      </c>
      <c r="D19" s="199">
        <f>IFERROR(VLOOKUP($B19,MMWR_TRAD_AGG_RO_COMP[],D$1,0),"ERROR")</f>
        <v>473.47824902989998</v>
      </c>
      <c r="E19" s="196">
        <f>IFERROR(VLOOKUP($B19,MMWR_TRAD_AGG_RO_COMP[],E$1,0),"ERROR")</f>
        <v>12700</v>
      </c>
      <c r="F19" s="192">
        <f>IFERROR(VLOOKUP($B19,MMWR_TRAD_AGG_RO_COMP[],F$1,0),"ERROR")</f>
        <v>2187</v>
      </c>
      <c r="G19" s="217">
        <f t="shared" si="0"/>
        <v>0.17220472440944881</v>
      </c>
      <c r="H19" s="191">
        <f>IFERROR(VLOOKUP($B19,MMWR_TRAD_AGG_RO_COMP[],H$1,0),"ERROR")</f>
        <v>16613</v>
      </c>
      <c r="I19" s="192">
        <f>IFERROR(VLOOKUP($B19,MMWR_TRAD_AGG_RO_COMP[],I$1,0),"ERROR")</f>
        <v>11946</v>
      </c>
      <c r="J19" s="217">
        <f t="shared" si="1"/>
        <v>0.71907542286161441</v>
      </c>
      <c r="K19" s="205">
        <f>IFERROR(VLOOKUP($B19,MMWR_TRAD_AGG_RO_COMP[],K$1,0),"ERROR")</f>
        <v>6539</v>
      </c>
      <c r="L19" s="206">
        <f>IFERROR(VLOOKUP($B19,MMWR_TRAD_AGG_RO_COMP[],L$1,0),"ERROR")</f>
        <v>5159</v>
      </c>
      <c r="M19" s="217">
        <f t="shared" si="2"/>
        <v>0.78895855635418255</v>
      </c>
      <c r="N19" s="205">
        <f>IFERROR(VLOOKUP($B19,MMWR_TRAD_AGG_RO_COMP[],N$1,0),"ERROR")</f>
        <v>4619</v>
      </c>
      <c r="O19" s="206">
        <f>IFERROR(VLOOKUP($B19,MMWR_TRAD_AGG_RO_COMP[],O$1,0),"ERROR")</f>
        <v>3773</v>
      </c>
      <c r="P19" s="217">
        <f t="shared" si="3"/>
        <v>0.81684347261311974</v>
      </c>
      <c r="Q19" s="202">
        <f>IFERROR(VLOOKUP($B19,MMWR_TRAD_AGG_RO_COMP[],Q$1,0),"ERROR")</f>
        <v>7</v>
      </c>
      <c r="R19" s="202">
        <f>IFERROR(VLOOKUP($B19,MMWR_TRAD_AGG_RO_COMP[],R$1,0),"ERROR")</f>
        <v>9</v>
      </c>
      <c r="S19" s="202">
        <f>IFERROR(VLOOKUP($B19,MMWR_APP_RO[],S$1,0),"ERROR")</f>
        <v>15098</v>
      </c>
      <c r="T19" s="25"/>
    </row>
    <row r="20" spans="1:20" x14ac:dyDescent="0.2">
      <c r="A20" s="107"/>
      <c r="B20" s="108" t="s">
        <v>81</v>
      </c>
      <c r="C20" s="210">
        <f>IFERROR(VLOOKUP($B20,MMWR_TRAD_AGG_RO_COMP[],C$1,0),"ERROR")</f>
        <v>1457</v>
      </c>
      <c r="D20" s="199">
        <f>IFERROR(VLOOKUP($B20,MMWR_TRAD_AGG_RO_COMP[],D$1,0),"ERROR")</f>
        <v>245.54632807140001</v>
      </c>
      <c r="E20" s="196">
        <f>IFERROR(VLOOKUP($B20,MMWR_TRAD_AGG_RO_COMP[],E$1,0),"ERROR")</f>
        <v>1066</v>
      </c>
      <c r="F20" s="192">
        <f>IFERROR(VLOOKUP($B20,MMWR_TRAD_AGG_RO_COMP[],F$1,0),"ERROR")</f>
        <v>158</v>
      </c>
      <c r="G20" s="217">
        <f t="shared" si="0"/>
        <v>0.14821763602251406</v>
      </c>
      <c r="H20" s="191">
        <f>IFERROR(VLOOKUP($B20,MMWR_TRAD_AGG_RO_COMP[],H$1,0),"ERROR")</f>
        <v>2191</v>
      </c>
      <c r="I20" s="192">
        <f>IFERROR(VLOOKUP($B20,MMWR_TRAD_AGG_RO_COMP[],I$1,0),"ERROR")</f>
        <v>1272</v>
      </c>
      <c r="J20" s="217">
        <f t="shared" si="1"/>
        <v>0.58055682336832493</v>
      </c>
      <c r="K20" s="205">
        <f>IFERROR(VLOOKUP($B20,MMWR_TRAD_AGG_RO_COMP[],K$1,0),"ERROR")</f>
        <v>1482</v>
      </c>
      <c r="L20" s="206">
        <f>IFERROR(VLOOKUP($B20,MMWR_TRAD_AGG_RO_COMP[],L$1,0),"ERROR")</f>
        <v>850</v>
      </c>
      <c r="M20" s="217">
        <f t="shared" si="2"/>
        <v>0.57354925775978405</v>
      </c>
      <c r="N20" s="205">
        <f>IFERROR(VLOOKUP($B20,MMWR_TRAD_AGG_RO_COMP[],N$1,0),"ERROR")</f>
        <v>679</v>
      </c>
      <c r="O20" s="206">
        <f>IFERROR(VLOOKUP($B20,MMWR_TRAD_AGG_RO_COMP[],O$1,0),"ERROR")</f>
        <v>619</v>
      </c>
      <c r="P20" s="217">
        <f t="shared" si="3"/>
        <v>0.91163475699558172</v>
      </c>
      <c r="Q20" s="202">
        <f>IFERROR(VLOOKUP($B20,MMWR_TRAD_AGG_RO_COMP[],Q$1,0),"ERROR")</f>
        <v>1</v>
      </c>
      <c r="R20" s="202">
        <f>IFERROR(VLOOKUP($B20,MMWR_TRAD_AGG_RO_COMP[],R$1,0),"ERROR")</f>
        <v>0</v>
      </c>
      <c r="S20" s="202">
        <f>IFERROR(VLOOKUP($B20,MMWR_APP_RO[],S$1,0),"ERROR")</f>
        <v>392</v>
      </c>
      <c r="T20" s="25"/>
    </row>
    <row r="21" spans="1:20" x14ac:dyDescent="0.2">
      <c r="A21" s="107"/>
      <c r="B21" s="108" t="s">
        <v>437</v>
      </c>
      <c r="C21" s="210">
        <f>IFERROR(VLOOKUP($B21,MMWR_TRAD_AGG_RO_COMP[],C$1,0),"ERROR")</f>
        <v>35257</v>
      </c>
      <c r="D21" s="199">
        <f>IFERROR(VLOOKUP($B21,MMWR_TRAD_AGG_RO_COMP[],D$1,0),"ERROR")</f>
        <v>513.64341832829996</v>
      </c>
      <c r="E21" s="196">
        <f>IFERROR(VLOOKUP($B21,MMWR_TRAD_AGG_RO_COMP[],E$1,0),"ERROR")</f>
        <v>1518</v>
      </c>
      <c r="F21" s="192">
        <f>IFERROR(VLOOKUP($B21,MMWR_TRAD_AGG_RO_COMP[],F$1,0),"ERROR")</f>
        <v>543</v>
      </c>
      <c r="G21" s="217">
        <f t="shared" si="0"/>
        <v>0.35770750988142291</v>
      </c>
      <c r="H21" s="191">
        <f>IFERROR(VLOOKUP($B21,MMWR_TRAD_AGG_RO_COMP[],H$1,0),"ERROR")</f>
        <v>35764</v>
      </c>
      <c r="I21" s="192">
        <f>IFERROR(VLOOKUP($B21,MMWR_TRAD_AGG_RO_COMP[],I$1,0),"ERROR")</f>
        <v>34392</v>
      </c>
      <c r="J21" s="217">
        <f t="shared" si="1"/>
        <v>0.9616374007381725</v>
      </c>
      <c r="K21" s="205">
        <f>IFERROR(VLOOKUP($B21,MMWR_TRAD_AGG_RO_COMP[],K$1,0),"ERROR")</f>
        <v>289</v>
      </c>
      <c r="L21" s="206">
        <f>IFERROR(VLOOKUP($B21,MMWR_TRAD_AGG_RO_COMP[],L$1,0),"ERROR")</f>
        <v>140</v>
      </c>
      <c r="M21" s="217">
        <f t="shared" si="2"/>
        <v>0.48442906574394462</v>
      </c>
      <c r="N21" s="205">
        <f>IFERROR(VLOOKUP($B21,MMWR_TRAD_AGG_RO_COMP[],N$1,0),"ERROR")</f>
        <v>1233</v>
      </c>
      <c r="O21" s="206">
        <f>IFERROR(VLOOKUP($B21,MMWR_TRAD_AGG_RO_COMP[],O$1,0),"ERROR")</f>
        <v>1103</v>
      </c>
      <c r="P21" s="217">
        <f t="shared" si="3"/>
        <v>0.89456609894566097</v>
      </c>
      <c r="Q21" s="202">
        <f>IFERROR(VLOOKUP($B21,MMWR_TRAD_AGG_RO_COMP[],Q$1,0),"ERROR")</f>
        <v>0</v>
      </c>
      <c r="R21" s="202">
        <f>IFERROR(VLOOKUP($B21,MMWR_TRAD_AGG_RO_COMP[],R$1,0),"ERROR")</f>
        <v>0</v>
      </c>
      <c r="S21" s="202">
        <f>IFERROR(VLOOKUP($B21,MMWR_APP_RO[],S$1,0),"ERROR")</f>
        <v>16</v>
      </c>
      <c r="T21" s="25"/>
    </row>
    <row r="22" spans="1:20" x14ac:dyDescent="0.2">
      <c r="A22" s="107"/>
      <c r="B22" s="108" t="s">
        <v>141</v>
      </c>
      <c r="C22" s="210">
        <f>IFERROR(VLOOKUP($B22,MMWR_TRAD_AGG_RO_COMP[],C$1,0),"ERROR")</f>
        <v>545</v>
      </c>
      <c r="D22" s="199">
        <f>IFERROR(VLOOKUP($B22,MMWR_TRAD_AGG_RO_COMP[],D$1,0),"ERROR")</f>
        <v>417.80733944949998</v>
      </c>
      <c r="E22" s="196">
        <f>IFERROR(VLOOKUP($B22,MMWR_TRAD_AGG_RO_COMP[],E$1,0),"ERROR")</f>
        <v>467</v>
      </c>
      <c r="F22" s="192">
        <f>IFERROR(VLOOKUP($B22,MMWR_TRAD_AGG_RO_COMP[],F$1,0),"ERROR")</f>
        <v>82</v>
      </c>
      <c r="G22" s="217">
        <f t="shared" si="0"/>
        <v>0.17558886509635974</v>
      </c>
      <c r="H22" s="191">
        <f>IFERROR(VLOOKUP($B22,MMWR_TRAD_AGG_RO_COMP[],H$1,0),"ERROR")</f>
        <v>668</v>
      </c>
      <c r="I22" s="192">
        <f>IFERROR(VLOOKUP($B22,MMWR_TRAD_AGG_RO_COMP[],I$1,0),"ERROR")</f>
        <v>522</v>
      </c>
      <c r="J22" s="217">
        <f t="shared" si="1"/>
        <v>0.78143712574850299</v>
      </c>
      <c r="K22" s="205">
        <f>IFERROR(VLOOKUP($B22,MMWR_TRAD_AGG_RO_COMP[],K$1,0),"ERROR")</f>
        <v>96</v>
      </c>
      <c r="L22" s="206">
        <f>IFERROR(VLOOKUP($B22,MMWR_TRAD_AGG_RO_COMP[],L$1,0),"ERROR")</f>
        <v>43</v>
      </c>
      <c r="M22" s="217">
        <f t="shared" si="2"/>
        <v>0.44791666666666669</v>
      </c>
      <c r="N22" s="205">
        <f>IFERROR(VLOOKUP($B22,MMWR_TRAD_AGG_RO_COMP[],N$1,0),"ERROR")</f>
        <v>73</v>
      </c>
      <c r="O22" s="206">
        <f>IFERROR(VLOOKUP($B22,MMWR_TRAD_AGG_RO_COMP[],O$1,0),"ERROR")</f>
        <v>57</v>
      </c>
      <c r="P22" s="217">
        <f t="shared" si="3"/>
        <v>0.78082191780821919</v>
      </c>
      <c r="Q22" s="202">
        <f>IFERROR(VLOOKUP($B22,MMWR_TRAD_AGG_RO_COMP[],Q$1,0),"ERROR")</f>
        <v>0</v>
      </c>
      <c r="R22" s="202">
        <f>IFERROR(VLOOKUP($B22,MMWR_TRAD_AGG_RO_COMP[],R$1,0),"ERROR")</f>
        <v>2</v>
      </c>
      <c r="S22" s="202">
        <f>IFERROR(VLOOKUP($B22,MMWR_APP_RO[],S$1,0),"ERROR")</f>
        <v>141</v>
      </c>
      <c r="T22" s="25"/>
    </row>
    <row r="23" spans="1:20" x14ac:dyDescent="0.2">
      <c r="A23" s="107"/>
      <c r="B23" s="108" t="s">
        <v>85</v>
      </c>
      <c r="C23" s="210">
        <f>IFERROR(VLOOKUP($B23,MMWR_TRAD_AGG_RO_COMP[],C$1,0),"ERROR")</f>
        <v>669</v>
      </c>
      <c r="D23" s="199">
        <f>IFERROR(VLOOKUP($B23,MMWR_TRAD_AGG_RO_COMP[],D$1,0),"ERROR")</f>
        <v>379.11360239160001</v>
      </c>
      <c r="E23" s="196">
        <f>IFERROR(VLOOKUP($B23,MMWR_TRAD_AGG_RO_COMP[],E$1,0),"ERROR")</f>
        <v>770</v>
      </c>
      <c r="F23" s="192">
        <f>IFERROR(VLOOKUP($B23,MMWR_TRAD_AGG_RO_COMP[],F$1,0),"ERROR")</f>
        <v>180</v>
      </c>
      <c r="G23" s="217">
        <f t="shared" si="0"/>
        <v>0.23376623376623376</v>
      </c>
      <c r="H23" s="191">
        <f>IFERROR(VLOOKUP($B23,MMWR_TRAD_AGG_RO_COMP[],H$1,0),"ERROR")</f>
        <v>726</v>
      </c>
      <c r="I23" s="192">
        <f>IFERROR(VLOOKUP($B23,MMWR_TRAD_AGG_RO_COMP[],I$1,0),"ERROR")</f>
        <v>570</v>
      </c>
      <c r="J23" s="217">
        <f t="shared" si="1"/>
        <v>0.78512396694214881</v>
      </c>
      <c r="K23" s="205">
        <f>IFERROR(VLOOKUP($B23,MMWR_TRAD_AGG_RO_COMP[],K$1,0),"ERROR")</f>
        <v>41</v>
      </c>
      <c r="L23" s="206">
        <f>IFERROR(VLOOKUP($B23,MMWR_TRAD_AGG_RO_COMP[],L$1,0),"ERROR")</f>
        <v>1</v>
      </c>
      <c r="M23" s="217">
        <f t="shared" si="2"/>
        <v>2.4390243902439025E-2</v>
      </c>
      <c r="N23" s="205">
        <f>IFERROR(VLOOKUP($B23,MMWR_TRAD_AGG_RO_COMP[],N$1,0),"ERROR")</f>
        <v>132</v>
      </c>
      <c r="O23" s="206">
        <f>IFERROR(VLOOKUP($B23,MMWR_TRAD_AGG_RO_COMP[],O$1,0),"ERROR")</f>
        <v>95</v>
      </c>
      <c r="P23" s="217">
        <f t="shared" si="3"/>
        <v>0.71969696969696972</v>
      </c>
      <c r="Q23" s="202">
        <f>IFERROR(VLOOKUP($B23,MMWR_TRAD_AGG_RO_COMP[],Q$1,0),"ERROR")</f>
        <v>0</v>
      </c>
      <c r="R23" s="202">
        <f>IFERROR(VLOOKUP($B23,MMWR_TRAD_AGG_RO_COMP[],R$1,0),"ERROR")</f>
        <v>0</v>
      </c>
      <c r="S23" s="202">
        <f>IFERROR(VLOOKUP($B23,MMWR_APP_RO[],S$1,0),"ERROR")</f>
        <v>180</v>
      </c>
      <c r="T23" s="25"/>
    </row>
    <row r="24" spans="1:20" x14ac:dyDescent="0.2">
      <c r="A24" s="92"/>
      <c r="B24" s="116" t="s">
        <v>86</v>
      </c>
      <c r="C24" s="211">
        <f>IFERROR(VLOOKUP($B24,MMWR_TRAD_AGG_RO_COMP[],C$1,0),"ERROR")</f>
        <v>19030</v>
      </c>
      <c r="D24" s="200">
        <f>IFERROR(VLOOKUP($B24,MMWR_TRAD_AGG_RO_COMP[],D$1,0),"ERROR")</f>
        <v>365.38681029949998</v>
      </c>
      <c r="E24" s="197">
        <f>IFERROR(VLOOKUP($B24,MMWR_TRAD_AGG_RO_COMP[],E$1,0),"ERROR")</f>
        <v>20539</v>
      </c>
      <c r="F24" s="194">
        <f>IFERROR(VLOOKUP($B24,MMWR_TRAD_AGG_RO_COMP[],F$1,0),"ERROR")</f>
        <v>4931</v>
      </c>
      <c r="G24" s="218">
        <f t="shared" si="0"/>
        <v>0.2400798480938702</v>
      </c>
      <c r="H24" s="193">
        <f>IFERROR(VLOOKUP($B24,MMWR_TRAD_AGG_RO_COMP[],H$1,0),"ERROR")</f>
        <v>31295</v>
      </c>
      <c r="I24" s="194">
        <f>IFERROR(VLOOKUP($B24,MMWR_TRAD_AGG_RO_COMP[],I$1,0),"ERROR")</f>
        <v>18037</v>
      </c>
      <c r="J24" s="218">
        <f t="shared" si="1"/>
        <v>0.57635405016775842</v>
      </c>
      <c r="K24" s="207">
        <f>IFERROR(VLOOKUP($B24,MMWR_TRAD_AGG_RO_COMP[],K$1,0),"ERROR")</f>
        <v>7130</v>
      </c>
      <c r="L24" s="208">
        <f>IFERROR(VLOOKUP($B24,MMWR_TRAD_AGG_RO_COMP[],L$1,0),"ERROR")</f>
        <v>4808</v>
      </c>
      <c r="M24" s="218">
        <f t="shared" si="2"/>
        <v>0.67433380084151473</v>
      </c>
      <c r="N24" s="207">
        <f>IFERROR(VLOOKUP($B24,MMWR_TRAD_AGG_RO_COMP[],N$1,0),"ERROR")</f>
        <v>3335</v>
      </c>
      <c r="O24" s="208">
        <f>IFERROR(VLOOKUP($B24,MMWR_TRAD_AGG_RO_COMP[],O$1,0),"ERROR")</f>
        <v>2850</v>
      </c>
      <c r="P24" s="218">
        <f t="shared" si="3"/>
        <v>0.85457271364317844</v>
      </c>
      <c r="Q24" s="203">
        <f>IFERROR(VLOOKUP($B24,MMWR_TRAD_AGG_RO_COMP[],Q$1,0),"ERROR")</f>
        <v>0</v>
      </c>
      <c r="R24" s="203">
        <f>IFERROR(VLOOKUP($B24,MMWR_TRAD_AGG_RO_COMP[],R$1,0),"ERROR")</f>
        <v>15</v>
      </c>
      <c r="S24" s="202">
        <f>IFERROR(VLOOKUP($B24,MMWR_APP_RO[],S$1,0),"ERROR")</f>
        <v>9339</v>
      </c>
      <c r="T24" s="25"/>
    </row>
    <row r="25" spans="1:20" x14ac:dyDescent="0.2">
      <c r="A25" s="107"/>
      <c r="B25" s="101" t="s">
        <v>397</v>
      </c>
      <c r="C25" s="213">
        <f>IFERROR(VLOOKUP($B25,MMWR_TRAD_AGG_DISTRICT_COMP[],C$1,0),"ERROR")</f>
        <v>43534</v>
      </c>
      <c r="D25" s="198">
        <f>IFERROR(VLOOKUP($B25,MMWR_TRAD_AGG_DISTRICT_COMP[],D$1,0),"ERROR")</f>
        <v>373.67207240319999</v>
      </c>
      <c r="E25" s="214">
        <f>IFERROR(VLOOKUP($B25,MMWR_TRAD_AGG_DISTRICT_COMP[],E$1,0),"ERROR")</f>
        <v>58650</v>
      </c>
      <c r="F25" s="219">
        <f>IFERROR(VLOOKUP($B25,MMWR_TRAD_AGG_DISTRICT_COMP[],F$1,0),"ERROR")</f>
        <v>11478</v>
      </c>
      <c r="G25" s="215">
        <f t="shared" si="0"/>
        <v>0.19570332480818414</v>
      </c>
      <c r="H25" s="219">
        <f>IFERROR(VLOOKUP($B25,MMWR_TRAD_AGG_DISTRICT_COMP[],H$1,0),"ERROR")</f>
        <v>74162</v>
      </c>
      <c r="I25" s="219">
        <f>IFERROR(VLOOKUP($B25,MMWR_TRAD_AGG_DISTRICT_COMP[],I$1,0),"ERROR")</f>
        <v>37764</v>
      </c>
      <c r="J25" s="215">
        <f t="shared" si="1"/>
        <v>0.50920956824249619</v>
      </c>
      <c r="K25" s="213">
        <f>IFERROR(VLOOKUP($B25,MMWR_TRAD_AGG_DISTRICT_COMP[],K$1,0),"ERROR")</f>
        <v>13424</v>
      </c>
      <c r="L25" s="213">
        <f>IFERROR(VLOOKUP($B25,MMWR_TRAD_AGG_DISTRICT_COMP[],L$1,0),"ERROR")</f>
        <v>7507</v>
      </c>
      <c r="M25" s="215">
        <f t="shared" si="2"/>
        <v>0.55922228843861743</v>
      </c>
      <c r="N25" s="213">
        <f>IFERROR(VLOOKUP($B25,MMWR_TRAD_AGG_DISTRICT_COMP[],N$1,0),"ERROR")</f>
        <v>17177</v>
      </c>
      <c r="O25" s="213">
        <f>IFERROR(VLOOKUP($B25,MMWR_TRAD_AGG_DISTRICT_COMP[],O$1,0),"ERROR")</f>
        <v>11615</v>
      </c>
      <c r="P25" s="215">
        <f t="shared" si="3"/>
        <v>0.67619491180066371</v>
      </c>
      <c r="Q25" s="213">
        <f>IFERROR(VLOOKUP($B25,MMWR_TRAD_AGG_DISTRICT_COMP[],Q$1,0),"ERROR")</f>
        <v>5219</v>
      </c>
      <c r="R25" s="216">
        <f>IFERROR(VLOOKUP($B25,MMWR_TRAD_AGG_DISTRICT_COMP[],R$1,0),"ERROR")</f>
        <v>1047</v>
      </c>
      <c r="S25" s="216">
        <f>IFERROR(VLOOKUP($B25,MMWR_APP_RO[],S$1,0),"ERROR")</f>
        <v>52042</v>
      </c>
      <c r="T25" s="25"/>
    </row>
    <row r="26" spans="1:20" x14ac:dyDescent="0.2">
      <c r="A26" s="107"/>
      <c r="B26" s="108" t="s">
        <v>40</v>
      </c>
      <c r="C26" s="210">
        <f>IFERROR(VLOOKUP($B26,MMWR_TRAD_AGG_RO_COMP[],C$1,0),"ERROR")</f>
        <v>6333</v>
      </c>
      <c r="D26" s="199">
        <f>IFERROR(VLOOKUP($B26,MMWR_TRAD_AGG_RO_COMP[],D$1,0),"ERROR")</f>
        <v>510.04658139899999</v>
      </c>
      <c r="E26" s="196">
        <f>IFERROR(VLOOKUP($B26,MMWR_TRAD_AGG_RO_COMP[],E$1,0),"ERROR")</f>
        <v>6982</v>
      </c>
      <c r="F26" s="192">
        <f>IFERROR(VLOOKUP($B26,MMWR_TRAD_AGG_RO_COMP[],F$1,0),"ERROR")</f>
        <v>1832</v>
      </c>
      <c r="G26" s="217">
        <f t="shared" si="0"/>
        <v>0.26238900028645085</v>
      </c>
      <c r="H26" s="191">
        <f>IFERROR(VLOOKUP($B26,MMWR_TRAD_AGG_RO_COMP[],H$1,0),"ERROR")</f>
        <v>7420</v>
      </c>
      <c r="I26" s="192">
        <f>IFERROR(VLOOKUP($B26,MMWR_TRAD_AGG_RO_COMP[],I$1,0),"ERROR")</f>
        <v>5796</v>
      </c>
      <c r="J26" s="217">
        <f t="shared" si="1"/>
        <v>0.78113207547169816</v>
      </c>
      <c r="K26" s="205">
        <f>IFERROR(VLOOKUP($B26,MMWR_TRAD_AGG_RO_COMP[],K$1,0),"ERROR")</f>
        <v>1491</v>
      </c>
      <c r="L26" s="206">
        <f>IFERROR(VLOOKUP($B26,MMWR_TRAD_AGG_RO_COMP[],L$1,0),"ERROR")</f>
        <v>1232</v>
      </c>
      <c r="M26" s="217">
        <f t="shared" si="2"/>
        <v>0.82629107981220662</v>
      </c>
      <c r="N26" s="205">
        <f>IFERROR(VLOOKUP($B26,MMWR_TRAD_AGG_RO_COMP[],N$1,0),"ERROR")</f>
        <v>1724</v>
      </c>
      <c r="O26" s="206">
        <f>IFERROR(VLOOKUP($B26,MMWR_TRAD_AGG_RO_COMP[],O$1,0),"ERROR")</f>
        <v>1216</v>
      </c>
      <c r="P26" s="217">
        <f t="shared" si="3"/>
        <v>0.7053364269141531</v>
      </c>
      <c r="Q26" s="202">
        <f>IFERROR(VLOOKUP($B26,MMWR_TRAD_AGG_RO_COMP[],Q$1,0),"ERROR")</f>
        <v>0</v>
      </c>
      <c r="R26" s="202">
        <f>IFERROR(VLOOKUP($B26,MMWR_TRAD_AGG_RO_COMP[],R$1,0),"ERROR")</f>
        <v>204</v>
      </c>
      <c r="S26" s="202">
        <f>IFERROR(VLOOKUP($B26,MMWR_APP_RO[],S$1,0),"ERROR")</f>
        <v>7881</v>
      </c>
      <c r="T26" s="25"/>
    </row>
    <row r="27" spans="1:20" x14ac:dyDescent="0.2">
      <c r="A27" s="107"/>
      <c r="B27" s="108" t="s">
        <v>41</v>
      </c>
      <c r="C27" s="210">
        <f>IFERROR(VLOOKUP($B27,MMWR_TRAD_AGG_RO_COMP[],C$1,0),"ERROR")</f>
        <v>7504</v>
      </c>
      <c r="D27" s="199">
        <f>IFERROR(VLOOKUP($B27,MMWR_TRAD_AGG_RO_COMP[],D$1,0),"ERROR")</f>
        <v>579.54704157779997</v>
      </c>
      <c r="E27" s="196">
        <f>IFERROR(VLOOKUP($B27,MMWR_TRAD_AGG_RO_COMP[],E$1,0),"ERROR")</f>
        <v>8485</v>
      </c>
      <c r="F27" s="192">
        <f>IFERROR(VLOOKUP($B27,MMWR_TRAD_AGG_RO_COMP[],F$1,0),"ERROR")</f>
        <v>1937</v>
      </c>
      <c r="G27" s="217">
        <f t="shared" si="0"/>
        <v>0.22828520919269299</v>
      </c>
      <c r="H27" s="191">
        <f>IFERROR(VLOOKUP($B27,MMWR_TRAD_AGG_RO_COMP[],H$1,0),"ERROR")</f>
        <v>9965</v>
      </c>
      <c r="I27" s="192">
        <f>IFERROR(VLOOKUP($B27,MMWR_TRAD_AGG_RO_COMP[],I$1,0),"ERROR")</f>
        <v>7294</v>
      </c>
      <c r="J27" s="217">
        <f t="shared" si="1"/>
        <v>0.73196186653286499</v>
      </c>
      <c r="K27" s="205">
        <f>IFERROR(VLOOKUP($B27,MMWR_TRAD_AGG_RO_COMP[],K$1,0),"ERROR")</f>
        <v>1708</v>
      </c>
      <c r="L27" s="206">
        <f>IFERROR(VLOOKUP($B27,MMWR_TRAD_AGG_RO_COMP[],L$1,0),"ERROR")</f>
        <v>929</v>
      </c>
      <c r="M27" s="217">
        <f t="shared" si="2"/>
        <v>0.54391100702576112</v>
      </c>
      <c r="N27" s="205">
        <f>IFERROR(VLOOKUP($B27,MMWR_TRAD_AGG_RO_COMP[],N$1,0),"ERROR")</f>
        <v>4423</v>
      </c>
      <c r="O27" s="206">
        <f>IFERROR(VLOOKUP($B27,MMWR_TRAD_AGG_RO_COMP[],O$1,0),"ERROR")</f>
        <v>1943</v>
      </c>
      <c r="P27" s="217">
        <f t="shared" si="3"/>
        <v>0.43929459642776397</v>
      </c>
      <c r="Q27" s="202">
        <f>IFERROR(VLOOKUP($B27,MMWR_TRAD_AGG_RO_COMP[],Q$1,0),"ERROR")</f>
        <v>4</v>
      </c>
      <c r="R27" s="202">
        <f>IFERROR(VLOOKUP($B27,MMWR_TRAD_AGG_RO_COMP[],R$1,0),"ERROR")</f>
        <v>332</v>
      </c>
      <c r="S27" s="202">
        <f>IFERROR(VLOOKUP($B27,MMWR_APP_RO[],S$1,0),"ERROR")</f>
        <v>13906</v>
      </c>
      <c r="T27" s="25"/>
    </row>
    <row r="28" spans="1:20" x14ac:dyDescent="0.2">
      <c r="A28" s="107"/>
      <c r="B28" s="108" t="s">
        <v>44</v>
      </c>
      <c r="C28" s="210">
        <f>IFERROR(VLOOKUP($B28,MMWR_TRAD_AGG_RO_COMP[],C$1,0),"ERROR")</f>
        <v>1184</v>
      </c>
      <c r="D28" s="199">
        <f>IFERROR(VLOOKUP($B28,MMWR_TRAD_AGG_RO_COMP[],D$1,0),"ERROR")</f>
        <v>132.88006756760001</v>
      </c>
      <c r="E28" s="196">
        <f>IFERROR(VLOOKUP($B28,MMWR_TRAD_AGG_RO_COMP[],E$1,0),"ERROR")</f>
        <v>2162</v>
      </c>
      <c r="F28" s="192">
        <f>IFERROR(VLOOKUP($B28,MMWR_TRAD_AGG_RO_COMP[],F$1,0),"ERROR")</f>
        <v>385</v>
      </c>
      <c r="G28" s="217">
        <f t="shared" si="0"/>
        <v>0.17807585568917669</v>
      </c>
      <c r="H28" s="191">
        <f>IFERROR(VLOOKUP($B28,MMWR_TRAD_AGG_RO_COMP[],H$1,0),"ERROR")</f>
        <v>1985</v>
      </c>
      <c r="I28" s="192">
        <f>IFERROR(VLOOKUP($B28,MMWR_TRAD_AGG_RO_COMP[],I$1,0),"ERROR")</f>
        <v>818</v>
      </c>
      <c r="J28" s="217">
        <f t="shared" si="1"/>
        <v>0.41209068010075567</v>
      </c>
      <c r="K28" s="205">
        <f>IFERROR(VLOOKUP($B28,MMWR_TRAD_AGG_RO_COMP[],K$1,0),"ERROR")</f>
        <v>382</v>
      </c>
      <c r="L28" s="206">
        <f>IFERROR(VLOOKUP($B28,MMWR_TRAD_AGG_RO_COMP[],L$1,0),"ERROR")</f>
        <v>135</v>
      </c>
      <c r="M28" s="217">
        <f t="shared" si="2"/>
        <v>0.35340314136125656</v>
      </c>
      <c r="N28" s="205">
        <f>IFERROR(VLOOKUP($B28,MMWR_TRAD_AGG_RO_COMP[],N$1,0),"ERROR")</f>
        <v>1117</v>
      </c>
      <c r="O28" s="206">
        <f>IFERROR(VLOOKUP($B28,MMWR_TRAD_AGG_RO_COMP[],O$1,0),"ERROR")</f>
        <v>938</v>
      </c>
      <c r="P28" s="217">
        <f t="shared" si="3"/>
        <v>0.83974932855863926</v>
      </c>
      <c r="Q28" s="202">
        <f>IFERROR(VLOOKUP($B28,MMWR_TRAD_AGG_RO_COMP[],Q$1,0),"ERROR")</f>
        <v>0</v>
      </c>
      <c r="R28" s="202">
        <f>IFERROR(VLOOKUP($B28,MMWR_TRAD_AGG_RO_COMP[],R$1,0),"ERROR")</f>
        <v>8</v>
      </c>
      <c r="S28" s="202">
        <f>IFERROR(VLOOKUP($B28,MMWR_APP_RO[],S$1,0),"ERROR")</f>
        <v>1130</v>
      </c>
      <c r="T28" s="25"/>
    </row>
    <row r="29" spans="1:20" x14ac:dyDescent="0.2">
      <c r="A29" s="107"/>
      <c r="B29" s="108" t="s">
        <v>45</v>
      </c>
      <c r="C29" s="210">
        <f>IFERROR(VLOOKUP($B29,MMWR_TRAD_AGG_RO_COMP[],C$1,0),"ERROR")</f>
        <v>3577</v>
      </c>
      <c r="D29" s="199">
        <f>IFERROR(VLOOKUP($B29,MMWR_TRAD_AGG_RO_COMP[],D$1,0),"ERROR")</f>
        <v>252.05703103159999</v>
      </c>
      <c r="E29" s="196">
        <f>IFERROR(VLOOKUP($B29,MMWR_TRAD_AGG_RO_COMP[],E$1,0),"ERROR")</f>
        <v>7288</v>
      </c>
      <c r="F29" s="192">
        <f>IFERROR(VLOOKUP($B29,MMWR_TRAD_AGG_RO_COMP[],F$1,0),"ERROR")</f>
        <v>1758</v>
      </c>
      <c r="G29" s="217">
        <f t="shared" si="0"/>
        <v>0.24121844127332601</v>
      </c>
      <c r="H29" s="191">
        <f>IFERROR(VLOOKUP($B29,MMWR_TRAD_AGG_RO_COMP[],H$1,0),"ERROR")</f>
        <v>7479</v>
      </c>
      <c r="I29" s="192">
        <f>IFERROR(VLOOKUP($B29,MMWR_TRAD_AGG_RO_COMP[],I$1,0),"ERROR")</f>
        <v>3450</v>
      </c>
      <c r="J29" s="217">
        <f t="shared" si="1"/>
        <v>0.46129161652627354</v>
      </c>
      <c r="K29" s="205">
        <f>IFERROR(VLOOKUP($B29,MMWR_TRAD_AGG_RO_COMP[],K$1,0),"ERROR")</f>
        <v>1652</v>
      </c>
      <c r="L29" s="206">
        <f>IFERROR(VLOOKUP($B29,MMWR_TRAD_AGG_RO_COMP[],L$1,0),"ERROR")</f>
        <v>838</v>
      </c>
      <c r="M29" s="217">
        <f t="shared" si="2"/>
        <v>0.50726392251815977</v>
      </c>
      <c r="N29" s="205">
        <f>IFERROR(VLOOKUP($B29,MMWR_TRAD_AGG_RO_COMP[],N$1,0),"ERROR")</f>
        <v>770</v>
      </c>
      <c r="O29" s="206">
        <f>IFERROR(VLOOKUP($B29,MMWR_TRAD_AGG_RO_COMP[],O$1,0),"ERROR")</f>
        <v>386</v>
      </c>
      <c r="P29" s="217">
        <f t="shared" si="3"/>
        <v>0.50129870129870124</v>
      </c>
      <c r="Q29" s="202">
        <f>IFERROR(VLOOKUP($B29,MMWR_TRAD_AGG_RO_COMP[],Q$1,0),"ERROR")</f>
        <v>0</v>
      </c>
      <c r="R29" s="202">
        <f>IFERROR(VLOOKUP($B29,MMWR_TRAD_AGG_RO_COMP[],R$1,0),"ERROR")</f>
        <v>200</v>
      </c>
      <c r="S29" s="202">
        <f>IFERROR(VLOOKUP($B29,MMWR_APP_RO[],S$1,0),"ERROR")</f>
        <v>5901</v>
      </c>
      <c r="T29" s="25"/>
    </row>
    <row r="30" spans="1:20" x14ac:dyDescent="0.2">
      <c r="A30" s="107"/>
      <c r="B30" s="108" t="s">
        <v>46</v>
      </c>
      <c r="C30" s="210">
        <f>IFERROR(VLOOKUP($B30,MMWR_TRAD_AGG_RO_COMP[],C$1,0),"ERROR")</f>
        <v>118</v>
      </c>
      <c r="D30" s="199">
        <f>IFERROR(VLOOKUP($B30,MMWR_TRAD_AGG_RO_COMP[],D$1,0),"ERROR")</f>
        <v>84.008474576300003</v>
      </c>
      <c r="E30" s="196">
        <f>IFERROR(VLOOKUP($B30,MMWR_TRAD_AGG_RO_COMP[],E$1,0),"ERROR")</f>
        <v>811</v>
      </c>
      <c r="F30" s="192">
        <f>IFERROR(VLOOKUP($B30,MMWR_TRAD_AGG_RO_COMP[],F$1,0),"ERROR")</f>
        <v>165</v>
      </c>
      <c r="G30" s="217">
        <f t="shared" si="0"/>
        <v>0.20345252774352651</v>
      </c>
      <c r="H30" s="191">
        <f>IFERROR(VLOOKUP($B30,MMWR_TRAD_AGG_RO_COMP[],H$1,0),"ERROR")</f>
        <v>288</v>
      </c>
      <c r="I30" s="192">
        <f>IFERROR(VLOOKUP($B30,MMWR_TRAD_AGG_RO_COMP[],I$1,0),"ERROR")</f>
        <v>35</v>
      </c>
      <c r="J30" s="217">
        <f t="shared" si="1"/>
        <v>0.12152777777777778</v>
      </c>
      <c r="K30" s="205">
        <f>IFERROR(VLOOKUP($B30,MMWR_TRAD_AGG_RO_COMP[],K$1,0),"ERROR")</f>
        <v>142</v>
      </c>
      <c r="L30" s="206">
        <f>IFERROR(VLOOKUP($B30,MMWR_TRAD_AGG_RO_COMP[],L$1,0),"ERROR")</f>
        <v>17</v>
      </c>
      <c r="M30" s="217">
        <f t="shared" si="2"/>
        <v>0.11971830985915492</v>
      </c>
      <c r="N30" s="205">
        <f>IFERROR(VLOOKUP($B30,MMWR_TRAD_AGG_RO_COMP[],N$1,0),"ERROR")</f>
        <v>66</v>
      </c>
      <c r="O30" s="206">
        <f>IFERROR(VLOOKUP($B30,MMWR_TRAD_AGG_RO_COMP[],O$1,0),"ERROR")</f>
        <v>27</v>
      </c>
      <c r="P30" s="217">
        <f t="shared" si="3"/>
        <v>0.40909090909090912</v>
      </c>
      <c r="Q30" s="202">
        <f>IFERROR(VLOOKUP($B30,MMWR_TRAD_AGG_RO_COMP[],Q$1,0),"ERROR")</f>
        <v>0</v>
      </c>
      <c r="R30" s="202">
        <f>IFERROR(VLOOKUP($B30,MMWR_TRAD_AGG_RO_COMP[],R$1,0),"ERROR")</f>
        <v>0</v>
      </c>
      <c r="S30" s="202">
        <f>IFERROR(VLOOKUP($B30,MMWR_APP_RO[],S$1,0),"ERROR")</f>
        <v>567</v>
      </c>
      <c r="T30" s="25"/>
    </row>
    <row r="31" spans="1:20" x14ac:dyDescent="0.2">
      <c r="A31" s="107"/>
      <c r="B31" s="108" t="s">
        <v>51</v>
      </c>
      <c r="C31" s="210">
        <f>IFERROR(VLOOKUP($B31,MMWR_TRAD_AGG_RO_COMP[],C$1,0),"ERROR")</f>
        <v>9093</v>
      </c>
      <c r="D31" s="199">
        <f>IFERROR(VLOOKUP($B31,MMWR_TRAD_AGG_RO_COMP[],D$1,0),"ERROR")</f>
        <v>496.50478389969999</v>
      </c>
      <c r="E31" s="196">
        <f>IFERROR(VLOOKUP($B31,MMWR_TRAD_AGG_RO_COMP[],E$1,0),"ERROR")</f>
        <v>4946</v>
      </c>
      <c r="F31" s="192">
        <f>IFERROR(VLOOKUP($B31,MMWR_TRAD_AGG_RO_COMP[],F$1,0),"ERROR")</f>
        <v>792</v>
      </c>
      <c r="G31" s="217">
        <f t="shared" si="0"/>
        <v>0.16012939749292357</v>
      </c>
      <c r="H31" s="191">
        <f>IFERROR(VLOOKUP($B31,MMWR_TRAD_AGG_RO_COMP[],H$1,0),"ERROR")</f>
        <v>14615</v>
      </c>
      <c r="I31" s="192">
        <f>IFERROR(VLOOKUP($B31,MMWR_TRAD_AGG_RO_COMP[],I$1,0),"ERROR")</f>
        <v>8486</v>
      </c>
      <c r="J31" s="217">
        <f t="shared" si="1"/>
        <v>0.58063633253506675</v>
      </c>
      <c r="K31" s="205">
        <f>IFERROR(VLOOKUP($B31,MMWR_TRAD_AGG_RO_COMP[],K$1,0),"ERROR")</f>
        <v>1364</v>
      </c>
      <c r="L31" s="206">
        <f>IFERROR(VLOOKUP($B31,MMWR_TRAD_AGG_RO_COMP[],L$1,0),"ERROR")</f>
        <v>912</v>
      </c>
      <c r="M31" s="217">
        <f t="shared" si="2"/>
        <v>0.66862170087976536</v>
      </c>
      <c r="N31" s="205">
        <f>IFERROR(VLOOKUP($B31,MMWR_TRAD_AGG_RO_COMP[],N$1,0),"ERROR")</f>
        <v>1568</v>
      </c>
      <c r="O31" s="206">
        <f>IFERROR(VLOOKUP($B31,MMWR_TRAD_AGG_RO_COMP[],O$1,0),"ERROR")</f>
        <v>1312</v>
      </c>
      <c r="P31" s="217">
        <f t="shared" si="3"/>
        <v>0.83673469387755106</v>
      </c>
      <c r="Q31" s="202">
        <f>IFERROR(VLOOKUP($B31,MMWR_TRAD_AGG_RO_COMP[],Q$1,0),"ERROR")</f>
        <v>1</v>
      </c>
      <c r="R31" s="202">
        <f>IFERROR(VLOOKUP($B31,MMWR_TRAD_AGG_RO_COMP[],R$1,0),"ERROR")</f>
        <v>195</v>
      </c>
      <c r="S31" s="202">
        <f>IFERROR(VLOOKUP($B31,MMWR_APP_RO[],S$1,0),"ERROR")</f>
        <v>8309</v>
      </c>
      <c r="T31" s="25"/>
    </row>
    <row r="32" spans="1:20" x14ac:dyDescent="0.2">
      <c r="A32" s="107"/>
      <c r="B32" s="108" t="s">
        <v>53</v>
      </c>
      <c r="C32" s="210">
        <f>IFERROR(VLOOKUP($B32,MMWR_TRAD_AGG_RO_COMP[],C$1,0),"ERROR")</f>
        <v>2523</v>
      </c>
      <c r="D32" s="199">
        <f>IFERROR(VLOOKUP($B32,MMWR_TRAD_AGG_RO_COMP[],D$1,0),"ERROR")</f>
        <v>142.2275069362</v>
      </c>
      <c r="E32" s="196">
        <f>IFERROR(VLOOKUP($B32,MMWR_TRAD_AGG_RO_COMP[],E$1,0),"ERROR")</f>
        <v>2057</v>
      </c>
      <c r="F32" s="192">
        <f>IFERROR(VLOOKUP($B32,MMWR_TRAD_AGG_RO_COMP[],F$1,0),"ERROR")</f>
        <v>239</v>
      </c>
      <c r="G32" s="217">
        <f t="shared" si="0"/>
        <v>0.11618862421001458</v>
      </c>
      <c r="H32" s="191">
        <f>IFERROR(VLOOKUP($B32,MMWR_TRAD_AGG_RO_COMP[],H$1,0),"ERROR")</f>
        <v>4435</v>
      </c>
      <c r="I32" s="192">
        <f>IFERROR(VLOOKUP($B32,MMWR_TRAD_AGG_RO_COMP[],I$1,0),"ERROR")</f>
        <v>1275</v>
      </c>
      <c r="J32" s="217">
        <f t="shared" si="1"/>
        <v>0.2874859075535513</v>
      </c>
      <c r="K32" s="205">
        <f>IFERROR(VLOOKUP($B32,MMWR_TRAD_AGG_RO_COMP[],K$1,0),"ERROR")</f>
        <v>1015</v>
      </c>
      <c r="L32" s="206">
        <f>IFERROR(VLOOKUP($B32,MMWR_TRAD_AGG_RO_COMP[],L$1,0),"ERROR")</f>
        <v>482</v>
      </c>
      <c r="M32" s="217">
        <f t="shared" si="2"/>
        <v>0.47487684729064039</v>
      </c>
      <c r="N32" s="205">
        <f>IFERROR(VLOOKUP($B32,MMWR_TRAD_AGG_RO_COMP[],N$1,0),"ERROR")</f>
        <v>389</v>
      </c>
      <c r="O32" s="206">
        <f>IFERROR(VLOOKUP($B32,MMWR_TRAD_AGG_RO_COMP[],O$1,0),"ERROR")</f>
        <v>192</v>
      </c>
      <c r="P32" s="217">
        <f t="shared" si="3"/>
        <v>0.49357326478149099</v>
      </c>
      <c r="Q32" s="202">
        <f>IFERROR(VLOOKUP($B32,MMWR_TRAD_AGG_RO_COMP[],Q$1,0),"ERROR")</f>
        <v>1</v>
      </c>
      <c r="R32" s="202">
        <f>IFERROR(VLOOKUP($B32,MMWR_TRAD_AGG_RO_COMP[],R$1,0),"ERROR")</f>
        <v>13</v>
      </c>
      <c r="S32" s="202">
        <f>IFERROR(VLOOKUP($B32,MMWR_APP_RO[],S$1,0),"ERROR")</f>
        <v>1275</v>
      </c>
      <c r="T32" s="25"/>
    </row>
    <row r="33" spans="1:20" x14ac:dyDescent="0.2">
      <c r="A33" s="107"/>
      <c r="B33" s="108" t="s">
        <v>59</v>
      </c>
      <c r="C33" s="210">
        <f>IFERROR(VLOOKUP($B33,MMWR_TRAD_AGG_RO_COMP[],C$1,0),"ERROR")</f>
        <v>4443</v>
      </c>
      <c r="D33" s="199">
        <f>IFERROR(VLOOKUP($B33,MMWR_TRAD_AGG_RO_COMP[],D$1,0),"ERROR")</f>
        <v>184.85752869679999</v>
      </c>
      <c r="E33" s="196">
        <f>IFERROR(VLOOKUP($B33,MMWR_TRAD_AGG_RO_COMP[],E$1,0),"ERROR")</f>
        <v>6413</v>
      </c>
      <c r="F33" s="192">
        <f>IFERROR(VLOOKUP($B33,MMWR_TRAD_AGG_RO_COMP[],F$1,0),"ERROR")</f>
        <v>1055</v>
      </c>
      <c r="G33" s="217">
        <f t="shared" si="0"/>
        <v>0.16450958989552472</v>
      </c>
      <c r="H33" s="191">
        <f>IFERROR(VLOOKUP($B33,MMWR_TRAD_AGG_RO_COMP[],H$1,0),"ERROR")</f>
        <v>6526</v>
      </c>
      <c r="I33" s="192">
        <f>IFERROR(VLOOKUP($B33,MMWR_TRAD_AGG_RO_COMP[],I$1,0),"ERROR")</f>
        <v>2828</v>
      </c>
      <c r="J33" s="217">
        <f t="shared" si="1"/>
        <v>0.43334354888139748</v>
      </c>
      <c r="K33" s="205">
        <f>IFERROR(VLOOKUP($B33,MMWR_TRAD_AGG_RO_COMP[],K$1,0),"ERROR")</f>
        <v>781</v>
      </c>
      <c r="L33" s="206">
        <f>IFERROR(VLOOKUP($B33,MMWR_TRAD_AGG_RO_COMP[],L$1,0),"ERROR")</f>
        <v>283</v>
      </c>
      <c r="M33" s="217">
        <f t="shared" si="2"/>
        <v>0.36235595390524966</v>
      </c>
      <c r="N33" s="205">
        <f>IFERROR(VLOOKUP($B33,MMWR_TRAD_AGG_RO_COMP[],N$1,0),"ERROR")</f>
        <v>514</v>
      </c>
      <c r="O33" s="206">
        <f>IFERROR(VLOOKUP($B33,MMWR_TRAD_AGG_RO_COMP[],O$1,0),"ERROR")</f>
        <v>229</v>
      </c>
      <c r="P33" s="217">
        <f t="shared" si="3"/>
        <v>0.4455252918287938</v>
      </c>
      <c r="Q33" s="202">
        <f>IFERROR(VLOOKUP($B33,MMWR_TRAD_AGG_RO_COMP[],Q$1,0),"ERROR")</f>
        <v>5186</v>
      </c>
      <c r="R33" s="202">
        <f>IFERROR(VLOOKUP($B33,MMWR_TRAD_AGG_RO_COMP[],R$1,0),"ERROR")</f>
        <v>0</v>
      </c>
      <c r="S33" s="202">
        <f>IFERROR(VLOOKUP($B33,MMWR_APP_RO[],S$1,0),"ERROR")</f>
        <v>3337</v>
      </c>
      <c r="T33" s="25"/>
    </row>
    <row r="34" spans="1:20" x14ac:dyDescent="0.2">
      <c r="A34" s="107"/>
      <c r="B34" s="108" t="s">
        <v>77</v>
      </c>
      <c r="C34" s="210">
        <f>IFERROR(VLOOKUP($B34,MMWR_TRAD_AGG_RO_COMP[],C$1,0),"ERROR")</f>
        <v>253</v>
      </c>
      <c r="D34" s="199">
        <f>IFERROR(VLOOKUP($B34,MMWR_TRAD_AGG_RO_COMP[],D$1,0),"ERROR")</f>
        <v>100.8181818182</v>
      </c>
      <c r="E34" s="196">
        <f>IFERROR(VLOOKUP($B34,MMWR_TRAD_AGG_RO_COMP[],E$1,0),"ERROR")</f>
        <v>796</v>
      </c>
      <c r="F34" s="192">
        <f>IFERROR(VLOOKUP($B34,MMWR_TRAD_AGG_RO_COMP[],F$1,0),"ERROR")</f>
        <v>161</v>
      </c>
      <c r="G34" s="217">
        <f t="shared" si="0"/>
        <v>0.2022613065326633</v>
      </c>
      <c r="H34" s="191">
        <f>IFERROR(VLOOKUP($B34,MMWR_TRAD_AGG_RO_COMP[],H$1,0),"ERROR")</f>
        <v>500</v>
      </c>
      <c r="I34" s="192">
        <f>IFERROR(VLOOKUP($B34,MMWR_TRAD_AGG_RO_COMP[],I$1,0),"ERROR")</f>
        <v>111</v>
      </c>
      <c r="J34" s="217">
        <f t="shared" si="1"/>
        <v>0.222</v>
      </c>
      <c r="K34" s="205">
        <f>IFERROR(VLOOKUP($B34,MMWR_TRAD_AGG_RO_COMP[],K$1,0),"ERROR")</f>
        <v>437</v>
      </c>
      <c r="L34" s="206">
        <f>IFERROR(VLOOKUP($B34,MMWR_TRAD_AGG_RO_COMP[],L$1,0),"ERROR")</f>
        <v>174</v>
      </c>
      <c r="M34" s="217">
        <f t="shared" si="2"/>
        <v>0.39816933638443935</v>
      </c>
      <c r="N34" s="205">
        <f>IFERROR(VLOOKUP($B34,MMWR_TRAD_AGG_RO_COMP[],N$1,0),"ERROR")</f>
        <v>36</v>
      </c>
      <c r="O34" s="206">
        <f>IFERROR(VLOOKUP($B34,MMWR_TRAD_AGG_RO_COMP[],O$1,0),"ERROR")</f>
        <v>18</v>
      </c>
      <c r="P34" s="217">
        <f t="shared" si="3"/>
        <v>0.5</v>
      </c>
      <c r="Q34" s="202">
        <f>IFERROR(VLOOKUP($B34,MMWR_TRAD_AGG_RO_COMP[],Q$1,0),"ERROR")</f>
        <v>0</v>
      </c>
      <c r="R34" s="202">
        <f>IFERROR(VLOOKUP($B34,MMWR_TRAD_AGG_RO_COMP[],R$1,0),"ERROR")</f>
        <v>0</v>
      </c>
      <c r="S34" s="202">
        <f>IFERROR(VLOOKUP($B34,MMWR_APP_RO[],S$1,0),"ERROR")</f>
        <v>226</v>
      </c>
      <c r="T34" s="25"/>
    </row>
    <row r="35" spans="1:20" x14ac:dyDescent="0.2">
      <c r="A35" s="107"/>
      <c r="B35" s="108" t="s">
        <v>78</v>
      </c>
      <c r="C35" s="210">
        <f>IFERROR(VLOOKUP($B35,MMWR_TRAD_AGG_RO_COMP[],C$1,0),"ERROR")</f>
        <v>4945</v>
      </c>
      <c r="D35" s="199">
        <f>IFERROR(VLOOKUP($B35,MMWR_TRAD_AGG_RO_COMP[],D$1,0),"ERROR")</f>
        <v>262.77249747219997</v>
      </c>
      <c r="E35" s="196">
        <f>IFERROR(VLOOKUP($B35,MMWR_TRAD_AGG_RO_COMP[],E$1,0),"ERROR")</f>
        <v>6051</v>
      </c>
      <c r="F35" s="192">
        <f>IFERROR(VLOOKUP($B35,MMWR_TRAD_AGG_RO_COMP[],F$1,0),"ERROR")</f>
        <v>839</v>
      </c>
      <c r="G35" s="217">
        <f t="shared" si="0"/>
        <v>0.13865476780697406</v>
      </c>
      <c r="H35" s="191">
        <f>IFERROR(VLOOKUP($B35,MMWR_TRAD_AGG_RO_COMP[],H$1,0),"ERROR")</f>
        <v>7160</v>
      </c>
      <c r="I35" s="192">
        <f>IFERROR(VLOOKUP($B35,MMWR_TRAD_AGG_RO_COMP[],I$1,0),"ERROR")</f>
        <v>4687</v>
      </c>
      <c r="J35" s="217">
        <f t="shared" si="1"/>
        <v>0.65460893854748603</v>
      </c>
      <c r="K35" s="205">
        <f>IFERROR(VLOOKUP($B35,MMWR_TRAD_AGG_RO_COMP[],K$1,0),"ERROR")</f>
        <v>2467</v>
      </c>
      <c r="L35" s="206">
        <f>IFERROR(VLOOKUP($B35,MMWR_TRAD_AGG_RO_COMP[],L$1,0),"ERROR")</f>
        <v>1972</v>
      </c>
      <c r="M35" s="217">
        <f t="shared" si="2"/>
        <v>0.79935143899473049</v>
      </c>
      <c r="N35" s="205">
        <f>IFERROR(VLOOKUP($B35,MMWR_TRAD_AGG_RO_COMP[],N$1,0),"ERROR")</f>
        <v>5438</v>
      </c>
      <c r="O35" s="206">
        <f>IFERROR(VLOOKUP($B35,MMWR_TRAD_AGG_RO_COMP[],O$1,0),"ERROR")</f>
        <v>4643</v>
      </c>
      <c r="P35" s="217">
        <f t="shared" si="3"/>
        <v>0.85380654652445753</v>
      </c>
      <c r="Q35" s="202">
        <f>IFERROR(VLOOKUP($B35,MMWR_TRAD_AGG_RO_COMP[],Q$1,0),"ERROR")</f>
        <v>0</v>
      </c>
      <c r="R35" s="202">
        <f>IFERROR(VLOOKUP($B35,MMWR_TRAD_AGG_RO_COMP[],R$1,0),"ERROR")</f>
        <v>84</v>
      </c>
      <c r="S35" s="202">
        <f>IFERROR(VLOOKUP($B35,MMWR_APP_RO[],S$1,0),"ERROR")</f>
        <v>6507</v>
      </c>
      <c r="T35" s="25"/>
    </row>
    <row r="36" spans="1:20" x14ac:dyDescent="0.2">
      <c r="A36" s="28"/>
      <c r="B36" s="108" t="s">
        <v>79</v>
      </c>
      <c r="C36" s="220">
        <f>IFERROR(VLOOKUP($B36,MMWR_TRAD_AGG_RO_COMP[],C$1,0),"ERROR")</f>
        <v>2015</v>
      </c>
      <c r="D36" s="221">
        <f>IFERROR(VLOOKUP($B36,MMWR_TRAD_AGG_RO_COMP[],D$1,0),"ERROR")</f>
        <v>168.42382133999999</v>
      </c>
      <c r="E36" s="222">
        <f>IFERROR(VLOOKUP($B36,MMWR_TRAD_AGG_RO_COMP[],E$1,0),"ERROR")</f>
        <v>9652</v>
      </c>
      <c r="F36" s="223">
        <f>IFERROR(VLOOKUP($B36,MMWR_TRAD_AGG_RO_COMP[],F$1,0),"ERROR")</f>
        <v>1726</v>
      </c>
      <c r="G36" s="224">
        <f t="shared" si="0"/>
        <v>0.17882304185661002</v>
      </c>
      <c r="H36" s="225">
        <f>IFERROR(VLOOKUP($B36,MMWR_TRAD_AGG_RO_COMP[],H$1,0),"ERROR")</f>
        <v>11388</v>
      </c>
      <c r="I36" s="223">
        <f>IFERROR(VLOOKUP($B36,MMWR_TRAD_AGG_RO_COMP[],I$1,0),"ERROR")</f>
        <v>1916</v>
      </c>
      <c r="J36" s="224">
        <f t="shared" si="1"/>
        <v>0.16824727783631893</v>
      </c>
      <c r="K36" s="226">
        <f>IFERROR(VLOOKUP($B36,MMWR_TRAD_AGG_RO_COMP[],K$1,0),"ERROR")</f>
        <v>1318</v>
      </c>
      <c r="L36" s="227">
        <f>IFERROR(VLOOKUP($B36,MMWR_TRAD_AGG_RO_COMP[],L$1,0),"ERROR")</f>
        <v>312</v>
      </c>
      <c r="M36" s="224">
        <f t="shared" si="2"/>
        <v>0.23672230652503792</v>
      </c>
      <c r="N36" s="226">
        <f>IFERROR(VLOOKUP($B36,MMWR_TRAD_AGG_RO_COMP[],N$1,0),"ERROR")</f>
        <v>959</v>
      </c>
      <c r="O36" s="227">
        <f>IFERROR(VLOOKUP($B36,MMWR_TRAD_AGG_RO_COMP[],O$1,0),"ERROR")</f>
        <v>628</v>
      </c>
      <c r="P36" s="224">
        <f t="shared" si="3"/>
        <v>0.65484880083420227</v>
      </c>
      <c r="Q36" s="228">
        <f>IFERROR(VLOOKUP($B36,MMWR_TRAD_AGG_RO_COMP[],Q$1,0),"ERROR")</f>
        <v>27</v>
      </c>
      <c r="R36" s="228">
        <f>IFERROR(VLOOKUP($B36,MMWR_TRAD_AGG_RO_COMP[],R$1,0),"ERROR")</f>
        <v>0</v>
      </c>
      <c r="S36" s="202">
        <f>IFERROR(VLOOKUP($B36,MMWR_APP_RO[],S$1,0),"ERROR")</f>
        <v>1767</v>
      </c>
      <c r="T36" s="28"/>
    </row>
    <row r="37" spans="1:20" x14ac:dyDescent="0.2">
      <c r="A37" s="28"/>
      <c r="B37" s="116" t="s">
        <v>84</v>
      </c>
      <c r="C37" s="229">
        <f>IFERROR(VLOOKUP($B37,MMWR_TRAD_AGG_RO_COMP[],C$1,0),"ERROR")</f>
        <v>1546</v>
      </c>
      <c r="D37" s="230">
        <f>IFERROR(VLOOKUP($B37,MMWR_TRAD_AGG_RO_COMP[],D$1,0),"ERROR")</f>
        <v>168.41655886160001</v>
      </c>
      <c r="E37" s="231">
        <f>IFERROR(VLOOKUP($B37,MMWR_TRAD_AGG_RO_COMP[],E$1,0),"ERROR")</f>
        <v>3007</v>
      </c>
      <c r="F37" s="232">
        <f>IFERROR(VLOOKUP($B37,MMWR_TRAD_AGG_RO_COMP[],F$1,0),"ERROR")</f>
        <v>589</v>
      </c>
      <c r="G37" s="233">
        <f t="shared" si="0"/>
        <v>0.19587628865979381</v>
      </c>
      <c r="H37" s="234">
        <f>IFERROR(VLOOKUP($B37,MMWR_TRAD_AGG_RO_COMP[],H$1,0),"ERROR")</f>
        <v>2401</v>
      </c>
      <c r="I37" s="232">
        <f>IFERROR(VLOOKUP($B37,MMWR_TRAD_AGG_RO_COMP[],I$1,0),"ERROR")</f>
        <v>1068</v>
      </c>
      <c r="J37" s="233">
        <f t="shared" si="1"/>
        <v>0.44481466055810082</v>
      </c>
      <c r="K37" s="235">
        <f>IFERROR(VLOOKUP($B37,MMWR_TRAD_AGG_RO_COMP[],K$1,0),"ERROR")</f>
        <v>667</v>
      </c>
      <c r="L37" s="236">
        <f>IFERROR(VLOOKUP($B37,MMWR_TRAD_AGG_RO_COMP[],L$1,0),"ERROR")</f>
        <v>221</v>
      </c>
      <c r="M37" s="233">
        <f t="shared" si="2"/>
        <v>0.33133433283358321</v>
      </c>
      <c r="N37" s="235">
        <f>IFERROR(VLOOKUP($B37,MMWR_TRAD_AGG_RO_COMP[],N$1,0),"ERROR")</f>
        <v>173</v>
      </c>
      <c r="O37" s="236">
        <f>IFERROR(VLOOKUP($B37,MMWR_TRAD_AGG_RO_COMP[],O$1,0),"ERROR")</f>
        <v>83</v>
      </c>
      <c r="P37" s="233">
        <f t="shared" si="3"/>
        <v>0.47976878612716761</v>
      </c>
      <c r="Q37" s="237">
        <f>IFERROR(VLOOKUP($B37,MMWR_TRAD_AGG_RO_COMP[],Q$1,0),"ERROR")</f>
        <v>0</v>
      </c>
      <c r="R37" s="237">
        <f>IFERROR(VLOOKUP($B37,MMWR_TRAD_AGG_RO_COMP[],R$1,0),"ERROR")</f>
        <v>11</v>
      </c>
      <c r="S37" s="202">
        <f>IFERROR(VLOOKUP($B37,MMWR_APP_RO[],S$1,0),"ERROR")</f>
        <v>1236</v>
      </c>
      <c r="T37" s="28"/>
    </row>
    <row r="38" spans="1:20" x14ac:dyDescent="0.2">
      <c r="A38" s="28"/>
      <c r="B38" s="101" t="s">
        <v>392</v>
      </c>
      <c r="C38" s="213">
        <f>IFERROR(VLOOKUP($B38,MMWR_TRAD_AGG_DISTRICT_COMP[],C$1,0),"ERROR")</f>
        <v>58445</v>
      </c>
      <c r="D38" s="198">
        <f>IFERROR(VLOOKUP($B38,MMWR_TRAD_AGG_DISTRICT_COMP[],D$1,0),"ERROR")</f>
        <v>327.4376764479</v>
      </c>
      <c r="E38" s="214">
        <f>IFERROR(VLOOKUP($B38,MMWR_TRAD_AGG_DISTRICT_COMP[],E$1,0),"ERROR")</f>
        <v>66014</v>
      </c>
      <c r="F38" s="219">
        <f>IFERROR(VLOOKUP($B38,MMWR_TRAD_AGG_DISTRICT_COMP[],F$1,0),"ERROR")</f>
        <v>14023</v>
      </c>
      <c r="G38" s="215">
        <f t="shared" si="0"/>
        <v>0.21242463719817009</v>
      </c>
      <c r="H38" s="219">
        <f>IFERROR(VLOOKUP($B38,MMWR_TRAD_AGG_DISTRICT_COMP[],H$1,0),"ERROR")</f>
        <v>92371</v>
      </c>
      <c r="I38" s="219">
        <f>IFERROR(VLOOKUP($B38,MMWR_TRAD_AGG_DISTRICT_COMP[],I$1,0),"ERROR")</f>
        <v>52390</v>
      </c>
      <c r="J38" s="215">
        <f t="shared" si="1"/>
        <v>0.56716934968767252</v>
      </c>
      <c r="K38" s="213">
        <f>IFERROR(VLOOKUP($B38,MMWR_TRAD_AGG_DISTRICT_COMP[],K$1,0),"ERROR")</f>
        <v>19222</v>
      </c>
      <c r="L38" s="213">
        <f>IFERROR(VLOOKUP($B38,MMWR_TRAD_AGG_DISTRICT_COMP[],L$1,0),"ERROR")</f>
        <v>11812</v>
      </c>
      <c r="M38" s="215">
        <f t="shared" si="2"/>
        <v>0.61450421392154819</v>
      </c>
      <c r="N38" s="213">
        <f>IFERROR(VLOOKUP($B38,MMWR_TRAD_AGG_DISTRICT_COMP[],N$1,0),"ERROR")</f>
        <v>12977</v>
      </c>
      <c r="O38" s="213">
        <f>IFERROR(VLOOKUP($B38,MMWR_TRAD_AGG_DISTRICT_COMP[],O$1,0),"ERROR")</f>
        <v>6956</v>
      </c>
      <c r="P38" s="215">
        <f t="shared" si="3"/>
        <v>0.53602527548740075</v>
      </c>
      <c r="Q38" s="213">
        <f>IFERROR(VLOOKUP($B38,MMWR_TRAD_AGG_DISTRICT_COMP[],Q$1,0),"ERROR")</f>
        <v>45</v>
      </c>
      <c r="R38" s="216">
        <f>IFERROR(VLOOKUP($B38,MMWR_TRAD_AGG_DISTRICT_COMP[],R$1,0),"ERROR")</f>
        <v>1128</v>
      </c>
      <c r="S38" s="216">
        <f>IFERROR(VLOOKUP($B38,MMWR_APP_RO[],S$1,0),"ERROR")</f>
        <v>66293</v>
      </c>
      <c r="T38" s="28"/>
    </row>
    <row r="39" spans="1:20" x14ac:dyDescent="0.2">
      <c r="A39" s="28"/>
      <c r="B39" s="108" t="s">
        <v>39</v>
      </c>
      <c r="C39" s="220">
        <f>IFERROR(VLOOKUP($B39,MMWR_TRAD_AGG_RO_COMP[],C$1,0),"ERROR")</f>
        <v>428</v>
      </c>
      <c r="D39" s="221">
        <f>IFERROR(VLOOKUP($B39,MMWR_TRAD_AGG_RO_COMP[],D$1,0),"ERROR")</f>
        <v>273.39485981310003</v>
      </c>
      <c r="E39" s="222">
        <f>IFERROR(VLOOKUP($B39,MMWR_TRAD_AGG_RO_COMP[],E$1,0),"ERROR")</f>
        <v>842</v>
      </c>
      <c r="F39" s="223">
        <f>IFERROR(VLOOKUP($B39,MMWR_TRAD_AGG_RO_COMP[],F$1,0),"ERROR")</f>
        <v>152</v>
      </c>
      <c r="G39" s="224">
        <f t="shared" si="0"/>
        <v>0.18052256532066507</v>
      </c>
      <c r="H39" s="225">
        <f>IFERROR(VLOOKUP($B39,MMWR_TRAD_AGG_RO_COMP[],H$1,0),"ERROR")</f>
        <v>706</v>
      </c>
      <c r="I39" s="223">
        <f>IFERROR(VLOOKUP($B39,MMWR_TRAD_AGG_RO_COMP[],I$1,0),"ERROR")</f>
        <v>335</v>
      </c>
      <c r="J39" s="224">
        <f t="shared" si="1"/>
        <v>0.4745042492917847</v>
      </c>
      <c r="K39" s="226">
        <f>IFERROR(VLOOKUP($B39,MMWR_TRAD_AGG_RO_COMP[],K$1,0),"ERROR")</f>
        <v>84</v>
      </c>
      <c r="L39" s="227">
        <f>IFERROR(VLOOKUP($B39,MMWR_TRAD_AGG_RO_COMP[],L$1,0),"ERROR")</f>
        <v>9</v>
      </c>
      <c r="M39" s="224">
        <f t="shared" si="2"/>
        <v>0.10714285714285714</v>
      </c>
      <c r="N39" s="226">
        <f>IFERROR(VLOOKUP($B39,MMWR_TRAD_AGG_RO_COMP[],N$1,0),"ERROR")</f>
        <v>126</v>
      </c>
      <c r="O39" s="227">
        <f>IFERROR(VLOOKUP($B39,MMWR_TRAD_AGG_RO_COMP[],O$1,0),"ERROR")</f>
        <v>34</v>
      </c>
      <c r="P39" s="224">
        <f t="shared" si="3"/>
        <v>0.26984126984126983</v>
      </c>
      <c r="Q39" s="228">
        <f>IFERROR(VLOOKUP($B39,MMWR_TRAD_AGG_RO_COMP[],Q$1,0),"ERROR")</f>
        <v>2</v>
      </c>
      <c r="R39" s="228">
        <f>IFERROR(VLOOKUP($B39,MMWR_TRAD_AGG_RO_COMP[],R$1,0),"ERROR")</f>
        <v>6</v>
      </c>
      <c r="S39" s="202">
        <f>IFERROR(VLOOKUP($B39,MMWR_APP_RO[],S$1,0),"ERROR")</f>
        <v>311</v>
      </c>
      <c r="T39" s="28"/>
    </row>
    <row r="40" spans="1:20" x14ac:dyDescent="0.2">
      <c r="A40" s="28"/>
      <c r="B40" s="108" t="s">
        <v>43</v>
      </c>
      <c r="C40" s="220">
        <f>IFERROR(VLOOKUP($B40,MMWR_TRAD_AGG_RO_COMP[],C$1,0),"ERROR")</f>
        <v>6779</v>
      </c>
      <c r="D40" s="221">
        <f>IFERROR(VLOOKUP($B40,MMWR_TRAD_AGG_RO_COMP[],D$1,0),"ERROR")</f>
        <v>393.41908836110002</v>
      </c>
      <c r="E40" s="222">
        <f>IFERROR(VLOOKUP($B40,MMWR_TRAD_AGG_RO_COMP[],E$1,0),"ERROR")</f>
        <v>7681</v>
      </c>
      <c r="F40" s="223">
        <f>IFERROR(VLOOKUP($B40,MMWR_TRAD_AGG_RO_COMP[],F$1,0),"ERROR")</f>
        <v>2227</v>
      </c>
      <c r="G40" s="224">
        <f t="shared" si="0"/>
        <v>0.28993620622314803</v>
      </c>
      <c r="H40" s="225">
        <f>IFERROR(VLOOKUP($B40,MMWR_TRAD_AGG_RO_COMP[],H$1,0),"ERROR")</f>
        <v>8843</v>
      </c>
      <c r="I40" s="223">
        <f>IFERROR(VLOOKUP($B40,MMWR_TRAD_AGG_RO_COMP[],I$1,0),"ERROR")</f>
        <v>6514</v>
      </c>
      <c r="J40" s="224">
        <f t="shared" si="1"/>
        <v>0.73662784123035174</v>
      </c>
      <c r="K40" s="226">
        <f>IFERROR(VLOOKUP($B40,MMWR_TRAD_AGG_RO_COMP[],K$1,0),"ERROR")</f>
        <v>2352</v>
      </c>
      <c r="L40" s="227">
        <f>IFERROR(VLOOKUP($B40,MMWR_TRAD_AGG_RO_COMP[],L$1,0),"ERROR")</f>
        <v>1720</v>
      </c>
      <c r="M40" s="224">
        <f t="shared" si="2"/>
        <v>0.73129251700680276</v>
      </c>
      <c r="N40" s="226">
        <f>IFERROR(VLOOKUP($B40,MMWR_TRAD_AGG_RO_COMP[],N$1,0),"ERROR")</f>
        <v>1089</v>
      </c>
      <c r="O40" s="227">
        <f>IFERROR(VLOOKUP($B40,MMWR_TRAD_AGG_RO_COMP[],O$1,0),"ERROR")</f>
        <v>363</v>
      </c>
      <c r="P40" s="224">
        <f t="shared" si="3"/>
        <v>0.33333333333333331</v>
      </c>
      <c r="Q40" s="228">
        <f>IFERROR(VLOOKUP($B40,MMWR_TRAD_AGG_RO_COMP[],Q$1,0),"ERROR")</f>
        <v>0</v>
      </c>
      <c r="R40" s="228">
        <f>IFERROR(VLOOKUP($B40,MMWR_TRAD_AGG_RO_COMP[],R$1,0),"ERROR")</f>
        <v>59</v>
      </c>
      <c r="S40" s="202">
        <f>IFERROR(VLOOKUP($B40,MMWR_APP_RO[],S$1,0),"ERROR")</f>
        <v>6020</v>
      </c>
      <c r="T40" s="28"/>
    </row>
    <row r="41" spans="1:20" x14ac:dyDescent="0.2">
      <c r="A41" s="28"/>
      <c r="B41" s="108" t="s">
        <v>187</v>
      </c>
      <c r="C41" s="220">
        <f>IFERROR(VLOOKUP($B41,MMWR_TRAD_AGG_RO_COMP[],C$1,0),"ERROR")</f>
        <v>623</v>
      </c>
      <c r="D41" s="221">
        <f>IFERROR(VLOOKUP($B41,MMWR_TRAD_AGG_RO_COMP[],D$1,0),"ERROR")</f>
        <v>191.09470304979999</v>
      </c>
      <c r="E41" s="222">
        <f>IFERROR(VLOOKUP($B41,MMWR_TRAD_AGG_RO_COMP[],E$1,0),"ERROR")</f>
        <v>683</v>
      </c>
      <c r="F41" s="223">
        <f>IFERROR(VLOOKUP($B41,MMWR_TRAD_AGG_RO_COMP[],F$1,0),"ERROR")</f>
        <v>66</v>
      </c>
      <c r="G41" s="224">
        <f t="shared" si="0"/>
        <v>9.6632503660322111E-2</v>
      </c>
      <c r="H41" s="225">
        <f>IFERROR(VLOOKUP($B41,MMWR_TRAD_AGG_RO_COMP[],H$1,0),"ERROR")</f>
        <v>986</v>
      </c>
      <c r="I41" s="223">
        <f>IFERROR(VLOOKUP($B41,MMWR_TRAD_AGG_RO_COMP[],I$1,0),"ERROR")</f>
        <v>414</v>
      </c>
      <c r="J41" s="224">
        <f t="shared" si="1"/>
        <v>0.41987829614604461</v>
      </c>
      <c r="K41" s="226">
        <f>IFERROR(VLOOKUP($B41,MMWR_TRAD_AGG_RO_COMP[],K$1,0),"ERROR")</f>
        <v>457</v>
      </c>
      <c r="L41" s="227">
        <f>IFERROR(VLOOKUP($B41,MMWR_TRAD_AGG_RO_COMP[],L$1,0),"ERROR")</f>
        <v>157</v>
      </c>
      <c r="M41" s="224">
        <f t="shared" si="2"/>
        <v>0.34354485776805249</v>
      </c>
      <c r="N41" s="226">
        <f>IFERROR(VLOOKUP($B41,MMWR_TRAD_AGG_RO_COMP[],N$1,0),"ERROR")</f>
        <v>100</v>
      </c>
      <c r="O41" s="227">
        <f>IFERROR(VLOOKUP($B41,MMWR_TRAD_AGG_RO_COMP[],O$1,0),"ERROR")</f>
        <v>40</v>
      </c>
      <c r="P41" s="224">
        <f t="shared" si="3"/>
        <v>0.4</v>
      </c>
      <c r="Q41" s="228">
        <f>IFERROR(VLOOKUP($B41,MMWR_TRAD_AGG_RO_COMP[],Q$1,0),"ERROR")</f>
        <v>0</v>
      </c>
      <c r="R41" s="228">
        <f>IFERROR(VLOOKUP($B41,MMWR_TRAD_AGG_RO_COMP[],R$1,0),"ERROR")</f>
        <v>1</v>
      </c>
      <c r="S41" s="202">
        <f>IFERROR(VLOOKUP($B41,MMWR_APP_RO[],S$1,0),"ERROR")</f>
        <v>312</v>
      </c>
      <c r="T41" s="28"/>
    </row>
    <row r="42" spans="1:20" x14ac:dyDescent="0.2">
      <c r="A42" s="28"/>
      <c r="B42" s="108" t="s">
        <v>49</v>
      </c>
      <c r="C42" s="220">
        <f>IFERROR(VLOOKUP($B42,MMWR_TRAD_AGG_RO_COMP[],C$1,0),"ERROR")</f>
        <v>13048</v>
      </c>
      <c r="D42" s="221">
        <f>IFERROR(VLOOKUP($B42,MMWR_TRAD_AGG_RO_COMP[],D$1,0),"ERROR")</f>
        <v>338.88327713059999</v>
      </c>
      <c r="E42" s="222">
        <f>IFERROR(VLOOKUP($B42,MMWR_TRAD_AGG_RO_COMP[],E$1,0),"ERROR")</f>
        <v>16180</v>
      </c>
      <c r="F42" s="223">
        <f>IFERROR(VLOOKUP($B42,MMWR_TRAD_AGG_RO_COMP[],F$1,0),"ERROR")</f>
        <v>4119</v>
      </c>
      <c r="G42" s="224">
        <f t="shared" si="0"/>
        <v>0.25457354758961681</v>
      </c>
      <c r="H42" s="225">
        <f>IFERROR(VLOOKUP($B42,MMWR_TRAD_AGG_RO_COMP[],H$1,0),"ERROR")</f>
        <v>16917</v>
      </c>
      <c r="I42" s="223">
        <f>IFERROR(VLOOKUP($B42,MMWR_TRAD_AGG_RO_COMP[],I$1,0),"ERROR")</f>
        <v>11843</v>
      </c>
      <c r="J42" s="224">
        <f t="shared" si="1"/>
        <v>0.70006502334929366</v>
      </c>
      <c r="K42" s="226">
        <f>IFERROR(VLOOKUP($B42,MMWR_TRAD_AGG_RO_COMP[],K$1,0),"ERROR")</f>
        <v>2520</v>
      </c>
      <c r="L42" s="227">
        <f>IFERROR(VLOOKUP($B42,MMWR_TRAD_AGG_RO_COMP[],L$1,0),"ERROR")</f>
        <v>1428</v>
      </c>
      <c r="M42" s="224">
        <f t="shared" si="2"/>
        <v>0.56666666666666665</v>
      </c>
      <c r="N42" s="226">
        <f>IFERROR(VLOOKUP($B42,MMWR_TRAD_AGG_RO_COMP[],N$1,0),"ERROR")</f>
        <v>2837</v>
      </c>
      <c r="O42" s="227">
        <f>IFERROR(VLOOKUP($B42,MMWR_TRAD_AGG_RO_COMP[],O$1,0),"ERROR")</f>
        <v>2163</v>
      </c>
      <c r="P42" s="224">
        <f t="shared" si="3"/>
        <v>0.76242509693338034</v>
      </c>
      <c r="Q42" s="228">
        <f>IFERROR(VLOOKUP($B42,MMWR_TRAD_AGG_RO_COMP[],Q$1,0),"ERROR")</f>
        <v>1</v>
      </c>
      <c r="R42" s="228">
        <f>IFERROR(VLOOKUP($B42,MMWR_TRAD_AGG_RO_COMP[],R$1,0),"ERROR")</f>
        <v>227</v>
      </c>
      <c r="S42" s="202">
        <f>IFERROR(VLOOKUP($B42,MMWR_APP_RO[],S$1,0),"ERROR")</f>
        <v>19623</v>
      </c>
      <c r="T42" s="28"/>
    </row>
    <row r="43" spans="1:20" x14ac:dyDescent="0.2">
      <c r="A43" s="28"/>
      <c r="B43" s="108" t="s">
        <v>52</v>
      </c>
      <c r="C43" s="220">
        <f>IFERROR(VLOOKUP($B43,MMWR_TRAD_AGG_RO_COMP[],C$1,0),"ERROR")</f>
        <v>4510</v>
      </c>
      <c r="D43" s="221">
        <f>IFERROR(VLOOKUP($B43,MMWR_TRAD_AGG_RO_COMP[],D$1,0),"ERROR")</f>
        <v>358.14057649670002</v>
      </c>
      <c r="E43" s="222">
        <f>IFERROR(VLOOKUP($B43,MMWR_TRAD_AGG_RO_COMP[],E$1,0),"ERROR")</f>
        <v>4267</v>
      </c>
      <c r="F43" s="223">
        <f>IFERROR(VLOOKUP($B43,MMWR_TRAD_AGG_RO_COMP[],F$1,0),"ERROR")</f>
        <v>1049</v>
      </c>
      <c r="G43" s="224">
        <f t="shared" si="0"/>
        <v>0.24584016873681744</v>
      </c>
      <c r="H43" s="225">
        <f>IFERROR(VLOOKUP($B43,MMWR_TRAD_AGG_RO_COMP[],H$1,0),"ERROR")</f>
        <v>6745</v>
      </c>
      <c r="I43" s="223">
        <f>IFERROR(VLOOKUP($B43,MMWR_TRAD_AGG_RO_COMP[],I$1,0),"ERROR")</f>
        <v>4168</v>
      </c>
      <c r="J43" s="224">
        <f t="shared" si="1"/>
        <v>0.61793921423276499</v>
      </c>
      <c r="K43" s="226">
        <f>IFERROR(VLOOKUP($B43,MMWR_TRAD_AGG_RO_COMP[],K$1,0),"ERROR")</f>
        <v>2087</v>
      </c>
      <c r="L43" s="227">
        <f>IFERROR(VLOOKUP($B43,MMWR_TRAD_AGG_RO_COMP[],L$1,0),"ERROR")</f>
        <v>1610</v>
      </c>
      <c r="M43" s="224">
        <f t="shared" si="2"/>
        <v>0.77144226161954954</v>
      </c>
      <c r="N43" s="226">
        <f>IFERROR(VLOOKUP($B43,MMWR_TRAD_AGG_RO_COMP[],N$1,0),"ERROR")</f>
        <v>2093</v>
      </c>
      <c r="O43" s="227">
        <f>IFERROR(VLOOKUP($B43,MMWR_TRAD_AGG_RO_COMP[],O$1,0),"ERROR")</f>
        <v>1317</v>
      </c>
      <c r="P43" s="224">
        <f t="shared" si="3"/>
        <v>0.62924032489249881</v>
      </c>
      <c r="Q43" s="228">
        <f>IFERROR(VLOOKUP($B43,MMWR_TRAD_AGG_RO_COMP[],Q$1,0),"ERROR")</f>
        <v>36</v>
      </c>
      <c r="R43" s="228">
        <f>IFERROR(VLOOKUP($B43,MMWR_TRAD_AGG_RO_COMP[],R$1,0),"ERROR")</f>
        <v>172</v>
      </c>
      <c r="S43" s="202">
        <f>IFERROR(VLOOKUP($B43,MMWR_APP_RO[],S$1,0),"ERROR")</f>
        <v>4602</v>
      </c>
      <c r="T43" s="28"/>
    </row>
    <row r="44" spans="1:20" x14ac:dyDescent="0.2">
      <c r="A44" s="28"/>
      <c r="B44" s="108" t="s">
        <v>54</v>
      </c>
      <c r="C44" s="220">
        <f>IFERROR(VLOOKUP($B44,MMWR_TRAD_AGG_RO_COMP[],C$1,0),"ERROR")</f>
        <v>5215</v>
      </c>
      <c r="D44" s="221">
        <f>IFERROR(VLOOKUP($B44,MMWR_TRAD_AGG_RO_COMP[],D$1,0),"ERROR")</f>
        <v>343.5907957814</v>
      </c>
      <c r="E44" s="222">
        <f>IFERROR(VLOOKUP($B44,MMWR_TRAD_AGG_RO_COMP[],E$1,0),"ERROR")</f>
        <v>3544</v>
      </c>
      <c r="F44" s="223">
        <f>IFERROR(VLOOKUP($B44,MMWR_TRAD_AGG_RO_COMP[],F$1,0),"ERROR")</f>
        <v>598</v>
      </c>
      <c r="G44" s="224">
        <f t="shared" si="0"/>
        <v>0.16873589164785552</v>
      </c>
      <c r="H44" s="225">
        <f>IFERROR(VLOOKUP($B44,MMWR_TRAD_AGG_RO_COMP[],H$1,0),"ERROR")</f>
        <v>9223</v>
      </c>
      <c r="I44" s="223">
        <f>IFERROR(VLOOKUP($B44,MMWR_TRAD_AGG_RO_COMP[],I$1,0),"ERROR")</f>
        <v>4611</v>
      </c>
      <c r="J44" s="224">
        <f t="shared" si="1"/>
        <v>0.49994578770465142</v>
      </c>
      <c r="K44" s="226">
        <f>IFERROR(VLOOKUP($B44,MMWR_TRAD_AGG_RO_COMP[],K$1,0),"ERROR")</f>
        <v>4284</v>
      </c>
      <c r="L44" s="227">
        <f>IFERROR(VLOOKUP($B44,MMWR_TRAD_AGG_RO_COMP[],L$1,0),"ERROR")</f>
        <v>3762</v>
      </c>
      <c r="M44" s="224">
        <f t="shared" si="2"/>
        <v>0.87815126050420167</v>
      </c>
      <c r="N44" s="226">
        <f>IFERROR(VLOOKUP($B44,MMWR_TRAD_AGG_RO_COMP[],N$1,0),"ERROR")</f>
        <v>1026</v>
      </c>
      <c r="O44" s="227">
        <f>IFERROR(VLOOKUP($B44,MMWR_TRAD_AGG_RO_COMP[],O$1,0),"ERROR")</f>
        <v>451</v>
      </c>
      <c r="P44" s="224">
        <f t="shared" si="3"/>
        <v>0.43957115009746589</v>
      </c>
      <c r="Q44" s="228">
        <f>IFERROR(VLOOKUP($B44,MMWR_TRAD_AGG_RO_COMP[],Q$1,0),"ERROR")</f>
        <v>1</v>
      </c>
      <c r="R44" s="228">
        <f>IFERROR(VLOOKUP($B44,MMWR_TRAD_AGG_RO_COMP[],R$1,0),"ERROR")</f>
        <v>146</v>
      </c>
      <c r="S44" s="202">
        <f>IFERROR(VLOOKUP($B44,MMWR_APP_RO[],S$1,0),"ERROR")</f>
        <v>5171</v>
      </c>
      <c r="T44" s="28"/>
    </row>
    <row r="45" spans="1:20" x14ac:dyDescent="0.2">
      <c r="A45" s="28"/>
      <c r="B45" s="108" t="s">
        <v>27</v>
      </c>
      <c r="C45" s="220">
        <f>IFERROR(VLOOKUP($B45,MMWR_TRAD_AGG_RO_COMP[],C$1,0),"ERROR")</f>
        <v>1575</v>
      </c>
      <c r="D45" s="221">
        <f>IFERROR(VLOOKUP($B45,MMWR_TRAD_AGG_RO_COMP[],D$1,0),"ERROR")</f>
        <v>98.215238095199993</v>
      </c>
      <c r="E45" s="222">
        <f>IFERROR(VLOOKUP($B45,MMWR_TRAD_AGG_RO_COMP[],E$1,0),"ERROR")</f>
        <v>6375</v>
      </c>
      <c r="F45" s="223">
        <f>IFERROR(VLOOKUP($B45,MMWR_TRAD_AGG_RO_COMP[],F$1,0),"ERROR")</f>
        <v>1019</v>
      </c>
      <c r="G45" s="224">
        <f t="shared" si="0"/>
        <v>0.15984313725490196</v>
      </c>
      <c r="H45" s="225">
        <f>IFERROR(VLOOKUP($B45,MMWR_TRAD_AGG_RO_COMP[],H$1,0),"ERROR")</f>
        <v>9135</v>
      </c>
      <c r="I45" s="223">
        <f>IFERROR(VLOOKUP($B45,MMWR_TRAD_AGG_RO_COMP[],I$1,0),"ERROR")</f>
        <v>2996</v>
      </c>
      <c r="J45" s="224">
        <f t="shared" si="1"/>
        <v>0.32796934865900385</v>
      </c>
      <c r="K45" s="226">
        <f>IFERROR(VLOOKUP($B45,MMWR_TRAD_AGG_RO_COMP[],K$1,0),"ERROR")</f>
        <v>1762</v>
      </c>
      <c r="L45" s="227">
        <f>IFERROR(VLOOKUP($B45,MMWR_TRAD_AGG_RO_COMP[],L$1,0),"ERROR")</f>
        <v>532</v>
      </c>
      <c r="M45" s="224">
        <f t="shared" si="2"/>
        <v>0.30192962542565266</v>
      </c>
      <c r="N45" s="226">
        <f>IFERROR(VLOOKUP($B45,MMWR_TRAD_AGG_RO_COMP[],N$1,0),"ERROR")</f>
        <v>863</v>
      </c>
      <c r="O45" s="227">
        <f>IFERROR(VLOOKUP($B45,MMWR_TRAD_AGG_RO_COMP[],O$1,0),"ERROR")</f>
        <v>406</v>
      </c>
      <c r="P45" s="224">
        <f t="shared" si="3"/>
        <v>0.4704519119351101</v>
      </c>
      <c r="Q45" s="228">
        <f>IFERROR(VLOOKUP($B45,MMWR_TRAD_AGG_RO_COMP[],Q$1,0),"ERROR")</f>
        <v>1</v>
      </c>
      <c r="R45" s="228">
        <f>IFERROR(VLOOKUP($B45,MMWR_TRAD_AGG_RO_COMP[],R$1,0),"ERROR")</f>
        <v>63</v>
      </c>
      <c r="S45" s="202">
        <f>IFERROR(VLOOKUP($B45,MMWR_APP_RO[],S$1,0),"ERROR")</f>
        <v>4182</v>
      </c>
      <c r="T45" s="28"/>
    </row>
    <row r="46" spans="1:20" x14ac:dyDescent="0.2">
      <c r="A46" s="28"/>
      <c r="B46" s="108" t="s">
        <v>62</v>
      </c>
      <c r="C46" s="220">
        <f>IFERROR(VLOOKUP($B46,MMWR_TRAD_AGG_RO_COMP[],C$1,0),"ERROR")</f>
        <v>5271</v>
      </c>
      <c r="D46" s="221">
        <f>IFERROR(VLOOKUP($B46,MMWR_TRAD_AGG_RO_COMP[],D$1,0),"ERROR")</f>
        <v>406.83968886359997</v>
      </c>
      <c r="E46" s="222">
        <f>IFERROR(VLOOKUP($B46,MMWR_TRAD_AGG_RO_COMP[],E$1,0),"ERROR")</f>
        <v>6015</v>
      </c>
      <c r="F46" s="223">
        <f>IFERROR(VLOOKUP($B46,MMWR_TRAD_AGG_RO_COMP[],F$1,0),"ERROR")</f>
        <v>973</v>
      </c>
      <c r="G46" s="224">
        <f t="shared" si="0"/>
        <v>0.16176226101413133</v>
      </c>
      <c r="H46" s="225">
        <f>IFERROR(VLOOKUP($B46,MMWR_TRAD_AGG_RO_COMP[],H$1,0),"ERROR")</f>
        <v>6591</v>
      </c>
      <c r="I46" s="223">
        <f>IFERROR(VLOOKUP($B46,MMWR_TRAD_AGG_RO_COMP[],I$1,0),"ERROR")</f>
        <v>4604</v>
      </c>
      <c r="J46" s="224">
        <f t="shared" si="1"/>
        <v>0.6985282961614323</v>
      </c>
      <c r="K46" s="226">
        <f>IFERROR(VLOOKUP($B46,MMWR_TRAD_AGG_RO_COMP[],K$1,0),"ERROR")</f>
        <v>827</v>
      </c>
      <c r="L46" s="227">
        <f>IFERROR(VLOOKUP($B46,MMWR_TRAD_AGG_RO_COMP[],L$1,0),"ERROR")</f>
        <v>480</v>
      </c>
      <c r="M46" s="224">
        <f t="shared" si="2"/>
        <v>0.58041112454655386</v>
      </c>
      <c r="N46" s="226">
        <f>IFERROR(VLOOKUP($B46,MMWR_TRAD_AGG_RO_COMP[],N$1,0),"ERROR")</f>
        <v>992</v>
      </c>
      <c r="O46" s="227">
        <f>IFERROR(VLOOKUP($B46,MMWR_TRAD_AGG_RO_COMP[],O$1,0),"ERROR")</f>
        <v>504</v>
      </c>
      <c r="P46" s="224">
        <f t="shared" si="3"/>
        <v>0.50806451612903225</v>
      </c>
      <c r="Q46" s="228">
        <f>IFERROR(VLOOKUP($B46,MMWR_TRAD_AGG_RO_COMP[],Q$1,0),"ERROR")</f>
        <v>2</v>
      </c>
      <c r="R46" s="228">
        <f>IFERROR(VLOOKUP($B46,MMWR_TRAD_AGG_RO_COMP[],R$1,0),"ERROR")</f>
        <v>246</v>
      </c>
      <c r="S46" s="202">
        <f>IFERROR(VLOOKUP($B46,MMWR_APP_RO[],S$1,0),"ERROR")</f>
        <v>5775</v>
      </c>
      <c r="T46" s="28"/>
    </row>
    <row r="47" spans="1:20" x14ac:dyDescent="0.2">
      <c r="A47" s="28"/>
      <c r="B47" s="108" t="s">
        <v>73</v>
      </c>
      <c r="C47" s="220">
        <f>IFERROR(VLOOKUP($B47,MMWR_TRAD_AGG_RO_COMP[],C$1,0),"ERROR")</f>
        <v>8075</v>
      </c>
      <c r="D47" s="221">
        <f>IFERROR(VLOOKUP($B47,MMWR_TRAD_AGG_RO_COMP[],D$1,0),"ERROR")</f>
        <v>248.51591331270001</v>
      </c>
      <c r="E47" s="222">
        <f>IFERROR(VLOOKUP($B47,MMWR_TRAD_AGG_RO_COMP[],E$1,0),"ERROR")</f>
        <v>2041</v>
      </c>
      <c r="F47" s="223">
        <f>IFERROR(VLOOKUP($B47,MMWR_TRAD_AGG_RO_COMP[],F$1,0),"ERROR")</f>
        <v>375</v>
      </c>
      <c r="G47" s="224">
        <f t="shared" si="0"/>
        <v>0.18373346398824106</v>
      </c>
      <c r="H47" s="225">
        <f>IFERROR(VLOOKUP($B47,MMWR_TRAD_AGG_RO_COMP[],H$1,0),"ERROR")</f>
        <v>17779</v>
      </c>
      <c r="I47" s="223">
        <f>IFERROR(VLOOKUP($B47,MMWR_TRAD_AGG_RO_COMP[],I$1,0),"ERROR")</f>
        <v>7941</v>
      </c>
      <c r="J47" s="224">
        <f t="shared" si="1"/>
        <v>0.44665054277518418</v>
      </c>
      <c r="K47" s="226">
        <f>IFERROR(VLOOKUP($B47,MMWR_TRAD_AGG_RO_COMP[],K$1,0),"ERROR")</f>
        <v>1672</v>
      </c>
      <c r="L47" s="227">
        <f>IFERROR(VLOOKUP($B47,MMWR_TRAD_AGG_RO_COMP[],L$1,0),"ERROR")</f>
        <v>729</v>
      </c>
      <c r="M47" s="224">
        <f t="shared" si="2"/>
        <v>0.43600478468899523</v>
      </c>
      <c r="N47" s="226">
        <f>IFERROR(VLOOKUP($B47,MMWR_TRAD_AGG_RO_COMP[],N$1,0),"ERROR")</f>
        <v>186</v>
      </c>
      <c r="O47" s="227">
        <f>IFERROR(VLOOKUP($B47,MMWR_TRAD_AGG_RO_COMP[],O$1,0),"ERROR")</f>
        <v>110</v>
      </c>
      <c r="P47" s="224">
        <f t="shared" si="3"/>
        <v>0.59139784946236562</v>
      </c>
      <c r="Q47" s="228">
        <f>IFERROR(VLOOKUP($B47,MMWR_TRAD_AGG_RO_COMP[],Q$1,0),"ERROR")</f>
        <v>0</v>
      </c>
      <c r="R47" s="228">
        <f>IFERROR(VLOOKUP($B47,MMWR_TRAD_AGG_RO_COMP[],R$1,0),"ERROR")</f>
        <v>2</v>
      </c>
      <c r="S47" s="202">
        <f>IFERROR(VLOOKUP($B47,MMWR_APP_RO[],S$1,0),"ERROR")</f>
        <v>735</v>
      </c>
      <c r="T47" s="28"/>
    </row>
    <row r="48" spans="1:20" x14ac:dyDescent="0.2">
      <c r="A48" s="28"/>
      <c r="B48" s="116" t="s">
        <v>82</v>
      </c>
      <c r="C48" s="229">
        <f>IFERROR(VLOOKUP($B48,MMWR_TRAD_AGG_RO_COMP[],C$1,0),"ERROR")</f>
        <v>12921</v>
      </c>
      <c r="D48" s="230">
        <f>IFERROR(VLOOKUP($B48,MMWR_TRAD_AGG_RO_COMP[],D$1,0),"ERROR")</f>
        <v>317.26228620080002</v>
      </c>
      <c r="E48" s="231">
        <f>IFERROR(VLOOKUP($B48,MMWR_TRAD_AGG_RO_COMP[],E$1,0),"ERROR")</f>
        <v>18386</v>
      </c>
      <c r="F48" s="232">
        <f>IFERROR(VLOOKUP($B48,MMWR_TRAD_AGG_RO_COMP[],F$1,0),"ERROR")</f>
        <v>3445</v>
      </c>
      <c r="G48" s="233">
        <f t="shared" si="0"/>
        <v>0.18737082562819538</v>
      </c>
      <c r="H48" s="234">
        <f>IFERROR(VLOOKUP($B48,MMWR_TRAD_AGG_RO_COMP[],H$1,0),"ERROR")</f>
        <v>15446</v>
      </c>
      <c r="I48" s="232">
        <f>IFERROR(VLOOKUP($B48,MMWR_TRAD_AGG_RO_COMP[],I$1,0),"ERROR")</f>
        <v>8964</v>
      </c>
      <c r="J48" s="233">
        <f t="shared" si="1"/>
        <v>0.58034442574129219</v>
      </c>
      <c r="K48" s="235">
        <f>IFERROR(VLOOKUP($B48,MMWR_TRAD_AGG_RO_COMP[],K$1,0),"ERROR")</f>
        <v>3177</v>
      </c>
      <c r="L48" s="236">
        <f>IFERROR(VLOOKUP($B48,MMWR_TRAD_AGG_RO_COMP[],L$1,0),"ERROR")</f>
        <v>1385</v>
      </c>
      <c r="M48" s="233">
        <f t="shared" si="2"/>
        <v>0.43594586087503934</v>
      </c>
      <c r="N48" s="235">
        <f>IFERROR(VLOOKUP($B48,MMWR_TRAD_AGG_RO_COMP[],N$1,0),"ERROR")</f>
        <v>3665</v>
      </c>
      <c r="O48" s="236">
        <f>IFERROR(VLOOKUP($B48,MMWR_TRAD_AGG_RO_COMP[],O$1,0),"ERROR")</f>
        <v>1568</v>
      </c>
      <c r="P48" s="233">
        <f t="shared" si="3"/>
        <v>0.42783083219645296</v>
      </c>
      <c r="Q48" s="237">
        <f>IFERROR(VLOOKUP($B48,MMWR_TRAD_AGG_RO_COMP[],Q$1,0),"ERROR")</f>
        <v>2</v>
      </c>
      <c r="R48" s="237">
        <f>IFERROR(VLOOKUP($B48,MMWR_TRAD_AGG_RO_COMP[],R$1,0),"ERROR")</f>
        <v>206</v>
      </c>
      <c r="S48" s="202">
        <f>IFERROR(VLOOKUP($B48,MMWR_APP_RO[],S$1,0),"ERROR")</f>
        <v>19562</v>
      </c>
      <c r="T48" s="28"/>
    </row>
    <row r="49" spans="1:20" x14ac:dyDescent="0.2">
      <c r="A49" s="28"/>
      <c r="B49" s="101" t="s">
        <v>411</v>
      </c>
      <c r="C49" s="213">
        <f>IFERROR(VLOOKUP($B49,MMWR_TRAD_AGG_DISTRICT_COMP[],C$1,0),"ERROR")</f>
        <v>59403</v>
      </c>
      <c r="D49" s="198">
        <f>IFERROR(VLOOKUP($B49,MMWR_TRAD_AGG_DISTRICT_COMP[],D$1,0),"ERROR")</f>
        <v>371.65436089090002</v>
      </c>
      <c r="E49" s="214">
        <f>IFERROR(VLOOKUP($B49,MMWR_TRAD_AGG_DISTRICT_COMP[],E$1,0),"ERROR")</f>
        <v>61921</v>
      </c>
      <c r="F49" s="219">
        <f>IFERROR(VLOOKUP($B49,MMWR_TRAD_AGG_DISTRICT_COMP[],F$1,0),"ERROR")</f>
        <v>12386</v>
      </c>
      <c r="G49" s="215">
        <f t="shared" si="0"/>
        <v>0.20002906929797645</v>
      </c>
      <c r="H49" s="219">
        <f>IFERROR(VLOOKUP($B49,MMWR_TRAD_AGG_DISTRICT_COMP[],H$1,0),"ERROR")</f>
        <v>84384</v>
      </c>
      <c r="I49" s="219">
        <f>IFERROR(VLOOKUP($B49,MMWR_TRAD_AGG_DISTRICT_COMP[],I$1,0),"ERROR")</f>
        <v>54426</v>
      </c>
      <c r="J49" s="215">
        <f t="shared" si="1"/>
        <v>0.64498009101251419</v>
      </c>
      <c r="K49" s="213">
        <f>IFERROR(VLOOKUP($B49,MMWR_TRAD_AGG_DISTRICT_COMP[],K$1,0),"ERROR")</f>
        <v>23148</v>
      </c>
      <c r="L49" s="213">
        <f>IFERROR(VLOOKUP($B49,MMWR_TRAD_AGG_DISTRICT_COMP[],L$1,0),"ERROR")</f>
        <v>15952</v>
      </c>
      <c r="M49" s="215">
        <f t="shared" si="2"/>
        <v>0.68913081043718682</v>
      </c>
      <c r="N49" s="213">
        <f>IFERROR(VLOOKUP($B49,MMWR_TRAD_AGG_DISTRICT_COMP[],N$1,0),"ERROR")</f>
        <v>19261</v>
      </c>
      <c r="O49" s="213">
        <f>IFERROR(VLOOKUP($B49,MMWR_TRAD_AGG_DISTRICT_COMP[],O$1,0),"ERROR")</f>
        <v>14302</v>
      </c>
      <c r="P49" s="215">
        <f t="shared" si="3"/>
        <v>0.74253673225689221</v>
      </c>
      <c r="Q49" s="213">
        <f>IFERROR(VLOOKUP($B49,MMWR_TRAD_AGG_DISTRICT_COMP[],Q$1,0),"ERROR")</f>
        <v>311</v>
      </c>
      <c r="R49" s="216">
        <f>IFERROR(VLOOKUP($B49,MMWR_TRAD_AGG_DISTRICT_COMP[],R$1,0),"ERROR")</f>
        <v>656</v>
      </c>
      <c r="S49" s="216">
        <f>IFERROR(VLOOKUP($B49,MMWR_APP_RO[],S$1,0),"ERROR")</f>
        <v>43601</v>
      </c>
      <c r="T49" s="28"/>
    </row>
    <row r="50" spans="1:20" x14ac:dyDescent="0.2">
      <c r="A50" s="28"/>
      <c r="B50" s="108" t="s">
        <v>34</v>
      </c>
      <c r="C50" s="220">
        <f>IFERROR(VLOOKUP($B50,MMWR_TRAD_AGG_RO_COMP[],C$1,0),"ERROR")</f>
        <v>1117</v>
      </c>
      <c r="D50" s="221">
        <f>IFERROR(VLOOKUP($B50,MMWR_TRAD_AGG_RO_COMP[],D$1,0),"ERROR")</f>
        <v>134.6535362578</v>
      </c>
      <c r="E50" s="222">
        <f>IFERROR(VLOOKUP($B50,MMWR_TRAD_AGG_RO_COMP[],E$1,0),"ERROR")</f>
        <v>3304</v>
      </c>
      <c r="F50" s="223">
        <f>IFERROR(VLOOKUP($B50,MMWR_TRAD_AGG_RO_COMP[],F$1,0),"ERROR")</f>
        <v>685</v>
      </c>
      <c r="G50" s="224">
        <f t="shared" si="0"/>
        <v>0.20732445520581114</v>
      </c>
      <c r="H50" s="225">
        <f>IFERROR(VLOOKUP($B50,MMWR_TRAD_AGG_RO_COMP[],H$1,0),"ERROR")</f>
        <v>1633</v>
      </c>
      <c r="I50" s="223">
        <f>IFERROR(VLOOKUP($B50,MMWR_TRAD_AGG_RO_COMP[],I$1,0),"ERROR")</f>
        <v>541</v>
      </c>
      <c r="J50" s="224">
        <f t="shared" si="1"/>
        <v>0.33129210042865892</v>
      </c>
      <c r="K50" s="226">
        <f>IFERROR(VLOOKUP($B50,MMWR_TRAD_AGG_RO_COMP[],K$1,0),"ERROR")</f>
        <v>380</v>
      </c>
      <c r="L50" s="227">
        <f>IFERROR(VLOOKUP($B50,MMWR_TRAD_AGG_RO_COMP[],L$1,0),"ERROR")</f>
        <v>103</v>
      </c>
      <c r="M50" s="224">
        <f t="shared" si="2"/>
        <v>0.27105263157894738</v>
      </c>
      <c r="N50" s="226">
        <f>IFERROR(VLOOKUP($B50,MMWR_TRAD_AGG_RO_COMP[],N$1,0),"ERROR")</f>
        <v>354</v>
      </c>
      <c r="O50" s="227">
        <f>IFERROR(VLOOKUP($B50,MMWR_TRAD_AGG_RO_COMP[],O$1,0),"ERROR")</f>
        <v>171</v>
      </c>
      <c r="P50" s="224">
        <f t="shared" si="3"/>
        <v>0.48305084745762711</v>
      </c>
      <c r="Q50" s="228">
        <f>IFERROR(VLOOKUP($B50,MMWR_TRAD_AGG_RO_COMP[],Q$1,0),"ERROR")</f>
        <v>0</v>
      </c>
      <c r="R50" s="228">
        <f>IFERROR(VLOOKUP($B50,MMWR_TRAD_AGG_RO_COMP[],R$1,0),"ERROR")</f>
        <v>9</v>
      </c>
      <c r="S50" s="202">
        <f>IFERROR(VLOOKUP($B50,MMWR_APP_RO[],S$1,0),"ERROR")</f>
        <v>1738</v>
      </c>
      <c r="T50" s="28"/>
    </row>
    <row r="51" spans="1:20" x14ac:dyDescent="0.2">
      <c r="A51" s="28"/>
      <c r="B51" s="108" t="s">
        <v>35</v>
      </c>
      <c r="C51" s="220">
        <f>IFERROR(VLOOKUP($B51,MMWR_TRAD_AGG_RO_COMP[],C$1,0),"ERROR")</f>
        <v>1963</v>
      </c>
      <c r="D51" s="221">
        <f>IFERROR(VLOOKUP($B51,MMWR_TRAD_AGG_RO_COMP[],D$1,0),"ERROR")</f>
        <v>437.0397350993</v>
      </c>
      <c r="E51" s="222">
        <f>IFERROR(VLOOKUP($B51,MMWR_TRAD_AGG_RO_COMP[],E$1,0),"ERROR")</f>
        <v>1112</v>
      </c>
      <c r="F51" s="223">
        <f>IFERROR(VLOOKUP($B51,MMWR_TRAD_AGG_RO_COMP[],F$1,0),"ERROR")</f>
        <v>198</v>
      </c>
      <c r="G51" s="224">
        <f t="shared" si="0"/>
        <v>0.17805755395683454</v>
      </c>
      <c r="H51" s="225">
        <f>IFERROR(VLOOKUP($B51,MMWR_TRAD_AGG_RO_COMP[],H$1,0),"ERROR")</f>
        <v>2643</v>
      </c>
      <c r="I51" s="223">
        <f>IFERROR(VLOOKUP($B51,MMWR_TRAD_AGG_RO_COMP[],I$1,0),"ERROR")</f>
        <v>1804</v>
      </c>
      <c r="J51" s="224">
        <f t="shared" si="1"/>
        <v>0.6825576995838063</v>
      </c>
      <c r="K51" s="226">
        <f>IFERROR(VLOOKUP($B51,MMWR_TRAD_AGG_RO_COMP[],K$1,0),"ERROR")</f>
        <v>1838</v>
      </c>
      <c r="L51" s="227">
        <f>IFERROR(VLOOKUP($B51,MMWR_TRAD_AGG_RO_COMP[],L$1,0),"ERROR")</f>
        <v>1712</v>
      </c>
      <c r="M51" s="224">
        <f t="shared" si="2"/>
        <v>0.93144722524483137</v>
      </c>
      <c r="N51" s="226">
        <f>IFERROR(VLOOKUP($B51,MMWR_TRAD_AGG_RO_COMP[],N$1,0),"ERROR")</f>
        <v>300</v>
      </c>
      <c r="O51" s="227">
        <f>IFERROR(VLOOKUP($B51,MMWR_TRAD_AGG_RO_COMP[],O$1,0),"ERROR")</f>
        <v>110</v>
      </c>
      <c r="P51" s="224">
        <f t="shared" si="3"/>
        <v>0.36666666666666664</v>
      </c>
      <c r="Q51" s="228">
        <f>IFERROR(VLOOKUP($B51,MMWR_TRAD_AGG_RO_COMP[],Q$1,0),"ERROR")</f>
        <v>0</v>
      </c>
      <c r="R51" s="228">
        <f>IFERROR(VLOOKUP($B51,MMWR_TRAD_AGG_RO_COMP[],R$1,0),"ERROR")</f>
        <v>2</v>
      </c>
      <c r="S51" s="202">
        <f>IFERROR(VLOOKUP($B51,MMWR_APP_RO[],S$1,0),"ERROR")</f>
        <v>201</v>
      </c>
      <c r="T51" s="28"/>
    </row>
    <row r="52" spans="1:20" x14ac:dyDescent="0.2">
      <c r="A52" s="28"/>
      <c r="B52" s="108" t="s">
        <v>37</v>
      </c>
      <c r="C52" s="220">
        <f>IFERROR(VLOOKUP($B52,MMWR_TRAD_AGG_RO_COMP[],C$1,0),"ERROR")</f>
        <v>225</v>
      </c>
      <c r="D52" s="221">
        <f>IFERROR(VLOOKUP($B52,MMWR_TRAD_AGG_RO_COMP[],D$1,0),"ERROR")</f>
        <v>71.506666666699999</v>
      </c>
      <c r="E52" s="222">
        <f>IFERROR(VLOOKUP($B52,MMWR_TRAD_AGG_RO_COMP[],E$1,0),"ERROR")</f>
        <v>1326</v>
      </c>
      <c r="F52" s="223">
        <f>IFERROR(VLOOKUP($B52,MMWR_TRAD_AGG_RO_COMP[],F$1,0),"ERROR")</f>
        <v>268</v>
      </c>
      <c r="G52" s="224">
        <f t="shared" si="0"/>
        <v>0.20211161387631976</v>
      </c>
      <c r="H52" s="225">
        <f>IFERROR(VLOOKUP($B52,MMWR_TRAD_AGG_RO_COMP[],H$1,0),"ERROR")</f>
        <v>414</v>
      </c>
      <c r="I52" s="223">
        <f>IFERROR(VLOOKUP($B52,MMWR_TRAD_AGG_RO_COMP[],I$1,0),"ERROR")</f>
        <v>67</v>
      </c>
      <c r="J52" s="224">
        <f t="shared" si="1"/>
        <v>0.16183574879227053</v>
      </c>
      <c r="K52" s="226">
        <f>IFERROR(VLOOKUP($B52,MMWR_TRAD_AGG_RO_COMP[],K$1,0),"ERROR")</f>
        <v>255</v>
      </c>
      <c r="L52" s="227">
        <f>IFERROR(VLOOKUP($B52,MMWR_TRAD_AGG_RO_COMP[],L$1,0),"ERROR")</f>
        <v>22</v>
      </c>
      <c r="M52" s="224">
        <f t="shared" si="2"/>
        <v>8.6274509803921567E-2</v>
      </c>
      <c r="N52" s="226">
        <f>IFERROR(VLOOKUP($B52,MMWR_TRAD_AGG_RO_COMP[],N$1,0),"ERROR")</f>
        <v>136</v>
      </c>
      <c r="O52" s="227">
        <f>IFERROR(VLOOKUP($B52,MMWR_TRAD_AGG_RO_COMP[],O$1,0),"ERROR")</f>
        <v>57</v>
      </c>
      <c r="P52" s="224">
        <f t="shared" si="3"/>
        <v>0.41911764705882354</v>
      </c>
      <c r="Q52" s="228">
        <f>IFERROR(VLOOKUP($B52,MMWR_TRAD_AGG_RO_COMP[],Q$1,0),"ERROR")</f>
        <v>0</v>
      </c>
      <c r="R52" s="228">
        <f>IFERROR(VLOOKUP($B52,MMWR_TRAD_AGG_RO_COMP[],R$1,0),"ERROR")</f>
        <v>3</v>
      </c>
      <c r="S52" s="202">
        <f>IFERROR(VLOOKUP($B52,MMWR_APP_RO[],S$1,0),"ERROR")</f>
        <v>914</v>
      </c>
      <c r="T52" s="28"/>
    </row>
    <row r="53" spans="1:20" x14ac:dyDescent="0.2">
      <c r="A53" s="28"/>
      <c r="B53" s="108" t="s">
        <v>48</v>
      </c>
      <c r="C53" s="220">
        <f>IFERROR(VLOOKUP($B53,MMWR_TRAD_AGG_RO_COMP[],C$1,0),"ERROR")</f>
        <v>1770</v>
      </c>
      <c r="D53" s="221">
        <f>IFERROR(VLOOKUP($B53,MMWR_TRAD_AGG_RO_COMP[],D$1,0),"ERROR")</f>
        <v>253.4073446328</v>
      </c>
      <c r="E53" s="222">
        <f>IFERROR(VLOOKUP($B53,MMWR_TRAD_AGG_RO_COMP[],E$1,0),"ERROR")</f>
        <v>2261</v>
      </c>
      <c r="F53" s="223">
        <f>IFERROR(VLOOKUP($B53,MMWR_TRAD_AGG_RO_COMP[],F$1,0),"ERROR")</f>
        <v>523</v>
      </c>
      <c r="G53" s="224">
        <f t="shared" si="0"/>
        <v>0.23131357806280406</v>
      </c>
      <c r="H53" s="225">
        <f>IFERROR(VLOOKUP($B53,MMWR_TRAD_AGG_RO_COMP[],H$1,0),"ERROR")</f>
        <v>2257</v>
      </c>
      <c r="I53" s="223">
        <f>IFERROR(VLOOKUP($B53,MMWR_TRAD_AGG_RO_COMP[],I$1,0),"ERROR")</f>
        <v>1471</v>
      </c>
      <c r="J53" s="224">
        <f t="shared" si="1"/>
        <v>0.65175011076650424</v>
      </c>
      <c r="K53" s="226">
        <f>IFERROR(VLOOKUP($B53,MMWR_TRAD_AGG_RO_COMP[],K$1,0),"ERROR")</f>
        <v>502</v>
      </c>
      <c r="L53" s="227">
        <f>IFERROR(VLOOKUP($B53,MMWR_TRAD_AGG_RO_COMP[],L$1,0),"ERROR")</f>
        <v>309</v>
      </c>
      <c r="M53" s="224">
        <f t="shared" si="2"/>
        <v>0.6155378486055777</v>
      </c>
      <c r="N53" s="226">
        <f>IFERROR(VLOOKUP($B53,MMWR_TRAD_AGG_RO_COMP[],N$1,0),"ERROR")</f>
        <v>150</v>
      </c>
      <c r="O53" s="227">
        <f>IFERROR(VLOOKUP($B53,MMWR_TRAD_AGG_RO_COMP[],O$1,0),"ERROR")</f>
        <v>76</v>
      </c>
      <c r="P53" s="224">
        <f t="shared" si="3"/>
        <v>0.50666666666666671</v>
      </c>
      <c r="Q53" s="228">
        <f>IFERROR(VLOOKUP($B53,MMWR_TRAD_AGG_RO_COMP[],Q$1,0),"ERROR")</f>
        <v>0</v>
      </c>
      <c r="R53" s="228">
        <f>IFERROR(VLOOKUP($B53,MMWR_TRAD_AGG_RO_COMP[],R$1,0),"ERROR")</f>
        <v>0</v>
      </c>
      <c r="S53" s="202">
        <f>IFERROR(VLOOKUP($B53,MMWR_APP_RO[],S$1,0),"ERROR")</f>
        <v>1339</v>
      </c>
      <c r="T53" s="28"/>
    </row>
    <row r="54" spans="1:20" x14ac:dyDescent="0.2">
      <c r="A54" s="28"/>
      <c r="B54" s="108" t="s">
        <v>55</v>
      </c>
      <c r="C54" s="220">
        <f>IFERROR(VLOOKUP($B54,MMWR_TRAD_AGG_RO_COMP[],C$1,0),"ERROR")</f>
        <v>7610</v>
      </c>
      <c r="D54" s="221">
        <f>IFERROR(VLOOKUP($B54,MMWR_TRAD_AGG_RO_COMP[],D$1,0),"ERROR")</f>
        <v>378.36136662289999</v>
      </c>
      <c r="E54" s="222">
        <f>IFERROR(VLOOKUP($B54,MMWR_TRAD_AGG_RO_COMP[],E$1,0),"ERROR")</f>
        <v>9292</v>
      </c>
      <c r="F54" s="223">
        <f>IFERROR(VLOOKUP($B54,MMWR_TRAD_AGG_RO_COMP[],F$1,0),"ERROR")</f>
        <v>2124</v>
      </c>
      <c r="G54" s="224">
        <f t="shared" si="0"/>
        <v>0.22858372793801118</v>
      </c>
      <c r="H54" s="225">
        <f>IFERROR(VLOOKUP($B54,MMWR_TRAD_AGG_RO_COMP[],H$1,0),"ERROR")</f>
        <v>9193</v>
      </c>
      <c r="I54" s="223">
        <f>IFERROR(VLOOKUP($B54,MMWR_TRAD_AGG_RO_COMP[],I$1,0),"ERROR")</f>
        <v>6146</v>
      </c>
      <c r="J54" s="224">
        <f t="shared" si="1"/>
        <v>0.66855215925160449</v>
      </c>
      <c r="K54" s="226">
        <f>IFERROR(VLOOKUP($B54,MMWR_TRAD_AGG_RO_COMP[],K$1,0),"ERROR")</f>
        <v>1184</v>
      </c>
      <c r="L54" s="227">
        <f>IFERROR(VLOOKUP($B54,MMWR_TRAD_AGG_RO_COMP[],L$1,0),"ERROR")</f>
        <v>746</v>
      </c>
      <c r="M54" s="224">
        <f t="shared" si="2"/>
        <v>0.63006756756756754</v>
      </c>
      <c r="N54" s="226">
        <f>IFERROR(VLOOKUP($B54,MMWR_TRAD_AGG_RO_COMP[],N$1,0),"ERROR")</f>
        <v>4329</v>
      </c>
      <c r="O54" s="227">
        <f>IFERROR(VLOOKUP($B54,MMWR_TRAD_AGG_RO_COMP[],O$1,0),"ERROR")</f>
        <v>3319</v>
      </c>
      <c r="P54" s="224">
        <f t="shared" si="3"/>
        <v>0.76668976668976674</v>
      </c>
      <c r="Q54" s="228">
        <f>IFERROR(VLOOKUP($B54,MMWR_TRAD_AGG_RO_COMP[],Q$1,0),"ERROR")</f>
        <v>2</v>
      </c>
      <c r="R54" s="228">
        <f>IFERROR(VLOOKUP($B54,MMWR_TRAD_AGG_RO_COMP[],R$1,0),"ERROR")</f>
        <v>29</v>
      </c>
      <c r="S54" s="202">
        <f>IFERROR(VLOOKUP($B54,MMWR_APP_RO[],S$1,0),"ERROR")</f>
        <v>4692</v>
      </c>
      <c r="T54" s="28"/>
    </row>
    <row r="55" spans="1:20" x14ac:dyDescent="0.2">
      <c r="A55" s="28"/>
      <c r="B55" s="108" t="s">
        <v>58</v>
      </c>
      <c r="C55" s="220">
        <f>IFERROR(VLOOKUP($B55,MMWR_TRAD_AGG_RO_COMP[],C$1,0),"ERROR")</f>
        <v>772</v>
      </c>
      <c r="D55" s="221">
        <f>IFERROR(VLOOKUP($B55,MMWR_TRAD_AGG_RO_COMP[],D$1,0),"ERROR")</f>
        <v>168.07512953369999</v>
      </c>
      <c r="E55" s="222">
        <f>IFERROR(VLOOKUP($B55,MMWR_TRAD_AGG_RO_COMP[],E$1,0),"ERROR")</f>
        <v>812</v>
      </c>
      <c r="F55" s="223">
        <f>IFERROR(VLOOKUP($B55,MMWR_TRAD_AGG_RO_COMP[],F$1,0),"ERROR")</f>
        <v>202</v>
      </c>
      <c r="G55" s="224">
        <f t="shared" si="0"/>
        <v>0.24876847290640394</v>
      </c>
      <c r="H55" s="225">
        <f>IFERROR(VLOOKUP($B55,MMWR_TRAD_AGG_RO_COMP[],H$1,0),"ERROR")</f>
        <v>897</v>
      </c>
      <c r="I55" s="223">
        <f>IFERROR(VLOOKUP($B55,MMWR_TRAD_AGG_RO_COMP[],I$1,0),"ERROR")</f>
        <v>412</v>
      </c>
      <c r="J55" s="224">
        <f t="shared" si="1"/>
        <v>0.45930880713489408</v>
      </c>
      <c r="K55" s="226">
        <f>IFERROR(VLOOKUP($B55,MMWR_TRAD_AGG_RO_COMP[],K$1,0),"ERROR")</f>
        <v>226</v>
      </c>
      <c r="L55" s="227">
        <f>IFERROR(VLOOKUP($B55,MMWR_TRAD_AGG_RO_COMP[],L$1,0),"ERROR")</f>
        <v>73</v>
      </c>
      <c r="M55" s="224">
        <f t="shared" si="2"/>
        <v>0.32300884955752213</v>
      </c>
      <c r="N55" s="226">
        <f>IFERROR(VLOOKUP($B55,MMWR_TRAD_AGG_RO_COMP[],N$1,0),"ERROR")</f>
        <v>723</v>
      </c>
      <c r="O55" s="227">
        <f>IFERROR(VLOOKUP($B55,MMWR_TRAD_AGG_RO_COMP[],O$1,0),"ERROR")</f>
        <v>373</v>
      </c>
      <c r="P55" s="224">
        <f t="shared" si="3"/>
        <v>0.51590594744121721</v>
      </c>
      <c r="Q55" s="228">
        <f>IFERROR(VLOOKUP($B55,MMWR_TRAD_AGG_RO_COMP[],Q$1,0),"ERROR")</f>
        <v>303</v>
      </c>
      <c r="R55" s="228">
        <f>IFERROR(VLOOKUP($B55,MMWR_TRAD_AGG_RO_COMP[],R$1,0),"ERROR")</f>
        <v>135</v>
      </c>
      <c r="S55" s="202">
        <f>IFERROR(VLOOKUP($B55,MMWR_APP_RO[],S$1,0),"ERROR")</f>
        <v>1003</v>
      </c>
      <c r="T55" s="28"/>
    </row>
    <row r="56" spans="1:20" x14ac:dyDescent="0.2">
      <c r="A56" s="28"/>
      <c r="B56" s="108" t="s">
        <v>65</v>
      </c>
      <c r="C56" s="220">
        <f>IFERROR(VLOOKUP($B56,MMWR_TRAD_AGG_RO_COMP[],C$1,0),"ERROR")</f>
        <v>10071</v>
      </c>
      <c r="D56" s="221">
        <f>IFERROR(VLOOKUP($B56,MMWR_TRAD_AGG_RO_COMP[],D$1,0),"ERROR")</f>
        <v>393.0836063946</v>
      </c>
      <c r="E56" s="222">
        <f>IFERROR(VLOOKUP($B56,MMWR_TRAD_AGG_RO_COMP[],E$1,0),"ERROR")</f>
        <v>11130</v>
      </c>
      <c r="F56" s="223">
        <f>IFERROR(VLOOKUP($B56,MMWR_TRAD_AGG_RO_COMP[],F$1,0),"ERROR")</f>
        <v>2299</v>
      </c>
      <c r="G56" s="224">
        <f t="shared" si="0"/>
        <v>0.20655884995507637</v>
      </c>
      <c r="H56" s="225">
        <f>IFERROR(VLOOKUP($B56,MMWR_TRAD_AGG_RO_COMP[],H$1,0),"ERROR")</f>
        <v>13381</v>
      </c>
      <c r="I56" s="223">
        <f>IFERROR(VLOOKUP($B56,MMWR_TRAD_AGG_RO_COMP[],I$1,0),"ERROR")</f>
        <v>10117</v>
      </c>
      <c r="J56" s="224">
        <f t="shared" si="1"/>
        <v>0.75607204244824755</v>
      </c>
      <c r="K56" s="226">
        <f>IFERROR(VLOOKUP($B56,MMWR_TRAD_AGG_RO_COMP[],K$1,0),"ERROR")</f>
        <v>5069</v>
      </c>
      <c r="L56" s="227">
        <f>IFERROR(VLOOKUP($B56,MMWR_TRAD_AGG_RO_COMP[],L$1,0),"ERROR")</f>
        <v>4485</v>
      </c>
      <c r="M56" s="224">
        <f t="shared" si="2"/>
        <v>0.88478989938843955</v>
      </c>
      <c r="N56" s="226">
        <f>IFERROR(VLOOKUP($B56,MMWR_TRAD_AGG_RO_COMP[],N$1,0),"ERROR")</f>
        <v>2014</v>
      </c>
      <c r="O56" s="227">
        <f>IFERROR(VLOOKUP($B56,MMWR_TRAD_AGG_RO_COMP[],O$1,0),"ERROR")</f>
        <v>1571</v>
      </c>
      <c r="P56" s="224">
        <f t="shared" si="3"/>
        <v>0.78003972194637539</v>
      </c>
      <c r="Q56" s="228">
        <f>IFERROR(VLOOKUP($B56,MMWR_TRAD_AGG_RO_COMP[],Q$1,0),"ERROR")</f>
        <v>0</v>
      </c>
      <c r="R56" s="228">
        <f>IFERROR(VLOOKUP($B56,MMWR_TRAD_AGG_RO_COMP[],R$1,0),"ERROR")</f>
        <v>28</v>
      </c>
      <c r="S56" s="202">
        <f>IFERROR(VLOOKUP($B56,MMWR_APP_RO[],S$1,0),"ERROR")</f>
        <v>8776</v>
      </c>
      <c r="T56" s="28"/>
    </row>
    <row r="57" spans="1:20" x14ac:dyDescent="0.2">
      <c r="A57" s="28"/>
      <c r="B57" s="108" t="s">
        <v>67</v>
      </c>
      <c r="C57" s="220">
        <f>IFERROR(VLOOKUP($B57,MMWR_TRAD_AGG_RO_COMP[],C$1,0),"ERROR")</f>
        <v>4729</v>
      </c>
      <c r="D57" s="221">
        <f>IFERROR(VLOOKUP($B57,MMWR_TRAD_AGG_RO_COMP[],D$1,0),"ERROR")</f>
        <v>254.76696976100001</v>
      </c>
      <c r="E57" s="222">
        <f>IFERROR(VLOOKUP($B57,MMWR_TRAD_AGG_RO_COMP[],E$1,0),"ERROR")</f>
        <v>4375</v>
      </c>
      <c r="F57" s="223">
        <f>IFERROR(VLOOKUP($B57,MMWR_TRAD_AGG_RO_COMP[],F$1,0),"ERROR")</f>
        <v>986</v>
      </c>
      <c r="G57" s="224">
        <f t="shared" si="0"/>
        <v>0.22537142857142858</v>
      </c>
      <c r="H57" s="225">
        <f>IFERROR(VLOOKUP($B57,MMWR_TRAD_AGG_RO_COMP[],H$1,0),"ERROR")</f>
        <v>5762</v>
      </c>
      <c r="I57" s="223">
        <f>IFERROR(VLOOKUP($B57,MMWR_TRAD_AGG_RO_COMP[],I$1,0),"ERROR")</f>
        <v>3322</v>
      </c>
      <c r="J57" s="224">
        <f t="shared" si="1"/>
        <v>0.57653592502603268</v>
      </c>
      <c r="K57" s="226">
        <f>IFERROR(VLOOKUP($B57,MMWR_TRAD_AGG_RO_COMP[],K$1,0),"ERROR")</f>
        <v>990</v>
      </c>
      <c r="L57" s="227">
        <f>IFERROR(VLOOKUP($B57,MMWR_TRAD_AGG_RO_COMP[],L$1,0),"ERROR")</f>
        <v>203</v>
      </c>
      <c r="M57" s="224">
        <f t="shared" si="2"/>
        <v>0.20505050505050504</v>
      </c>
      <c r="N57" s="226">
        <f>IFERROR(VLOOKUP($B57,MMWR_TRAD_AGG_RO_COMP[],N$1,0),"ERROR")</f>
        <v>2259</v>
      </c>
      <c r="O57" s="227">
        <f>IFERROR(VLOOKUP($B57,MMWR_TRAD_AGG_RO_COMP[],O$1,0),"ERROR")</f>
        <v>1873</v>
      </c>
      <c r="P57" s="224">
        <f t="shared" si="3"/>
        <v>0.82912793271359009</v>
      </c>
      <c r="Q57" s="228">
        <f>IFERROR(VLOOKUP($B57,MMWR_TRAD_AGG_RO_COMP[],Q$1,0),"ERROR")</f>
        <v>2</v>
      </c>
      <c r="R57" s="228">
        <f>IFERROR(VLOOKUP($B57,MMWR_TRAD_AGG_RO_COMP[],R$1,0),"ERROR")</f>
        <v>67</v>
      </c>
      <c r="S57" s="202">
        <f>IFERROR(VLOOKUP($B57,MMWR_APP_RO[],S$1,0),"ERROR")</f>
        <v>7133</v>
      </c>
      <c r="T57" s="28"/>
    </row>
    <row r="58" spans="1:20" x14ac:dyDescent="0.2">
      <c r="A58" s="28"/>
      <c r="B58" s="108" t="s">
        <v>69</v>
      </c>
      <c r="C58" s="220">
        <f>IFERROR(VLOOKUP($B58,MMWR_TRAD_AGG_RO_COMP[],C$1,0),"ERROR")</f>
        <v>7740</v>
      </c>
      <c r="D58" s="221">
        <f>IFERROR(VLOOKUP($B58,MMWR_TRAD_AGG_RO_COMP[],D$1,0),"ERROR")</f>
        <v>411.23410852709998</v>
      </c>
      <c r="E58" s="222">
        <f>IFERROR(VLOOKUP($B58,MMWR_TRAD_AGG_RO_COMP[],E$1,0),"ERROR")</f>
        <v>4492</v>
      </c>
      <c r="F58" s="223">
        <f>IFERROR(VLOOKUP($B58,MMWR_TRAD_AGG_RO_COMP[],F$1,0),"ERROR")</f>
        <v>1204</v>
      </c>
      <c r="G58" s="224">
        <f t="shared" si="0"/>
        <v>0.26803205699020483</v>
      </c>
      <c r="H58" s="225">
        <f>IFERROR(VLOOKUP($B58,MMWR_TRAD_AGG_RO_COMP[],H$1,0),"ERROR")</f>
        <v>9832</v>
      </c>
      <c r="I58" s="223">
        <f>IFERROR(VLOOKUP($B58,MMWR_TRAD_AGG_RO_COMP[],I$1,0),"ERROR")</f>
        <v>7322</v>
      </c>
      <c r="J58" s="224">
        <f t="shared" si="1"/>
        <v>0.74471114727420662</v>
      </c>
      <c r="K58" s="226">
        <f>IFERROR(VLOOKUP($B58,MMWR_TRAD_AGG_RO_COMP[],K$1,0),"ERROR")</f>
        <v>3469</v>
      </c>
      <c r="L58" s="227">
        <f>IFERROR(VLOOKUP($B58,MMWR_TRAD_AGG_RO_COMP[],L$1,0),"ERROR")</f>
        <v>2902</v>
      </c>
      <c r="M58" s="224">
        <f t="shared" si="2"/>
        <v>0.83655232055347362</v>
      </c>
      <c r="N58" s="226">
        <f>IFERROR(VLOOKUP($B58,MMWR_TRAD_AGG_RO_COMP[],N$1,0),"ERROR")</f>
        <v>1643</v>
      </c>
      <c r="O58" s="227">
        <f>IFERROR(VLOOKUP($B58,MMWR_TRAD_AGG_RO_COMP[],O$1,0),"ERROR")</f>
        <v>806</v>
      </c>
      <c r="P58" s="224">
        <f t="shared" si="3"/>
        <v>0.49056603773584906</v>
      </c>
      <c r="Q58" s="228">
        <f>IFERROR(VLOOKUP($B58,MMWR_TRAD_AGG_RO_COMP[],Q$1,0),"ERROR")</f>
        <v>0</v>
      </c>
      <c r="R58" s="228">
        <f>IFERROR(VLOOKUP($B58,MMWR_TRAD_AGG_RO_COMP[],R$1,0),"ERROR")</f>
        <v>68</v>
      </c>
      <c r="S58" s="202">
        <f>IFERROR(VLOOKUP($B58,MMWR_APP_RO[],S$1,0),"ERROR")</f>
        <v>5395</v>
      </c>
      <c r="T58" s="28"/>
    </row>
    <row r="59" spans="1:20" x14ac:dyDescent="0.2">
      <c r="A59" s="28"/>
      <c r="B59" s="108" t="s">
        <v>71</v>
      </c>
      <c r="C59" s="220">
        <f>IFERROR(VLOOKUP($B59,MMWR_TRAD_AGG_RO_COMP[],C$1,0),"ERROR")</f>
        <v>3484</v>
      </c>
      <c r="D59" s="221">
        <f>IFERROR(VLOOKUP($B59,MMWR_TRAD_AGG_RO_COMP[],D$1,0),"ERROR")</f>
        <v>495.59873708380002</v>
      </c>
      <c r="E59" s="222">
        <f>IFERROR(VLOOKUP($B59,MMWR_TRAD_AGG_RO_COMP[],E$1,0),"ERROR")</f>
        <v>3552</v>
      </c>
      <c r="F59" s="223">
        <f>IFERROR(VLOOKUP($B59,MMWR_TRAD_AGG_RO_COMP[],F$1,0),"ERROR")</f>
        <v>762</v>
      </c>
      <c r="G59" s="224">
        <f t="shared" si="0"/>
        <v>0.21452702702702703</v>
      </c>
      <c r="H59" s="225">
        <f>IFERROR(VLOOKUP($B59,MMWR_TRAD_AGG_RO_COMP[],H$1,0),"ERROR")</f>
        <v>4000</v>
      </c>
      <c r="I59" s="223">
        <f>IFERROR(VLOOKUP($B59,MMWR_TRAD_AGG_RO_COMP[],I$1,0),"ERROR")</f>
        <v>2868</v>
      </c>
      <c r="J59" s="224">
        <f t="shared" si="1"/>
        <v>0.71699999999999997</v>
      </c>
      <c r="K59" s="226">
        <f>IFERROR(VLOOKUP($B59,MMWR_TRAD_AGG_RO_COMP[],K$1,0),"ERROR")</f>
        <v>417</v>
      </c>
      <c r="L59" s="227">
        <f>IFERROR(VLOOKUP($B59,MMWR_TRAD_AGG_RO_COMP[],L$1,0),"ERROR")</f>
        <v>296</v>
      </c>
      <c r="M59" s="224">
        <f t="shared" si="2"/>
        <v>0.70983213429256597</v>
      </c>
      <c r="N59" s="226">
        <f>IFERROR(VLOOKUP($B59,MMWR_TRAD_AGG_RO_COMP[],N$1,0),"ERROR")</f>
        <v>1008</v>
      </c>
      <c r="O59" s="227">
        <f>IFERROR(VLOOKUP($B59,MMWR_TRAD_AGG_RO_COMP[],O$1,0),"ERROR")</f>
        <v>669</v>
      </c>
      <c r="P59" s="224">
        <f t="shared" si="3"/>
        <v>0.66369047619047616</v>
      </c>
      <c r="Q59" s="228">
        <f>IFERROR(VLOOKUP($B59,MMWR_TRAD_AGG_RO_COMP[],Q$1,0),"ERROR")</f>
        <v>0</v>
      </c>
      <c r="R59" s="228">
        <f>IFERROR(VLOOKUP($B59,MMWR_TRAD_AGG_RO_COMP[],R$1,0),"ERROR")</f>
        <v>112</v>
      </c>
      <c r="S59" s="202">
        <f>IFERROR(VLOOKUP($B59,MMWR_APP_RO[],S$1,0),"ERROR")</f>
        <v>2993</v>
      </c>
      <c r="T59" s="28"/>
    </row>
    <row r="60" spans="1:20" x14ac:dyDescent="0.2">
      <c r="A60" s="28"/>
      <c r="B60" s="108" t="s">
        <v>74</v>
      </c>
      <c r="C60" s="220">
        <f>IFERROR(VLOOKUP($B60,MMWR_TRAD_AGG_RO_COMP[],C$1,0),"ERROR")</f>
        <v>7224</v>
      </c>
      <c r="D60" s="221">
        <f>IFERROR(VLOOKUP($B60,MMWR_TRAD_AGG_RO_COMP[],D$1,0),"ERROR")</f>
        <v>332.73408084160002</v>
      </c>
      <c r="E60" s="222">
        <f>IFERROR(VLOOKUP($B60,MMWR_TRAD_AGG_RO_COMP[],E$1,0),"ERROR")</f>
        <v>12566</v>
      </c>
      <c r="F60" s="223">
        <f>IFERROR(VLOOKUP($B60,MMWR_TRAD_AGG_RO_COMP[],F$1,0),"ERROR")</f>
        <v>1849</v>
      </c>
      <c r="G60" s="224">
        <f t="shared" si="0"/>
        <v>0.14714308451376731</v>
      </c>
      <c r="H60" s="225">
        <f>IFERROR(VLOOKUP($B60,MMWR_TRAD_AGG_RO_COMP[],H$1,0),"ERROR")</f>
        <v>16658</v>
      </c>
      <c r="I60" s="223">
        <f>IFERROR(VLOOKUP($B60,MMWR_TRAD_AGG_RO_COMP[],I$1,0),"ERROR")</f>
        <v>7722</v>
      </c>
      <c r="J60" s="224">
        <f t="shared" si="1"/>
        <v>0.46356105174690837</v>
      </c>
      <c r="K60" s="226">
        <f>IFERROR(VLOOKUP($B60,MMWR_TRAD_AGG_RO_COMP[],K$1,0),"ERROR")</f>
        <v>3721</v>
      </c>
      <c r="L60" s="227">
        <f>IFERROR(VLOOKUP($B60,MMWR_TRAD_AGG_RO_COMP[],L$1,0),"ERROR")</f>
        <v>1559</v>
      </c>
      <c r="M60" s="224">
        <f t="shared" si="2"/>
        <v>0.41897339424885782</v>
      </c>
      <c r="N60" s="226">
        <f>IFERROR(VLOOKUP($B60,MMWR_TRAD_AGG_RO_COMP[],N$1,0),"ERROR")</f>
        <v>2004</v>
      </c>
      <c r="O60" s="227">
        <f>IFERROR(VLOOKUP($B60,MMWR_TRAD_AGG_RO_COMP[],O$1,0),"ERROR")</f>
        <v>1436</v>
      </c>
      <c r="P60" s="224">
        <f t="shared" si="3"/>
        <v>0.71656686626746502</v>
      </c>
      <c r="Q60" s="228">
        <f>IFERROR(VLOOKUP($B60,MMWR_TRAD_AGG_RO_COMP[],Q$1,0),"ERROR")</f>
        <v>0</v>
      </c>
      <c r="R60" s="228">
        <f>IFERROR(VLOOKUP($B60,MMWR_TRAD_AGG_RO_COMP[],R$1,0),"ERROR")</f>
        <v>61</v>
      </c>
      <c r="S60" s="202">
        <f>IFERROR(VLOOKUP($B60,MMWR_APP_RO[],S$1,0),"ERROR")</f>
        <v>4369</v>
      </c>
      <c r="T60" s="28"/>
    </row>
    <row r="61" spans="1:20" x14ac:dyDescent="0.2">
      <c r="A61" s="28"/>
      <c r="B61" s="116" t="s">
        <v>76</v>
      </c>
      <c r="C61" s="229">
        <f>IFERROR(VLOOKUP($B61,MMWR_TRAD_AGG_RO_COMP[],C$1,0),"ERROR")</f>
        <v>12698</v>
      </c>
      <c r="D61" s="230">
        <f>IFERROR(VLOOKUP($B61,MMWR_TRAD_AGG_RO_COMP[],D$1,0),"ERROR")</f>
        <v>403.09781067879999</v>
      </c>
      <c r="E61" s="231">
        <f>IFERROR(VLOOKUP($B61,MMWR_TRAD_AGG_RO_COMP[],E$1,0),"ERROR")</f>
        <v>7699</v>
      </c>
      <c r="F61" s="232">
        <f>IFERROR(VLOOKUP($B61,MMWR_TRAD_AGG_RO_COMP[],F$1,0),"ERROR")</f>
        <v>1286</v>
      </c>
      <c r="G61" s="233">
        <f t="shared" si="0"/>
        <v>0.16703467982854917</v>
      </c>
      <c r="H61" s="234">
        <f>IFERROR(VLOOKUP($B61,MMWR_TRAD_AGG_RO_COMP[],H$1,0),"ERROR")</f>
        <v>17714</v>
      </c>
      <c r="I61" s="232">
        <f>IFERROR(VLOOKUP($B61,MMWR_TRAD_AGG_RO_COMP[],I$1,0),"ERROR")</f>
        <v>12634</v>
      </c>
      <c r="J61" s="233">
        <f t="shared" si="1"/>
        <v>0.7132211809867901</v>
      </c>
      <c r="K61" s="235">
        <f>IFERROR(VLOOKUP($B61,MMWR_TRAD_AGG_RO_COMP[],K$1,0),"ERROR")</f>
        <v>5097</v>
      </c>
      <c r="L61" s="236">
        <f>IFERROR(VLOOKUP($B61,MMWR_TRAD_AGG_RO_COMP[],L$1,0),"ERROR")</f>
        <v>3542</v>
      </c>
      <c r="M61" s="233">
        <f t="shared" si="2"/>
        <v>0.69491857955660197</v>
      </c>
      <c r="N61" s="235">
        <f>IFERROR(VLOOKUP($B61,MMWR_TRAD_AGG_RO_COMP[],N$1,0),"ERROR")</f>
        <v>4341</v>
      </c>
      <c r="O61" s="236">
        <f>IFERROR(VLOOKUP($B61,MMWR_TRAD_AGG_RO_COMP[],O$1,0),"ERROR")</f>
        <v>3841</v>
      </c>
      <c r="P61" s="233">
        <f t="shared" si="3"/>
        <v>0.8848191660907625</v>
      </c>
      <c r="Q61" s="237">
        <f>IFERROR(VLOOKUP($B61,MMWR_TRAD_AGG_RO_COMP[],Q$1,0),"ERROR")</f>
        <v>4</v>
      </c>
      <c r="R61" s="237">
        <f>IFERROR(VLOOKUP($B61,MMWR_TRAD_AGG_RO_COMP[],R$1,0),"ERROR")</f>
        <v>142</v>
      </c>
      <c r="S61" s="202">
        <f>IFERROR(VLOOKUP($B61,MMWR_APP_RO[],S$1,0),"ERROR")</f>
        <v>5048</v>
      </c>
      <c r="T61" s="28"/>
    </row>
    <row r="62" spans="1:20" x14ac:dyDescent="0.2">
      <c r="A62" s="28"/>
      <c r="B62" s="101" t="s">
        <v>387</v>
      </c>
      <c r="C62" s="213">
        <f>IFERROR(VLOOKUP($B62,MMWR_TRAD_AGG_DISTRICT_COMP[],C$1,0),"ERROR")</f>
        <v>69616</v>
      </c>
      <c r="D62" s="198">
        <f>IFERROR(VLOOKUP($B62,MMWR_TRAD_AGG_DISTRICT_COMP[],D$1,0),"ERROR")</f>
        <v>341.32904791999999</v>
      </c>
      <c r="E62" s="214">
        <f>IFERROR(VLOOKUP($B62,MMWR_TRAD_AGG_DISTRICT_COMP[],E$1,0),"ERROR")</f>
        <v>75733</v>
      </c>
      <c r="F62" s="219">
        <f>IFERROR(VLOOKUP($B62,MMWR_TRAD_AGG_DISTRICT_COMP[],F$1,0),"ERROR")</f>
        <v>17363</v>
      </c>
      <c r="G62" s="215">
        <f t="shared" si="0"/>
        <v>0.22926597388192729</v>
      </c>
      <c r="H62" s="219">
        <f>IFERROR(VLOOKUP($B62,MMWR_TRAD_AGG_DISTRICT_COMP[],H$1,0),"ERROR")</f>
        <v>99685</v>
      </c>
      <c r="I62" s="219">
        <f>IFERROR(VLOOKUP($B62,MMWR_TRAD_AGG_DISTRICT_COMP[],I$1,0),"ERROR")</f>
        <v>63905</v>
      </c>
      <c r="J62" s="215">
        <f t="shared" si="1"/>
        <v>0.64106936851080909</v>
      </c>
      <c r="K62" s="213">
        <f>IFERROR(VLOOKUP($B62,MMWR_TRAD_AGG_DISTRICT_COMP[],K$1,0),"ERROR")</f>
        <v>23928</v>
      </c>
      <c r="L62" s="213">
        <f>IFERROR(VLOOKUP($B62,MMWR_TRAD_AGG_DISTRICT_COMP[],L$1,0),"ERROR")</f>
        <v>16946</v>
      </c>
      <c r="M62" s="215">
        <f t="shared" si="2"/>
        <v>0.70820795720494822</v>
      </c>
      <c r="N62" s="213">
        <f>IFERROR(VLOOKUP($B62,MMWR_TRAD_AGG_DISTRICT_COMP[],N$1,0),"ERROR")</f>
        <v>27241</v>
      </c>
      <c r="O62" s="213">
        <f>IFERROR(VLOOKUP($B62,MMWR_TRAD_AGG_DISTRICT_COMP[],O$1,0),"ERROR")</f>
        <v>17842</v>
      </c>
      <c r="P62" s="215">
        <f t="shared" si="3"/>
        <v>0.65496861348702329</v>
      </c>
      <c r="Q62" s="213">
        <f>IFERROR(VLOOKUP($B62,MMWR_TRAD_AGG_DISTRICT_COMP[],Q$1,0),"ERROR")</f>
        <v>145</v>
      </c>
      <c r="R62" s="216">
        <f>IFERROR(VLOOKUP($B62,MMWR_TRAD_AGG_DISTRICT_COMP[],R$1,0),"ERROR")</f>
        <v>1102</v>
      </c>
      <c r="S62" s="216">
        <f>IFERROR(VLOOKUP($B62,MMWR_APP_RO[],S$1,0),"ERROR")</f>
        <v>86642</v>
      </c>
      <c r="T62" s="28"/>
    </row>
    <row r="63" spans="1:20" x14ac:dyDescent="0.2">
      <c r="A63" s="28"/>
      <c r="B63" s="108" t="s">
        <v>25</v>
      </c>
      <c r="C63" s="220">
        <f>IFERROR(VLOOKUP($B63,MMWR_TRAD_AGG_RO_COMP[],C$1,0),"ERROR")</f>
        <v>13743</v>
      </c>
      <c r="D63" s="221">
        <f>IFERROR(VLOOKUP($B63,MMWR_TRAD_AGG_RO_COMP[],D$1,0),"ERROR")</f>
        <v>347.15724368769997</v>
      </c>
      <c r="E63" s="222">
        <f>IFERROR(VLOOKUP($B63,MMWR_TRAD_AGG_RO_COMP[],E$1,0),"ERROR")</f>
        <v>18120</v>
      </c>
      <c r="F63" s="223">
        <f>IFERROR(VLOOKUP($B63,MMWR_TRAD_AGG_RO_COMP[],F$1,0),"ERROR")</f>
        <v>3934</v>
      </c>
      <c r="G63" s="224">
        <f t="shared" si="0"/>
        <v>0.21710816777041941</v>
      </c>
      <c r="H63" s="225">
        <f>IFERROR(VLOOKUP($B63,MMWR_TRAD_AGG_RO_COMP[],H$1,0),"ERROR")</f>
        <v>18930</v>
      </c>
      <c r="I63" s="223">
        <f>IFERROR(VLOOKUP($B63,MMWR_TRAD_AGG_RO_COMP[],I$1,0),"ERROR")</f>
        <v>13072</v>
      </c>
      <c r="J63" s="224">
        <f t="shared" si="1"/>
        <v>0.69054410987849979</v>
      </c>
      <c r="K63" s="226">
        <f>IFERROR(VLOOKUP($B63,MMWR_TRAD_AGG_RO_COMP[],K$1,0),"ERROR")</f>
        <v>5637</v>
      </c>
      <c r="L63" s="227">
        <f>IFERROR(VLOOKUP($B63,MMWR_TRAD_AGG_RO_COMP[],L$1,0),"ERROR")</f>
        <v>3952</v>
      </c>
      <c r="M63" s="224">
        <f t="shared" si="2"/>
        <v>0.7010821358878836</v>
      </c>
      <c r="N63" s="226">
        <f>IFERROR(VLOOKUP($B63,MMWR_TRAD_AGG_RO_COMP[],N$1,0),"ERROR")</f>
        <v>10913</v>
      </c>
      <c r="O63" s="227">
        <f>IFERROR(VLOOKUP($B63,MMWR_TRAD_AGG_RO_COMP[],O$1,0),"ERROR")</f>
        <v>7759</v>
      </c>
      <c r="P63" s="224">
        <f t="shared" si="3"/>
        <v>0.71098689636213686</v>
      </c>
      <c r="Q63" s="228">
        <f>IFERROR(VLOOKUP($B63,MMWR_TRAD_AGG_RO_COMP[],Q$1,0),"ERROR")</f>
        <v>62</v>
      </c>
      <c r="R63" s="228">
        <f>IFERROR(VLOOKUP($B63,MMWR_TRAD_AGG_RO_COMP[],R$1,0),"ERROR")</f>
        <v>6</v>
      </c>
      <c r="S63" s="202">
        <f>IFERROR(VLOOKUP($B63,MMWR_APP_RO[],S$1,0),"ERROR")</f>
        <v>17284</v>
      </c>
      <c r="T63" s="28"/>
    </row>
    <row r="64" spans="1:20" x14ac:dyDescent="0.2">
      <c r="A64" s="28"/>
      <c r="B64" s="108" t="s">
        <v>42</v>
      </c>
      <c r="C64" s="220">
        <f>IFERROR(VLOOKUP($B64,MMWR_TRAD_AGG_RO_COMP[],C$1,0),"ERROR")</f>
        <v>10941</v>
      </c>
      <c r="D64" s="221">
        <f>IFERROR(VLOOKUP($B64,MMWR_TRAD_AGG_RO_COMP[],D$1,0),"ERROR")</f>
        <v>298.26825701489997</v>
      </c>
      <c r="E64" s="222">
        <f>IFERROR(VLOOKUP($B64,MMWR_TRAD_AGG_RO_COMP[],E$1,0),"ERROR")</f>
        <v>9205</v>
      </c>
      <c r="F64" s="223">
        <f>IFERROR(VLOOKUP($B64,MMWR_TRAD_AGG_RO_COMP[],F$1,0),"ERROR")</f>
        <v>2376</v>
      </c>
      <c r="G64" s="224">
        <f t="shared" si="0"/>
        <v>0.25812058663769688</v>
      </c>
      <c r="H64" s="225">
        <f>IFERROR(VLOOKUP($B64,MMWR_TRAD_AGG_RO_COMP[],H$1,0),"ERROR")</f>
        <v>20553</v>
      </c>
      <c r="I64" s="223">
        <f>IFERROR(VLOOKUP($B64,MMWR_TRAD_AGG_RO_COMP[],I$1,0),"ERROR")</f>
        <v>12146</v>
      </c>
      <c r="J64" s="224">
        <f t="shared" si="1"/>
        <v>0.59095995718386607</v>
      </c>
      <c r="K64" s="226">
        <f>IFERROR(VLOOKUP($B64,MMWR_TRAD_AGG_RO_COMP[],K$1,0),"ERROR")</f>
        <v>3320</v>
      </c>
      <c r="L64" s="227">
        <f>IFERROR(VLOOKUP($B64,MMWR_TRAD_AGG_RO_COMP[],L$1,0),"ERROR")</f>
        <v>2433</v>
      </c>
      <c r="M64" s="224">
        <f t="shared" si="2"/>
        <v>0.73283132530120487</v>
      </c>
      <c r="N64" s="226">
        <f>IFERROR(VLOOKUP($B64,MMWR_TRAD_AGG_RO_COMP[],N$1,0),"ERROR")</f>
        <v>1446</v>
      </c>
      <c r="O64" s="227">
        <f>IFERROR(VLOOKUP($B64,MMWR_TRAD_AGG_RO_COMP[],O$1,0),"ERROR")</f>
        <v>1048</v>
      </c>
      <c r="P64" s="224">
        <f t="shared" si="3"/>
        <v>0.72475795297372059</v>
      </c>
      <c r="Q64" s="228">
        <f>IFERROR(VLOOKUP($B64,MMWR_TRAD_AGG_RO_COMP[],Q$1,0),"ERROR")</f>
        <v>1</v>
      </c>
      <c r="R64" s="228">
        <f>IFERROR(VLOOKUP($B64,MMWR_TRAD_AGG_RO_COMP[],R$1,0),"ERROR")</f>
        <v>52</v>
      </c>
      <c r="S64" s="202">
        <f>IFERROR(VLOOKUP($B64,MMWR_APP_RO[],S$1,0),"ERROR")</f>
        <v>12585</v>
      </c>
      <c r="T64" s="28"/>
    </row>
    <row r="65" spans="1:20" x14ac:dyDescent="0.2">
      <c r="A65" s="28"/>
      <c r="B65" s="108" t="s">
        <v>56</v>
      </c>
      <c r="C65" s="220">
        <f>IFERROR(VLOOKUP($B65,MMWR_TRAD_AGG_RO_COMP[],C$1,0),"ERROR")</f>
        <v>7718</v>
      </c>
      <c r="D65" s="221">
        <f>IFERROR(VLOOKUP($B65,MMWR_TRAD_AGG_RO_COMP[],D$1,0),"ERROR")</f>
        <v>506.51075408140002</v>
      </c>
      <c r="E65" s="222">
        <f>IFERROR(VLOOKUP($B65,MMWR_TRAD_AGG_RO_COMP[],E$1,0),"ERROR")</f>
        <v>4650</v>
      </c>
      <c r="F65" s="223">
        <f>IFERROR(VLOOKUP($B65,MMWR_TRAD_AGG_RO_COMP[],F$1,0),"ERROR")</f>
        <v>1178</v>
      </c>
      <c r="G65" s="224">
        <f t="shared" si="0"/>
        <v>0.25333333333333335</v>
      </c>
      <c r="H65" s="225">
        <f>IFERROR(VLOOKUP($B65,MMWR_TRAD_AGG_RO_COMP[],H$1,0),"ERROR")</f>
        <v>12846</v>
      </c>
      <c r="I65" s="223">
        <f>IFERROR(VLOOKUP($B65,MMWR_TRAD_AGG_RO_COMP[],I$1,0),"ERROR")</f>
        <v>8294</v>
      </c>
      <c r="J65" s="224">
        <f t="shared" si="1"/>
        <v>0.64564845087965128</v>
      </c>
      <c r="K65" s="226">
        <f>IFERROR(VLOOKUP($B65,MMWR_TRAD_AGG_RO_COMP[],K$1,0),"ERROR")</f>
        <v>3161</v>
      </c>
      <c r="L65" s="227">
        <f>IFERROR(VLOOKUP($B65,MMWR_TRAD_AGG_RO_COMP[],L$1,0),"ERROR")</f>
        <v>2783</v>
      </c>
      <c r="M65" s="224">
        <f t="shared" si="2"/>
        <v>0.88041758937045234</v>
      </c>
      <c r="N65" s="226">
        <f>IFERROR(VLOOKUP($B65,MMWR_TRAD_AGG_RO_COMP[],N$1,0),"ERROR")</f>
        <v>684</v>
      </c>
      <c r="O65" s="227">
        <f>IFERROR(VLOOKUP($B65,MMWR_TRAD_AGG_RO_COMP[],O$1,0),"ERROR")</f>
        <v>359</v>
      </c>
      <c r="P65" s="224">
        <f t="shared" si="3"/>
        <v>0.52485380116959068</v>
      </c>
      <c r="Q65" s="228">
        <f>IFERROR(VLOOKUP($B65,MMWR_TRAD_AGG_RO_COMP[],Q$1,0),"ERROR")</f>
        <v>67</v>
      </c>
      <c r="R65" s="228">
        <f>IFERROR(VLOOKUP($B65,MMWR_TRAD_AGG_RO_COMP[],R$1,0),"ERROR")</f>
        <v>227</v>
      </c>
      <c r="S65" s="202">
        <f>IFERROR(VLOOKUP($B65,MMWR_APP_RO[],S$1,0),"ERROR")</f>
        <v>4790</v>
      </c>
      <c r="T65" s="28"/>
    </row>
    <row r="66" spans="1:20" x14ac:dyDescent="0.2">
      <c r="A66" s="28"/>
      <c r="B66" s="108" t="s">
        <v>60</v>
      </c>
      <c r="C66" s="220">
        <f>IFERROR(VLOOKUP($B66,MMWR_TRAD_AGG_RO_COMP[],C$1,0),"ERROR")</f>
        <v>13127</v>
      </c>
      <c r="D66" s="221">
        <f>IFERROR(VLOOKUP($B66,MMWR_TRAD_AGG_RO_COMP[],D$1,0),"ERROR")</f>
        <v>373.9318199132</v>
      </c>
      <c r="E66" s="222">
        <f>IFERROR(VLOOKUP($B66,MMWR_TRAD_AGG_RO_COMP[],E$1,0),"ERROR")</f>
        <v>7738</v>
      </c>
      <c r="F66" s="223">
        <f>IFERROR(VLOOKUP($B66,MMWR_TRAD_AGG_RO_COMP[],F$1,0),"ERROR")</f>
        <v>1337</v>
      </c>
      <c r="G66" s="224">
        <f t="shared" si="0"/>
        <v>0.17278366502972345</v>
      </c>
      <c r="H66" s="225">
        <f>IFERROR(VLOOKUP($B66,MMWR_TRAD_AGG_RO_COMP[],H$1,0),"ERROR")</f>
        <v>14735</v>
      </c>
      <c r="I66" s="223">
        <f>IFERROR(VLOOKUP($B66,MMWR_TRAD_AGG_RO_COMP[],I$1,0),"ERROR")</f>
        <v>10459</v>
      </c>
      <c r="J66" s="224">
        <f t="shared" si="1"/>
        <v>0.70980658296572785</v>
      </c>
      <c r="K66" s="226">
        <f>IFERROR(VLOOKUP($B66,MMWR_TRAD_AGG_RO_COMP[],K$1,0),"ERROR")</f>
        <v>4648</v>
      </c>
      <c r="L66" s="227">
        <f>IFERROR(VLOOKUP($B66,MMWR_TRAD_AGG_RO_COMP[],L$1,0),"ERROR")</f>
        <v>3742</v>
      </c>
      <c r="M66" s="224">
        <f t="shared" si="2"/>
        <v>0.80507745266781416</v>
      </c>
      <c r="N66" s="226">
        <f>IFERROR(VLOOKUP($B66,MMWR_TRAD_AGG_RO_COMP[],N$1,0),"ERROR")</f>
        <v>1723</v>
      </c>
      <c r="O66" s="227">
        <f>IFERROR(VLOOKUP($B66,MMWR_TRAD_AGG_RO_COMP[],O$1,0),"ERROR")</f>
        <v>1241</v>
      </c>
      <c r="P66" s="224">
        <f t="shared" si="3"/>
        <v>0.72025536854323857</v>
      </c>
      <c r="Q66" s="228">
        <f>IFERROR(VLOOKUP($B66,MMWR_TRAD_AGG_RO_COMP[],Q$1,0),"ERROR")</f>
        <v>0</v>
      </c>
      <c r="R66" s="228">
        <f>IFERROR(VLOOKUP($B66,MMWR_TRAD_AGG_RO_COMP[],R$1,0),"ERROR")</f>
        <v>344</v>
      </c>
      <c r="S66" s="202">
        <f>IFERROR(VLOOKUP($B66,MMWR_APP_RO[],S$1,0),"ERROR")</f>
        <v>10171</v>
      </c>
      <c r="T66" s="28"/>
    </row>
    <row r="67" spans="1:20" x14ac:dyDescent="0.2">
      <c r="A67" s="28"/>
      <c r="B67" s="108" t="s">
        <v>61</v>
      </c>
      <c r="C67" s="220">
        <f>IFERROR(VLOOKUP($B67,MMWR_TRAD_AGG_RO_COMP[],C$1,0),"ERROR")</f>
        <v>5348</v>
      </c>
      <c r="D67" s="221">
        <f>IFERROR(VLOOKUP($B67,MMWR_TRAD_AGG_RO_COMP[],D$1,0),"ERROR")</f>
        <v>229.3277860883</v>
      </c>
      <c r="E67" s="222">
        <f>IFERROR(VLOOKUP($B67,MMWR_TRAD_AGG_RO_COMP[],E$1,0),"ERROR")</f>
        <v>9836</v>
      </c>
      <c r="F67" s="223">
        <f>IFERROR(VLOOKUP($B67,MMWR_TRAD_AGG_RO_COMP[],F$1,0),"ERROR")</f>
        <v>2031</v>
      </c>
      <c r="G67" s="224">
        <f t="shared" si="0"/>
        <v>0.20648637657584384</v>
      </c>
      <c r="H67" s="225">
        <f>IFERROR(VLOOKUP($B67,MMWR_TRAD_AGG_RO_COMP[],H$1,0),"ERROR")</f>
        <v>9088</v>
      </c>
      <c r="I67" s="223">
        <f>IFERROR(VLOOKUP($B67,MMWR_TRAD_AGG_RO_COMP[],I$1,0),"ERROR")</f>
        <v>4499</v>
      </c>
      <c r="J67" s="224">
        <f t="shared" si="1"/>
        <v>0.49504841549295775</v>
      </c>
      <c r="K67" s="226">
        <f>IFERROR(VLOOKUP($B67,MMWR_TRAD_AGG_RO_COMP[],K$1,0),"ERROR")</f>
        <v>2642</v>
      </c>
      <c r="L67" s="227">
        <f>IFERROR(VLOOKUP($B67,MMWR_TRAD_AGG_RO_COMP[],L$1,0),"ERROR")</f>
        <v>1749</v>
      </c>
      <c r="M67" s="224">
        <f t="shared" si="2"/>
        <v>0.66199848599545796</v>
      </c>
      <c r="N67" s="226">
        <f>IFERROR(VLOOKUP($B67,MMWR_TRAD_AGG_RO_COMP[],N$1,0),"ERROR")</f>
        <v>1356</v>
      </c>
      <c r="O67" s="227">
        <f>IFERROR(VLOOKUP($B67,MMWR_TRAD_AGG_RO_COMP[],O$1,0),"ERROR")</f>
        <v>1010</v>
      </c>
      <c r="P67" s="224">
        <f t="shared" si="3"/>
        <v>0.74483775811209441</v>
      </c>
      <c r="Q67" s="228">
        <f>IFERROR(VLOOKUP($B67,MMWR_TRAD_AGG_RO_COMP[],Q$1,0),"ERROR")</f>
        <v>5</v>
      </c>
      <c r="R67" s="228">
        <f>IFERROR(VLOOKUP($B67,MMWR_TRAD_AGG_RO_COMP[],R$1,0),"ERROR")</f>
        <v>231</v>
      </c>
      <c r="S67" s="202">
        <f>IFERROR(VLOOKUP($B67,MMWR_APP_RO[],S$1,0),"ERROR")</f>
        <v>6337</v>
      </c>
      <c r="T67" s="28"/>
    </row>
    <row r="68" spans="1:20" x14ac:dyDescent="0.2">
      <c r="A68" s="28"/>
      <c r="B68" s="108" t="s">
        <v>75</v>
      </c>
      <c r="C68" s="220">
        <f>IFERROR(VLOOKUP($B68,MMWR_TRAD_AGG_RO_COMP[],C$1,0),"ERROR")</f>
        <v>2808</v>
      </c>
      <c r="D68" s="221">
        <f>IFERROR(VLOOKUP($B68,MMWR_TRAD_AGG_RO_COMP[],D$1,0),"ERROR")</f>
        <v>379.22970085470001</v>
      </c>
      <c r="E68" s="222">
        <f>IFERROR(VLOOKUP($B68,MMWR_TRAD_AGG_RO_COMP[],E$1,0),"ERROR")</f>
        <v>3312</v>
      </c>
      <c r="F68" s="223">
        <f>IFERROR(VLOOKUP($B68,MMWR_TRAD_AGG_RO_COMP[],F$1,0),"ERROR")</f>
        <v>750</v>
      </c>
      <c r="G68" s="224">
        <f t="shared" si="0"/>
        <v>0.22644927536231885</v>
      </c>
      <c r="H68" s="225">
        <f>IFERROR(VLOOKUP($B68,MMWR_TRAD_AGG_RO_COMP[],H$1,0),"ERROR")</f>
        <v>4121</v>
      </c>
      <c r="I68" s="223">
        <f>IFERROR(VLOOKUP($B68,MMWR_TRAD_AGG_RO_COMP[],I$1,0),"ERROR")</f>
        <v>3195</v>
      </c>
      <c r="J68" s="224">
        <f t="shared" si="1"/>
        <v>0.77529725794710025</v>
      </c>
      <c r="K68" s="226">
        <f>IFERROR(VLOOKUP($B68,MMWR_TRAD_AGG_RO_COMP[],K$1,0),"ERROR")</f>
        <v>820</v>
      </c>
      <c r="L68" s="227">
        <f>IFERROR(VLOOKUP($B68,MMWR_TRAD_AGG_RO_COMP[],L$1,0),"ERROR")</f>
        <v>614</v>
      </c>
      <c r="M68" s="224">
        <f t="shared" si="2"/>
        <v>0.74878048780487805</v>
      </c>
      <c r="N68" s="226">
        <f>IFERROR(VLOOKUP($B68,MMWR_TRAD_AGG_RO_COMP[],N$1,0),"ERROR")</f>
        <v>895</v>
      </c>
      <c r="O68" s="227">
        <f>IFERROR(VLOOKUP($B68,MMWR_TRAD_AGG_RO_COMP[],O$1,0),"ERROR")</f>
        <v>600</v>
      </c>
      <c r="P68" s="224">
        <f t="shared" si="3"/>
        <v>0.67039106145251393</v>
      </c>
      <c r="Q68" s="228">
        <f>IFERROR(VLOOKUP($B68,MMWR_TRAD_AGG_RO_COMP[],Q$1,0),"ERROR")</f>
        <v>0</v>
      </c>
      <c r="R68" s="228">
        <f>IFERROR(VLOOKUP($B68,MMWR_TRAD_AGG_RO_COMP[],R$1,0),"ERROR")</f>
        <v>1</v>
      </c>
      <c r="S68" s="202">
        <f>IFERROR(VLOOKUP($B68,MMWR_APP_RO[],S$1,0),"ERROR")</f>
        <v>6257</v>
      </c>
      <c r="T68" s="28"/>
    </row>
    <row r="69" spans="1:20" x14ac:dyDescent="0.2">
      <c r="A69" s="28"/>
      <c r="B69" s="116" t="s">
        <v>80</v>
      </c>
      <c r="C69" s="229">
        <f>IFERROR(VLOOKUP($B69,MMWR_TRAD_AGG_RO_COMP[],C$1,0),"ERROR")</f>
        <v>15931</v>
      </c>
      <c r="D69" s="230">
        <f>IFERROR(VLOOKUP($B69,MMWR_TRAD_AGG_RO_COMP[],D$1,0),"ERROR")</f>
        <v>289.90352143619998</v>
      </c>
      <c r="E69" s="231">
        <f>IFERROR(VLOOKUP($B69,MMWR_TRAD_AGG_RO_COMP[],E$1,0),"ERROR")</f>
        <v>22872</v>
      </c>
      <c r="F69" s="232">
        <f>IFERROR(VLOOKUP($B69,MMWR_TRAD_AGG_RO_COMP[],F$1,0),"ERROR")</f>
        <v>5757</v>
      </c>
      <c r="G69" s="233">
        <f t="shared" si="0"/>
        <v>0.25170514165792235</v>
      </c>
      <c r="H69" s="234">
        <f>IFERROR(VLOOKUP($B69,MMWR_TRAD_AGG_RO_COMP[],H$1,0),"ERROR")</f>
        <v>19412</v>
      </c>
      <c r="I69" s="232">
        <f>IFERROR(VLOOKUP($B69,MMWR_TRAD_AGG_RO_COMP[],I$1,0),"ERROR")</f>
        <v>12240</v>
      </c>
      <c r="J69" s="233">
        <f t="shared" si="1"/>
        <v>0.63053781166288891</v>
      </c>
      <c r="K69" s="235">
        <f>IFERROR(VLOOKUP($B69,MMWR_TRAD_AGG_RO_COMP[],K$1,0),"ERROR")</f>
        <v>3700</v>
      </c>
      <c r="L69" s="236">
        <f>IFERROR(VLOOKUP($B69,MMWR_TRAD_AGG_RO_COMP[],L$1,0),"ERROR")</f>
        <v>1673</v>
      </c>
      <c r="M69" s="233">
        <f t="shared" si="2"/>
        <v>0.45216216216216215</v>
      </c>
      <c r="N69" s="235">
        <f>IFERROR(VLOOKUP($B69,MMWR_TRAD_AGG_RO_COMP[],N$1,0),"ERROR")</f>
        <v>10224</v>
      </c>
      <c r="O69" s="236">
        <f>IFERROR(VLOOKUP($B69,MMWR_TRAD_AGG_RO_COMP[],O$1,0),"ERROR")</f>
        <v>5825</v>
      </c>
      <c r="P69" s="233">
        <f t="shared" si="3"/>
        <v>0.56973787167449141</v>
      </c>
      <c r="Q69" s="237">
        <f>IFERROR(VLOOKUP($B69,MMWR_TRAD_AGG_RO_COMP[],Q$1,0),"ERROR")</f>
        <v>10</v>
      </c>
      <c r="R69" s="237">
        <f>IFERROR(VLOOKUP($B69,MMWR_TRAD_AGG_RO_COMP[],R$1,0),"ERROR")</f>
        <v>241</v>
      </c>
      <c r="S69" s="202">
        <f>IFERROR(VLOOKUP($B69,MMWR_APP_RO[],S$1,0),"ERROR")</f>
        <v>29218</v>
      </c>
      <c r="T69" s="28"/>
    </row>
    <row r="70" spans="1:20" x14ac:dyDescent="0.2">
      <c r="A70" s="28"/>
      <c r="B70" s="101" t="s">
        <v>8</v>
      </c>
      <c r="C70" s="213">
        <f>IFERROR(VLOOKUP($B70,MMWR_TRAD_AGG_RO_COMP[],C$1,0),"ERROR")</f>
        <v>54</v>
      </c>
      <c r="D70" s="198">
        <f>IFERROR(VLOOKUP($B70,MMWR_TRAD_AGG_RO_COMP[],D$1,0),"ERROR")</f>
        <v>862.44444444440001</v>
      </c>
      <c r="E70" s="214">
        <f>IFERROR(VLOOKUP($B70,MMWR_TRAD_AGG_RO_COMP[],E$1,0),"ERROR")</f>
        <v>2</v>
      </c>
      <c r="F70" s="219">
        <f>IFERROR(VLOOKUP($B70,MMWR_TRAD_AGG_RO_COMP[],F$1,0),"ERROR")</f>
        <v>0</v>
      </c>
      <c r="G70" s="215">
        <f>IFERROR(F70/E70,"0%")</f>
        <v>0</v>
      </c>
      <c r="H70" s="219">
        <f>IFERROR(VLOOKUP($B70,MMWR_TRAD_AGG_RO_COMP[],H$1,0),"ERROR")</f>
        <v>55</v>
      </c>
      <c r="I70" s="219">
        <f>IFERROR(VLOOKUP($B70,MMWR_TRAD_AGG_RO_COMP[],I$1,0),"ERROR")</f>
        <v>53</v>
      </c>
      <c r="J70" s="215">
        <f>IFERROR(I70/H70,"0%")</f>
        <v>0.96363636363636362</v>
      </c>
      <c r="K70" s="213">
        <f>IFERROR(VLOOKUP($B70,MMWR_TRAD_AGG_RO_COMP[],K$1,0),"ERROR")</f>
        <v>2</v>
      </c>
      <c r="L70" s="213">
        <f>IFERROR(VLOOKUP($B70,MMWR_TRAD_AGG_RO_COMP[],L$1,0),"ERROR")</f>
        <v>1</v>
      </c>
      <c r="M70" s="215">
        <f>IFERROR(L70/K70,"0%")</f>
        <v>0.5</v>
      </c>
      <c r="N70" s="213">
        <f>IFERROR(VLOOKUP($B70,MMWR_TRAD_AGG_RO_COMP[],N$1,0),"ERROR")</f>
        <v>29926</v>
      </c>
      <c r="O70" s="213">
        <f>IFERROR(VLOOKUP($B70,MMWR_TRAD_AGG_RO_COMP[],O$1,0),"ERROR")</f>
        <v>10218</v>
      </c>
      <c r="P70" s="215">
        <f>IFERROR(O70/N70,"0%")</f>
        <v>0.34144222415291053</v>
      </c>
      <c r="Q70" s="213">
        <f>IFERROR(VLOOKUP($B70,MMWR_TRAD_AGG_RO_COMP[],Q$1,0),"ERROR")</f>
        <v>0</v>
      </c>
      <c r="R70" s="216">
        <f>IFERROR(VLOOKUP($B70,MMWR_TRAD_AGG_RO_COMP[],R$1,0),"ERROR")</f>
        <v>1</v>
      </c>
      <c r="S70" s="216">
        <f>IFERROR(VLOOKUP($B70,MMWR_APP_RO[],S$1,0),"ERROR")</f>
        <v>11115</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37" t="s">
        <v>494</v>
      </c>
      <c r="D72" s="438"/>
      <c r="E72" s="438"/>
      <c r="F72" s="438"/>
      <c r="G72" s="438"/>
      <c r="H72" s="438"/>
      <c r="I72" s="438"/>
      <c r="J72" s="438"/>
      <c r="K72" s="438"/>
      <c r="L72" s="438"/>
      <c r="M72" s="438"/>
      <c r="N72" s="438"/>
      <c r="O72" s="438"/>
      <c r="P72" s="438"/>
      <c r="Q72" s="438"/>
      <c r="R72" s="438"/>
      <c r="S72" s="439"/>
      <c r="T72" s="28"/>
    </row>
    <row r="73" spans="1:20" x14ac:dyDescent="0.2">
      <c r="A73" s="25"/>
      <c r="B73" s="117"/>
      <c r="C73" s="440" t="s">
        <v>231</v>
      </c>
      <c r="D73" s="441"/>
      <c r="E73" s="442" t="s">
        <v>211</v>
      </c>
      <c r="F73" s="443"/>
      <c r="G73" s="444"/>
      <c r="H73" s="442" t="s">
        <v>7</v>
      </c>
      <c r="I73" s="443"/>
      <c r="J73" s="444"/>
      <c r="K73" s="442" t="s">
        <v>33</v>
      </c>
      <c r="L73" s="443"/>
      <c r="M73" s="444"/>
      <c r="N73" s="442" t="s">
        <v>8</v>
      </c>
      <c r="O73" s="443"/>
      <c r="P73" s="444"/>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495</v>
      </c>
      <c r="T74" s="28"/>
    </row>
    <row r="75" spans="1:20" x14ac:dyDescent="0.2">
      <c r="A75" s="25"/>
      <c r="B75" s="101" t="s">
        <v>469</v>
      </c>
      <c r="C75" s="238">
        <f>IFERROR(VLOOKUP($B75,MMWR_TRAD_AGG_RO_PEN[],C$1,0),"ERROR")</f>
        <v>17239</v>
      </c>
      <c r="D75" s="239">
        <f>IFERROR(VLOOKUP($B75,MMWR_TRAD_AGG_RO_PEN[],D$1,0),"ERROR")</f>
        <v>96.098961656699998</v>
      </c>
      <c r="E75" s="238">
        <f>IFERROR(VLOOKUP($B75,MMWR_TRAD_AGG_RO_PEN[],E$1,0),"ERROR")</f>
        <v>30555</v>
      </c>
      <c r="F75" s="238">
        <f>IFERROR(VLOOKUP($B75,MMWR_TRAD_AGG_RO_PEN[],F$1,0),"ERROR")</f>
        <v>4493</v>
      </c>
      <c r="G75" s="240">
        <f>IFERROR(F75/E75,"0%")</f>
        <v>0.14704630993290788</v>
      </c>
      <c r="H75" s="238">
        <f>IFERROR(VLOOKUP($B75,MMWR_TRAD_AGG_RO_PEN[],H$1,0),"ERROR")</f>
        <v>26064</v>
      </c>
      <c r="I75" s="238">
        <f>IFERROR(VLOOKUP($B75,MMWR_TRAD_AGG_RO_PEN[],I$1,0),"ERROR")</f>
        <v>6564</v>
      </c>
      <c r="J75" s="240">
        <f>IFERROR(I75/H75,"0%")</f>
        <v>0.25184162062615101</v>
      </c>
      <c r="K75" s="238">
        <f>IFERROR(VLOOKUP($B75,MMWR_TRAD_AGG_RO_PEN[],K$1,0),"ERROR")</f>
        <v>636</v>
      </c>
      <c r="L75" s="238">
        <f>IFERROR(VLOOKUP($B75,MMWR_TRAD_AGG_RO_PEN[],L$1,0),"ERROR")</f>
        <v>591</v>
      </c>
      <c r="M75" s="240">
        <f>IFERROR(L75/K75,"0%")</f>
        <v>0.92924528301886788</v>
      </c>
      <c r="N75" s="238">
        <f>IFERROR(VLOOKUP($B75,MMWR_TRAD_AGG_RO_PEN[],N$1,0),"ERROR")</f>
        <v>1496</v>
      </c>
      <c r="O75" s="238">
        <f>IFERROR(VLOOKUP($B75,MMWR_TRAD_AGG_RO_PEN[],O$1,0),"ERROR")</f>
        <v>545</v>
      </c>
      <c r="P75" s="240">
        <f>IFERROR(O75/N75,"0%")</f>
        <v>0.36430481283422461</v>
      </c>
      <c r="Q75" s="238">
        <f>IFERROR(VLOOKUP($B75,MMWR_TRAD_AGG_RO_PEN[],Q$1,0),"ERROR")</f>
        <v>7605</v>
      </c>
      <c r="R75" s="241">
        <f>IFERROR(VLOOKUP($B75,MMWR_TRAD_AGG_RO_PEN[],R$1,0),"ERROR")</f>
        <v>5490</v>
      </c>
      <c r="S75" s="241">
        <f>IFERROR(VLOOKUP($B75,MMWR_APP_RO[],S$1,0),"ERROR")</f>
        <v>7631</v>
      </c>
      <c r="T75" s="28"/>
    </row>
    <row r="76" spans="1:20" x14ac:dyDescent="0.2">
      <c r="A76" s="107"/>
      <c r="B76" s="122" t="s">
        <v>216</v>
      </c>
      <c r="C76" s="242">
        <f>IFERROR(VLOOKUP($B76,MMWR_TRAD_AGG_RO_PEN[],C$1,0),"ERROR")</f>
        <v>12533</v>
      </c>
      <c r="D76" s="243">
        <f>IFERROR(VLOOKUP($B76,MMWR_TRAD_AGG_RO_PEN[],D$1,0),"ERROR")</f>
        <v>113.2073725365</v>
      </c>
      <c r="E76" s="242">
        <f>IFERROR(VLOOKUP($B76,MMWR_TRAD_AGG_RO_PEN[],E$1,0),"ERROR")</f>
        <v>14825</v>
      </c>
      <c r="F76" s="242">
        <f>IFERROR(VLOOKUP($B76,MMWR_TRAD_AGG_RO_PEN[],F$1,0),"ERROR")</f>
        <v>3651</v>
      </c>
      <c r="G76" s="224">
        <f>IFERROR(F76/E76,"0%")</f>
        <v>0.24627318718381114</v>
      </c>
      <c r="H76" s="242">
        <f>IFERROR(VLOOKUP($B76,MMWR_TRAD_AGG_RO_PEN[],H$1,0),"ERROR")</f>
        <v>17661</v>
      </c>
      <c r="I76" s="242">
        <f>IFERROR(VLOOKUP($B76,MMWR_TRAD_AGG_RO_PEN[],I$1,0),"ERROR")</f>
        <v>5966</v>
      </c>
      <c r="J76" s="224">
        <f>IFERROR(I76/H76,"0%")</f>
        <v>0.33780646622501559</v>
      </c>
      <c r="K76" s="242">
        <f>IFERROR(VLOOKUP($B76,MMWR_TRAD_AGG_RO_PEN[],K$1,0),"ERROR")</f>
        <v>375</v>
      </c>
      <c r="L76" s="242">
        <f>IFERROR(VLOOKUP($B76,MMWR_TRAD_AGG_RO_PEN[],L$1,0),"ERROR")</f>
        <v>358</v>
      </c>
      <c r="M76" s="224">
        <f>IFERROR(L76/K76,"0%")</f>
        <v>0.95466666666666666</v>
      </c>
      <c r="N76" s="242">
        <f>IFERROR(VLOOKUP($B76,MMWR_TRAD_AGG_RO_PEN[],N$1,0),"ERROR")</f>
        <v>767</v>
      </c>
      <c r="O76" s="242">
        <f>IFERROR(VLOOKUP($B76,MMWR_TRAD_AGG_RO_PEN[],O$1,0),"ERROR")</f>
        <v>282</v>
      </c>
      <c r="P76" s="224">
        <f>IFERROR(O76/N76,"0%")</f>
        <v>0.36766623207301175</v>
      </c>
      <c r="Q76" s="242">
        <f>IFERROR(VLOOKUP($B76,MMWR_TRAD_AGG_RO_PEN[],Q$1,0),"ERROR")</f>
        <v>1648</v>
      </c>
      <c r="R76" s="242">
        <f>IFERROR(VLOOKUP($B76,MMWR_TRAD_AGG_RO_PEN[],R$1,0),"ERROR")</f>
        <v>3960</v>
      </c>
      <c r="S76" s="244">
        <f>IFERROR(VLOOKUP($B76,MMWR_APP_RO[],S$1,0),"ERROR")</f>
        <v>2787</v>
      </c>
      <c r="T76" s="28"/>
    </row>
    <row r="77" spans="1:20" x14ac:dyDescent="0.2">
      <c r="A77" s="107"/>
      <c r="B77" s="122" t="s">
        <v>215</v>
      </c>
      <c r="C77" s="242">
        <f>IFERROR(VLOOKUP($B77,MMWR_TRAD_AGG_RO_PEN[],C$1,0),"ERROR")</f>
        <v>2944</v>
      </c>
      <c r="D77" s="243">
        <f>IFERROR(VLOOKUP($B77,MMWR_TRAD_AGG_RO_PEN[],D$1,0),"ERROR")</f>
        <v>56.764945652199998</v>
      </c>
      <c r="E77" s="242">
        <f>IFERROR(VLOOKUP($B77,MMWR_TRAD_AGG_RO_PEN[],E$1,0),"ERROR")</f>
        <v>8299</v>
      </c>
      <c r="F77" s="242">
        <f>IFERROR(VLOOKUP($B77,MMWR_TRAD_AGG_RO_PEN[],F$1,0),"ERROR")</f>
        <v>526</v>
      </c>
      <c r="G77" s="224">
        <f>IFERROR(F77/E77,"0%")</f>
        <v>6.3381130256657425E-2</v>
      </c>
      <c r="H77" s="242">
        <f>IFERROR(VLOOKUP($B77,MMWR_TRAD_AGG_RO_PEN[],H$1,0),"ERROR")</f>
        <v>4978</v>
      </c>
      <c r="I77" s="242">
        <f>IFERROR(VLOOKUP($B77,MMWR_TRAD_AGG_RO_PEN[],I$1,0),"ERROR")</f>
        <v>255</v>
      </c>
      <c r="J77" s="224">
        <f>IFERROR(I77/H77,"0%")</f>
        <v>5.1225391723583771E-2</v>
      </c>
      <c r="K77" s="242">
        <f>IFERROR(VLOOKUP($B77,MMWR_TRAD_AGG_RO_PEN[],K$1,0),"ERROR")</f>
        <v>5</v>
      </c>
      <c r="L77" s="242">
        <f>IFERROR(VLOOKUP($B77,MMWR_TRAD_AGG_RO_PEN[],L$1,0),"ERROR")</f>
        <v>5</v>
      </c>
      <c r="M77" s="224">
        <f>IFERROR(L77/K77,"0%")</f>
        <v>1</v>
      </c>
      <c r="N77" s="242">
        <f>IFERROR(VLOOKUP($B77,MMWR_TRAD_AGG_RO_PEN[],N$1,0),"ERROR")</f>
        <v>400</v>
      </c>
      <c r="O77" s="242">
        <f>IFERROR(VLOOKUP($B77,MMWR_TRAD_AGG_RO_PEN[],O$1,0),"ERROR")</f>
        <v>71</v>
      </c>
      <c r="P77" s="224">
        <f>IFERROR(O77/N77,"0%")</f>
        <v>0.17749999999999999</v>
      </c>
      <c r="Q77" s="242">
        <f>IFERROR(VLOOKUP($B77,MMWR_TRAD_AGG_RO_PEN[],Q$1,0),"ERROR")</f>
        <v>994</v>
      </c>
      <c r="R77" s="242">
        <f>IFERROR(VLOOKUP($B77,MMWR_TRAD_AGG_RO_PEN[],R$1,0),"ERROR")</f>
        <v>766</v>
      </c>
      <c r="S77" s="244">
        <f>IFERROR(VLOOKUP($B77,MMWR_APP_RO[],S$1,0),"ERROR")</f>
        <v>2862</v>
      </c>
      <c r="T77" s="28"/>
    </row>
    <row r="78" spans="1:20" x14ac:dyDescent="0.2">
      <c r="A78" s="107"/>
      <c r="B78" s="122" t="s">
        <v>218</v>
      </c>
      <c r="C78" s="242">
        <f>IFERROR(VLOOKUP($B78,MMWR_TRAD_AGG_RO_PEN[],C$1,0),"ERROR")</f>
        <v>1762</v>
      </c>
      <c r="D78" s="243">
        <f>IFERROR(VLOOKUP($B78,MMWR_TRAD_AGG_RO_PEN[],D$1,0),"ERROR")</f>
        <v>40.128263337100002</v>
      </c>
      <c r="E78" s="242">
        <f>IFERROR(VLOOKUP($B78,MMWR_TRAD_AGG_RO_PEN[],E$1,0),"ERROR")</f>
        <v>7192</v>
      </c>
      <c r="F78" s="242">
        <f>IFERROR(VLOOKUP($B78,MMWR_TRAD_AGG_RO_PEN[],F$1,0),"ERROR")</f>
        <v>225</v>
      </c>
      <c r="G78" s="224">
        <f>IFERROR(F78/E78,"0%")</f>
        <v>3.1284760845383758E-2</v>
      </c>
      <c r="H78" s="242">
        <f>IFERROR(VLOOKUP($B78,MMWR_TRAD_AGG_RO_PEN[],H$1,0),"ERROR")</f>
        <v>2978</v>
      </c>
      <c r="I78" s="242">
        <f>IFERROR(VLOOKUP($B78,MMWR_TRAD_AGG_RO_PEN[],I$1,0),"ERROR")</f>
        <v>32</v>
      </c>
      <c r="J78" s="224">
        <f>IFERROR(I78/H78,"0%")</f>
        <v>1.0745466756212223E-2</v>
      </c>
      <c r="K78" s="242">
        <f>IFERROR(VLOOKUP($B78,MMWR_TRAD_AGG_RO_PEN[],K$1,0),"ERROR")</f>
        <v>26</v>
      </c>
      <c r="L78" s="242">
        <f>IFERROR(VLOOKUP($B78,MMWR_TRAD_AGG_RO_PEN[],L$1,0),"ERROR")</f>
        <v>3</v>
      </c>
      <c r="M78" s="224">
        <f>IFERROR(L78/K78,"0%")</f>
        <v>0.11538461538461539</v>
      </c>
      <c r="N78" s="242">
        <f>IFERROR(VLOOKUP($B78,MMWR_TRAD_AGG_RO_PEN[],N$1,0),"ERROR")</f>
        <v>109</v>
      </c>
      <c r="O78" s="242">
        <f>IFERROR(VLOOKUP($B78,MMWR_TRAD_AGG_RO_PEN[],O$1,0),"ERROR")</f>
        <v>30</v>
      </c>
      <c r="P78" s="224">
        <f>IFERROR(O78/N78,"0%")</f>
        <v>0.27522935779816515</v>
      </c>
      <c r="Q78" s="242">
        <f>IFERROR(VLOOKUP($B78,MMWR_TRAD_AGG_RO_PEN[],Q$1,0),"ERROR")</f>
        <v>4945</v>
      </c>
      <c r="R78" s="242">
        <f>IFERROR(VLOOKUP($B78,MMWR_TRAD_AGG_RO_PEN[],R$1,0),"ERROR")</f>
        <v>764</v>
      </c>
      <c r="S78" s="244">
        <f>IFERROR(VLOOKUP($B78,MMWR_APP_RO[],S$1,0),"ERROR")</f>
        <v>1982</v>
      </c>
      <c r="T78" s="28"/>
    </row>
    <row r="79" spans="1:20" x14ac:dyDescent="0.2">
      <c r="A79" s="92"/>
      <c r="B79" s="101" t="s">
        <v>230</v>
      </c>
      <c r="C79" s="219">
        <f>IFERROR(VLOOKUP($B79,MMWR_TRAD_AGG_RO_PEN[],C$1,0),"ERROR")</f>
        <v>0</v>
      </c>
      <c r="D79" s="190">
        <f>IFERROR(VLOOKUP($B79,MMWR_TRAD_AGG_RO_PEN[],D$1,0),"ERROR")</f>
        <v>0</v>
      </c>
      <c r="E79" s="219">
        <f>IFERROR(VLOOKUP($B79,MMWR_TRAD_AGG_RO_PEN[],E$1,0),"ERROR")</f>
        <v>239</v>
      </c>
      <c r="F79" s="219">
        <f>IFERROR(VLOOKUP($B79,MMWR_TRAD_AGG_RO_PEN[],F$1,0),"ERROR")</f>
        <v>91</v>
      </c>
      <c r="G79" s="215">
        <f>IFERROR(F79/E79,"0%")</f>
        <v>0.3807531380753138</v>
      </c>
      <c r="H79" s="219">
        <f>IFERROR(VLOOKUP($B79,MMWR_TRAD_AGG_RO_PEN[],H$1,0),"ERROR")</f>
        <v>447</v>
      </c>
      <c r="I79" s="219">
        <f>IFERROR(VLOOKUP($B79,MMWR_TRAD_AGG_RO_PEN[],I$1,0),"ERROR")</f>
        <v>311</v>
      </c>
      <c r="J79" s="215">
        <f>IFERROR(I79/H79,"0%")</f>
        <v>0.69574944071588363</v>
      </c>
      <c r="K79" s="219">
        <f>IFERROR(VLOOKUP($B79,MMWR_TRAD_AGG_RO_PEN[],K$1,0),"ERROR")</f>
        <v>230</v>
      </c>
      <c r="L79" s="219">
        <f>IFERROR(VLOOKUP($B79,MMWR_TRAD_AGG_RO_PEN[],L$1,0),"ERROR")</f>
        <v>225</v>
      </c>
      <c r="M79" s="215">
        <f>IFERROR(L79/K79,"0%")</f>
        <v>0.97826086956521741</v>
      </c>
      <c r="N79" s="219">
        <f>IFERROR(VLOOKUP($B79,MMWR_TRAD_AGG_RO_PEN[],N$1,0),"ERROR")</f>
        <v>220</v>
      </c>
      <c r="O79" s="219">
        <f>IFERROR(VLOOKUP($B79,MMWR_TRAD_AGG_RO_PEN[],O$1,0),"ERROR")</f>
        <v>162</v>
      </c>
      <c r="P79" s="215">
        <f>IFERROR(O79/N79,"0%")</f>
        <v>0.73636363636363633</v>
      </c>
      <c r="Q79" s="219">
        <f>IFERROR(VLOOKUP($B79,MMWR_TRAD_AGG_RO_PEN[],Q$1,0),"ERROR")</f>
        <v>18</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37" t="str">
        <f>UPPER("INVENTORY BY STATE "&amp;Transformation!B4)</f>
        <v>INVENTORY BY STATE AS OF: NOVEMBER 14, 2015</v>
      </c>
      <c r="D2" s="438"/>
      <c r="E2" s="438"/>
      <c r="F2" s="438"/>
      <c r="G2" s="438"/>
      <c r="H2" s="438"/>
      <c r="I2" s="438"/>
      <c r="J2" s="438"/>
      <c r="K2" s="438"/>
      <c r="L2" s="438"/>
      <c r="M2" s="438"/>
      <c r="N2" s="438"/>
      <c r="O2" s="438"/>
      <c r="P2" s="438"/>
      <c r="Q2" s="438"/>
      <c r="R2" s="438"/>
      <c r="S2" s="439"/>
      <c r="T2" s="28"/>
    </row>
    <row r="3" spans="1:20" s="123" customFormat="1" x14ac:dyDescent="0.2">
      <c r="A3" s="25"/>
      <c r="B3" s="26"/>
      <c r="C3" s="445" t="s">
        <v>231</v>
      </c>
      <c r="D3" s="445"/>
      <c r="E3" s="442" t="s">
        <v>211</v>
      </c>
      <c r="F3" s="443"/>
      <c r="G3" s="444"/>
      <c r="H3" s="442" t="s">
        <v>7</v>
      </c>
      <c r="I3" s="443"/>
      <c r="J3" s="444"/>
      <c r="K3" s="442" t="s">
        <v>33</v>
      </c>
      <c r="L3" s="443"/>
      <c r="M3" s="444"/>
      <c r="N3" s="442" t="s">
        <v>8</v>
      </c>
      <c r="O3" s="443"/>
      <c r="P3" s="444"/>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495</v>
      </c>
      <c r="T4" s="28"/>
    </row>
    <row r="5" spans="1:20" s="123" customFormat="1" ht="26.25" x14ac:dyDescent="0.4">
      <c r="A5" s="25"/>
      <c r="B5" s="124"/>
      <c r="C5" s="437" t="s">
        <v>493</v>
      </c>
      <c r="D5" s="438"/>
      <c r="E5" s="438"/>
      <c r="F5" s="438"/>
      <c r="G5" s="438"/>
      <c r="H5" s="438"/>
      <c r="I5" s="438"/>
      <c r="J5" s="438"/>
      <c r="K5" s="438"/>
      <c r="L5" s="438"/>
      <c r="M5" s="438"/>
      <c r="N5" s="438"/>
      <c r="O5" s="438"/>
      <c r="P5" s="438"/>
      <c r="Q5" s="438"/>
      <c r="R5" s="438"/>
      <c r="S5" s="439"/>
      <c r="T5" s="28"/>
    </row>
    <row r="6" spans="1:20" s="123" customFormat="1" x14ac:dyDescent="0.2">
      <c r="A6" s="92"/>
      <c r="B6" s="125" t="s">
        <v>468</v>
      </c>
      <c r="C6" s="94">
        <f>IFERROR(VLOOKUP($B6,MMWR_TRAD_AGG_ST_DISTRICT_COMP[],C$1,0),"ERROR")</f>
        <v>338686</v>
      </c>
      <c r="D6" s="95">
        <f>IFERROR(VLOOKUP($B6,MMWR_TRAD_AGG_ST_DISTRICT_COMP[],D$1,0),"ERROR")</f>
        <v>382.67506480930001</v>
      </c>
      <c r="E6" s="96">
        <f>IFERROR(VLOOKUP($B6,MMWR_TRAD_AGG_ST_DISTRICT_COMP[],E$1,0),"ERROR")</f>
        <v>343044</v>
      </c>
      <c r="F6" s="97">
        <f>IFERROR(VLOOKUP($B6,MMWR_TRAD_AGG_ST_DISTRICT_COMP[],F$1,0),"ERROR")</f>
        <v>73518</v>
      </c>
      <c r="G6" s="98">
        <f t="shared" ref="G6:G37" si="0">IFERROR(F6/E6,"0%")</f>
        <v>0.21431070066813587</v>
      </c>
      <c r="H6" s="96">
        <f>IFERROR(VLOOKUP($B6,MMWR_TRAD_AGG_ST_DISTRICT_COMP[],H$1,0),"ERROR")</f>
        <v>490818</v>
      </c>
      <c r="I6" s="97">
        <f>IFERROR(VLOOKUP($B6,MMWR_TRAD_AGG_ST_DISTRICT_COMP[],I$1,0),"ERROR")</f>
        <v>309983</v>
      </c>
      <c r="J6" s="99">
        <f t="shared" ref="J6:J37" si="1">IFERROR(I6/H6,"0%")</f>
        <v>0.63156404206854677</v>
      </c>
      <c r="K6" s="96">
        <f>IFERROR(VLOOKUP($B6,MMWR_TRAD_AGG_ST_DISTRICT_COMP[],K$1,0),"ERROR")</f>
        <v>110282</v>
      </c>
      <c r="L6" s="97">
        <f>IFERROR(VLOOKUP($B6,MMWR_TRAD_AGG_ST_DISTRICT_COMP[],L$1,0),"ERROR")</f>
        <v>72754</v>
      </c>
      <c r="M6" s="99">
        <f t="shared" ref="M6:M37" si="2">IFERROR(L6/K6,"0%")</f>
        <v>0.65970874666763391</v>
      </c>
      <c r="N6" s="96">
        <f>IFERROR(VLOOKUP($B6,MMWR_TRAD_AGG_ST_DISTRICT_COMP[],N$1,0),"ERROR")</f>
        <v>136252</v>
      </c>
      <c r="O6" s="97">
        <f>IFERROR(VLOOKUP($B6,MMWR_TRAD_AGG_ST_DISTRICT_COMP[],O$1,0),"ERROR")</f>
        <v>85312</v>
      </c>
      <c r="P6" s="99">
        <f t="shared" ref="P6:P37" si="3">IFERROR(O6/N6,"0%")</f>
        <v>0.62613392830930925</v>
      </c>
      <c r="Q6" s="100">
        <f>IFERROR(VLOOKUP($B6,MMWR_TRAD_AGG_ST_DISTRICT_COMP[],Q$1,0),"ERROR")</f>
        <v>16980</v>
      </c>
      <c r="R6" s="100">
        <f>IFERROR(VLOOKUP($B6,MMWR_TRAD_AGG_ST_DISTRICT_COMP[],R$1,0),"ERROR")</f>
        <v>3984</v>
      </c>
      <c r="S6" s="100">
        <f>S7+S23+S36+S46+S56+S64</f>
        <v>310730</v>
      </c>
      <c r="T6" s="28"/>
    </row>
    <row r="7" spans="1:20" s="123" customFormat="1" x14ac:dyDescent="0.2">
      <c r="A7" s="92"/>
      <c r="B7" s="126" t="s">
        <v>376</v>
      </c>
      <c r="C7" s="102">
        <f>IF(SUM(C8:C22)&lt;&gt;VLOOKUP($B7,MMWR_TRAD_AGG_ST_DISTRICT_COMP[],C$1,0),"ERROR",
VLOOKUP($B7,MMWR_TRAD_AGG_ST_DISTRICT_COMP[],C$1,0))</f>
        <v>75119</v>
      </c>
      <c r="D7" s="103">
        <f>IFERROR(VLOOKUP($B7,MMWR_TRAD_AGG_ST_DISTRICT_COMP[],D$1,0),"ERROR")</f>
        <v>410.11150308179998</v>
      </c>
      <c r="E7" s="102">
        <f>IF(SUM(E8:E22)&lt;&gt;VLOOKUP($B7,MMWR_TRAD_AGG_ST_DISTRICT_COMP[],E$1,0),"ERROR",
VLOOKUP($B7,MMWR_TRAD_AGG_ST_DISTRICT_COMP[],E$1,0))</f>
        <v>74634</v>
      </c>
      <c r="F7" s="102">
        <f>IFERROR(VLOOKUP($B7,MMWR_TRAD_AGG_ST_DISTRICT_COMP[],F$1,0),"ERROR")</f>
        <v>16821</v>
      </c>
      <c r="G7" s="104">
        <f t="shared" si="0"/>
        <v>0.22537985368598762</v>
      </c>
      <c r="H7" s="102">
        <f>IF(SUM(H8:H22)&lt;&gt;VLOOKUP($B7,MMWR_TRAD_AGG_ST_DISTRICT_COMP[],H$1,0),"ERROR",
VLOOKUP($B7,MMWR_TRAD_AGG_ST_DISTRICT_COMP[],H$1,0))</f>
        <v>106286</v>
      </c>
      <c r="I7" s="102">
        <f>IF(SUM(I8:I22)&lt;&gt;VLOOKUP($B7,MMWR_TRAD_AGG_ST_DISTRICT_COMP[],I$1,0),"ERROR",
VLOOKUP($B7,MMWR_TRAD_AGG_ST_DISTRICT_COMP[],I$1,0))</f>
        <v>69291</v>
      </c>
      <c r="J7" s="105">
        <f t="shared" si="1"/>
        <v>0.65192969911371201</v>
      </c>
      <c r="K7" s="102">
        <f>IF(SUM(K8:K22)&lt;&gt;VLOOKUP($B7,MMWR_TRAD_AGG_ST_DISTRICT_COMP[],K$1,0),"ERROR",
VLOOKUP($B7,MMWR_TRAD_AGG_ST_DISTRICT_COMP[],K$1,0))</f>
        <v>28310</v>
      </c>
      <c r="L7" s="102">
        <f>IF(SUM(L8:L22)&lt;&gt;VLOOKUP($B7,MMWR_TRAD_AGG_ST_DISTRICT_COMP[],L$1,0),"ERROR",
VLOOKUP($B7,MMWR_TRAD_AGG_ST_DISTRICT_COMP[],L$1,0))</f>
        <v>19602</v>
      </c>
      <c r="M7" s="105">
        <f t="shared" si="2"/>
        <v>0.69240551042034615</v>
      </c>
      <c r="N7" s="102">
        <f>IF(SUM(N8:N22)&lt;&gt;VLOOKUP($B7,MMWR_TRAD_AGG_ST_DISTRICT_COMP[],N$1,0),"ERROR",
VLOOKUP($B7,MMWR_TRAD_AGG_ST_DISTRICT_COMP[],N$1,0))</f>
        <v>31986</v>
      </c>
      <c r="O7" s="102">
        <f>IF(SUM(O8:O22)&lt;&gt;VLOOKUP($B7,MMWR_TRAD_AGG_ST_DISTRICT_COMP[],O$1,0),"ERROR",
VLOOKUP($B7,MMWR_TRAD_AGG_ST_DISTRICT_COMP[],O$1,0))</f>
        <v>23288</v>
      </c>
      <c r="P7" s="105">
        <f t="shared" si="3"/>
        <v>0.72806852998186711</v>
      </c>
      <c r="Q7" s="102">
        <f>IF(SUM(Q8:Q22)&lt;&gt;VLOOKUP($B7,MMWR_TRAD_AGG_ST_DISTRICT_COMP[],Q$1,0),"ERROR",
VLOOKUP($B7,MMWR_TRAD_AGG_ST_DISTRICT_COMP[],Q$1,0))</f>
        <v>7585</v>
      </c>
      <c r="R7" s="106">
        <f>IFERROR(VLOOKUP($B7,MMWR_TRAD_AGG_ST_DISTRICT_COMP[],R$1,0),"ERROR")</f>
        <v>115</v>
      </c>
      <c r="S7" s="106">
        <f>SUM(S8:S22)</f>
        <v>56630</v>
      </c>
      <c r="T7" s="28"/>
    </row>
    <row r="8" spans="1:20" s="123" customFormat="1" x14ac:dyDescent="0.2">
      <c r="A8" s="107"/>
      <c r="B8" s="127" t="s">
        <v>380</v>
      </c>
      <c r="C8" s="109">
        <f>IFERROR(VLOOKUP($B8,MMWR_TRAD_AGG_STATE_COMP[],C$1,0),"ERROR")</f>
        <v>1661</v>
      </c>
      <c r="D8" s="110">
        <f>IFERROR(VLOOKUP($B8,MMWR_TRAD_AGG_STATE_COMP[],D$1,0),"ERROR")</f>
        <v>295.39133052379998</v>
      </c>
      <c r="E8" s="111">
        <f>IFERROR(VLOOKUP($B8,MMWR_TRAD_AGG_STATE_COMP[],E$1,0),"ERROR")</f>
        <v>1891</v>
      </c>
      <c r="F8" s="112">
        <f>IFERROR(VLOOKUP($B8,MMWR_TRAD_AGG_STATE_COMP[],F$1,0),"ERROR")</f>
        <v>349</v>
      </c>
      <c r="G8" s="113">
        <f t="shared" si="0"/>
        <v>0.18455843469063987</v>
      </c>
      <c r="H8" s="111">
        <f>IFERROR(VLOOKUP($B8,MMWR_TRAD_AGG_STATE_COMP[],H$1,0),"ERROR")</f>
        <v>3361</v>
      </c>
      <c r="I8" s="112">
        <f>IFERROR(VLOOKUP($B8,MMWR_TRAD_AGG_STATE_COMP[],I$1,0),"ERROR")</f>
        <v>2096</v>
      </c>
      <c r="J8" s="114">
        <f t="shared" si="1"/>
        <v>0.62362392145194878</v>
      </c>
      <c r="K8" s="111">
        <f>IFERROR(VLOOKUP($B8,MMWR_TRAD_AGG_STATE_COMP[],K$1,0),"ERROR")</f>
        <v>515</v>
      </c>
      <c r="L8" s="112">
        <f>IFERROR(VLOOKUP($B8,MMWR_TRAD_AGG_STATE_COMP[],L$1,0),"ERROR")</f>
        <v>281</v>
      </c>
      <c r="M8" s="114">
        <f t="shared" si="2"/>
        <v>0.54563106796116501</v>
      </c>
      <c r="N8" s="111">
        <f>IFERROR(VLOOKUP($B8,MMWR_TRAD_AGG_STATE_COMP[],N$1,0),"ERROR")</f>
        <v>859</v>
      </c>
      <c r="O8" s="112">
        <f>IFERROR(VLOOKUP($B8,MMWR_TRAD_AGG_STATE_COMP[],O$1,0),"ERROR")</f>
        <v>597</v>
      </c>
      <c r="P8" s="114">
        <f t="shared" si="3"/>
        <v>0.69499417927823048</v>
      </c>
      <c r="Q8" s="115">
        <f>IFERROR(VLOOKUP($B8,MMWR_TRAD_AGG_STATE_COMP[],Q$1,0),"ERROR")</f>
        <v>261</v>
      </c>
      <c r="R8" s="115">
        <f>IFERROR(VLOOKUP($B8,MMWR_TRAD_AGG_STATE_COMP[],R$1,0),"ERROR")</f>
        <v>3</v>
      </c>
      <c r="S8" s="115">
        <f>IFERROR(VLOOKUP($B8,MMWR_APP_STATE_COMP[],S$1,0),"ERROR")</f>
        <v>1038</v>
      </c>
      <c r="T8" s="28"/>
    </row>
    <row r="9" spans="1:20" s="123" customFormat="1" x14ac:dyDescent="0.2">
      <c r="A9" s="107"/>
      <c r="B9" s="127" t="s">
        <v>430</v>
      </c>
      <c r="C9" s="109">
        <f>IFERROR(VLOOKUP($B9,MMWR_TRAD_AGG_STATE_COMP[],C$1,0),"ERROR")</f>
        <v>914</v>
      </c>
      <c r="D9" s="110">
        <f>IFERROR(VLOOKUP($B9,MMWR_TRAD_AGG_STATE_COMP[],D$1,0),"ERROR")</f>
        <v>401.77680525160002</v>
      </c>
      <c r="E9" s="111">
        <f>IFERROR(VLOOKUP($B9,MMWR_TRAD_AGG_STATE_COMP[],E$1,0),"ERROR")</f>
        <v>929</v>
      </c>
      <c r="F9" s="112">
        <f>IFERROR(VLOOKUP($B9,MMWR_TRAD_AGG_STATE_COMP[],F$1,0),"ERROR")</f>
        <v>234</v>
      </c>
      <c r="G9" s="113">
        <f t="shared" si="0"/>
        <v>0.25188374596340152</v>
      </c>
      <c r="H9" s="111">
        <f>IFERROR(VLOOKUP($B9,MMWR_TRAD_AGG_STATE_COMP[],H$1,0),"ERROR")</f>
        <v>1199</v>
      </c>
      <c r="I9" s="112">
        <f>IFERROR(VLOOKUP($B9,MMWR_TRAD_AGG_STATE_COMP[],I$1,0),"ERROR")</f>
        <v>836</v>
      </c>
      <c r="J9" s="114">
        <f t="shared" si="1"/>
        <v>0.69724770642201839</v>
      </c>
      <c r="K9" s="111">
        <f>IFERROR(VLOOKUP($B9,MMWR_TRAD_AGG_STATE_COMP[],K$1,0),"ERROR")</f>
        <v>185</v>
      </c>
      <c r="L9" s="112">
        <f>IFERROR(VLOOKUP($B9,MMWR_TRAD_AGG_STATE_COMP[],L$1,0),"ERROR")</f>
        <v>101</v>
      </c>
      <c r="M9" s="114">
        <f t="shared" si="2"/>
        <v>0.54594594594594592</v>
      </c>
      <c r="N9" s="111">
        <f>IFERROR(VLOOKUP($B9,MMWR_TRAD_AGG_STATE_COMP[],N$1,0),"ERROR")</f>
        <v>302</v>
      </c>
      <c r="O9" s="112">
        <f>IFERROR(VLOOKUP($B9,MMWR_TRAD_AGG_STATE_COMP[],O$1,0),"ERROR")</f>
        <v>193</v>
      </c>
      <c r="P9" s="114">
        <f t="shared" si="3"/>
        <v>0.63907284768211925</v>
      </c>
      <c r="Q9" s="115">
        <f>IFERROR(VLOOKUP($B9,MMWR_TRAD_AGG_STATE_COMP[],Q$1,0),"ERROR")</f>
        <v>61</v>
      </c>
      <c r="R9" s="115">
        <f>IFERROR(VLOOKUP($B9,MMWR_TRAD_AGG_STATE_COMP[],R$1,0),"ERROR")</f>
        <v>1</v>
      </c>
      <c r="S9" s="115">
        <f>IFERROR(VLOOKUP($B9,MMWR_APP_STATE_COMP[],S$1,0),"ERROR")</f>
        <v>545</v>
      </c>
      <c r="T9" s="28"/>
    </row>
    <row r="10" spans="1:20" s="123" customFormat="1" x14ac:dyDescent="0.2">
      <c r="A10" s="107"/>
      <c r="B10" s="127" t="s">
        <v>421</v>
      </c>
      <c r="C10" s="109">
        <f>IFERROR(VLOOKUP($B10,MMWR_TRAD_AGG_STATE_COMP[],C$1,0),"ERROR")</f>
        <v>499</v>
      </c>
      <c r="D10" s="110">
        <f>IFERROR(VLOOKUP($B10,MMWR_TRAD_AGG_STATE_COMP[],D$1,0),"ERROR")</f>
        <v>486.67334669339999</v>
      </c>
      <c r="E10" s="111">
        <f>IFERROR(VLOOKUP($B10,MMWR_TRAD_AGG_STATE_COMP[],E$1,0),"ERROR")</f>
        <v>479</v>
      </c>
      <c r="F10" s="112">
        <f>IFERROR(VLOOKUP($B10,MMWR_TRAD_AGG_STATE_COMP[],F$1,0),"ERROR")</f>
        <v>97</v>
      </c>
      <c r="G10" s="113">
        <f t="shared" si="0"/>
        <v>0.20250521920668058</v>
      </c>
      <c r="H10" s="111">
        <f>IFERROR(VLOOKUP($B10,MMWR_TRAD_AGG_STATE_COMP[],H$1,0),"ERROR")</f>
        <v>686</v>
      </c>
      <c r="I10" s="112">
        <f>IFERROR(VLOOKUP($B10,MMWR_TRAD_AGG_STATE_COMP[],I$1,0),"ERROR")</f>
        <v>482</v>
      </c>
      <c r="J10" s="114">
        <f t="shared" si="1"/>
        <v>0.70262390670553931</v>
      </c>
      <c r="K10" s="111">
        <f>IFERROR(VLOOKUP($B10,MMWR_TRAD_AGG_STATE_COMP[],K$1,0),"ERROR")</f>
        <v>176</v>
      </c>
      <c r="L10" s="112">
        <f>IFERROR(VLOOKUP($B10,MMWR_TRAD_AGG_STATE_COMP[],L$1,0),"ERROR")</f>
        <v>124</v>
      </c>
      <c r="M10" s="114">
        <f t="shared" si="2"/>
        <v>0.70454545454545459</v>
      </c>
      <c r="N10" s="111">
        <f>IFERROR(VLOOKUP($B10,MMWR_TRAD_AGG_STATE_COMP[],N$1,0),"ERROR")</f>
        <v>321</v>
      </c>
      <c r="O10" s="112">
        <f>IFERROR(VLOOKUP($B10,MMWR_TRAD_AGG_STATE_COMP[],O$1,0),"ERROR")</f>
        <v>239</v>
      </c>
      <c r="P10" s="114">
        <f t="shared" si="3"/>
        <v>0.74454828660436134</v>
      </c>
      <c r="Q10" s="115">
        <f>IFERROR(VLOOKUP($B10,MMWR_TRAD_AGG_STATE_COMP[],Q$1,0),"ERROR")</f>
        <v>24</v>
      </c>
      <c r="R10" s="115">
        <f>IFERROR(VLOOKUP($B10,MMWR_TRAD_AGG_STATE_COMP[],R$1,0),"ERROR")</f>
        <v>0</v>
      </c>
      <c r="S10" s="115">
        <f>IFERROR(VLOOKUP($B10,MMWR_APP_STATE_COMP[],S$1,0),"ERROR")</f>
        <v>596</v>
      </c>
      <c r="T10" s="28"/>
    </row>
    <row r="11" spans="1:20" s="123" customFormat="1" x14ac:dyDescent="0.2">
      <c r="A11" s="107"/>
      <c r="B11" s="127" t="s">
        <v>423</v>
      </c>
      <c r="C11" s="109">
        <f>IFERROR(VLOOKUP($B11,MMWR_TRAD_AGG_STATE_COMP[],C$1,0),"ERROR")</f>
        <v>1462</v>
      </c>
      <c r="D11" s="110">
        <f>IFERROR(VLOOKUP($B11,MMWR_TRAD_AGG_STATE_COMP[],D$1,0),"ERROR")</f>
        <v>276.77496580029998</v>
      </c>
      <c r="E11" s="111">
        <f>IFERROR(VLOOKUP($B11,MMWR_TRAD_AGG_STATE_COMP[],E$1,0),"ERROR")</f>
        <v>1192</v>
      </c>
      <c r="F11" s="112">
        <f>IFERROR(VLOOKUP($B11,MMWR_TRAD_AGG_STATE_COMP[],F$1,0),"ERROR")</f>
        <v>188</v>
      </c>
      <c r="G11" s="113">
        <f t="shared" si="0"/>
        <v>0.15771812080536912</v>
      </c>
      <c r="H11" s="111">
        <f>IFERROR(VLOOKUP($B11,MMWR_TRAD_AGG_STATE_COMP[],H$1,0),"ERROR")</f>
        <v>2087</v>
      </c>
      <c r="I11" s="112">
        <f>IFERROR(VLOOKUP($B11,MMWR_TRAD_AGG_STATE_COMP[],I$1,0),"ERROR")</f>
        <v>1240</v>
      </c>
      <c r="J11" s="114">
        <f t="shared" si="1"/>
        <v>0.59415428845232388</v>
      </c>
      <c r="K11" s="111">
        <f>IFERROR(VLOOKUP($B11,MMWR_TRAD_AGG_STATE_COMP[],K$1,0),"ERROR")</f>
        <v>1045</v>
      </c>
      <c r="L11" s="112">
        <f>IFERROR(VLOOKUP($B11,MMWR_TRAD_AGG_STATE_COMP[],L$1,0),"ERROR")</f>
        <v>787</v>
      </c>
      <c r="M11" s="114">
        <f t="shared" si="2"/>
        <v>0.75311004784688995</v>
      </c>
      <c r="N11" s="111">
        <f>IFERROR(VLOOKUP($B11,MMWR_TRAD_AGG_STATE_COMP[],N$1,0),"ERROR")</f>
        <v>307</v>
      </c>
      <c r="O11" s="112">
        <f>IFERROR(VLOOKUP($B11,MMWR_TRAD_AGG_STATE_COMP[],O$1,0),"ERROR")</f>
        <v>186</v>
      </c>
      <c r="P11" s="114">
        <f t="shared" si="3"/>
        <v>0.60586319218241047</v>
      </c>
      <c r="Q11" s="115">
        <f>IFERROR(VLOOKUP($B11,MMWR_TRAD_AGG_STATE_COMP[],Q$1,0),"ERROR")</f>
        <v>341</v>
      </c>
      <c r="R11" s="115">
        <f>IFERROR(VLOOKUP($B11,MMWR_TRAD_AGG_STATE_COMP[],R$1,0),"ERROR")</f>
        <v>3</v>
      </c>
      <c r="S11" s="115">
        <f>IFERROR(VLOOKUP($B11,MMWR_APP_STATE_COMP[],S$1,0),"ERROR")</f>
        <v>422</v>
      </c>
      <c r="T11" s="28"/>
    </row>
    <row r="12" spans="1:20" s="123" customFormat="1" x14ac:dyDescent="0.2">
      <c r="A12" s="107"/>
      <c r="B12" s="127" t="s">
        <v>383</v>
      </c>
      <c r="C12" s="109">
        <f>IFERROR(VLOOKUP($B12,MMWR_TRAD_AGG_STATE_COMP[],C$1,0),"ERROR")</f>
        <v>8680</v>
      </c>
      <c r="D12" s="110">
        <f>IFERROR(VLOOKUP($B12,MMWR_TRAD_AGG_STATE_COMP[],D$1,0),"ERROR")</f>
        <v>564.16693548390003</v>
      </c>
      <c r="E12" s="111">
        <f>IFERROR(VLOOKUP($B12,MMWR_TRAD_AGG_STATE_COMP[],E$1,0),"ERROR")</f>
        <v>6085</v>
      </c>
      <c r="F12" s="112">
        <f>IFERROR(VLOOKUP($B12,MMWR_TRAD_AGG_STATE_COMP[],F$1,0),"ERROR")</f>
        <v>1262</v>
      </c>
      <c r="G12" s="113">
        <f t="shared" si="0"/>
        <v>0.20739523418241579</v>
      </c>
      <c r="H12" s="111">
        <f>IFERROR(VLOOKUP($B12,MMWR_TRAD_AGG_STATE_COMP[],H$1,0),"ERROR")</f>
        <v>11505</v>
      </c>
      <c r="I12" s="112">
        <f>IFERROR(VLOOKUP($B12,MMWR_TRAD_AGG_STATE_COMP[],I$1,0),"ERROR")</f>
        <v>8295</v>
      </c>
      <c r="J12" s="114">
        <f t="shared" si="1"/>
        <v>0.72099087353324642</v>
      </c>
      <c r="K12" s="111">
        <f>IFERROR(VLOOKUP($B12,MMWR_TRAD_AGG_STATE_COMP[],K$1,0),"ERROR")</f>
        <v>2712</v>
      </c>
      <c r="L12" s="112">
        <f>IFERROR(VLOOKUP($B12,MMWR_TRAD_AGG_STATE_COMP[],L$1,0),"ERROR")</f>
        <v>1896</v>
      </c>
      <c r="M12" s="114">
        <f t="shared" si="2"/>
        <v>0.69911504424778759</v>
      </c>
      <c r="N12" s="111">
        <f>IFERROR(VLOOKUP($B12,MMWR_TRAD_AGG_STATE_COMP[],N$1,0),"ERROR")</f>
        <v>6577</v>
      </c>
      <c r="O12" s="112">
        <f>IFERROR(VLOOKUP($B12,MMWR_TRAD_AGG_STATE_COMP[],O$1,0),"ERROR")</f>
        <v>5348</v>
      </c>
      <c r="P12" s="114">
        <f t="shared" si="3"/>
        <v>0.81313668845978415</v>
      </c>
      <c r="Q12" s="115">
        <f>IFERROR(VLOOKUP($B12,MMWR_TRAD_AGG_STATE_COMP[],Q$1,0),"ERROR")</f>
        <v>390</v>
      </c>
      <c r="R12" s="115">
        <f>IFERROR(VLOOKUP($B12,MMWR_TRAD_AGG_STATE_COMP[],R$1,0),"ERROR")</f>
        <v>4</v>
      </c>
      <c r="S12" s="115">
        <f>IFERROR(VLOOKUP($B12,MMWR_APP_STATE_COMP[],S$1,0),"ERROR")</f>
        <v>5431</v>
      </c>
      <c r="T12" s="28"/>
    </row>
    <row r="13" spans="1:20" s="123" customFormat="1" x14ac:dyDescent="0.2">
      <c r="A13" s="107"/>
      <c r="B13" s="127" t="s">
        <v>378</v>
      </c>
      <c r="C13" s="109">
        <f>IFERROR(VLOOKUP($B13,MMWR_TRAD_AGG_STATE_COMP[],C$1,0),"ERROR")</f>
        <v>4873</v>
      </c>
      <c r="D13" s="110">
        <f>IFERROR(VLOOKUP($B13,MMWR_TRAD_AGG_STATE_COMP[],D$1,0),"ERROR")</f>
        <v>513.92776523700002</v>
      </c>
      <c r="E13" s="111">
        <f>IFERROR(VLOOKUP($B13,MMWR_TRAD_AGG_STATE_COMP[],E$1,0),"ERROR")</f>
        <v>4392</v>
      </c>
      <c r="F13" s="112">
        <f>IFERROR(VLOOKUP($B13,MMWR_TRAD_AGG_STATE_COMP[],F$1,0),"ERROR")</f>
        <v>1111</v>
      </c>
      <c r="G13" s="113">
        <f t="shared" si="0"/>
        <v>0.252959927140255</v>
      </c>
      <c r="H13" s="111">
        <f>IFERROR(VLOOKUP($B13,MMWR_TRAD_AGG_STATE_COMP[],H$1,0),"ERROR")</f>
        <v>7357</v>
      </c>
      <c r="I13" s="112">
        <f>IFERROR(VLOOKUP($B13,MMWR_TRAD_AGG_STATE_COMP[],I$1,0),"ERROR")</f>
        <v>4922</v>
      </c>
      <c r="J13" s="114">
        <f t="shared" si="1"/>
        <v>0.66902269946989257</v>
      </c>
      <c r="K13" s="111">
        <f>IFERROR(VLOOKUP($B13,MMWR_TRAD_AGG_STATE_COMP[],K$1,0),"ERROR")</f>
        <v>2841</v>
      </c>
      <c r="L13" s="112">
        <f>IFERROR(VLOOKUP($B13,MMWR_TRAD_AGG_STATE_COMP[],L$1,0),"ERROR")</f>
        <v>2257</v>
      </c>
      <c r="M13" s="114">
        <f t="shared" si="2"/>
        <v>0.7944385779655051</v>
      </c>
      <c r="N13" s="111">
        <f>IFERROR(VLOOKUP($B13,MMWR_TRAD_AGG_STATE_COMP[],N$1,0),"ERROR")</f>
        <v>1366</v>
      </c>
      <c r="O13" s="112">
        <f>IFERROR(VLOOKUP($B13,MMWR_TRAD_AGG_STATE_COMP[],O$1,0),"ERROR")</f>
        <v>1054</v>
      </c>
      <c r="P13" s="114">
        <f t="shared" si="3"/>
        <v>0.77159590043923865</v>
      </c>
      <c r="Q13" s="115">
        <f>IFERROR(VLOOKUP($B13,MMWR_TRAD_AGG_STATE_COMP[],Q$1,0),"ERROR")</f>
        <v>700</v>
      </c>
      <c r="R13" s="115">
        <f>IFERROR(VLOOKUP($B13,MMWR_TRAD_AGG_STATE_COMP[],R$1,0),"ERROR")</f>
        <v>9</v>
      </c>
      <c r="S13" s="115">
        <f>IFERROR(VLOOKUP($B13,MMWR_APP_STATE_COMP[],S$1,0),"ERROR")</f>
        <v>3466</v>
      </c>
      <c r="T13" s="28"/>
    </row>
    <row r="14" spans="1:20" s="123" customFormat="1" x14ac:dyDescent="0.2">
      <c r="A14" s="107"/>
      <c r="B14" s="127" t="s">
        <v>422</v>
      </c>
      <c r="C14" s="109">
        <f>IFERROR(VLOOKUP($B14,MMWR_TRAD_AGG_STATE_COMP[],C$1,0),"ERROR")</f>
        <v>1658</v>
      </c>
      <c r="D14" s="110">
        <f>IFERROR(VLOOKUP($B14,MMWR_TRAD_AGG_STATE_COMP[],D$1,0),"ERROR")</f>
        <v>382.7364294331</v>
      </c>
      <c r="E14" s="111">
        <f>IFERROR(VLOOKUP($B14,MMWR_TRAD_AGG_STATE_COMP[],E$1,0),"ERROR")</f>
        <v>1315</v>
      </c>
      <c r="F14" s="112">
        <f>IFERROR(VLOOKUP($B14,MMWR_TRAD_AGG_STATE_COMP[],F$1,0),"ERROR")</f>
        <v>308</v>
      </c>
      <c r="G14" s="113">
        <f t="shared" si="0"/>
        <v>0.23422053231939163</v>
      </c>
      <c r="H14" s="111">
        <f>IFERROR(VLOOKUP($B14,MMWR_TRAD_AGG_STATE_COMP[],H$1,0),"ERROR")</f>
        <v>2335</v>
      </c>
      <c r="I14" s="112">
        <f>IFERROR(VLOOKUP($B14,MMWR_TRAD_AGG_STATE_COMP[],I$1,0),"ERROR")</f>
        <v>1446</v>
      </c>
      <c r="J14" s="114">
        <f t="shared" si="1"/>
        <v>0.61927194860813706</v>
      </c>
      <c r="K14" s="111">
        <f>IFERROR(VLOOKUP($B14,MMWR_TRAD_AGG_STATE_COMP[],K$1,0),"ERROR")</f>
        <v>603</v>
      </c>
      <c r="L14" s="112">
        <f>IFERROR(VLOOKUP($B14,MMWR_TRAD_AGG_STATE_COMP[],L$1,0),"ERROR")</f>
        <v>481</v>
      </c>
      <c r="M14" s="114">
        <f t="shared" si="2"/>
        <v>0.79767827529021562</v>
      </c>
      <c r="N14" s="111">
        <f>IFERROR(VLOOKUP($B14,MMWR_TRAD_AGG_STATE_COMP[],N$1,0),"ERROR")</f>
        <v>156</v>
      </c>
      <c r="O14" s="112">
        <f>IFERROR(VLOOKUP($B14,MMWR_TRAD_AGG_STATE_COMP[],O$1,0),"ERROR")</f>
        <v>101</v>
      </c>
      <c r="P14" s="114">
        <f t="shared" si="3"/>
        <v>0.64743589743589747</v>
      </c>
      <c r="Q14" s="115">
        <f>IFERROR(VLOOKUP($B14,MMWR_TRAD_AGG_STATE_COMP[],Q$1,0),"ERROR")</f>
        <v>148</v>
      </c>
      <c r="R14" s="115">
        <f>IFERROR(VLOOKUP($B14,MMWR_TRAD_AGG_STATE_COMP[],R$1,0),"ERROR")</f>
        <v>2</v>
      </c>
      <c r="S14" s="115">
        <f>IFERROR(VLOOKUP($B14,MMWR_APP_STATE_COMP[],S$1,0),"ERROR")</f>
        <v>697</v>
      </c>
      <c r="T14" s="28"/>
    </row>
    <row r="15" spans="1:20" s="123" customFormat="1" x14ac:dyDescent="0.2">
      <c r="A15" s="107"/>
      <c r="B15" s="127" t="s">
        <v>381</v>
      </c>
      <c r="C15" s="109">
        <f>IFERROR(VLOOKUP($B15,MMWR_TRAD_AGG_STATE_COMP[],C$1,0),"ERROR")</f>
        <v>2674</v>
      </c>
      <c r="D15" s="110">
        <f>IFERROR(VLOOKUP($B15,MMWR_TRAD_AGG_STATE_COMP[],D$1,0),"ERROR")</f>
        <v>294.23223634999999</v>
      </c>
      <c r="E15" s="111">
        <f>IFERROR(VLOOKUP($B15,MMWR_TRAD_AGG_STATE_COMP[],E$1,0),"ERROR")</f>
        <v>4028</v>
      </c>
      <c r="F15" s="112">
        <f>IFERROR(VLOOKUP($B15,MMWR_TRAD_AGG_STATE_COMP[],F$1,0),"ERROR")</f>
        <v>985</v>
      </c>
      <c r="G15" s="113">
        <f t="shared" si="0"/>
        <v>0.24453823237338629</v>
      </c>
      <c r="H15" s="111">
        <f>IFERROR(VLOOKUP($B15,MMWR_TRAD_AGG_STATE_COMP[],H$1,0),"ERROR")</f>
        <v>4274</v>
      </c>
      <c r="I15" s="112">
        <f>IFERROR(VLOOKUP($B15,MMWR_TRAD_AGG_STATE_COMP[],I$1,0),"ERROR")</f>
        <v>2107</v>
      </c>
      <c r="J15" s="114">
        <f t="shared" si="1"/>
        <v>0.49298081422554985</v>
      </c>
      <c r="K15" s="111">
        <f>IFERROR(VLOOKUP($B15,MMWR_TRAD_AGG_STATE_COMP[],K$1,0),"ERROR")</f>
        <v>1202</v>
      </c>
      <c r="L15" s="112">
        <f>IFERROR(VLOOKUP($B15,MMWR_TRAD_AGG_STATE_COMP[],L$1,0),"ERROR")</f>
        <v>767</v>
      </c>
      <c r="M15" s="114">
        <f t="shared" si="2"/>
        <v>0.63810316139767054</v>
      </c>
      <c r="N15" s="111">
        <f>IFERROR(VLOOKUP($B15,MMWR_TRAD_AGG_STATE_COMP[],N$1,0),"ERROR")</f>
        <v>2020</v>
      </c>
      <c r="O15" s="112">
        <f>IFERROR(VLOOKUP($B15,MMWR_TRAD_AGG_STATE_COMP[],O$1,0),"ERROR")</f>
        <v>1321</v>
      </c>
      <c r="P15" s="114">
        <f t="shared" si="3"/>
        <v>0.65396039603960399</v>
      </c>
      <c r="Q15" s="115">
        <f>IFERROR(VLOOKUP($B15,MMWR_TRAD_AGG_STATE_COMP[],Q$1,0),"ERROR")</f>
        <v>629</v>
      </c>
      <c r="R15" s="115">
        <f>IFERROR(VLOOKUP($B15,MMWR_TRAD_AGG_STATE_COMP[],R$1,0),"ERROR")</f>
        <v>3</v>
      </c>
      <c r="S15" s="115">
        <f>IFERROR(VLOOKUP($B15,MMWR_APP_STATE_COMP[],S$1,0),"ERROR")</f>
        <v>4174</v>
      </c>
      <c r="T15" s="28"/>
    </row>
    <row r="16" spans="1:20" s="123" customFormat="1" x14ac:dyDescent="0.2">
      <c r="A16" s="107"/>
      <c r="B16" s="127" t="s">
        <v>63</v>
      </c>
      <c r="C16" s="109">
        <f>IFERROR(VLOOKUP($B16,MMWR_TRAD_AGG_STATE_COMP[],C$1,0),"ERROR")</f>
        <v>6688</v>
      </c>
      <c r="D16" s="110">
        <f>IFERROR(VLOOKUP($B16,MMWR_TRAD_AGG_STATE_COMP[],D$1,0),"ERROR")</f>
        <v>274.24491626790001</v>
      </c>
      <c r="E16" s="111">
        <f>IFERROR(VLOOKUP($B16,MMWR_TRAD_AGG_STATE_COMP[],E$1,0),"ERROR")</f>
        <v>9211</v>
      </c>
      <c r="F16" s="112">
        <f>IFERROR(VLOOKUP($B16,MMWR_TRAD_AGG_STATE_COMP[],F$1,0),"ERROR")</f>
        <v>2047</v>
      </c>
      <c r="G16" s="113">
        <f t="shared" si="0"/>
        <v>0.22223428509390947</v>
      </c>
      <c r="H16" s="111">
        <f>IFERROR(VLOOKUP($B16,MMWR_TRAD_AGG_STATE_COMP[],H$1,0),"ERROR")</f>
        <v>9865</v>
      </c>
      <c r="I16" s="112">
        <f>IFERROR(VLOOKUP($B16,MMWR_TRAD_AGG_STATE_COMP[],I$1,0),"ERROR")</f>
        <v>5728</v>
      </c>
      <c r="J16" s="114">
        <f t="shared" si="1"/>
        <v>0.58063862138874811</v>
      </c>
      <c r="K16" s="111">
        <f>IFERROR(VLOOKUP($B16,MMWR_TRAD_AGG_STATE_COMP[],K$1,0),"ERROR")</f>
        <v>3384</v>
      </c>
      <c r="L16" s="112">
        <f>IFERROR(VLOOKUP($B16,MMWR_TRAD_AGG_STATE_COMP[],L$1,0),"ERROR")</f>
        <v>2320</v>
      </c>
      <c r="M16" s="114">
        <f t="shared" si="2"/>
        <v>0.68557919621749408</v>
      </c>
      <c r="N16" s="111">
        <f>IFERROR(VLOOKUP($B16,MMWR_TRAD_AGG_STATE_COMP[],N$1,0),"ERROR")</f>
        <v>1877</v>
      </c>
      <c r="O16" s="112">
        <f>IFERROR(VLOOKUP($B16,MMWR_TRAD_AGG_STATE_COMP[],O$1,0),"ERROR")</f>
        <v>1023</v>
      </c>
      <c r="P16" s="114">
        <f t="shared" si="3"/>
        <v>0.54501864677677148</v>
      </c>
      <c r="Q16" s="115">
        <f>IFERROR(VLOOKUP($B16,MMWR_TRAD_AGG_STATE_COMP[],Q$1,0),"ERROR")</f>
        <v>1352</v>
      </c>
      <c r="R16" s="115">
        <f>IFERROR(VLOOKUP($B16,MMWR_TRAD_AGG_STATE_COMP[],R$1,0),"ERROR")</f>
        <v>7</v>
      </c>
      <c r="S16" s="115">
        <f>IFERROR(VLOOKUP($B16,MMWR_APP_STATE_COMP[],S$1,0),"ERROR")</f>
        <v>5519</v>
      </c>
      <c r="T16" s="28"/>
    </row>
    <row r="17" spans="1:20" s="123" customFormat="1" x14ac:dyDescent="0.2">
      <c r="A17" s="107"/>
      <c r="B17" s="127" t="s">
        <v>389</v>
      </c>
      <c r="C17" s="109">
        <f>IFERROR(VLOOKUP($B17,MMWR_TRAD_AGG_STATE_COMP[],C$1,0),"ERROR")</f>
        <v>16271</v>
      </c>
      <c r="D17" s="110">
        <f>IFERROR(VLOOKUP($B17,MMWR_TRAD_AGG_STATE_COMP[],D$1,0),"ERROR")</f>
        <v>326.7113269006</v>
      </c>
      <c r="E17" s="111">
        <f>IFERROR(VLOOKUP($B17,MMWR_TRAD_AGG_STATE_COMP[],E$1,0),"ERROR")</f>
        <v>18640</v>
      </c>
      <c r="F17" s="112">
        <f>IFERROR(VLOOKUP($B17,MMWR_TRAD_AGG_STATE_COMP[],F$1,0),"ERROR")</f>
        <v>4504</v>
      </c>
      <c r="G17" s="113">
        <f t="shared" si="0"/>
        <v>0.24163090128755366</v>
      </c>
      <c r="H17" s="111">
        <f>IFERROR(VLOOKUP($B17,MMWR_TRAD_AGG_STATE_COMP[],H$1,0),"ERROR")</f>
        <v>22715</v>
      </c>
      <c r="I17" s="112">
        <f>IFERROR(VLOOKUP($B17,MMWR_TRAD_AGG_STATE_COMP[],I$1,0),"ERROR")</f>
        <v>14237</v>
      </c>
      <c r="J17" s="114">
        <f t="shared" si="1"/>
        <v>0.626766453885098</v>
      </c>
      <c r="K17" s="111">
        <f>IFERROR(VLOOKUP($B17,MMWR_TRAD_AGG_STATE_COMP[],K$1,0),"ERROR")</f>
        <v>5701</v>
      </c>
      <c r="L17" s="112">
        <f>IFERROR(VLOOKUP($B17,MMWR_TRAD_AGG_STATE_COMP[],L$1,0),"ERROR")</f>
        <v>3573</v>
      </c>
      <c r="M17" s="114">
        <f t="shared" si="2"/>
        <v>0.62673215225399048</v>
      </c>
      <c r="N17" s="111">
        <f>IFERROR(VLOOKUP($B17,MMWR_TRAD_AGG_STATE_COMP[],N$1,0),"ERROR")</f>
        <v>4944</v>
      </c>
      <c r="O17" s="112">
        <f>IFERROR(VLOOKUP($B17,MMWR_TRAD_AGG_STATE_COMP[],O$1,0),"ERROR")</f>
        <v>3367</v>
      </c>
      <c r="P17" s="114">
        <f t="shared" si="3"/>
        <v>0.68102750809061485</v>
      </c>
      <c r="Q17" s="115">
        <f>IFERROR(VLOOKUP($B17,MMWR_TRAD_AGG_STATE_COMP[],Q$1,0),"ERROR")</f>
        <v>1067</v>
      </c>
      <c r="R17" s="115">
        <f>IFERROR(VLOOKUP($B17,MMWR_TRAD_AGG_STATE_COMP[],R$1,0),"ERROR")</f>
        <v>35</v>
      </c>
      <c r="S17" s="115">
        <f>IFERROR(VLOOKUP($B17,MMWR_APP_STATE_COMP[],S$1,0),"ERROR")</f>
        <v>10261</v>
      </c>
      <c r="T17" s="28"/>
    </row>
    <row r="18" spans="1:20" s="123" customFormat="1" x14ac:dyDescent="0.2">
      <c r="A18" s="107"/>
      <c r="B18" s="127" t="s">
        <v>382</v>
      </c>
      <c r="C18" s="109">
        <f>IFERROR(VLOOKUP($B18,MMWR_TRAD_AGG_STATE_COMP[],C$1,0),"ERROR")</f>
        <v>8624</v>
      </c>
      <c r="D18" s="110">
        <f>IFERROR(VLOOKUP($B18,MMWR_TRAD_AGG_STATE_COMP[],D$1,0),"ERROR")</f>
        <v>424.3307050093</v>
      </c>
      <c r="E18" s="111">
        <f>IFERROR(VLOOKUP($B18,MMWR_TRAD_AGG_STATE_COMP[],E$1,0),"ERROR")</f>
        <v>9366</v>
      </c>
      <c r="F18" s="112">
        <f>IFERROR(VLOOKUP($B18,MMWR_TRAD_AGG_STATE_COMP[],F$1,0),"ERROR")</f>
        <v>2644</v>
      </c>
      <c r="G18" s="113">
        <f t="shared" si="0"/>
        <v>0.28229767243220161</v>
      </c>
      <c r="H18" s="111">
        <f>IFERROR(VLOOKUP($B18,MMWR_TRAD_AGG_STATE_COMP[],H$1,0),"ERROR")</f>
        <v>12913</v>
      </c>
      <c r="I18" s="112">
        <f>IFERROR(VLOOKUP($B18,MMWR_TRAD_AGG_STATE_COMP[],I$1,0),"ERROR")</f>
        <v>8926</v>
      </c>
      <c r="J18" s="114">
        <f t="shared" si="1"/>
        <v>0.69124138465112672</v>
      </c>
      <c r="K18" s="111">
        <f>IFERROR(VLOOKUP($B18,MMWR_TRAD_AGG_STATE_COMP[],K$1,0),"ERROR")</f>
        <v>1686</v>
      </c>
      <c r="L18" s="112">
        <f>IFERROR(VLOOKUP($B18,MMWR_TRAD_AGG_STATE_COMP[],L$1,0),"ERROR")</f>
        <v>878</v>
      </c>
      <c r="M18" s="114">
        <f t="shared" si="2"/>
        <v>0.52075919335705811</v>
      </c>
      <c r="N18" s="111">
        <f>IFERROR(VLOOKUP($B18,MMWR_TRAD_AGG_STATE_COMP[],N$1,0),"ERROR")</f>
        <v>5805</v>
      </c>
      <c r="O18" s="112">
        <f>IFERROR(VLOOKUP($B18,MMWR_TRAD_AGG_STATE_COMP[],O$1,0),"ERROR")</f>
        <v>4657</v>
      </c>
      <c r="P18" s="114">
        <f t="shared" si="3"/>
        <v>0.80223944875107667</v>
      </c>
      <c r="Q18" s="115">
        <f>IFERROR(VLOOKUP($B18,MMWR_TRAD_AGG_STATE_COMP[],Q$1,0),"ERROR")</f>
        <v>1257</v>
      </c>
      <c r="R18" s="115">
        <f>IFERROR(VLOOKUP($B18,MMWR_TRAD_AGG_STATE_COMP[],R$1,0),"ERROR")</f>
        <v>8</v>
      </c>
      <c r="S18" s="115">
        <f>IFERROR(VLOOKUP($B18,MMWR_APP_STATE_COMP[],S$1,0),"ERROR")</f>
        <v>6867</v>
      </c>
      <c r="T18" s="28"/>
    </row>
    <row r="19" spans="1:20" s="123" customFormat="1" x14ac:dyDescent="0.2">
      <c r="A19" s="107"/>
      <c r="B19" s="127" t="s">
        <v>379</v>
      </c>
      <c r="C19" s="109">
        <f>IFERROR(VLOOKUP($B19,MMWR_TRAD_AGG_STATE_COMP[],C$1,0),"ERROR")</f>
        <v>448</v>
      </c>
      <c r="D19" s="110">
        <f>IFERROR(VLOOKUP($B19,MMWR_TRAD_AGG_STATE_COMP[],D$1,0),"ERROR")</f>
        <v>236.609375</v>
      </c>
      <c r="E19" s="111">
        <f>IFERROR(VLOOKUP($B19,MMWR_TRAD_AGG_STATE_COMP[],E$1,0),"ERROR")</f>
        <v>958</v>
      </c>
      <c r="F19" s="112">
        <f>IFERROR(VLOOKUP($B19,MMWR_TRAD_AGG_STATE_COMP[],F$1,0),"ERROR")</f>
        <v>165</v>
      </c>
      <c r="G19" s="113">
        <f t="shared" si="0"/>
        <v>0.1722338204592902</v>
      </c>
      <c r="H19" s="111">
        <f>IFERROR(VLOOKUP($B19,MMWR_TRAD_AGG_STATE_COMP[],H$1,0),"ERROR")</f>
        <v>909</v>
      </c>
      <c r="I19" s="112">
        <f>IFERROR(VLOOKUP($B19,MMWR_TRAD_AGG_STATE_COMP[],I$1,0),"ERROR")</f>
        <v>335</v>
      </c>
      <c r="J19" s="114">
        <f t="shared" si="1"/>
        <v>0.36853685368536854</v>
      </c>
      <c r="K19" s="111">
        <f>IFERROR(VLOOKUP($B19,MMWR_TRAD_AGG_STATE_COMP[],K$1,0),"ERROR")</f>
        <v>315</v>
      </c>
      <c r="L19" s="112">
        <f>IFERROR(VLOOKUP($B19,MMWR_TRAD_AGG_STATE_COMP[],L$1,0),"ERROR")</f>
        <v>224</v>
      </c>
      <c r="M19" s="114">
        <f t="shared" si="2"/>
        <v>0.71111111111111114</v>
      </c>
      <c r="N19" s="111">
        <f>IFERROR(VLOOKUP($B19,MMWR_TRAD_AGG_STATE_COMP[],N$1,0),"ERROR")</f>
        <v>145</v>
      </c>
      <c r="O19" s="112">
        <f>IFERROR(VLOOKUP($B19,MMWR_TRAD_AGG_STATE_COMP[],O$1,0),"ERROR")</f>
        <v>63</v>
      </c>
      <c r="P19" s="114">
        <f t="shared" si="3"/>
        <v>0.43448275862068964</v>
      </c>
      <c r="Q19" s="115">
        <f>IFERROR(VLOOKUP($B19,MMWR_TRAD_AGG_STATE_COMP[],Q$1,0),"ERROR")</f>
        <v>174</v>
      </c>
      <c r="R19" s="115">
        <f>IFERROR(VLOOKUP($B19,MMWR_TRAD_AGG_STATE_COMP[],R$1,0),"ERROR")</f>
        <v>2</v>
      </c>
      <c r="S19" s="115">
        <f>IFERROR(VLOOKUP($B19,MMWR_APP_STATE_COMP[],S$1,0),"ERROR")</f>
        <v>348</v>
      </c>
      <c r="T19" s="28"/>
    </row>
    <row r="20" spans="1:20" s="123" customFormat="1" x14ac:dyDescent="0.2">
      <c r="A20" s="107"/>
      <c r="B20" s="127" t="s">
        <v>424</v>
      </c>
      <c r="C20" s="109">
        <f>IFERROR(VLOOKUP($B20,MMWR_TRAD_AGG_STATE_COMP[],C$1,0),"ERROR")</f>
        <v>571</v>
      </c>
      <c r="D20" s="110">
        <f>IFERROR(VLOOKUP($B20,MMWR_TRAD_AGG_STATE_COMP[],D$1,0),"ERROR")</f>
        <v>413.1891418564</v>
      </c>
      <c r="E20" s="111">
        <f>IFERROR(VLOOKUP($B20,MMWR_TRAD_AGG_STATE_COMP[],E$1,0),"ERROR")</f>
        <v>469</v>
      </c>
      <c r="F20" s="112">
        <f>IFERROR(VLOOKUP($B20,MMWR_TRAD_AGG_STATE_COMP[],F$1,0),"ERROR")</f>
        <v>92</v>
      </c>
      <c r="G20" s="113">
        <f t="shared" si="0"/>
        <v>0.19616204690831557</v>
      </c>
      <c r="H20" s="111">
        <f>IFERROR(VLOOKUP($B20,MMWR_TRAD_AGG_STATE_COMP[],H$1,0),"ERROR")</f>
        <v>900</v>
      </c>
      <c r="I20" s="112">
        <f>IFERROR(VLOOKUP($B20,MMWR_TRAD_AGG_STATE_COMP[],I$1,0),"ERROR")</f>
        <v>562</v>
      </c>
      <c r="J20" s="114">
        <f t="shared" si="1"/>
        <v>0.62444444444444447</v>
      </c>
      <c r="K20" s="111">
        <f>IFERROR(VLOOKUP($B20,MMWR_TRAD_AGG_STATE_COMP[],K$1,0),"ERROR")</f>
        <v>189</v>
      </c>
      <c r="L20" s="112">
        <f>IFERROR(VLOOKUP($B20,MMWR_TRAD_AGG_STATE_COMP[],L$1,0),"ERROR")</f>
        <v>122</v>
      </c>
      <c r="M20" s="114">
        <f t="shared" si="2"/>
        <v>0.64550264550264547</v>
      </c>
      <c r="N20" s="111">
        <f>IFERROR(VLOOKUP($B20,MMWR_TRAD_AGG_STATE_COMP[],N$1,0),"ERROR")</f>
        <v>103</v>
      </c>
      <c r="O20" s="112">
        <f>IFERROR(VLOOKUP($B20,MMWR_TRAD_AGG_STATE_COMP[],O$1,0),"ERROR")</f>
        <v>66</v>
      </c>
      <c r="P20" s="114">
        <f t="shared" si="3"/>
        <v>0.64077669902912626</v>
      </c>
      <c r="Q20" s="115">
        <f>IFERROR(VLOOKUP($B20,MMWR_TRAD_AGG_STATE_COMP[],Q$1,0),"ERROR")</f>
        <v>64</v>
      </c>
      <c r="R20" s="115">
        <f>IFERROR(VLOOKUP($B20,MMWR_TRAD_AGG_STATE_COMP[],R$1,0),"ERROR")</f>
        <v>2</v>
      </c>
      <c r="S20" s="115">
        <f>IFERROR(VLOOKUP($B20,MMWR_APP_STATE_COMP[],S$1,0),"ERROR")</f>
        <v>154</v>
      </c>
      <c r="T20" s="28"/>
    </row>
    <row r="21" spans="1:20" s="123" customFormat="1" x14ac:dyDescent="0.2">
      <c r="A21" s="107"/>
      <c r="B21" s="127" t="s">
        <v>385</v>
      </c>
      <c r="C21" s="109">
        <f>IFERROR(VLOOKUP($B21,MMWR_TRAD_AGG_STATE_COMP[],C$1,0),"ERROR")</f>
        <v>17870</v>
      </c>
      <c r="D21" s="110">
        <f>IFERROR(VLOOKUP($B21,MMWR_TRAD_AGG_STATE_COMP[],D$1,0),"ERROR")</f>
        <v>488.1010072748</v>
      </c>
      <c r="E21" s="111">
        <f>IFERROR(VLOOKUP($B21,MMWR_TRAD_AGG_STATE_COMP[],E$1,0),"ERROR")</f>
        <v>13111</v>
      </c>
      <c r="F21" s="112">
        <f>IFERROR(VLOOKUP($B21,MMWR_TRAD_AGG_STATE_COMP[],F$1,0),"ERROR")</f>
        <v>2446</v>
      </c>
      <c r="G21" s="113">
        <f t="shared" si="0"/>
        <v>0.18656090305850048</v>
      </c>
      <c r="H21" s="111">
        <f>IFERROR(VLOOKUP($B21,MMWR_TRAD_AGG_STATE_COMP[],H$1,0),"ERROR")</f>
        <v>22478</v>
      </c>
      <c r="I21" s="112">
        <f>IFERROR(VLOOKUP($B21,MMWR_TRAD_AGG_STATE_COMP[],I$1,0),"ERROR")</f>
        <v>15950</v>
      </c>
      <c r="J21" s="114">
        <f t="shared" si="1"/>
        <v>0.7095827030874633</v>
      </c>
      <c r="K21" s="111">
        <f>IFERROR(VLOOKUP($B21,MMWR_TRAD_AGG_STATE_COMP[],K$1,0),"ERROR")</f>
        <v>7328</v>
      </c>
      <c r="L21" s="112">
        <f>IFERROR(VLOOKUP($B21,MMWR_TRAD_AGG_STATE_COMP[],L$1,0),"ERROR")</f>
        <v>5595</v>
      </c>
      <c r="M21" s="114">
        <f t="shared" si="2"/>
        <v>0.76350982532751088</v>
      </c>
      <c r="N21" s="111">
        <f>IFERROR(VLOOKUP($B21,MMWR_TRAD_AGG_STATE_COMP[],N$1,0),"ERROR")</f>
        <v>6016</v>
      </c>
      <c r="O21" s="112">
        <f>IFERROR(VLOOKUP($B21,MMWR_TRAD_AGG_STATE_COMP[],O$1,0),"ERROR")</f>
        <v>4300</v>
      </c>
      <c r="P21" s="114">
        <f t="shared" si="3"/>
        <v>0.71476063829787229</v>
      </c>
      <c r="Q21" s="115">
        <f>IFERROR(VLOOKUP($B21,MMWR_TRAD_AGG_STATE_COMP[],Q$1,0),"ERROR")</f>
        <v>815</v>
      </c>
      <c r="R21" s="115">
        <f>IFERROR(VLOOKUP($B21,MMWR_TRAD_AGG_STATE_COMP[],R$1,0),"ERROR")</f>
        <v>20</v>
      </c>
      <c r="S21" s="115">
        <f>IFERROR(VLOOKUP($B21,MMWR_APP_STATE_COMP[],S$1,0),"ERROR")</f>
        <v>14893</v>
      </c>
      <c r="T21" s="28"/>
    </row>
    <row r="22" spans="1:20" s="123" customFormat="1" x14ac:dyDescent="0.2">
      <c r="A22" s="107"/>
      <c r="B22" s="127" t="s">
        <v>386</v>
      </c>
      <c r="C22" s="109">
        <f>IFERROR(VLOOKUP($B22,MMWR_TRAD_AGG_STATE_COMP[],C$1,0),"ERROR")</f>
        <v>2226</v>
      </c>
      <c r="D22" s="110">
        <f>IFERROR(VLOOKUP($B22,MMWR_TRAD_AGG_STATE_COMP[],D$1,0),"ERROR")</f>
        <v>271.92902066490001</v>
      </c>
      <c r="E22" s="111">
        <f>IFERROR(VLOOKUP($B22,MMWR_TRAD_AGG_STATE_COMP[],E$1,0),"ERROR")</f>
        <v>2568</v>
      </c>
      <c r="F22" s="112">
        <f>IFERROR(VLOOKUP($B22,MMWR_TRAD_AGG_STATE_COMP[],F$1,0),"ERROR")</f>
        <v>389</v>
      </c>
      <c r="G22" s="113">
        <f t="shared" si="0"/>
        <v>0.1514797507788162</v>
      </c>
      <c r="H22" s="111">
        <f>IFERROR(VLOOKUP($B22,MMWR_TRAD_AGG_STATE_COMP[],H$1,0),"ERROR")</f>
        <v>3702</v>
      </c>
      <c r="I22" s="112">
        <f>IFERROR(VLOOKUP($B22,MMWR_TRAD_AGG_STATE_COMP[],I$1,0),"ERROR")</f>
        <v>2129</v>
      </c>
      <c r="J22" s="114">
        <f t="shared" si="1"/>
        <v>0.57509454349000544</v>
      </c>
      <c r="K22" s="111">
        <f>IFERROR(VLOOKUP($B22,MMWR_TRAD_AGG_STATE_COMP[],K$1,0),"ERROR")</f>
        <v>428</v>
      </c>
      <c r="L22" s="112">
        <f>IFERROR(VLOOKUP($B22,MMWR_TRAD_AGG_STATE_COMP[],L$1,0),"ERROR")</f>
        <v>196</v>
      </c>
      <c r="M22" s="114">
        <f t="shared" si="2"/>
        <v>0.45794392523364486</v>
      </c>
      <c r="N22" s="111">
        <f>IFERROR(VLOOKUP($B22,MMWR_TRAD_AGG_STATE_COMP[],N$1,0),"ERROR")</f>
        <v>1188</v>
      </c>
      <c r="O22" s="112">
        <f>IFERROR(VLOOKUP($B22,MMWR_TRAD_AGG_STATE_COMP[],O$1,0),"ERROR")</f>
        <v>773</v>
      </c>
      <c r="P22" s="114">
        <f t="shared" si="3"/>
        <v>0.65067340067340063</v>
      </c>
      <c r="Q22" s="115">
        <f>IFERROR(VLOOKUP($B22,MMWR_TRAD_AGG_STATE_COMP[],Q$1,0),"ERROR")</f>
        <v>302</v>
      </c>
      <c r="R22" s="115">
        <f>IFERROR(VLOOKUP($B22,MMWR_TRAD_AGG_STATE_COMP[],R$1,0),"ERROR")</f>
        <v>16</v>
      </c>
      <c r="S22" s="115">
        <f>IFERROR(VLOOKUP($B22,MMWR_APP_STATE_COMP[],S$1,0),"ERROR")</f>
        <v>2219</v>
      </c>
      <c r="T22" s="28"/>
    </row>
    <row r="23" spans="1:20" s="123" customFormat="1" x14ac:dyDescent="0.2">
      <c r="A23" s="107"/>
      <c r="B23" s="126" t="s">
        <v>397</v>
      </c>
      <c r="C23" s="102">
        <f>IF(SUM(C24:C35)&lt;&gt;VLOOKUP($B23,MMWR_TRAD_AGG_ST_DISTRICT_COMP[],C$1,0),"ERROR",
VLOOKUP($B23,MMWR_TRAD_AGG_ST_DISTRICT_COMP[],C$1,0))</f>
        <v>45881</v>
      </c>
      <c r="D23" s="103">
        <f>IFERROR(VLOOKUP($B23,MMWR_TRAD_AGG_ST_DISTRICT_COMP[],D$1,0),"ERROR")</f>
        <v>405.8327630174</v>
      </c>
      <c r="E23" s="102">
        <f>IF(SUM(E24:E35)&lt;&gt;VLOOKUP($B23,MMWR_TRAD_AGG_ST_DISTRICT_COMP[],E$1,0),"ERROR",
VLOOKUP($B23,MMWR_TRAD_AGG_ST_DISTRICT_COMP[],E$1,0))</f>
        <v>54615</v>
      </c>
      <c r="F23" s="102">
        <f>IF(SUM(F24:F35)&lt;&gt;VLOOKUP($B23,MMWR_TRAD_AGG_ST_DISTRICT_COMP[],F$1,0),"ERROR",
VLOOKUP($B23,MMWR_TRAD_AGG_ST_DISTRICT_COMP[],F$1,0))</f>
        <v>10853</v>
      </c>
      <c r="G23" s="104">
        <f t="shared" si="0"/>
        <v>0.19871830083310446</v>
      </c>
      <c r="H23" s="102">
        <f>IF(SUM(H24:H35)&lt;&gt;VLOOKUP($B23,MMWR_TRAD_AGG_ST_DISTRICT_COMP[],H$1,0),"ERROR",
VLOOKUP($B23,MMWR_TRAD_AGG_ST_DISTRICT_COMP[],H$1,0))</f>
        <v>72670</v>
      </c>
      <c r="I23" s="102">
        <f>IF(SUM(I24:I35)&lt;&gt;VLOOKUP($B23,MMWR_TRAD_AGG_ST_DISTRICT_COMP[],I$1,0),"ERROR",
VLOOKUP($B23,MMWR_TRAD_AGG_ST_DISTRICT_COMP[],I$1,0))</f>
        <v>41669</v>
      </c>
      <c r="J23" s="105">
        <f t="shared" si="1"/>
        <v>0.57340030273840648</v>
      </c>
      <c r="K23" s="102">
        <f>IF(SUM(K24:K35)&lt;&gt;VLOOKUP($B23,MMWR_TRAD_AGG_ST_DISTRICT_COMP[],K$1,0),"ERROR",
VLOOKUP($B23,MMWR_TRAD_AGG_ST_DISTRICT_COMP[],K$1,0))</f>
        <v>13184</v>
      </c>
      <c r="L23" s="102">
        <f>IF(SUM(L24:L35)&lt;&gt;VLOOKUP($B23,MMWR_TRAD_AGG_ST_DISTRICT_COMP[],L$1,0),"ERROR",
VLOOKUP($B23,MMWR_TRAD_AGG_ST_DISTRICT_COMP[],L$1,0))</f>
        <v>8083</v>
      </c>
      <c r="M23" s="105">
        <f t="shared" si="2"/>
        <v>0.61309162621359226</v>
      </c>
      <c r="N23" s="102">
        <f>IF(SUM(N24:N35)&lt;&gt;VLOOKUP($B23,MMWR_TRAD_AGG_ST_DISTRICT_COMP[],N$1,0),"ERROR",
VLOOKUP($B23,MMWR_TRAD_AGG_ST_DISTRICT_COMP[],N$1,0))</f>
        <v>22442</v>
      </c>
      <c r="O23" s="102">
        <f>IF(SUM(O24:O35)&lt;&gt;VLOOKUP($B23,MMWR_TRAD_AGG_ST_DISTRICT_COMP[],O$1,0),"ERROR",
VLOOKUP($B23,MMWR_TRAD_AGG_ST_DISTRICT_COMP[],O$1,0))</f>
        <v>13518</v>
      </c>
      <c r="P23" s="105">
        <f t="shared" si="3"/>
        <v>0.60235273148560731</v>
      </c>
      <c r="Q23" s="102">
        <f>IF(SUM(Q24:Q35)&lt;&gt;VLOOKUP($B23,MMWR_TRAD_AGG_ST_DISTRICT_COMP[],Q$1,0),"ERROR",
VLOOKUP($B23,MMWR_TRAD_AGG_ST_DISTRICT_COMP[],Q$1,0))</f>
        <v>3182</v>
      </c>
      <c r="R23" s="102">
        <f>IF(SUM(R24:R35)&lt;&gt;VLOOKUP($B23,MMWR_TRAD_AGG_ST_DISTRICT_COMP[],R$1,0),"ERROR",
VLOOKUP($B23,MMWR_TRAD_AGG_ST_DISTRICT_COMP[],R$1,0))</f>
        <v>1063</v>
      </c>
      <c r="S23" s="106">
        <f>SUM(S24:S35)</f>
        <v>53690</v>
      </c>
      <c r="T23" s="28"/>
    </row>
    <row r="24" spans="1:20" s="123" customFormat="1" x14ac:dyDescent="0.2">
      <c r="A24" s="92"/>
      <c r="B24" s="127" t="s">
        <v>401</v>
      </c>
      <c r="C24" s="109">
        <f>IFERROR(VLOOKUP($B24,MMWR_TRAD_AGG_STATE_COMP[],C$1,0),"ERROR")</f>
        <v>7617</v>
      </c>
      <c r="D24" s="110">
        <f>IFERROR(VLOOKUP($B24,MMWR_TRAD_AGG_STATE_COMP[],D$1,0),"ERROR")</f>
        <v>483.3119338322</v>
      </c>
      <c r="E24" s="111">
        <f>IFERROR(VLOOKUP($B24,MMWR_TRAD_AGG_STATE_COMP[],E$1,0),"ERROR")</f>
        <v>7648</v>
      </c>
      <c r="F24" s="112">
        <f>IFERROR(VLOOKUP($B24,MMWR_TRAD_AGG_STATE_COMP[],F$1,0),"ERROR")</f>
        <v>1925</v>
      </c>
      <c r="G24" s="113">
        <f t="shared" si="0"/>
        <v>0.25169979079497906</v>
      </c>
      <c r="H24" s="111">
        <f>IFERROR(VLOOKUP($B24,MMWR_TRAD_AGG_STATE_COMP[],H$1,0),"ERROR")</f>
        <v>10118</v>
      </c>
      <c r="I24" s="112">
        <f>IFERROR(VLOOKUP($B24,MMWR_TRAD_AGG_STATE_COMP[],I$1,0),"ERROR")</f>
        <v>6901</v>
      </c>
      <c r="J24" s="114">
        <f t="shared" si="1"/>
        <v>0.6820517888910852</v>
      </c>
      <c r="K24" s="111">
        <f>IFERROR(VLOOKUP($B24,MMWR_TRAD_AGG_STATE_COMP[],K$1,0),"ERROR")</f>
        <v>1876</v>
      </c>
      <c r="L24" s="112">
        <f>IFERROR(VLOOKUP($B24,MMWR_TRAD_AGG_STATE_COMP[],L$1,0),"ERROR")</f>
        <v>1366</v>
      </c>
      <c r="M24" s="114">
        <f t="shared" si="2"/>
        <v>0.72814498933901917</v>
      </c>
      <c r="N24" s="111">
        <f>IFERROR(VLOOKUP($B24,MMWR_TRAD_AGG_STATE_COMP[],N$1,0),"ERROR")</f>
        <v>2692</v>
      </c>
      <c r="O24" s="112">
        <f>IFERROR(VLOOKUP($B24,MMWR_TRAD_AGG_STATE_COMP[],O$1,0),"ERROR")</f>
        <v>1665</v>
      </c>
      <c r="P24" s="114">
        <f t="shared" si="3"/>
        <v>0.6184992570579495</v>
      </c>
      <c r="Q24" s="115">
        <f>IFERROR(VLOOKUP($B24,MMWR_TRAD_AGG_STATE_COMP[],Q$1,0),"ERROR")</f>
        <v>588</v>
      </c>
      <c r="R24" s="115">
        <f>IFERROR(VLOOKUP($B24,MMWR_TRAD_AGG_STATE_COMP[],R$1,0),"ERROR")</f>
        <v>201</v>
      </c>
      <c r="S24" s="115">
        <f>IFERROR(VLOOKUP($B24,MMWR_APP_STATE_COMP[],S$1,0),"ERROR")</f>
        <v>8067</v>
      </c>
      <c r="T24" s="28"/>
    </row>
    <row r="25" spans="1:20" s="123" customFormat="1" x14ac:dyDescent="0.2">
      <c r="A25" s="107"/>
      <c r="B25" s="127" t="s">
        <v>399</v>
      </c>
      <c r="C25" s="109">
        <f>IFERROR(VLOOKUP($B25,MMWR_TRAD_AGG_STATE_COMP[],C$1,0),"ERROR")</f>
        <v>7690</v>
      </c>
      <c r="D25" s="110">
        <f>IFERROR(VLOOKUP($B25,MMWR_TRAD_AGG_STATE_COMP[],D$1,0),"ERROR")</f>
        <v>596.82587776330001</v>
      </c>
      <c r="E25" s="111">
        <f>IFERROR(VLOOKUP($B25,MMWR_TRAD_AGG_STATE_COMP[],E$1,0),"ERROR")</f>
        <v>5411</v>
      </c>
      <c r="F25" s="112">
        <f>IFERROR(VLOOKUP($B25,MMWR_TRAD_AGG_STATE_COMP[],F$1,0),"ERROR")</f>
        <v>869</v>
      </c>
      <c r="G25" s="113">
        <f t="shared" si="0"/>
        <v>0.16059878026242838</v>
      </c>
      <c r="H25" s="111">
        <f>IFERROR(VLOOKUP($B25,MMWR_TRAD_AGG_STATE_COMP[],H$1,0),"ERROR")</f>
        <v>11810</v>
      </c>
      <c r="I25" s="112">
        <f>IFERROR(VLOOKUP($B25,MMWR_TRAD_AGG_STATE_COMP[],I$1,0),"ERROR")</f>
        <v>7525</v>
      </c>
      <c r="J25" s="114">
        <f t="shared" si="1"/>
        <v>0.63717188823031334</v>
      </c>
      <c r="K25" s="111">
        <f>IFERROR(VLOOKUP($B25,MMWR_TRAD_AGG_STATE_COMP[],K$1,0),"ERROR")</f>
        <v>1737</v>
      </c>
      <c r="L25" s="112">
        <f>IFERROR(VLOOKUP($B25,MMWR_TRAD_AGG_STATE_COMP[],L$1,0),"ERROR")</f>
        <v>1118</v>
      </c>
      <c r="M25" s="114">
        <f t="shared" si="2"/>
        <v>0.64363845710995971</v>
      </c>
      <c r="N25" s="111">
        <f>IFERROR(VLOOKUP($B25,MMWR_TRAD_AGG_STATE_COMP[],N$1,0),"ERROR")</f>
        <v>2301</v>
      </c>
      <c r="O25" s="112">
        <f>IFERROR(VLOOKUP($B25,MMWR_TRAD_AGG_STATE_COMP[],O$1,0),"ERROR")</f>
        <v>1718</v>
      </c>
      <c r="P25" s="114">
        <f t="shared" si="3"/>
        <v>0.74663189917427208</v>
      </c>
      <c r="Q25" s="115">
        <f>IFERROR(VLOOKUP($B25,MMWR_TRAD_AGG_STATE_COMP[],Q$1,0),"ERROR")</f>
        <v>434</v>
      </c>
      <c r="R25" s="115">
        <f>IFERROR(VLOOKUP($B25,MMWR_TRAD_AGG_STATE_COMP[],R$1,0),"ERROR")</f>
        <v>189</v>
      </c>
      <c r="S25" s="115">
        <f>IFERROR(VLOOKUP($B25,MMWR_APP_STATE_COMP[],S$1,0),"ERROR")</f>
        <v>8225</v>
      </c>
      <c r="T25" s="28"/>
    </row>
    <row r="26" spans="1:20" s="123" customFormat="1" x14ac:dyDescent="0.2">
      <c r="A26" s="107"/>
      <c r="B26" s="127" t="s">
        <v>406</v>
      </c>
      <c r="C26" s="109">
        <f>IFERROR(VLOOKUP($B26,MMWR_TRAD_AGG_STATE_COMP[],C$1,0),"ERROR")</f>
        <v>1501</v>
      </c>
      <c r="D26" s="110">
        <f>IFERROR(VLOOKUP($B26,MMWR_TRAD_AGG_STATE_COMP[],D$1,0),"ERROR")</f>
        <v>190.63224516989999</v>
      </c>
      <c r="E26" s="111">
        <f>IFERROR(VLOOKUP($B26,MMWR_TRAD_AGG_STATE_COMP[],E$1,0),"ERROR")</f>
        <v>2376</v>
      </c>
      <c r="F26" s="112">
        <f>IFERROR(VLOOKUP($B26,MMWR_TRAD_AGG_STATE_COMP[],F$1,0),"ERROR")</f>
        <v>427</v>
      </c>
      <c r="G26" s="113">
        <f t="shared" si="0"/>
        <v>0.17971380471380471</v>
      </c>
      <c r="H26" s="111">
        <f>IFERROR(VLOOKUP($B26,MMWR_TRAD_AGG_STATE_COMP[],H$1,0),"ERROR")</f>
        <v>2790</v>
      </c>
      <c r="I26" s="112">
        <f>IFERROR(VLOOKUP($B26,MMWR_TRAD_AGG_STATE_COMP[],I$1,0),"ERROR")</f>
        <v>1177</v>
      </c>
      <c r="J26" s="114">
        <f t="shared" si="1"/>
        <v>0.4218637992831541</v>
      </c>
      <c r="K26" s="111">
        <f>IFERROR(VLOOKUP($B26,MMWR_TRAD_AGG_STATE_COMP[],K$1,0),"ERROR")</f>
        <v>407</v>
      </c>
      <c r="L26" s="112">
        <f>IFERROR(VLOOKUP($B26,MMWR_TRAD_AGG_STATE_COMP[],L$1,0),"ERROR")</f>
        <v>206</v>
      </c>
      <c r="M26" s="114">
        <f t="shared" si="2"/>
        <v>0.50614250614250611</v>
      </c>
      <c r="N26" s="111">
        <f>IFERROR(VLOOKUP($B26,MMWR_TRAD_AGG_STATE_COMP[],N$1,0),"ERROR")</f>
        <v>1279</v>
      </c>
      <c r="O26" s="112">
        <f>IFERROR(VLOOKUP($B26,MMWR_TRAD_AGG_STATE_COMP[],O$1,0),"ERROR")</f>
        <v>995</v>
      </c>
      <c r="P26" s="114">
        <f t="shared" si="3"/>
        <v>0.77795152462861605</v>
      </c>
      <c r="Q26" s="115">
        <f>IFERROR(VLOOKUP($B26,MMWR_TRAD_AGG_STATE_COMP[],Q$1,0),"ERROR")</f>
        <v>1</v>
      </c>
      <c r="R26" s="115">
        <f>IFERROR(VLOOKUP($B26,MMWR_TRAD_AGG_STATE_COMP[],R$1,0),"ERROR")</f>
        <v>9</v>
      </c>
      <c r="S26" s="115">
        <f>IFERROR(VLOOKUP($B26,MMWR_APP_STATE_COMP[],S$1,0),"ERROR")</f>
        <v>1246</v>
      </c>
      <c r="T26" s="28"/>
    </row>
    <row r="27" spans="1:20" s="123" customFormat="1" x14ac:dyDescent="0.2">
      <c r="A27" s="107"/>
      <c r="B27" s="127" t="s">
        <v>429</v>
      </c>
      <c r="C27" s="109">
        <f>IFERROR(VLOOKUP($B27,MMWR_TRAD_AGG_STATE_COMP[],C$1,0),"ERROR")</f>
        <v>2050</v>
      </c>
      <c r="D27" s="110">
        <f>IFERROR(VLOOKUP($B27,MMWR_TRAD_AGG_STATE_COMP[],D$1,0),"ERROR")</f>
        <v>236.29414634150001</v>
      </c>
      <c r="E27" s="111">
        <f>IFERROR(VLOOKUP($B27,MMWR_TRAD_AGG_STATE_COMP[],E$1,0),"ERROR")</f>
        <v>2937</v>
      </c>
      <c r="F27" s="112">
        <f>IFERROR(VLOOKUP($B27,MMWR_TRAD_AGG_STATE_COMP[],F$1,0),"ERROR")</f>
        <v>560</v>
      </c>
      <c r="G27" s="113">
        <f t="shared" si="0"/>
        <v>0.19067075246850529</v>
      </c>
      <c r="H27" s="111">
        <f>IFERROR(VLOOKUP($B27,MMWR_TRAD_AGG_STATE_COMP[],H$1,0),"ERROR")</f>
        <v>3481</v>
      </c>
      <c r="I27" s="112">
        <f>IFERROR(VLOOKUP($B27,MMWR_TRAD_AGG_STATE_COMP[],I$1,0),"ERROR")</f>
        <v>1495</v>
      </c>
      <c r="J27" s="114">
        <f t="shared" si="1"/>
        <v>0.42947428899741452</v>
      </c>
      <c r="K27" s="111">
        <f>IFERROR(VLOOKUP($B27,MMWR_TRAD_AGG_STATE_COMP[],K$1,0),"ERROR")</f>
        <v>769</v>
      </c>
      <c r="L27" s="112">
        <f>IFERROR(VLOOKUP($B27,MMWR_TRAD_AGG_STATE_COMP[],L$1,0),"ERROR")</f>
        <v>296</v>
      </c>
      <c r="M27" s="114">
        <f t="shared" si="2"/>
        <v>0.38491547464239273</v>
      </c>
      <c r="N27" s="111">
        <f>IFERROR(VLOOKUP($B27,MMWR_TRAD_AGG_STATE_COMP[],N$1,0),"ERROR")</f>
        <v>502</v>
      </c>
      <c r="O27" s="112">
        <f>IFERROR(VLOOKUP($B27,MMWR_TRAD_AGG_STATE_COMP[],O$1,0),"ERROR")</f>
        <v>232</v>
      </c>
      <c r="P27" s="114">
        <f t="shared" si="3"/>
        <v>0.46215139442231074</v>
      </c>
      <c r="Q27" s="115">
        <f>IFERROR(VLOOKUP($B27,MMWR_TRAD_AGG_STATE_COMP[],Q$1,0),"ERROR")</f>
        <v>8</v>
      </c>
      <c r="R27" s="115">
        <f>IFERROR(VLOOKUP($B27,MMWR_TRAD_AGG_STATE_COMP[],R$1,0),"ERROR")</f>
        <v>15</v>
      </c>
      <c r="S27" s="115">
        <f>IFERROR(VLOOKUP($B27,MMWR_APP_STATE_COMP[],S$1,0),"ERROR")</f>
        <v>1361</v>
      </c>
      <c r="T27" s="28"/>
    </row>
    <row r="28" spans="1:20" s="123" customFormat="1" x14ac:dyDescent="0.2">
      <c r="A28" s="107"/>
      <c r="B28" s="127" t="s">
        <v>402</v>
      </c>
      <c r="C28" s="109">
        <f>IFERROR(VLOOKUP($B28,MMWR_TRAD_AGG_STATE_COMP[],C$1,0),"ERROR")</f>
        <v>4545</v>
      </c>
      <c r="D28" s="110">
        <f>IFERROR(VLOOKUP($B28,MMWR_TRAD_AGG_STATE_COMP[],D$1,0),"ERROR")</f>
        <v>262.1817381738</v>
      </c>
      <c r="E28" s="111">
        <f>IFERROR(VLOOKUP($B28,MMWR_TRAD_AGG_STATE_COMP[],E$1,0),"ERROR")</f>
        <v>7859</v>
      </c>
      <c r="F28" s="112">
        <f>IFERROR(VLOOKUP($B28,MMWR_TRAD_AGG_STATE_COMP[],F$1,0),"ERROR")</f>
        <v>1812</v>
      </c>
      <c r="G28" s="113">
        <f t="shared" si="0"/>
        <v>0.23056368494719429</v>
      </c>
      <c r="H28" s="111">
        <f>IFERROR(VLOOKUP($B28,MMWR_TRAD_AGG_STATE_COMP[],H$1,0),"ERROR")</f>
        <v>8470</v>
      </c>
      <c r="I28" s="112">
        <f>IFERROR(VLOOKUP($B28,MMWR_TRAD_AGG_STATE_COMP[],I$1,0),"ERROR")</f>
        <v>4333</v>
      </c>
      <c r="J28" s="114">
        <f t="shared" si="1"/>
        <v>0.51157024793388428</v>
      </c>
      <c r="K28" s="111">
        <f>IFERROR(VLOOKUP($B28,MMWR_TRAD_AGG_STATE_COMP[],K$1,0),"ERROR")</f>
        <v>1590</v>
      </c>
      <c r="L28" s="112">
        <f>IFERROR(VLOOKUP($B28,MMWR_TRAD_AGG_STATE_COMP[],L$1,0),"ERROR")</f>
        <v>804</v>
      </c>
      <c r="M28" s="114">
        <f t="shared" si="2"/>
        <v>0.50566037735849056</v>
      </c>
      <c r="N28" s="111">
        <f>IFERROR(VLOOKUP($B28,MMWR_TRAD_AGG_STATE_COMP[],N$1,0),"ERROR")</f>
        <v>1500</v>
      </c>
      <c r="O28" s="112">
        <f>IFERROR(VLOOKUP($B28,MMWR_TRAD_AGG_STATE_COMP[],O$1,0),"ERROR")</f>
        <v>737</v>
      </c>
      <c r="P28" s="114">
        <f t="shared" si="3"/>
        <v>0.49133333333333334</v>
      </c>
      <c r="Q28" s="115">
        <f>IFERROR(VLOOKUP($B28,MMWR_TRAD_AGG_STATE_COMP[],Q$1,0),"ERROR")</f>
        <v>621</v>
      </c>
      <c r="R28" s="115">
        <f>IFERROR(VLOOKUP($B28,MMWR_TRAD_AGG_STATE_COMP[],R$1,0),"ERROR")</f>
        <v>199</v>
      </c>
      <c r="S28" s="115">
        <f>IFERROR(VLOOKUP($B28,MMWR_APP_STATE_COMP[],S$1,0),"ERROR")</f>
        <v>6177</v>
      </c>
      <c r="T28" s="28"/>
    </row>
    <row r="29" spans="1:20" s="123" customFormat="1" x14ac:dyDescent="0.2">
      <c r="A29" s="107"/>
      <c r="B29" s="127" t="s">
        <v>408</v>
      </c>
      <c r="C29" s="109">
        <f>IFERROR(VLOOKUP($B29,MMWR_TRAD_AGG_STATE_COMP[],C$1,0),"ERROR")</f>
        <v>1312</v>
      </c>
      <c r="D29" s="110">
        <f>IFERROR(VLOOKUP($B29,MMWR_TRAD_AGG_STATE_COMP[],D$1,0),"ERROR")</f>
        <v>204.71646341460001</v>
      </c>
      <c r="E29" s="111">
        <f>IFERROR(VLOOKUP($B29,MMWR_TRAD_AGG_STATE_COMP[],E$1,0),"ERROR")</f>
        <v>5094</v>
      </c>
      <c r="F29" s="112">
        <f>IFERROR(VLOOKUP($B29,MMWR_TRAD_AGG_STATE_COMP[],F$1,0),"ERROR")</f>
        <v>1000</v>
      </c>
      <c r="G29" s="113">
        <f t="shared" si="0"/>
        <v>0.19630938358853553</v>
      </c>
      <c r="H29" s="111">
        <f>IFERROR(VLOOKUP($B29,MMWR_TRAD_AGG_STATE_COMP[],H$1,0),"ERROR")</f>
        <v>3678</v>
      </c>
      <c r="I29" s="112">
        <f>IFERROR(VLOOKUP($B29,MMWR_TRAD_AGG_STATE_COMP[],I$1,0),"ERROR")</f>
        <v>1209</v>
      </c>
      <c r="J29" s="114">
        <f t="shared" si="1"/>
        <v>0.32871125611745516</v>
      </c>
      <c r="K29" s="111">
        <f>IFERROR(VLOOKUP($B29,MMWR_TRAD_AGG_STATE_COMP[],K$1,0),"ERROR")</f>
        <v>590</v>
      </c>
      <c r="L29" s="112">
        <f>IFERROR(VLOOKUP($B29,MMWR_TRAD_AGG_STATE_COMP[],L$1,0),"ERROR")</f>
        <v>235</v>
      </c>
      <c r="M29" s="114">
        <f t="shared" si="2"/>
        <v>0.39830508474576271</v>
      </c>
      <c r="N29" s="111">
        <f>IFERROR(VLOOKUP($B29,MMWR_TRAD_AGG_STATE_COMP[],N$1,0),"ERROR")</f>
        <v>1015</v>
      </c>
      <c r="O29" s="112">
        <f>IFERROR(VLOOKUP($B29,MMWR_TRAD_AGG_STATE_COMP[],O$1,0),"ERROR")</f>
        <v>570</v>
      </c>
      <c r="P29" s="114">
        <f t="shared" si="3"/>
        <v>0.56157635467980294</v>
      </c>
      <c r="Q29" s="115">
        <f>IFERROR(VLOOKUP($B29,MMWR_TRAD_AGG_STATE_COMP[],Q$1,0),"ERROR")</f>
        <v>8</v>
      </c>
      <c r="R29" s="115">
        <f>IFERROR(VLOOKUP($B29,MMWR_TRAD_AGG_STATE_COMP[],R$1,0),"ERROR")</f>
        <v>4</v>
      </c>
      <c r="S29" s="115">
        <f>IFERROR(VLOOKUP($B29,MMWR_APP_STATE_COMP[],S$1,0),"ERROR")</f>
        <v>2200</v>
      </c>
      <c r="T29" s="28"/>
    </row>
    <row r="30" spans="1:20" s="123" customFormat="1" x14ac:dyDescent="0.2">
      <c r="A30" s="107"/>
      <c r="B30" s="127" t="s">
        <v>404</v>
      </c>
      <c r="C30" s="109">
        <f>IFERROR(VLOOKUP($B30,MMWR_TRAD_AGG_STATE_COMP[],C$1,0),"ERROR")</f>
        <v>5849</v>
      </c>
      <c r="D30" s="110">
        <f>IFERROR(VLOOKUP($B30,MMWR_TRAD_AGG_STATE_COMP[],D$1,0),"ERROR")</f>
        <v>282.4623012481</v>
      </c>
      <c r="E30" s="111">
        <f>IFERROR(VLOOKUP($B30,MMWR_TRAD_AGG_STATE_COMP[],E$1,0),"ERROR")</f>
        <v>6391</v>
      </c>
      <c r="F30" s="112">
        <f>IFERROR(VLOOKUP($B30,MMWR_TRAD_AGG_STATE_COMP[],F$1,0),"ERROR")</f>
        <v>945</v>
      </c>
      <c r="G30" s="113">
        <f t="shared" si="0"/>
        <v>0.14786418400876233</v>
      </c>
      <c r="H30" s="111">
        <f>IFERROR(VLOOKUP($B30,MMWR_TRAD_AGG_STATE_COMP[],H$1,0),"ERROR")</f>
        <v>8739</v>
      </c>
      <c r="I30" s="112">
        <f>IFERROR(VLOOKUP($B30,MMWR_TRAD_AGG_STATE_COMP[],I$1,0),"ERROR")</f>
        <v>5333</v>
      </c>
      <c r="J30" s="114">
        <f t="shared" si="1"/>
        <v>0.61025288934660715</v>
      </c>
      <c r="K30" s="111">
        <f>IFERROR(VLOOKUP($B30,MMWR_TRAD_AGG_STATE_COMP[],K$1,0),"ERROR")</f>
        <v>2436</v>
      </c>
      <c r="L30" s="112">
        <f>IFERROR(VLOOKUP($B30,MMWR_TRAD_AGG_STATE_COMP[],L$1,0),"ERROR")</f>
        <v>1864</v>
      </c>
      <c r="M30" s="114">
        <f t="shared" si="2"/>
        <v>0.76518883415435135</v>
      </c>
      <c r="N30" s="111">
        <f>IFERROR(VLOOKUP($B30,MMWR_TRAD_AGG_STATE_COMP[],N$1,0),"ERROR")</f>
        <v>6815</v>
      </c>
      <c r="O30" s="112">
        <f>IFERROR(VLOOKUP($B30,MMWR_TRAD_AGG_STATE_COMP[],O$1,0),"ERROR")</f>
        <v>4759</v>
      </c>
      <c r="P30" s="114">
        <f t="shared" si="3"/>
        <v>0.69831254585473224</v>
      </c>
      <c r="Q30" s="115">
        <f>IFERROR(VLOOKUP($B30,MMWR_TRAD_AGG_STATE_COMP[],Q$1,0),"ERROR")</f>
        <v>555</v>
      </c>
      <c r="R30" s="115">
        <f>IFERROR(VLOOKUP($B30,MMWR_TRAD_AGG_STATE_COMP[],R$1,0),"ERROR")</f>
        <v>95</v>
      </c>
      <c r="S30" s="115">
        <f>IFERROR(VLOOKUP($B30,MMWR_APP_STATE_COMP[],S$1,0),"ERROR")</f>
        <v>6925</v>
      </c>
      <c r="T30" s="28"/>
    </row>
    <row r="31" spans="1:20" s="123" customFormat="1" x14ac:dyDescent="0.2">
      <c r="A31" s="107"/>
      <c r="B31" s="127" t="s">
        <v>407</v>
      </c>
      <c r="C31" s="109">
        <f>IFERROR(VLOOKUP($B31,MMWR_TRAD_AGG_STATE_COMP[],C$1,0),"ERROR")</f>
        <v>1375</v>
      </c>
      <c r="D31" s="110">
        <f>IFERROR(VLOOKUP($B31,MMWR_TRAD_AGG_STATE_COMP[],D$1,0),"ERROR")</f>
        <v>215.60218181819999</v>
      </c>
      <c r="E31" s="111">
        <f>IFERROR(VLOOKUP($B31,MMWR_TRAD_AGG_STATE_COMP[],E$1,0),"ERROR")</f>
        <v>2124</v>
      </c>
      <c r="F31" s="112">
        <f>IFERROR(VLOOKUP($B31,MMWR_TRAD_AGG_STATE_COMP[],F$1,0),"ERROR")</f>
        <v>260</v>
      </c>
      <c r="G31" s="113">
        <f t="shared" si="0"/>
        <v>0.1224105461393597</v>
      </c>
      <c r="H31" s="111">
        <f>IFERROR(VLOOKUP($B31,MMWR_TRAD_AGG_STATE_COMP[],H$1,0),"ERROR")</f>
        <v>2331</v>
      </c>
      <c r="I31" s="112">
        <f>IFERROR(VLOOKUP($B31,MMWR_TRAD_AGG_STATE_COMP[],I$1,0),"ERROR")</f>
        <v>999</v>
      </c>
      <c r="J31" s="114">
        <f t="shared" si="1"/>
        <v>0.42857142857142855</v>
      </c>
      <c r="K31" s="111">
        <f>IFERROR(VLOOKUP($B31,MMWR_TRAD_AGG_STATE_COMP[],K$1,0),"ERROR")</f>
        <v>822</v>
      </c>
      <c r="L31" s="112">
        <f>IFERROR(VLOOKUP($B31,MMWR_TRAD_AGG_STATE_COMP[],L$1,0),"ERROR")</f>
        <v>545</v>
      </c>
      <c r="M31" s="114">
        <f t="shared" si="2"/>
        <v>0.66301703163017034</v>
      </c>
      <c r="N31" s="111">
        <f>IFERROR(VLOOKUP($B31,MMWR_TRAD_AGG_STATE_COMP[],N$1,0),"ERROR")</f>
        <v>454</v>
      </c>
      <c r="O31" s="112">
        <f>IFERROR(VLOOKUP($B31,MMWR_TRAD_AGG_STATE_COMP[],O$1,0),"ERROR")</f>
        <v>185</v>
      </c>
      <c r="P31" s="114">
        <f t="shared" si="3"/>
        <v>0.40748898678414097</v>
      </c>
      <c r="Q31" s="115">
        <f>IFERROR(VLOOKUP($B31,MMWR_TRAD_AGG_STATE_COMP[],Q$1,0),"ERROR")</f>
        <v>1</v>
      </c>
      <c r="R31" s="115">
        <f>IFERROR(VLOOKUP($B31,MMWR_TRAD_AGG_STATE_COMP[],R$1,0),"ERROR")</f>
        <v>11</v>
      </c>
      <c r="S31" s="115">
        <f>IFERROR(VLOOKUP($B31,MMWR_APP_STATE_COMP[],S$1,0),"ERROR")</f>
        <v>1431</v>
      </c>
      <c r="T31" s="28"/>
    </row>
    <row r="32" spans="1:20" s="123" customFormat="1" x14ac:dyDescent="0.2">
      <c r="A32" s="107"/>
      <c r="B32" s="127" t="s">
        <v>426</v>
      </c>
      <c r="C32" s="109">
        <f>IFERROR(VLOOKUP($B32,MMWR_TRAD_AGG_STATE_COMP[],C$1,0),"ERROR")</f>
        <v>222</v>
      </c>
      <c r="D32" s="110">
        <f>IFERROR(VLOOKUP($B32,MMWR_TRAD_AGG_STATE_COMP[],D$1,0),"ERROR")</f>
        <v>253.54054054049999</v>
      </c>
      <c r="E32" s="111">
        <f>IFERROR(VLOOKUP($B32,MMWR_TRAD_AGG_STATE_COMP[],E$1,0),"ERROR")</f>
        <v>623</v>
      </c>
      <c r="F32" s="112">
        <f>IFERROR(VLOOKUP($B32,MMWR_TRAD_AGG_STATE_COMP[],F$1,0),"ERROR")</f>
        <v>108</v>
      </c>
      <c r="G32" s="113">
        <f t="shared" si="0"/>
        <v>0.17335473515248795</v>
      </c>
      <c r="H32" s="111">
        <f>IFERROR(VLOOKUP($B32,MMWR_TRAD_AGG_STATE_COMP[],H$1,0),"ERROR")</f>
        <v>421</v>
      </c>
      <c r="I32" s="112">
        <f>IFERROR(VLOOKUP($B32,MMWR_TRAD_AGG_STATE_COMP[],I$1,0),"ERROR")</f>
        <v>155</v>
      </c>
      <c r="J32" s="114">
        <f t="shared" si="1"/>
        <v>0.36817102137767221</v>
      </c>
      <c r="K32" s="111">
        <f>IFERROR(VLOOKUP($B32,MMWR_TRAD_AGG_STATE_COMP[],K$1,0),"ERROR")</f>
        <v>111</v>
      </c>
      <c r="L32" s="112">
        <f>IFERROR(VLOOKUP($B32,MMWR_TRAD_AGG_STATE_COMP[],L$1,0),"ERROR")</f>
        <v>41</v>
      </c>
      <c r="M32" s="114">
        <f t="shared" si="2"/>
        <v>0.36936936936936937</v>
      </c>
      <c r="N32" s="111">
        <f>IFERROR(VLOOKUP($B32,MMWR_TRAD_AGG_STATE_COMP[],N$1,0),"ERROR")</f>
        <v>128</v>
      </c>
      <c r="O32" s="112">
        <f>IFERROR(VLOOKUP($B32,MMWR_TRAD_AGG_STATE_COMP[],O$1,0),"ERROR")</f>
        <v>55</v>
      </c>
      <c r="P32" s="114">
        <f t="shared" si="3"/>
        <v>0.4296875</v>
      </c>
      <c r="Q32" s="115">
        <f>IFERROR(VLOOKUP($B32,MMWR_TRAD_AGG_STATE_COMP[],Q$1,0),"ERROR")</f>
        <v>0</v>
      </c>
      <c r="R32" s="115">
        <f>IFERROR(VLOOKUP($B32,MMWR_TRAD_AGG_STATE_COMP[],R$1,0),"ERROR")</f>
        <v>0</v>
      </c>
      <c r="S32" s="115">
        <f>IFERROR(VLOOKUP($B32,MMWR_APP_STATE_COMP[],S$1,0),"ERROR")</f>
        <v>451</v>
      </c>
      <c r="T32" s="28"/>
    </row>
    <row r="33" spans="1:20" s="123" customFormat="1" x14ac:dyDescent="0.2">
      <c r="A33" s="107"/>
      <c r="B33" s="127" t="s">
        <v>398</v>
      </c>
      <c r="C33" s="109">
        <f>IFERROR(VLOOKUP($B33,MMWR_TRAD_AGG_STATE_COMP[],C$1,0),"ERROR")</f>
        <v>9079</v>
      </c>
      <c r="D33" s="110">
        <f>IFERROR(VLOOKUP($B33,MMWR_TRAD_AGG_STATE_COMP[],D$1,0),"ERROR")</f>
        <v>533.6988655138</v>
      </c>
      <c r="E33" s="111">
        <f>IFERROR(VLOOKUP($B33,MMWR_TRAD_AGG_STATE_COMP[],E$1,0),"ERROR")</f>
        <v>9208</v>
      </c>
      <c r="F33" s="112">
        <f>IFERROR(VLOOKUP($B33,MMWR_TRAD_AGG_STATE_COMP[],F$1,0),"ERROR")</f>
        <v>2045</v>
      </c>
      <c r="G33" s="113">
        <f t="shared" si="0"/>
        <v>0.22208948740225889</v>
      </c>
      <c r="H33" s="111">
        <f>IFERROR(VLOOKUP($B33,MMWR_TRAD_AGG_STATE_COMP[],H$1,0),"ERROR")</f>
        <v>13324</v>
      </c>
      <c r="I33" s="112">
        <f>IFERROR(VLOOKUP($B33,MMWR_TRAD_AGG_STATE_COMP[],I$1,0),"ERROR")</f>
        <v>8796</v>
      </c>
      <c r="J33" s="114">
        <f t="shared" si="1"/>
        <v>0.66016211347943565</v>
      </c>
      <c r="K33" s="111">
        <f>IFERROR(VLOOKUP($B33,MMWR_TRAD_AGG_STATE_COMP[],K$1,0),"ERROR")</f>
        <v>1832</v>
      </c>
      <c r="L33" s="112">
        <f>IFERROR(VLOOKUP($B33,MMWR_TRAD_AGG_STATE_COMP[],L$1,0),"ERROR")</f>
        <v>1116</v>
      </c>
      <c r="M33" s="114">
        <f t="shared" si="2"/>
        <v>0.60917030567685593</v>
      </c>
      <c r="N33" s="111">
        <f>IFERROR(VLOOKUP($B33,MMWR_TRAD_AGG_STATE_COMP[],N$1,0),"ERROR")</f>
        <v>4832</v>
      </c>
      <c r="O33" s="112">
        <f>IFERROR(VLOOKUP($B33,MMWR_TRAD_AGG_STATE_COMP[],O$1,0),"ERROR")</f>
        <v>2136</v>
      </c>
      <c r="P33" s="114">
        <f t="shared" si="3"/>
        <v>0.44205298013245031</v>
      </c>
      <c r="Q33" s="115">
        <f>IFERROR(VLOOKUP($B33,MMWR_TRAD_AGG_STATE_COMP[],Q$1,0),"ERROR")</f>
        <v>618</v>
      </c>
      <c r="R33" s="115">
        <f>IFERROR(VLOOKUP($B33,MMWR_TRAD_AGG_STATE_COMP[],R$1,0),"ERROR")</f>
        <v>333</v>
      </c>
      <c r="S33" s="115">
        <f>IFERROR(VLOOKUP($B33,MMWR_APP_STATE_COMP[],S$1,0),"ERROR")</f>
        <v>13955</v>
      </c>
      <c r="T33" s="28"/>
    </row>
    <row r="34" spans="1:20" s="123" customFormat="1" x14ac:dyDescent="0.2">
      <c r="A34" s="107"/>
      <c r="B34" s="127" t="s">
        <v>427</v>
      </c>
      <c r="C34" s="109">
        <f>IFERROR(VLOOKUP($B34,MMWR_TRAD_AGG_STATE_COMP[],C$1,0),"ERROR")</f>
        <v>403</v>
      </c>
      <c r="D34" s="110">
        <f>IFERROR(VLOOKUP($B34,MMWR_TRAD_AGG_STATE_COMP[],D$1,0),"ERROR")</f>
        <v>245.7047146402</v>
      </c>
      <c r="E34" s="111">
        <f>IFERROR(VLOOKUP($B34,MMWR_TRAD_AGG_STATE_COMP[],E$1,0),"ERROR")</f>
        <v>881</v>
      </c>
      <c r="F34" s="112">
        <f>IFERROR(VLOOKUP($B34,MMWR_TRAD_AGG_STATE_COMP[],F$1,0),"ERROR")</f>
        <v>166</v>
      </c>
      <c r="G34" s="113">
        <f t="shared" si="0"/>
        <v>0.18842224744608399</v>
      </c>
      <c r="H34" s="111">
        <f>IFERROR(VLOOKUP($B34,MMWR_TRAD_AGG_STATE_COMP[],H$1,0),"ERROR")</f>
        <v>917</v>
      </c>
      <c r="I34" s="112">
        <f>IFERROR(VLOOKUP($B34,MMWR_TRAD_AGG_STATE_COMP[],I$1,0),"ERROR")</f>
        <v>273</v>
      </c>
      <c r="J34" s="114">
        <f t="shared" si="1"/>
        <v>0.29770992366412213</v>
      </c>
      <c r="K34" s="111">
        <f>IFERROR(VLOOKUP($B34,MMWR_TRAD_AGG_STATE_COMP[],K$1,0),"ERROR")</f>
        <v>353</v>
      </c>
      <c r="L34" s="112">
        <f>IFERROR(VLOOKUP($B34,MMWR_TRAD_AGG_STATE_COMP[],L$1,0),"ERROR")</f>
        <v>161</v>
      </c>
      <c r="M34" s="114">
        <f t="shared" si="2"/>
        <v>0.45609065155807366</v>
      </c>
      <c r="N34" s="111">
        <f>IFERROR(VLOOKUP($B34,MMWR_TRAD_AGG_STATE_COMP[],N$1,0),"ERROR")</f>
        <v>116</v>
      </c>
      <c r="O34" s="112">
        <f>IFERROR(VLOOKUP($B34,MMWR_TRAD_AGG_STATE_COMP[],O$1,0),"ERROR")</f>
        <v>58</v>
      </c>
      <c r="P34" s="114">
        <f t="shared" si="3"/>
        <v>0.5</v>
      </c>
      <c r="Q34" s="115">
        <f>IFERROR(VLOOKUP($B34,MMWR_TRAD_AGG_STATE_COMP[],Q$1,0),"ERROR")</f>
        <v>1</v>
      </c>
      <c r="R34" s="115">
        <f>IFERROR(VLOOKUP($B34,MMWR_TRAD_AGG_STATE_COMP[],R$1,0),"ERROR")</f>
        <v>1</v>
      </c>
      <c r="S34" s="115">
        <f>IFERROR(VLOOKUP($B34,MMWR_APP_STATE_COMP[],S$1,0),"ERROR")</f>
        <v>199</v>
      </c>
      <c r="T34" s="28"/>
    </row>
    <row r="35" spans="1:20" s="123" customFormat="1" x14ac:dyDescent="0.2">
      <c r="A35" s="107"/>
      <c r="B35" s="127" t="s">
        <v>403</v>
      </c>
      <c r="C35" s="109">
        <f>IFERROR(VLOOKUP($B35,MMWR_TRAD_AGG_STATE_COMP[],C$1,0),"ERROR")</f>
        <v>4238</v>
      </c>
      <c r="D35" s="110">
        <f>IFERROR(VLOOKUP($B35,MMWR_TRAD_AGG_STATE_COMP[],D$1,0),"ERROR")</f>
        <v>275.82751297779998</v>
      </c>
      <c r="E35" s="111">
        <f>IFERROR(VLOOKUP($B35,MMWR_TRAD_AGG_STATE_COMP[],E$1,0),"ERROR")</f>
        <v>4063</v>
      </c>
      <c r="F35" s="112">
        <f>IFERROR(VLOOKUP($B35,MMWR_TRAD_AGG_STATE_COMP[],F$1,0),"ERROR")</f>
        <v>736</v>
      </c>
      <c r="G35" s="113">
        <f t="shared" si="0"/>
        <v>0.18114693576175239</v>
      </c>
      <c r="H35" s="111">
        <f>IFERROR(VLOOKUP($B35,MMWR_TRAD_AGG_STATE_COMP[],H$1,0),"ERROR")</f>
        <v>6591</v>
      </c>
      <c r="I35" s="112">
        <f>IFERROR(VLOOKUP($B35,MMWR_TRAD_AGG_STATE_COMP[],I$1,0),"ERROR")</f>
        <v>3473</v>
      </c>
      <c r="J35" s="114">
        <f t="shared" si="1"/>
        <v>0.52693066302533753</v>
      </c>
      <c r="K35" s="111">
        <f>IFERROR(VLOOKUP($B35,MMWR_TRAD_AGG_STATE_COMP[],K$1,0),"ERROR")</f>
        <v>661</v>
      </c>
      <c r="L35" s="112">
        <f>IFERROR(VLOOKUP($B35,MMWR_TRAD_AGG_STATE_COMP[],L$1,0),"ERROR")</f>
        <v>331</v>
      </c>
      <c r="M35" s="114">
        <f t="shared" si="2"/>
        <v>0.50075642965204237</v>
      </c>
      <c r="N35" s="111">
        <f>IFERROR(VLOOKUP($B35,MMWR_TRAD_AGG_STATE_COMP[],N$1,0),"ERROR")</f>
        <v>808</v>
      </c>
      <c r="O35" s="112">
        <f>IFERROR(VLOOKUP($B35,MMWR_TRAD_AGG_STATE_COMP[],O$1,0),"ERROR")</f>
        <v>408</v>
      </c>
      <c r="P35" s="114">
        <f t="shared" si="3"/>
        <v>0.50495049504950495</v>
      </c>
      <c r="Q35" s="115">
        <f>IFERROR(VLOOKUP($B35,MMWR_TRAD_AGG_STATE_COMP[],Q$1,0),"ERROR")</f>
        <v>347</v>
      </c>
      <c r="R35" s="115">
        <f>IFERROR(VLOOKUP($B35,MMWR_TRAD_AGG_STATE_COMP[],R$1,0),"ERROR")</f>
        <v>6</v>
      </c>
      <c r="S35" s="115">
        <f>IFERROR(VLOOKUP($B35,MMWR_APP_STATE_COMP[],S$1,0),"ERROR")</f>
        <v>3453</v>
      </c>
      <c r="T35" s="28"/>
    </row>
    <row r="36" spans="1:20" s="123" customFormat="1" x14ac:dyDescent="0.2">
      <c r="A36" s="28"/>
      <c r="B36" s="126" t="s">
        <v>392</v>
      </c>
      <c r="C36" s="102">
        <f>IF(SUM(C37:C45)&lt;&gt;VLOOKUP($B36,MMWR_TRAD_AGG_ST_DISTRICT_COMP[],C$1,0),"ERROR",
VLOOKUP($B36,MMWR_TRAD_AGG_ST_DISTRICT_COMP[],C$1,0))</f>
        <v>63658</v>
      </c>
      <c r="D36" s="103">
        <f>IFERROR(VLOOKUP($B36,MMWR_TRAD_AGG_ST_DISTRICT_COMP[],D$1,0),"ERROR")</f>
        <v>365.81912721100002</v>
      </c>
      <c r="E36" s="102">
        <f>IFERROR(VLOOKUP($B36,MMWR_TRAD_AGG_ST_DISTRICT_COMP[],E$1,0),"ERROR")</f>
        <v>68991</v>
      </c>
      <c r="F36" s="102">
        <f>IFERROR(VLOOKUP($B36,MMWR_TRAD_AGG_ST_DISTRICT_COMP[],F$1,0),"ERROR")</f>
        <v>14204</v>
      </c>
      <c r="G36" s="104">
        <f t="shared" si="0"/>
        <v>0.20588192662811092</v>
      </c>
      <c r="H36" s="102">
        <f>IFERROR(VLOOKUP($B36,MMWR_TRAD_AGG_ST_DISTRICT_COMP[],H$1,0),"ERROR")</f>
        <v>90866</v>
      </c>
      <c r="I36" s="102">
        <f>IFERROR(VLOOKUP($B36,MMWR_TRAD_AGG_ST_DISTRICT_COMP[],I$1,0),"ERROR")</f>
        <v>55966</v>
      </c>
      <c r="J36" s="105">
        <f t="shared" si="1"/>
        <v>0.61591794510598019</v>
      </c>
      <c r="K36" s="102">
        <f>IFERROR(VLOOKUP($B36,MMWR_TRAD_AGG_ST_DISTRICT_COMP[],K$1,0),"ERROR")</f>
        <v>18174</v>
      </c>
      <c r="L36" s="102">
        <f>IFERROR(VLOOKUP($B36,MMWR_TRAD_AGG_ST_DISTRICT_COMP[],L$1,0),"ERROR")</f>
        <v>10678</v>
      </c>
      <c r="M36" s="105">
        <f t="shared" si="2"/>
        <v>0.58754264333663475</v>
      </c>
      <c r="N36" s="102">
        <f>IFERROR(VLOOKUP($B36,MMWR_TRAD_AGG_ST_DISTRICT_COMP[],N$1,0),"ERROR")</f>
        <v>19888</v>
      </c>
      <c r="O36" s="102">
        <f>IFERROR(VLOOKUP($B36,MMWR_TRAD_AGG_ST_DISTRICT_COMP[],O$1,0),"ERROR")</f>
        <v>9713</v>
      </c>
      <c r="P36" s="105">
        <f t="shared" si="3"/>
        <v>0.48838495575221241</v>
      </c>
      <c r="Q36" s="102">
        <f>IFERROR(VLOOKUP($B36,MMWR_TRAD_AGG_ST_DISTRICT_COMP[],Q$1,0),"ERROR")</f>
        <v>868</v>
      </c>
      <c r="R36" s="106">
        <f>IFERROR(VLOOKUP($B36,MMWR_TRAD_AGG_ST_DISTRICT_COMP[],R$1,0),"ERROR")</f>
        <v>1079</v>
      </c>
      <c r="S36" s="106">
        <f>SUM(S37:S45)</f>
        <v>68360</v>
      </c>
      <c r="T36" s="28"/>
    </row>
    <row r="37" spans="1:20" s="123" customFormat="1" x14ac:dyDescent="0.2">
      <c r="A37" s="28"/>
      <c r="B37" s="127" t="s">
        <v>418</v>
      </c>
      <c r="C37" s="109">
        <f>IFERROR(VLOOKUP($B37,MMWR_TRAD_AGG_STATE_COMP[],C$1,0),"ERROR")</f>
        <v>5624</v>
      </c>
      <c r="D37" s="110">
        <f>IFERROR(VLOOKUP($B37,MMWR_TRAD_AGG_STATE_COMP[],D$1,0),"ERROR")</f>
        <v>352.45234708390001</v>
      </c>
      <c r="E37" s="111">
        <f>IFERROR(VLOOKUP($B37,MMWR_TRAD_AGG_STATE_COMP[],E$1,0),"ERROR")</f>
        <v>3816</v>
      </c>
      <c r="F37" s="112">
        <f>IFERROR(VLOOKUP($B37,MMWR_TRAD_AGG_STATE_COMP[],F$1,0),"ERROR")</f>
        <v>648</v>
      </c>
      <c r="G37" s="113">
        <f t="shared" si="0"/>
        <v>0.16981132075471697</v>
      </c>
      <c r="H37" s="111">
        <f>IFERROR(VLOOKUP($B37,MMWR_TRAD_AGG_STATE_COMP[],H$1,0),"ERROR")</f>
        <v>7433</v>
      </c>
      <c r="I37" s="112">
        <f>IFERROR(VLOOKUP($B37,MMWR_TRAD_AGG_STATE_COMP[],I$1,0),"ERROR")</f>
        <v>4873</v>
      </c>
      <c r="J37" s="114">
        <f t="shared" si="1"/>
        <v>0.655589936768465</v>
      </c>
      <c r="K37" s="111">
        <f>IFERROR(VLOOKUP($B37,MMWR_TRAD_AGG_STATE_COMP[],K$1,0),"ERROR")</f>
        <v>1995</v>
      </c>
      <c r="L37" s="112">
        <f>IFERROR(VLOOKUP($B37,MMWR_TRAD_AGG_STATE_COMP[],L$1,0),"ERROR")</f>
        <v>1575</v>
      </c>
      <c r="M37" s="114">
        <f t="shared" si="2"/>
        <v>0.78947368421052633</v>
      </c>
      <c r="N37" s="111">
        <f>IFERROR(VLOOKUP($B37,MMWR_TRAD_AGG_STATE_COMP[],N$1,0),"ERROR")</f>
        <v>1647</v>
      </c>
      <c r="O37" s="112">
        <f>IFERROR(VLOOKUP($B37,MMWR_TRAD_AGG_STATE_COMP[],O$1,0),"ERROR")</f>
        <v>679</v>
      </c>
      <c r="P37" s="114">
        <f t="shared" si="3"/>
        <v>0.41226472374013357</v>
      </c>
      <c r="Q37" s="115">
        <f>IFERROR(VLOOKUP($B37,MMWR_TRAD_AGG_STATE_COMP[],Q$1,0),"ERROR")</f>
        <v>281</v>
      </c>
      <c r="R37" s="115">
        <f>IFERROR(VLOOKUP($B37,MMWR_TRAD_AGG_STATE_COMP[],R$1,0),"ERROR")</f>
        <v>143</v>
      </c>
      <c r="S37" s="115">
        <f>IFERROR(VLOOKUP($B37,MMWR_APP_STATE_COMP[],S$1,0),"ERROR")</f>
        <v>5260</v>
      </c>
      <c r="T37" s="28"/>
    </row>
    <row r="38" spans="1:20" s="123" customFormat="1" x14ac:dyDescent="0.2">
      <c r="A38" s="28"/>
      <c r="B38" s="127" t="s">
        <v>410</v>
      </c>
      <c r="C38" s="109">
        <f>IFERROR(VLOOKUP($B38,MMWR_TRAD_AGG_STATE_COMP[],C$1,0),"ERROR")</f>
        <v>7681</v>
      </c>
      <c r="D38" s="110">
        <f>IFERROR(VLOOKUP($B38,MMWR_TRAD_AGG_STATE_COMP[],D$1,0),"ERROR")</f>
        <v>382.63429240980003</v>
      </c>
      <c r="E38" s="111">
        <f>IFERROR(VLOOKUP($B38,MMWR_TRAD_AGG_STATE_COMP[],E$1,0),"ERROR")</f>
        <v>7319</v>
      </c>
      <c r="F38" s="112">
        <f>IFERROR(VLOOKUP($B38,MMWR_TRAD_AGG_STATE_COMP[],F$1,0),"ERROR")</f>
        <v>1843</v>
      </c>
      <c r="G38" s="113">
        <f t="shared" ref="G38:G64" si="4">IFERROR(F38/E38,"0%")</f>
        <v>0.25181035660609374</v>
      </c>
      <c r="H38" s="111">
        <f>IFERROR(VLOOKUP($B38,MMWR_TRAD_AGG_STATE_COMP[],H$1,0),"ERROR")</f>
        <v>10809</v>
      </c>
      <c r="I38" s="112">
        <f>IFERROR(VLOOKUP($B38,MMWR_TRAD_AGG_STATE_COMP[],I$1,0),"ERROR")</f>
        <v>7215</v>
      </c>
      <c r="J38" s="114">
        <f t="shared" ref="J38:J64" si="5">IFERROR(I38/H38,"0%")</f>
        <v>0.66749930613377739</v>
      </c>
      <c r="K38" s="111">
        <f>IFERROR(VLOOKUP($B38,MMWR_TRAD_AGG_STATE_COMP[],K$1,0),"ERROR")</f>
        <v>2529</v>
      </c>
      <c r="L38" s="112">
        <f>IFERROR(VLOOKUP($B38,MMWR_TRAD_AGG_STATE_COMP[],L$1,0),"ERROR")</f>
        <v>1740</v>
      </c>
      <c r="M38" s="114">
        <f t="shared" ref="M38:M64" si="6">IFERROR(L38/K38,"0%")</f>
        <v>0.68801897983392646</v>
      </c>
      <c r="N38" s="111">
        <f>IFERROR(VLOOKUP($B38,MMWR_TRAD_AGG_STATE_COMP[],N$1,0),"ERROR")</f>
        <v>1673</v>
      </c>
      <c r="O38" s="112">
        <f>IFERROR(VLOOKUP($B38,MMWR_TRAD_AGG_STATE_COMP[],O$1,0),"ERROR")</f>
        <v>648</v>
      </c>
      <c r="P38" s="114">
        <f t="shared" ref="P38:P64" si="7">IFERROR(O38/N38,"0%")</f>
        <v>0.38732815301852958</v>
      </c>
      <c r="Q38" s="115">
        <f>IFERROR(VLOOKUP($B38,MMWR_TRAD_AGG_STATE_COMP[],Q$1,0),"ERROR")</f>
        <v>11</v>
      </c>
      <c r="R38" s="115">
        <f>IFERROR(VLOOKUP($B38,MMWR_TRAD_AGG_STATE_COMP[],R$1,0),"ERROR")</f>
        <v>64</v>
      </c>
      <c r="S38" s="115">
        <f>IFERROR(VLOOKUP($B38,MMWR_APP_STATE_COMP[],S$1,0),"ERROR")</f>
        <v>6184</v>
      </c>
      <c r="T38" s="28"/>
    </row>
    <row r="39" spans="1:20" s="123" customFormat="1" x14ac:dyDescent="0.2">
      <c r="A39" s="28"/>
      <c r="B39" s="127" t="s">
        <v>394</v>
      </c>
      <c r="C39" s="109">
        <f>IFERROR(VLOOKUP($B39,MMWR_TRAD_AGG_STATE_COMP[],C$1,0),"ERROR")</f>
        <v>6253</v>
      </c>
      <c r="D39" s="110">
        <f>IFERROR(VLOOKUP($B39,MMWR_TRAD_AGG_STATE_COMP[],D$1,0),"ERROR")</f>
        <v>410.0175915561</v>
      </c>
      <c r="E39" s="111">
        <f>IFERROR(VLOOKUP($B39,MMWR_TRAD_AGG_STATE_COMP[],E$1,0),"ERROR")</f>
        <v>6200</v>
      </c>
      <c r="F39" s="112">
        <f>IFERROR(VLOOKUP($B39,MMWR_TRAD_AGG_STATE_COMP[],F$1,0),"ERROR")</f>
        <v>1061</v>
      </c>
      <c r="G39" s="113">
        <f t="shared" si="4"/>
        <v>0.17112903225806453</v>
      </c>
      <c r="H39" s="111">
        <f>IFERROR(VLOOKUP($B39,MMWR_TRAD_AGG_STATE_COMP[],H$1,0),"ERROR")</f>
        <v>9008</v>
      </c>
      <c r="I39" s="112">
        <f>IFERROR(VLOOKUP($B39,MMWR_TRAD_AGG_STATE_COMP[],I$1,0),"ERROR")</f>
        <v>5808</v>
      </c>
      <c r="J39" s="114">
        <f t="shared" si="5"/>
        <v>0.64476021314387211</v>
      </c>
      <c r="K39" s="111">
        <f>IFERROR(VLOOKUP($B39,MMWR_TRAD_AGG_STATE_COMP[],K$1,0),"ERROR")</f>
        <v>1527</v>
      </c>
      <c r="L39" s="112">
        <f>IFERROR(VLOOKUP($B39,MMWR_TRAD_AGG_STATE_COMP[],L$1,0),"ERROR")</f>
        <v>987</v>
      </c>
      <c r="M39" s="114">
        <f t="shared" si="6"/>
        <v>0.64636542239685657</v>
      </c>
      <c r="N39" s="111">
        <f>IFERROR(VLOOKUP($B39,MMWR_TRAD_AGG_STATE_COMP[],N$1,0),"ERROR")</f>
        <v>1678</v>
      </c>
      <c r="O39" s="112">
        <f>IFERROR(VLOOKUP($B39,MMWR_TRAD_AGG_STATE_COMP[],O$1,0),"ERROR")</f>
        <v>796</v>
      </c>
      <c r="P39" s="114">
        <f t="shared" si="7"/>
        <v>0.47437425506555425</v>
      </c>
      <c r="Q39" s="115">
        <f>IFERROR(VLOOKUP($B39,MMWR_TRAD_AGG_STATE_COMP[],Q$1,0),"ERROR")</f>
        <v>236</v>
      </c>
      <c r="R39" s="115">
        <f>IFERROR(VLOOKUP($B39,MMWR_TRAD_AGG_STATE_COMP[],R$1,0),"ERROR")</f>
        <v>241</v>
      </c>
      <c r="S39" s="115">
        <f>IFERROR(VLOOKUP($B39,MMWR_APP_STATE_COMP[],S$1,0),"ERROR")</f>
        <v>5930</v>
      </c>
      <c r="T39" s="28"/>
    </row>
    <row r="40" spans="1:20" s="123" customFormat="1" x14ac:dyDescent="0.2">
      <c r="A40" s="28"/>
      <c r="B40" s="127" t="s">
        <v>396</v>
      </c>
      <c r="C40" s="109">
        <f>IFERROR(VLOOKUP($B40,MMWR_TRAD_AGG_STATE_COMP[],C$1,0),"ERROR")</f>
        <v>5294</v>
      </c>
      <c r="D40" s="110">
        <f>IFERROR(VLOOKUP($B40,MMWR_TRAD_AGG_STATE_COMP[],D$1,0),"ERROR")</f>
        <v>370.87929731769998</v>
      </c>
      <c r="E40" s="111">
        <f>IFERROR(VLOOKUP($B40,MMWR_TRAD_AGG_STATE_COMP[],E$1,0),"ERROR")</f>
        <v>4593</v>
      </c>
      <c r="F40" s="112">
        <f>IFERROR(VLOOKUP($B40,MMWR_TRAD_AGG_STATE_COMP[],F$1,0),"ERROR")</f>
        <v>1083</v>
      </c>
      <c r="G40" s="113">
        <f t="shared" si="4"/>
        <v>0.2357935989549314</v>
      </c>
      <c r="H40" s="111">
        <f>IFERROR(VLOOKUP($B40,MMWR_TRAD_AGG_STATE_COMP[],H$1,0),"ERROR")</f>
        <v>7793</v>
      </c>
      <c r="I40" s="112">
        <f>IFERROR(VLOOKUP($B40,MMWR_TRAD_AGG_STATE_COMP[],I$1,0),"ERROR")</f>
        <v>4995</v>
      </c>
      <c r="J40" s="114">
        <f t="shared" si="5"/>
        <v>0.64095983575003213</v>
      </c>
      <c r="K40" s="111">
        <f>IFERROR(VLOOKUP($B40,MMWR_TRAD_AGG_STATE_COMP[],K$1,0),"ERROR")</f>
        <v>1375</v>
      </c>
      <c r="L40" s="112">
        <f>IFERROR(VLOOKUP($B40,MMWR_TRAD_AGG_STATE_COMP[],L$1,0),"ERROR")</f>
        <v>977</v>
      </c>
      <c r="M40" s="114">
        <f t="shared" si="6"/>
        <v>0.71054545454545459</v>
      </c>
      <c r="N40" s="111">
        <f>IFERROR(VLOOKUP($B40,MMWR_TRAD_AGG_STATE_COMP[],N$1,0),"ERROR")</f>
        <v>2381</v>
      </c>
      <c r="O40" s="112">
        <f>IFERROR(VLOOKUP($B40,MMWR_TRAD_AGG_STATE_COMP[],O$1,0),"ERROR")</f>
        <v>1430</v>
      </c>
      <c r="P40" s="114">
        <f t="shared" si="7"/>
        <v>0.60058798824023518</v>
      </c>
      <c r="Q40" s="115">
        <f>IFERROR(VLOOKUP($B40,MMWR_TRAD_AGG_STATE_COMP[],Q$1,0),"ERROR")</f>
        <v>294</v>
      </c>
      <c r="R40" s="115">
        <f>IFERROR(VLOOKUP($B40,MMWR_TRAD_AGG_STATE_COMP[],R$1,0),"ERROR")</f>
        <v>147</v>
      </c>
      <c r="S40" s="115">
        <f>IFERROR(VLOOKUP($B40,MMWR_APP_STATE_COMP[],S$1,0),"ERROR")</f>
        <v>4833</v>
      </c>
      <c r="T40" s="28"/>
    </row>
    <row r="41" spans="1:20" s="123" customFormat="1" x14ac:dyDescent="0.2">
      <c r="A41" s="28"/>
      <c r="B41" s="127" t="s">
        <v>425</v>
      </c>
      <c r="C41" s="109">
        <f>IFERROR(VLOOKUP($B41,MMWR_TRAD_AGG_STATE_COMP[],C$1,0),"ERROR")</f>
        <v>925</v>
      </c>
      <c r="D41" s="110">
        <f>IFERROR(VLOOKUP($B41,MMWR_TRAD_AGG_STATE_COMP[],D$1,0),"ERROR")</f>
        <v>257.89297297299998</v>
      </c>
      <c r="E41" s="111">
        <f>IFERROR(VLOOKUP($B41,MMWR_TRAD_AGG_STATE_COMP[],E$1,0),"ERROR")</f>
        <v>770</v>
      </c>
      <c r="F41" s="112">
        <f>IFERROR(VLOOKUP($B41,MMWR_TRAD_AGG_STATE_COMP[],F$1,0),"ERROR")</f>
        <v>87</v>
      </c>
      <c r="G41" s="113">
        <f t="shared" si="4"/>
        <v>0.11298701298701298</v>
      </c>
      <c r="H41" s="111">
        <f>IFERROR(VLOOKUP($B41,MMWR_TRAD_AGG_STATE_COMP[],H$1,0),"ERROR")</f>
        <v>1616</v>
      </c>
      <c r="I41" s="112">
        <f>IFERROR(VLOOKUP($B41,MMWR_TRAD_AGG_STATE_COMP[],I$1,0),"ERROR")</f>
        <v>731</v>
      </c>
      <c r="J41" s="114">
        <f t="shared" si="5"/>
        <v>0.45235148514851486</v>
      </c>
      <c r="K41" s="111">
        <f>IFERROR(VLOOKUP($B41,MMWR_TRAD_AGG_STATE_COMP[],K$1,0),"ERROR")</f>
        <v>482</v>
      </c>
      <c r="L41" s="112">
        <f>IFERROR(VLOOKUP($B41,MMWR_TRAD_AGG_STATE_COMP[],L$1,0),"ERROR")</f>
        <v>228</v>
      </c>
      <c r="M41" s="114">
        <f t="shared" si="6"/>
        <v>0.47302904564315351</v>
      </c>
      <c r="N41" s="111">
        <f>IFERROR(VLOOKUP($B41,MMWR_TRAD_AGG_STATE_COMP[],N$1,0),"ERROR")</f>
        <v>232</v>
      </c>
      <c r="O41" s="112">
        <f>IFERROR(VLOOKUP($B41,MMWR_TRAD_AGG_STATE_COMP[],O$1,0),"ERROR")</f>
        <v>94</v>
      </c>
      <c r="P41" s="114">
        <f t="shared" si="7"/>
        <v>0.40517241379310343</v>
      </c>
      <c r="Q41" s="115">
        <f>IFERROR(VLOOKUP($B41,MMWR_TRAD_AGG_STATE_COMP[],Q$1,0),"ERROR")</f>
        <v>2</v>
      </c>
      <c r="R41" s="115">
        <f>IFERROR(VLOOKUP($B41,MMWR_TRAD_AGG_STATE_COMP[],R$1,0),"ERROR")</f>
        <v>4</v>
      </c>
      <c r="S41" s="115">
        <f>IFERROR(VLOOKUP($B41,MMWR_APP_STATE_COMP[],S$1,0),"ERROR")</f>
        <v>385</v>
      </c>
      <c r="T41" s="28"/>
    </row>
    <row r="42" spans="1:20" s="123" customFormat="1" x14ac:dyDescent="0.2">
      <c r="A42" s="28"/>
      <c r="B42" s="127" t="s">
        <v>419</v>
      </c>
      <c r="C42" s="109">
        <f>IFERROR(VLOOKUP($B42,MMWR_TRAD_AGG_STATE_COMP[],C$1,0),"ERROR")</f>
        <v>3460</v>
      </c>
      <c r="D42" s="110">
        <f>IFERROR(VLOOKUP($B42,MMWR_TRAD_AGG_STATE_COMP[],D$1,0),"ERROR")</f>
        <v>499.33670520229998</v>
      </c>
      <c r="E42" s="111">
        <f>IFERROR(VLOOKUP($B42,MMWR_TRAD_AGG_STATE_COMP[],E$1,0),"ERROR")</f>
        <v>6625</v>
      </c>
      <c r="F42" s="112">
        <f>IFERROR(VLOOKUP($B42,MMWR_TRAD_AGG_STATE_COMP[],F$1,0),"ERROR")</f>
        <v>1046</v>
      </c>
      <c r="G42" s="113">
        <f t="shared" si="4"/>
        <v>0.15788679245283019</v>
      </c>
      <c r="H42" s="111">
        <f>IFERROR(VLOOKUP($B42,MMWR_TRAD_AGG_STATE_COMP[],H$1,0),"ERROR")</f>
        <v>5972</v>
      </c>
      <c r="I42" s="112">
        <f>IFERROR(VLOOKUP($B42,MMWR_TRAD_AGG_STATE_COMP[],I$1,0),"ERROR")</f>
        <v>3326</v>
      </c>
      <c r="J42" s="114">
        <f t="shared" si="5"/>
        <v>0.55693235097119898</v>
      </c>
      <c r="K42" s="111">
        <f>IFERROR(VLOOKUP($B42,MMWR_TRAD_AGG_STATE_COMP[],K$1,0),"ERROR")</f>
        <v>1549</v>
      </c>
      <c r="L42" s="112">
        <f>IFERROR(VLOOKUP($B42,MMWR_TRAD_AGG_STATE_COMP[],L$1,0),"ERROR")</f>
        <v>619</v>
      </c>
      <c r="M42" s="114">
        <f t="shared" si="6"/>
        <v>0.39961265332472562</v>
      </c>
      <c r="N42" s="111">
        <f>IFERROR(VLOOKUP($B42,MMWR_TRAD_AGG_STATE_COMP[],N$1,0),"ERROR")</f>
        <v>1656</v>
      </c>
      <c r="O42" s="112">
        <f>IFERROR(VLOOKUP($B42,MMWR_TRAD_AGG_STATE_COMP[],O$1,0),"ERROR")</f>
        <v>604</v>
      </c>
      <c r="P42" s="114">
        <f t="shared" si="7"/>
        <v>0.36473429951690822</v>
      </c>
      <c r="Q42" s="115">
        <f>IFERROR(VLOOKUP($B42,MMWR_TRAD_AGG_STATE_COMP[],Q$1,0),"ERROR")</f>
        <v>7</v>
      </c>
      <c r="R42" s="115">
        <f>IFERROR(VLOOKUP($B42,MMWR_TRAD_AGG_STATE_COMP[],R$1,0),"ERROR")</f>
        <v>64</v>
      </c>
      <c r="S42" s="115">
        <f>IFERROR(VLOOKUP($B42,MMWR_APP_STATE_COMP[],S$1,0),"ERROR")</f>
        <v>4532</v>
      </c>
      <c r="T42" s="28"/>
    </row>
    <row r="43" spans="1:20" s="123" customFormat="1" x14ac:dyDescent="0.2">
      <c r="A43" s="28"/>
      <c r="B43" s="127" t="s">
        <v>417</v>
      </c>
      <c r="C43" s="109">
        <f>IFERROR(VLOOKUP($B43,MMWR_TRAD_AGG_STATE_COMP[],C$1,0),"ERROR")</f>
        <v>31838</v>
      </c>
      <c r="D43" s="110">
        <f>IFERROR(VLOOKUP($B43,MMWR_TRAD_AGG_STATE_COMP[],D$1,0),"ERROR")</f>
        <v>346.56065079460001</v>
      </c>
      <c r="E43" s="111">
        <f>IFERROR(VLOOKUP($B43,MMWR_TRAD_AGG_STATE_COMP[],E$1,0),"ERROR")</f>
        <v>36806</v>
      </c>
      <c r="F43" s="112">
        <f>IFERROR(VLOOKUP($B43,MMWR_TRAD_AGG_STATE_COMP[],F$1,0),"ERROR")</f>
        <v>7884</v>
      </c>
      <c r="G43" s="113">
        <f t="shared" si="4"/>
        <v>0.214204205836005</v>
      </c>
      <c r="H43" s="111">
        <f>IFERROR(VLOOKUP($B43,MMWR_TRAD_AGG_STATE_COMP[],H$1,0),"ERROR")</f>
        <v>44367</v>
      </c>
      <c r="I43" s="112">
        <f>IFERROR(VLOOKUP($B43,MMWR_TRAD_AGG_STATE_COMP[],I$1,0),"ERROR")</f>
        <v>26795</v>
      </c>
      <c r="J43" s="114">
        <f t="shared" si="5"/>
        <v>0.60393986521513743</v>
      </c>
      <c r="K43" s="111">
        <f>IFERROR(VLOOKUP($B43,MMWR_TRAD_AGG_STATE_COMP[],K$1,0),"ERROR")</f>
        <v>7906</v>
      </c>
      <c r="L43" s="112">
        <f>IFERROR(VLOOKUP($B43,MMWR_TRAD_AGG_STATE_COMP[],L$1,0),"ERROR")</f>
        <v>4051</v>
      </c>
      <c r="M43" s="114">
        <f t="shared" si="6"/>
        <v>0.51239564887427269</v>
      </c>
      <c r="N43" s="111">
        <f>IFERROR(VLOOKUP($B43,MMWR_TRAD_AGG_STATE_COMP[],N$1,0),"ERROR")</f>
        <v>10173</v>
      </c>
      <c r="O43" s="112">
        <f>IFERROR(VLOOKUP($B43,MMWR_TRAD_AGG_STATE_COMP[],O$1,0),"ERROR")</f>
        <v>5294</v>
      </c>
      <c r="P43" s="114">
        <f t="shared" si="7"/>
        <v>0.52039712965693508</v>
      </c>
      <c r="Q43" s="115">
        <f>IFERROR(VLOOKUP($B43,MMWR_TRAD_AGG_STATE_COMP[],Q$1,0),"ERROR")</f>
        <v>32</v>
      </c>
      <c r="R43" s="115">
        <f>IFERROR(VLOOKUP($B43,MMWR_TRAD_AGG_STATE_COMP[],R$1,0),"ERROR")</f>
        <v>409</v>
      </c>
      <c r="S43" s="115">
        <f>IFERROR(VLOOKUP($B43,MMWR_APP_STATE_COMP[],S$1,0),"ERROR")</f>
        <v>40269</v>
      </c>
      <c r="T43" s="28"/>
    </row>
    <row r="44" spans="1:20" s="123" customFormat="1" x14ac:dyDescent="0.2">
      <c r="A44" s="28"/>
      <c r="B44" s="127" t="s">
        <v>413</v>
      </c>
      <c r="C44" s="109">
        <f>IFERROR(VLOOKUP($B44,MMWR_TRAD_AGG_STATE_COMP[],C$1,0),"ERROR")</f>
        <v>2036</v>
      </c>
      <c r="D44" s="110">
        <f>IFERROR(VLOOKUP($B44,MMWR_TRAD_AGG_STATE_COMP[],D$1,0),"ERROR")</f>
        <v>329.05255402749998</v>
      </c>
      <c r="E44" s="111">
        <f>IFERROR(VLOOKUP($B44,MMWR_TRAD_AGG_STATE_COMP[],E$1,0),"ERROR")</f>
        <v>1954</v>
      </c>
      <c r="F44" s="112">
        <f>IFERROR(VLOOKUP($B44,MMWR_TRAD_AGG_STATE_COMP[],F$1,0),"ERROR")</f>
        <v>377</v>
      </c>
      <c r="G44" s="113">
        <f t="shared" si="4"/>
        <v>0.19293756397134085</v>
      </c>
      <c r="H44" s="111">
        <f>IFERROR(VLOOKUP($B44,MMWR_TRAD_AGG_STATE_COMP[],H$1,0),"ERROR")</f>
        <v>2889</v>
      </c>
      <c r="I44" s="112">
        <f>IFERROR(VLOOKUP($B44,MMWR_TRAD_AGG_STATE_COMP[],I$1,0),"ERROR")</f>
        <v>1751</v>
      </c>
      <c r="J44" s="114">
        <f t="shared" si="5"/>
        <v>0.60609207338179305</v>
      </c>
      <c r="K44" s="111">
        <f>IFERROR(VLOOKUP($B44,MMWR_TRAD_AGG_STATE_COMP[],K$1,0),"ERROR")</f>
        <v>655</v>
      </c>
      <c r="L44" s="112">
        <f>IFERROR(VLOOKUP($B44,MMWR_TRAD_AGG_STATE_COMP[],L$1,0),"ERROR")</f>
        <v>418</v>
      </c>
      <c r="M44" s="114">
        <f t="shared" si="6"/>
        <v>0.63816793893129775</v>
      </c>
      <c r="N44" s="111">
        <f>IFERROR(VLOOKUP($B44,MMWR_TRAD_AGG_STATE_COMP[],N$1,0),"ERROR")</f>
        <v>261</v>
      </c>
      <c r="O44" s="112">
        <f>IFERROR(VLOOKUP($B44,MMWR_TRAD_AGG_STATE_COMP[],O$1,0),"ERROR")</f>
        <v>96</v>
      </c>
      <c r="P44" s="114">
        <f t="shared" si="7"/>
        <v>0.36781609195402298</v>
      </c>
      <c r="Q44" s="115">
        <f>IFERROR(VLOOKUP($B44,MMWR_TRAD_AGG_STATE_COMP[],Q$1,0),"ERROR")</f>
        <v>1</v>
      </c>
      <c r="R44" s="115">
        <f>IFERROR(VLOOKUP($B44,MMWR_TRAD_AGG_STATE_COMP[],R$1,0),"ERROR")</f>
        <v>2</v>
      </c>
      <c r="S44" s="115">
        <f>IFERROR(VLOOKUP($B44,MMWR_APP_STATE_COMP[],S$1,0),"ERROR")</f>
        <v>614</v>
      </c>
      <c r="T44" s="28"/>
    </row>
    <row r="45" spans="1:20" s="123" customFormat="1" x14ac:dyDescent="0.2">
      <c r="A45" s="28"/>
      <c r="B45" s="127" t="s">
        <v>428</v>
      </c>
      <c r="C45" s="109">
        <f>IFERROR(VLOOKUP($B45,MMWR_TRAD_AGG_STATE_COMP[],C$1,0),"ERROR")</f>
        <v>547</v>
      </c>
      <c r="D45" s="110">
        <f>IFERROR(VLOOKUP($B45,MMWR_TRAD_AGG_STATE_COMP[],D$1,0),"ERROR")</f>
        <v>308.6435100548</v>
      </c>
      <c r="E45" s="111">
        <f>IFERROR(VLOOKUP($B45,MMWR_TRAD_AGG_STATE_COMP[],E$1,0),"ERROR")</f>
        <v>908</v>
      </c>
      <c r="F45" s="112">
        <f>IFERROR(VLOOKUP($B45,MMWR_TRAD_AGG_STATE_COMP[],F$1,0),"ERROR")</f>
        <v>175</v>
      </c>
      <c r="G45" s="113">
        <f t="shared" si="4"/>
        <v>0.19273127753303965</v>
      </c>
      <c r="H45" s="111">
        <f>IFERROR(VLOOKUP($B45,MMWR_TRAD_AGG_STATE_COMP[],H$1,0),"ERROR")</f>
        <v>979</v>
      </c>
      <c r="I45" s="112">
        <f>IFERROR(VLOOKUP($B45,MMWR_TRAD_AGG_STATE_COMP[],I$1,0),"ERROR")</f>
        <v>472</v>
      </c>
      <c r="J45" s="114">
        <f t="shared" si="5"/>
        <v>0.48212461695607761</v>
      </c>
      <c r="K45" s="111">
        <f>IFERROR(VLOOKUP($B45,MMWR_TRAD_AGG_STATE_COMP[],K$1,0),"ERROR")</f>
        <v>156</v>
      </c>
      <c r="L45" s="112">
        <f>IFERROR(VLOOKUP($B45,MMWR_TRAD_AGG_STATE_COMP[],L$1,0),"ERROR")</f>
        <v>83</v>
      </c>
      <c r="M45" s="114">
        <f t="shared" si="6"/>
        <v>0.53205128205128205</v>
      </c>
      <c r="N45" s="111">
        <f>IFERROR(VLOOKUP($B45,MMWR_TRAD_AGG_STATE_COMP[],N$1,0),"ERROR")</f>
        <v>187</v>
      </c>
      <c r="O45" s="112">
        <f>IFERROR(VLOOKUP($B45,MMWR_TRAD_AGG_STATE_COMP[],O$1,0),"ERROR")</f>
        <v>72</v>
      </c>
      <c r="P45" s="114">
        <f t="shared" si="7"/>
        <v>0.38502673796791442</v>
      </c>
      <c r="Q45" s="115">
        <f>IFERROR(VLOOKUP($B45,MMWR_TRAD_AGG_STATE_COMP[],Q$1,0),"ERROR")</f>
        <v>4</v>
      </c>
      <c r="R45" s="115">
        <f>IFERROR(VLOOKUP($B45,MMWR_TRAD_AGG_STATE_COMP[],R$1,0),"ERROR")</f>
        <v>5</v>
      </c>
      <c r="S45" s="115">
        <f>IFERROR(VLOOKUP($B45,MMWR_APP_STATE_COMP[],S$1,0),"ERROR")</f>
        <v>353</v>
      </c>
      <c r="T45" s="28"/>
    </row>
    <row r="46" spans="1:20" s="123" customFormat="1" x14ac:dyDescent="0.2">
      <c r="A46" s="28"/>
      <c r="B46" s="126" t="s">
        <v>411</v>
      </c>
      <c r="C46" s="102">
        <f>IFERROR(VLOOKUP($B46,MMWR_TRAD_AGG_ST_DISTRICT_COMP[],C$1,0),"ERROR")</f>
        <v>68872</v>
      </c>
      <c r="D46" s="103">
        <f>IFERROR(VLOOKUP($B46,MMWR_TRAD_AGG_ST_DISTRICT_COMP[],D$1,0),"ERROR")</f>
        <v>376.11723196650001</v>
      </c>
      <c r="E46" s="102">
        <f>IFERROR(VLOOKUP($B46,MMWR_TRAD_AGG_ST_DISTRICT_COMP[],E$1,0),"ERROR")</f>
        <v>61284</v>
      </c>
      <c r="F46" s="102">
        <f>IFERROR(VLOOKUP($B46,MMWR_TRAD_AGG_ST_DISTRICT_COMP[],F$1,0),"ERROR")</f>
        <v>12346</v>
      </c>
      <c r="G46" s="104">
        <f t="shared" si="4"/>
        <v>0.20145551856928398</v>
      </c>
      <c r="H46" s="102">
        <f>IFERROR(VLOOKUP($B46,MMWR_TRAD_AGG_ST_DISTRICT_COMP[],H$1,0),"ERROR")</f>
        <v>99514</v>
      </c>
      <c r="I46" s="102">
        <f>IFERROR(VLOOKUP($B46,MMWR_TRAD_AGG_ST_DISTRICT_COMP[],I$1,0),"ERROR")</f>
        <v>64036</v>
      </c>
      <c r="J46" s="105">
        <f t="shared" si="5"/>
        <v>0.64348734851377698</v>
      </c>
      <c r="K46" s="102">
        <f>IFERROR(VLOOKUP($B46,MMWR_TRAD_AGG_ST_DISTRICT_COMP[],K$1,0),"ERROR")</f>
        <v>22333</v>
      </c>
      <c r="L46" s="102">
        <f>IFERROR(VLOOKUP($B46,MMWR_TRAD_AGG_ST_DISTRICT_COMP[],L$1,0),"ERROR")</f>
        <v>15287</v>
      </c>
      <c r="M46" s="105">
        <f t="shared" si="6"/>
        <v>0.68450275377244441</v>
      </c>
      <c r="N46" s="102">
        <f>IFERROR(VLOOKUP($B46,MMWR_TRAD_AGG_ST_DISTRICT_COMP[],N$1,0),"ERROR")</f>
        <v>25026</v>
      </c>
      <c r="O46" s="102">
        <f>IFERROR(VLOOKUP($B46,MMWR_TRAD_AGG_ST_DISTRICT_COMP[],O$1,0),"ERROR")</f>
        <v>16487</v>
      </c>
      <c r="P46" s="105">
        <f t="shared" si="7"/>
        <v>0.65879485335251342</v>
      </c>
      <c r="Q46" s="102">
        <f>IFERROR(VLOOKUP($B46,MMWR_TRAD_AGG_ST_DISTRICT_COMP[],Q$1,0),"ERROR")</f>
        <v>90</v>
      </c>
      <c r="R46" s="106">
        <f>IFERROR(VLOOKUP($B46,MMWR_TRAD_AGG_ST_DISTRICT_COMP[],R$1,0),"ERROR")</f>
        <v>547</v>
      </c>
      <c r="S46" s="106">
        <f>SUM(S47:S55)</f>
        <v>43791</v>
      </c>
      <c r="T46" s="28"/>
    </row>
    <row r="47" spans="1:20" s="123" customFormat="1" x14ac:dyDescent="0.2">
      <c r="A47" s="28"/>
      <c r="B47" s="127" t="s">
        <v>431</v>
      </c>
      <c r="C47" s="109">
        <f>IFERROR(VLOOKUP($B47,MMWR_TRAD_AGG_STATE_COMP[],C$1,0),"ERROR")</f>
        <v>1966</v>
      </c>
      <c r="D47" s="110">
        <f>IFERROR(VLOOKUP($B47,MMWR_TRAD_AGG_STATE_COMP[],D$1,0),"ERROR")</f>
        <v>431.1932858596</v>
      </c>
      <c r="E47" s="111">
        <f>IFERROR(VLOOKUP($B47,MMWR_TRAD_AGG_STATE_COMP[],E$1,0),"ERROR")</f>
        <v>1131</v>
      </c>
      <c r="F47" s="112">
        <f>IFERROR(VLOOKUP($B47,MMWR_TRAD_AGG_STATE_COMP[],F$1,0),"ERROR")</f>
        <v>203</v>
      </c>
      <c r="G47" s="113">
        <f t="shared" si="4"/>
        <v>0.17948717948717949</v>
      </c>
      <c r="H47" s="111">
        <f>IFERROR(VLOOKUP($B47,MMWR_TRAD_AGG_STATE_COMP[],H$1,0),"ERROR")</f>
        <v>2866</v>
      </c>
      <c r="I47" s="112">
        <f>IFERROR(VLOOKUP($B47,MMWR_TRAD_AGG_STATE_COMP[],I$1,0),"ERROR")</f>
        <v>1860</v>
      </c>
      <c r="J47" s="114">
        <f t="shared" si="5"/>
        <v>0.64898813677599443</v>
      </c>
      <c r="K47" s="111">
        <f>IFERROR(VLOOKUP($B47,MMWR_TRAD_AGG_STATE_COMP[],K$1,0),"ERROR")</f>
        <v>1558</v>
      </c>
      <c r="L47" s="112">
        <f>IFERROR(VLOOKUP($B47,MMWR_TRAD_AGG_STATE_COMP[],L$1,0),"ERROR")</f>
        <v>1397</v>
      </c>
      <c r="M47" s="114">
        <f t="shared" si="6"/>
        <v>0.8966623876765083</v>
      </c>
      <c r="N47" s="111">
        <f>IFERROR(VLOOKUP($B47,MMWR_TRAD_AGG_STATE_COMP[],N$1,0),"ERROR")</f>
        <v>431</v>
      </c>
      <c r="O47" s="112">
        <f>IFERROR(VLOOKUP($B47,MMWR_TRAD_AGG_STATE_COMP[],O$1,0),"ERROR")</f>
        <v>182</v>
      </c>
      <c r="P47" s="114">
        <f t="shared" si="7"/>
        <v>0.42227378190255221</v>
      </c>
      <c r="Q47" s="115">
        <f>IFERROR(VLOOKUP($B47,MMWR_TRAD_AGG_STATE_COMP[],Q$1,0),"ERROR")</f>
        <v>4</v>
      </c>
      <c r="R47" s="115">
        <f>IFERROR(VLOOKUP($B47,MMWR_TRAD_AGG_STATE_COMP[],R$1,0),"ERROR")</f>
        <v>2</v>
      </c>
      <c r="S47" s="115">
        <f>IFERROR(VLOOKUP($B47,MMWR_APP_STATE_COMP[],S$1,0),"ERROR")</f>
        <v>271</v>
      </c>
      <c r="T47" s="28"/>
    </row>
    <row r="48" spans="1:20" s="123" customFormat="1" x14ac:dyDescent="0.2">
      <c r="A48" s="28"/>
      <c r="B48" s="127" t="s">
        <v>433</v>
      </c>
      <c r="C48" s="109">
        <f>IFERROR(VLOOKUP($B48,MMWR_TRAD_AGG_STATE_COMP[],C$1,0),"ERROR")</f>
        <v>6657</v>
      </c>
      <c r="D48" s="110">
        <f>IFERROR(VLOOKUP($B48,MMWR_TRAD_AGG_STATE_COMP[],D$1,0),"ERROR")</f>
        <v>300.9695057834</v>
      </c>
      <c r="E48" s="111">
        <f>IFERROR(VLOOKUP($B48,MMWR_TRAD_AGG_STATE_COMP[],E$1,0),"ERROR")</f>
        <v>6087</v>
      </c>
      <c r="F48" s="112">
        <f>IFERROR(VLOOKUP($B48,MMWR_TRAD_AGG_STATE_COMP[],F$1,0),"ERROR")</f>
        <v>1212</v>
      </c>
      <c r="G48" s="113">
        <f t="shared" si="4"/>
        <v>0.19911286347954657</v>
      </c>
      <c r="H48" s="111">
        <f>IFERROR(VLOOKUP($B48,MMWR_TRAD_AGG_STATE_COMP[],H$1,0),"ERROR")</f>
        <v>9240</v>
      </c>
      <c r="I48" s="112">
        <f>IFERROR(VLOOKUP($B48,MMWR_TRAD_AGG_STATE_COMP[],I$1,0),"ERROR")</f>
        <v>5305</v>
      </c>
      <c r="J48" s="114">
        <f t="shared" si="5"/>
        <v>0.57413419913419916</v>
      </c>
      <c r="K48" s="111">
        <f>IFERROR(VLOOKUP($B48,MMWR_TRAD_AGG_STATE_COMP[],K$1,0),"ERROR")</f>
        <v>1313</v>
      </c>
      <c r="L48" s="112">
        <f>IFERROR(VLOOKUP($B48,MMWR_TRAD_AGG_STATE_COMP[],L$1,0),"ERROR")</f>
        <v>548</v>
      </c>
      <c r="M48" s="114">
        <f t="shared" si="6"/>
        <v>0.41736481340441739</v>
      </c>
      <c r="N48" s="111">
        <f>IFERROR(VLOOKUP($B48,MMWR_TRAD_AGG_STATE_COMP[],N$1,0),"ERROR")</f>
        <v>3103</v>
      </c>
      <c r="O48" s="112">
        <f>IFERROR(VLOOKUP($B48,MMWR_TRAD_AGG_STATE_COMP[],O$1,0),"ERROR")</f>
        <v>2329</v>
      </c>
      <c r="P48" s="114">
        <f t="shared" si="7"/>
        <v>0.75056397035127298</v>
      </c>
      <c r="Q48" s="115">
        <f>IFERROR(VLOOKUP($B48,MMWR_TRAD_AGG_STATE_COMP[],Q$1,0),"ERROR")</f>
        <v>5</v>
      </c>
      <c r="R48" s="115">
        <f>IFERROR(VLOOKUP($B48,MMWR_TRAD_AGG_STATE_COMP[],R$1,0),"ERROR")</f>
        <v>78</v>
      </c>
      <c r="S48" s="115">
        <f>IFERROR(VLOOKUP($B48,MMWR_APP_STATE_COMP[],S$1,0),"ERROR")</f>
        <v>7238</v>
      </c>
      <c r="T48" s="28"/>
    </row>
    <row r="49" spans="1:20" s="123" customFormat="1" x14ac:dyDescent="0.2">
      <c r="A49" s="28"/>
      <c r="B49" s="127" t="s">
        <v>414</v>
      </c>
      <c r="C49" s="109">
        <f>IFERROR(VLOOKUP($B49,MMWR_TRAD_AGG_STATE_COMP[],C$1,0),"ERROR")</f>
        <v>30140</v>
      </c>
      <c r="D49" s="110">
        <f>IFERROR(VLOOKUP($B49,MMWR_TRAD_AGG_STATE_COMP[],D$1,0),"ERROR")</f>
        <v>371.40245520899998</v>
      </c>
      <c r="E49" s="111">
        <f>IFERROR(VLOOKUP($B49,MMWR_TRAD_AGG_STATE_COMP[],E$1,0),"ERROR")</f>
        <v>32040</v>
      </c>
      <c r="F49" s="112">
        <f>IFERROR(VLOOKUP($B49,MMWR_TRAD_AGG_STATE_COMP[],F$1,0),"ERROR")</f>
        <v>6205</v>
      </c>
      <c r="G49" s="113">
        <f t="shared" si="4"/>
        <v>0.19366416978776529</v>
      </c>
      <c r="H49" s="111">
        <f>IFERROR(VLOOKUP($B49,MMWR_TRAD_AGG_STATE_COMP[],H$1,0),"ERROR")</f>
        <v>44281</v>
      </c>
      <c r="I49" s="112">
        <f>IFERROR(VLOOKUP($B49,MMWR_TRAD_AGG_STATE_COMP[],I$1,0),"ERROR")</f>
        <v>28912</v>
      </c>
      <c r="J49" s="114">
        <f t="shared" si="5"/>
        <v>0.65292111740927261</v>
      </c>
      <c r="K49" s="111">
        <f>IFERROR(VLOOKUP($B49,MMWR_TRAD_AGG_STATE_COMP[],K$1,0),"ERROR")</f>
        <v>9838</v>
      </c>
      <c r="L49" s="112">
        <f>IFERROR(VLOOKUP($B49,MMWR_TRAD_AGG_STATE_COMP[],L$1,0),"ERROR")</f>
        <v>6500</v>
      </c>
      <c r="M49" s="114">
        <f t="shared" si="6"/>
        <v>0.66070339499898356</v>
      </c>
      <c r="N49" s="111">
        <f>IFERROR(VLOOKUP($B49,MMWR_TRAD_AGG_STATE_COMP[],N$1,0),"ERROR")</f>
        <v>11403</v>
      </c>
      <c r="O49" s="112">
        <f>IFERROR(VLOOKUP($B49,MMWR_TRAD_AGG_STATE_COMP[],O$1,0),"ERROR")</f>
        <v>7570</v>
      </c>
      <c r="P49" s="114">
        <f t="shared" si="7"/>
        <v>0.66386038761729371</v>
      </c>
      <c r="Q49" s="115">
        <f>IFERROR(VLOOKUP($B49,MMWR_TRAD_AGG_STATE_COMP[],Q$1,0),"ERROR")</f>
        <v>47</v>
      </c>
      <c r="R49" s="115">
        <f>IFERROR(VLOOKUP($B49,MMWR_TRAD_AGG_STATE_COMP[],R$1,0),"ERROR")</f>
        <v>131</v>
      </c>
      <c r="S49" s="115">
        <f>IFERROR(VLOOKUP($B49,MMWR_APP_STATE_COMP[],S$1,0),"ERROR")</f>
        <v>18498</v>
      </c>
      <c r="T49" s="28"/>
    </row>
    <row r="50" spans="1:20" s="123" customFormat="1" x14ac:dyDescent="0.2">
      <c r="A50" s="28"/>
      <c r="B50" s="127" t="s">
        <v>435</v>
      </c>
      <c r="C50" s="109">
        <f>IFERROR(VLOOKUP($B50,MMWR_TRAD_AGG_STATE_COMP[],C$1,0),"ERROR")</f>
        <v>1767</v>
      </c>
      <c r="D50" s="110">
        <f>IFERROR(VLOOKUP($B50,MMWR_TRAD_AGG_STATE_COMP[],D$1,0),"ERROR")</f>
        <v>293.75551782679997</v>
      </c>
      <c r="E50" s="111">
        <f>IFERROR(VLOOKUP($B50,MMWR_TRAD_AGG_STATE_COMP[],E$1,0),"ERROR")</f>
        <v>2122</v>
      </c>
      <c r="F50" s="112">
        <f>IFERROR(VLOOKUP($B50,MMWR_TRAD_AGG_STATE_COMP[],F$1,0),"ERROR")</f>
        <v>384</v>
      </c>
      <c r="G50" s="113">
        <f t="shared" si="4"/>
        <v>0.18096135721017909</v>
      </c>
      <c r="H50" s="111">
        <f>IFERROR(VLOOKUP($B50,MMWR_TRAD_AGG_STATE_COMP[],H$1,0),"ERROR")</f>
        <v>2465</v>
      </c>
      <c r="I50" s="112">
        <f>IFERROR(VLOOKUP($B50,MMWR_TRAD_AGG_STATE_COMP[],I$1,0),"ERROR")</f>
        <v>1499</v>
      </c>
      <c r="J50" s="114">
        <f t="shared" si="5"/>
        <v>0.60811359026369172</v>
      </c>
      <c r="K50" s="111">
        <f>IFERROR(VLOOKUP($B50,MMWR_TRAD_AGG_STATE_COMP[],K$1,0),"ERROR")</f>
        <v>480</v>
      </c>
      <c r="L50" s="112">
        <f>IFERROR(VLOOKUP($B50,MMWR_TRAD_AGG_STATE_COMP[],L$1,0),"ERROR")</f>
        <v>280</v>
      </c>
      <c r="M50" s="114">
        <f t="shared" si="6"/>
        <v>0.58333333333333337</v>
      </c>
      <c r="N50" s="111">
        <f>IFERROR(VLOOKUP($B50,MMWR_TRAD_AGG_STATE_COMP[],N$1,0),"ERROR")</f>
        <v>377</v>
      </c>
      <c r="O50" s="112">
        <f>IFERROR(VLOOKUP($B50,MMWR_TRAD_AGG_STATE_COMP[],O$1,0),"ERROR")</f>
        <v>186</v>
      </c>
      <c r="P50" s="114">
        <f t="shared" si="7"/>
        <v>0.49336870026525198</v>
      </c>
      <c r="Q50" s="115">
        <f>IFERROR(VLOOKUP($B50,MMWR_TRAD_AGG_STATE_COMP[],Q$1,0),"ERROR")</f>
        <v>4</v>
      </c>
      <c r="R50" s="115">
        <f>IFERROR(VLOOKUP($B50,MMWR_TRAD_AGG_STATE_COMP[],R$1,0),"ERROR")</f>
        <v>3</v>
      </c>
      <c r="S50" s="115">
        <f>IFERROR(VLOOKUP($B50,MMWR_APP_STATE_COMP[],S$1,0),"ERROR")</f>
        <v>1099</v>
      </c>
      <c r="T50" s="28"/>
    </row>
    <row r="51" spans="1:20" s="123" customFormat="1" x14ac:dyDescent="0.2">
      <c r="A51" s="28"/>
      <c r="B51" s="127" t="s">
        <v>415</v>
      </c>
      <c r="C51" s="109">
        <f>IFERROR(VLOOKUP($B51,MMWR_TRAD_AGG_STATE_COMP[],C$1,0),"ERROR")</f>
        <v>794</v>
      </c>
      <c r="D51" s="110">
        <f>IFERROR(VLOOKUP($B51,MMWR_TRAD_AGG_STATE_COMP[],D$1,0),"ERROR")</f>
        <v>287.12720403020001</v>
      </c>
      <c r="E51" s="111">
        <f>IFERROR(VLOOKUP($B51,MMWR_TRAD_AGG_STATE_COMP[],E$1,0),"ERROR")</f>
        <v>1470</v>
      </c>
      <c r="F51" s="112">
        <f>IFERROR(VLOOKUP($B51,MMWR_TRAD_AGG_STATE_COMP[],F$1,0),"ERROR")</f>
        <v>288</v>
      </c>
      <c r="G51" s="113">
        <f t="shared" si="4"/>
        <v>0.19591836734693877</v>
      </c>
      <c r="H51" s="111">
        <f>IFERROR(VLOOKUP($B51,MMWR_TRAD_AGG_STATE_COMP[],H$1,0),"ERROR")</f>
        <v>1229</v>
      </c>
      <c r="I51" s="112">
        <f>IFERROR(VLOOKUP($B51,MMWR_TRAD_AGG_STATE_COMP[],I$1,0),"ERROR")</f>
        <v>602</v>
      </c>
      <c r="J51" s="114">
        <f t="shared" si="5"/>
        <v>0.48982912937347439</v>
      </c>
      <c r="K51" s="111">
        <f>IFERROR(VLOOKUP($B51,MMWR_TRAD_AGG_STATE_COMP[],K$1,0),"ERROR")</f>
        <v>353</v>
      </c>
      <c r="L51" s="112">
        <f>IFERROR(VLOOKUP($B51,MMWR_TRAD_AGG_STATE_COMP[],L$1,0),"ERROR")</f>
        <v>125</v>
      </c>
      <c r="M51" s="114">
        <f t="shared" si="6"/>
        <v>0.35410764872521244</v>
      </c>
      <c r="N51" s="111">
        <f>IFERROR(VLOOKUP($B51,MMWR_TRAD_AGG_STATE_COMP[],N$1,0),"ERROR")</f>
        <v>344</v>
      </c>
      <c r="O51" s="112">
        <f>IFERROR(VLOOKUP($B51,MMWR_TRAD_AGG_STATE_COMP[],O$1,0),"ERROR")</f>
        <v>157</v>
      </c>
      <c r="P51" s="114">
        <f t="shared" si="7"/>
        <v>0.45639534883720928</v>
      </c>
      <c r="Q51" s="115">
        <f>IFERROR(VLOOKUP($B51,MMWR_TRAD_AGG_STATE_COMP[],Q$1,0),"ERROR")</f>
        <v>2</v>
      </c>
      <c r="R51" s="115">
        <f>IFERROR(VLOOKUP($B51,MMWR_TRAD_AGG_STATE_COMP[],R$1,0),"ERROR")</f>
        <v>4</v>
      </c>
      <c r="S51" s="115">
        <f>IFERROR(VLOOKUP($B51,MMWR_APP_STATE_COMP[],S$1,0),"ERROR")</f>
        <v>1001</v>
      </c>
      <c r="T51" s="28"/>
    </row>
    <row r="52" spans="1:20" s="123" customFormat="1" x14ac:dyDescent="0.2">
      <c r="A52" s="28"/>
      <c r="B52" s="127" t="s">
        <v>420</v>
      </c>
      <c r="C52" s="109">
        <f>IFERROR(VLOOKUP($B52,MMWR_TRAD_AGG_STATE_COMP[],C$1,0),"ERROR")</f>
        <v>4221</v>
      </c>
      <c r="D52" s="110">
        <f>IFERROR(VLOOKUP($B52,MMWR_TRAD_AGG_STATE_COMP[],D$1,0),"ERROR")</f>
        <v>459.88343994309997</v>
      </c>
      <c r="E52" s="111">
        <f>IFERROR(VLOOKUP($B52,MMWR_TRAD_AGG_STATE_COMP[],E$1,0),"ERROR")</f>
        <v>3858</v>
      </c>
      <c r="F52" s="112">
        <f>IFERROR(VLOOKUP($B52,MMWR_TRAD_AGG_STATE_COMP[],F$1,0),"ERROR")</f>
        <v>844</v>
      </c>
      <c r="G52" s="113">
        <f t="shared" si="4"/>
        <v>0.21876620010368067</v>
      </c>
      <c r="H52" s="111">
        <f>IFERROR(VLOOKUP($B52,MMWR_TRAD_AGG_STATE_COMP[],H$1,0),"ERROR")</f>
        <v>5502</v>
      </c>
      <c r="I52" s="112">
        <f>IFERROR(VLOOKUP($B52,MMWR_TRAD_AGG_STATE_COMP[],I$1,0),"ERROR")</f>
        <v>3606</v>
      </c>
      <c r="J52" s="114">
        <f t="shared" si="5"/>
        <v>0.65539803707742639</v>
      </c>
      <c r="K52" s="111">
        <f>IFERROR(VLOOKUP($B52,MMWR_TRAD_AGG_STATE_COMP[],K$1,0),"ERROR")</f>
        <v>832</v>
      </c>
      <c r="L52" s="112">
        <f>IFERROR(VLOOKUP($B52,MMWR_TRAD_AGG_STATE_COMP[],L$1,0),"ERROR")</f>
        <v>476</v>
      </c>
      <c r="M52" s="114">
        <f t="shared" si="6"/>
        <v>0.57211538461538458</v>
      </c>
      <c r="N52" s="111">
        <f>IFERROR(VLOOKUP($B52,MMWR_TRAD_AGG_STATE_COMP[],N$1,0),"ERROR")</f>
        <v>1580</v>
      </c>
      <c r="O52" s="112">
        <f>IFERROR(VLOOKUP($B52,MMWR_TRAD_AGG_STATE_COMP[],O$1,0),"ERROR")</f>
        <v>969</v>
      </c>
      <c r="P52" s="114">
        <f t="shared" si="7"/>
        <v>0.61329113924050638</v>
      </c>
      <c r="Q52" s="115">
        <f>IFERROR(VLOOKUP($B52,MMWR_TRAD_AGG_STATE_COMP[],Q$1,0),"ERROR")</f>
        <v>5</v>
      </c>
      <c r="R52" s="115">
        <f>IFERROR(VLOOKUP($B52,MMWR_TRAD_AGG_STATE_COMP[],R$1,0),"ERROR")</f>
        <v>113</v>
      </c>
      <c r="S52" s="115">
        <f>IFERROR(VLOOKUP($B52,MMWR_APP_STATE_COMP[],S$1,0),"ERROR")</f>
        <v>3080</v>
      </c>
      <c r="T52" s="28"/>
    </row>
    <row r="53" spans="1:20" s="123" customFormat="1" x14ac:dyDescent="0.2">
      <c r="A53" s="28"/>
      <c r="B53" s="127" t="s">
        <v>412</v>
      </c>
      <c r="C53" s="109">
        <f>IFERROR(VLOOKUP($B53,MMWR_TRAD_AGG_STATE_COMP[],C$1,0),"ERROR")</f>
        <v>1632</v>
      </c>
      <c r="D53" s="110">
        <f>IFERROR(VLOOKUP($B53,MMWR_TRAD_AGG_STATE_COMP[],D$1,0),"ERROR")</f>
        <v>221.2267156863</v>
      </c>
      <c r="E53" s="111">
        <f>IFERROR(VLOOKUP($B53,MMWR_TRAD_AGG_STATE_COMP[],E$1,0),"ERROR")</f>
        <v>2974</v>
      </c>
      <c r="F53" s="112">
        <f>IFERROR(VLOOKUP($B53,MMWR_TRAD_AGG_STATE_COMP[],F$1,0),"ERROR")</f>
        <v>725</v>
      </c>
      <c r="G53" s="113">
        <f t="shared" si="4"/>
        <v>0.24377942165433758</v>
      </c>
      <c r="H53" s="111">
        <f>IFERROR(VLOOKUP($B53,MMWR_TRAD_AGG_STATE_COMP[],H$1,0),"ERROR")</f>
        <v>2526</v>
      </c>
      <c r="I53" s="112">
        <f>IFERROR(VLOOKUP($B53,MMWR_TRAD_AGG_STATE_COMP[],I$1,0),"ERROR")</f>
        <v>1096</v>
      </c>
      <c r="J53" s="114">
        <f t="shared" si="5"/>
        <v>0.43388756927949329</v>
      </c>
      <c r="K53" s="111">
        <f>IFERROR(VLOOKUP($B53,MMWR_TRAD_AGG_STATE_COMP[],K$1,0),"ERROR")</f>
        <v>465</v>
      </c>
      <c r="L53" s="112">
        <f>IFERROR(VLOOKUP($B53,MMWR_TRAD_AGG_STATE_COMP[],L$1,0),"ERROR")</f>
        <v>180</v>
      </c>
      <c r="M53" s="114">
        <f t="shared" si="6"/>
        <v>0.38709677419354838</v>
      </c>
      <c r="N53" s="111">
        <f>IFERROR(VLOOKUP($B53,MMWR_TRAD_AGG_STATE_COMP[],N$1,0),"ERROR")</f>
        <v>656</v>
      </c>
      <c r="O53" s="112">
        <f>IFERROR(VLOOKUP($B53,MMWR_TRAD_AGG_STATE_COMP[],O$1,0),"ERROR")</f>
        <v>287</v>
      </c>
      <c r="P53" s="114">
        <f t="shared" si="7"/>
        <v>0.4375</v>
      </c>
      <c r="Q53" s="115">
        <f>IFERROR(VLOOKUP($B53,MMWR_TRAD_AGG_STATE_COMP[],Q$1,0),"ERROR")</f>
        <v>4</v>
      </c>
      <c r="R53" s="115">
        <f>IFERROR(VLOOKUP($B53,MMWR_TRAD_AGG_STATE_COMP[],R$1,0),"ERROR")</f>
        <v>10</v>
      </c>
      <c r="S53" s="115">
        <f>IFERROR(VLOOKUP($B53,MMWR_APP_STATE_COMP[],S$1,0),"ERROR")</f>
        <v>1923</v>
      </c>
      <c r="T53" s="28"/>
    </row>
    <row r="54" spans="1:20" s="123" customFormat="1" x14ac:dyDescent="0.2">
      <c r="A54" s="28"/>
      <c r="B54" s="127" t="s">
        <v>416</v>
      </c>
      <c r="C54" s="109">
        <f>IFERROR(VLOOKUP($B54,MMWR_TRAD_AGG_STATE_COMP[],C$1,0),"ERROR")</f>
        <v>8600</v>
      </c>
      <c r="D54" s="110">
        <f>IFERROR(VLOOKUP($B54,MMWR_TRAD_AGG_STATE_COMP[],D$1,0),"ERROR")</f>
        <v>409.2676744186</v>
      </c>
      <c r="E54" s="111">
        <f>IFERROR(VLOOKUP($B54,MMWR_TRAD_AGG_STATE_COMP[],E$1,0),"ERROR")</f>
        <v>4778</v>
      </c>
      <c r="F54" s="112">
        <f>IFERROR(VLOOKUP($B54,MMWR_TRAD_AGG_STATE_COMP[],F$1,0),"ERROR")</f>
        <v>1219</v>
      </c>
      <c r="G54" s="113">
        <f t="shared" si="4"/>
        <v>0.25512766848053581</v>
      </c>
      <c r="H54" s="111">
        <f>IFERROR(VLOOKUP($B54,MMWR_TRAD_AGG_STATE_COMP[],H$1,0),"ERROR")</f>
        <v>11948</v>
      </c>
      <c r="I54" s="112">
        <f>IFERROR(VLOOKUP($B54,MMWR_TRAD_AGG_STATE_COMP[],I$1,0),"ERROR")</f>
        <v>8200</v>
      </c>
      <c r="J54" s="114">
        <f t="shared" si="5"/>
        <v>0.68630733177100767</v>
      </c>
      <c r="K54" s="111">
        <f>IFERROR(VLOOKUP($B54,MMWR_TRAD_AGG_STATE_COMP[],K$1,0),"ERROR")</f>
        <v>3393</v>
      </c>
      <c r="L54" s="112">
        <f>IFERROR(VLOOKUP($B54,MMWR_TRAD_AGG_STATE_COMP[],L$1,0),"ERROR")</f>
        <v>2717</v>
      </c>
      <c r="M54" s="114">
        <f t="shared" si="6"/>
        <v>0.8007662835249042</v>
      </c>
      <c r="N54" s="111">
        <f>IFERROR(VLOOKUP($B54,MMWR_TRAD_AGG_STATE_COMP[],N$1,0),"ERROR")</f>
        <v>2153</v>
      </c>
      <c r="O54" s="112">
        <f>IFERROR(VLOOKUP($B54,MMWR_TRAD_AGG_STATE_COMP[],O$1,0),"ERROR")</f>
        <v>931</v>
      </c>
      <c r="P54" s="114">
        <f t="shared" si="7"/>
        <v>0.43241987923827219</v>
      </c>
      <c r="Q54" s="115">
        <f>IFERROR(VLOOKUP($B54,MMWR_TRAD_AGG_STATE_COMP[],Q$1,0),"ERROR")</f>
        <v>5</v>
      </c>
      <c r="R54" s="115">
        <f>IFERROR(VLOOKUP($B54,MMWR_TRAD_AGG_STATE_COMP[],R$1,0),"ERROR")</f>
        <v>70</v>
      </c>
      <c r="S54" s="115">
        <f>IFERROR(VLOOKUP($B54,MMWR_APP_STATE_COMP[],S$1,0),"ERROR")</f>
        <v>5439</v>
      </c>
      <c r="T54" s="28"/>
    </row>
    <row r="55" spans="1:20" s="123" customFormat="1" x14ac:dyDescent="0.2">
      <c r="A55" s="28"/>
      <c r="B55" s="127" t="s">
        <v>83</v>
      </c>
      <c r="C55" s="109">
        <f>IFERROR(VLOOKUP($B55,MMWR_TRAD_AGG_STATE_COMP[],C$1,0),"ERROR")</f>
        <v>13095</v>
      </c>
      <c r="D55" s="110">
        <f>IFERROR(VLOOKUP($B55,MMWR_TRAD_AGG_STATE_COMP[],D$1,0),"ERROR")</f>
        <v>403.9434135166</v>
      </c>
      <c r="E55" s="111">
        <f>IFERROR(VLOOKUP($B55,MMWR_TRAD_AGG_STATE_COMP[],E$1,0),"ERROR")</f>
        <v>6824</v>
      </c>
      <c r="F55" s="112">
        <f>IFERROR(VLOOKUP($B55,MMWR_TRAD_AGG_STATE_COMP[],F$1,0),"ERROR")</f>
        <v>1266</v>
      </c>
      <c r="G55" s="113">
        <f t="shared" si="4"/>
        <v>0.18552168815943729</v>
      </c>
      <c r="H55" s="111">
        <f>IFERROR(VLOOKUP($B55,MMWR_TRAD_AGG_STATE_COMP[],H$1,0),"ERROR")</f>
        <v>19457</v>
      </c>
      <c r="I55" s="112">
        <f>IFERROR(VLOOKUP($B55,MMWR_TRAD_AGG_STATE_COMP[],I$1,0),"ERROR")</f>
        <v>12956</v>
      </c>
      <c r="J55" s="114">
        <f t="shared" si="5"/>
        <v>0.66587860410135169</v>
      </c>
      <c r="K55" s="111">
        <f>IFERROR(VLOOKUP($B55,MMWR_TRAD_AGG_STATE_COMP[],K$1,0),"ERROR")</f>
        <v>4101</v>
      </c>
      <c r="L55" s="112">
        <f>IFERROR(VLOOKUP($B55,MMWR_TRAD_AGG_STATE_COMP[],L$1,0),"ERROR")</f>
        <v>3064</v>
      </c>
      <c r="M55" s="114">
        <f t="shared" si="6"/>
        <v>0.74713484515971718</v>
      </c>
      <c r="N55" s="111">
        <f>IFERROR(VLOOKUP($B55,MMWR_TRAD_AGG_STATE_COMP[],N$1,0),"ERROR")</f>
        <v>4979</v>
      </c>
      <c r="O55" s="112">
        <f>IFERROR(VLOOKUP($B55,MMWR_TRAD_AGG_STATE_COMP[],O$1,0),"ERROR")</f>
        <v>3876</v>
      </c>
      <c r="P55" s="114">
        <f t="shared" si="7"/>
        <v>0.77846957220325363</v>
      </c>
      <c r="Q55" s="115">
        <f>IFERROR(VLOOKUP($B55,MMWR_TRAD_AGG_STATE_COMP[],Q$1,0),"ERROR")</f>
        <v>14</v>
      </c>
      <c r="R55" s="115">
        <f>IFERROR(VLOOKUP($B55,MMWR_TRAD_AGG_STATE_COMP[],R$1,0),"ERROR")</f>
        <v>136</v>
      </c>
      <c r="S55" s="115">
        <f>IFERROR(VLOOKUP($B55,MMWR_APP_STATE_COMP[],S$1,0),"ERROR")</f>
        <v>5242</v>
      </c>
      <c r="T55" s="28"/>
    </row>
    <row r="56" spans="1:20" s="123" customFormat="1" x14ac:dyDescent="0.2">
      <c r="A56" s="28"/>
      <c r="B56" s="126" t="s">
        <v>387</v>
      </c>
      <c r="C56" s="102">
        <f>IFERROR(VLOOKUP($B56,MMWR_TRAD_AGG_ST_DISTRICT_COMP[],C$1,0),"ERROR")</f>
        <v>80749</v>
      </c>
      <c r="D56" s="103">
        <f>IFERROR(VLOOKUP($B56,MMWR_TRAD_AGG_ST_DISTRICT_COMP[],D$1,0),"ERROR")</f>
        <v>362.20676417049998</v>
      </c>
      <c r="E56" s="102">
        <f>IFERROR(VLOOKUP($B56,MMWR_TRAD_AGG_ST_DISTRICT_COMP[],E$1,0),"ERROR")</f>
        <v>79604</v>
      </c>
      <c r="F56" s="102">
        <f>IFERROR(VLOOKUP($B56,MMWR_TRAD_AGG_ST_DISTRICT_COMP[],F$1,0),"ERROR")</f>
        <v>17715</v>
      </c>
      <c r="G56" s="104">
        <f t="shared" si="4"/>
        <v>0.22253906838852319</v>
      </c>
      <c r="H56" s="102">
        <f>IFERROR(VLOOKUP($B56,MMWR_TRAD_AGG_ST_DISTRICT_COMP[],H$1,0),"ERROR")</f>
        <v>115799</v>
      </c>
      <c r="I56" s="102">
        <f>IFERROR(VLOOKUP($B56,MMWR_TRAD_AGG_ST_DISTRICT_COMP[],I$1,0),"ERROR")</f>
        <v>75040</v>
      </c>
      <c r="J56" s="105">
        <f t="shared" si="5"/>
        <v>0.64801941294829835</v>
      </c>
      <c r="K56" s="102">
        <f>IFERROR(VLOOKUP($B56,MMWR_TRAD_AGG_ST_DISTRICT_COMP[],K$1,0),"ERROR")</f>
        <v>27405</v>
      </c>
      <c r="L56" s="102">
        <f>IFERROR(VLOOKUP($B56,MMWR_TRAD_AGG_ST_DISTRICT_COMP[],L$1,0),"ERROR")</f>
        <v>18578</v>
      </c>
      <c r="M56" s="105">
        <f t="shared" si="6"/>
        <v>0.67790549169859515</v>
      </c>
      <c r="N56" s="102">
        <f>IFERROR(VLOOKUP($B56,MMWR_TRAD_AGG_ST_DISTRICT_COMP[],N$1,0),"ERROR")</f>
        <v>35588</v>
      </c>
      <c r="O56" s="102">
        <f>IFERROR(VLOOKUP($B56,MMWR_TRAD_AGG_ST_DISTRICT_COMP[],O$1,0),"ERROR")</f>
        <v>21495</v>
      </c>
      <c r="P56" s="105">
        <f t="shared" si="7"/>
        <v>0.60399572889738118</v>
      </c>
      <c r="Q56" s="102">
        <f>IFERROR(VLOOKUP($B56,MMWR_TRAD_AGG_ST_DISTRICT_COMP[],Q$1,0),"ERROR")</f>
        <v>4893</v>
      </c>
      <c r="R56" s="106">
        <f>IFERROR(VLOOKUP($B56,MMWR_TRAD_AGG_ST_DISTRICT_COMP[],R$1,0),"ERROR")</f>
        <v>1050</v>
      </c>
      <c r="S56" s="106">
        <f>SUM(S57:S63)</f>
        <v>87857</v>
      </c>
      <c r="T56" s="28"/>
    </row>
    <row r="57" spans="1:20" s="123" customFormat="1" x14ac:dyDescent="0.2">
      <c r="A57" s="28"/>
      <c r="B57" s="127" t="s">
        <v>395</v>
      </c>
      <c r="C57" s="109">
        <f>IFERROR(VLOOKUP($B57,MMWR_TRAD_AGG_STATE_COMP[],C$1,0),"ERROR")</f>
        <v>14449</v>
      </c>
      <c r="D57" s="110">
        <f>IFERROR(VLOOKUP($B57,MMWR_TRAD_AGG_STATE_COMP[],D$1,0),"ERROR")</f>
        <v>386.06360301749999</v>
      </c>
      <c r="E57" s="111">
        <f>IFERROR(VLOOKUP($B57,MMWR_TRAD_AGG_STATE_COMP[],E$1,0),"ERROR")</f>
        <v>8362</v>
      </c>
      <c r="F57" s="112">
        <f>IFERROR(VLOOKUP($B57,MMWR_TRAD_AGG_STATE_COMP[],F$1,0),"ERROR")</f>
        <v>1501</v>
      </c>
      <c r="G57" s="113">
        <f t="shared" si="4"/>
        <v>0.17950251136091844</v>
      </c>
      <c r="H57" s="111">
        <f>IFERROR(VLOOKUP($B57,MMWR_TRAD_AGG_STATE_COMP[],H$1,0),"ERROR")</f>
        <v>18225</v>
      </c>
      <c r="I57" s="112">
        <f>IFERROR(VLOOKUP($B57,MMWR_TRAD_AGG_STATE_COMP[],I$1,0),"ERROR")</f>
        <v>12370</v>
      </c>
      <c r="J57" s="114">
        <f t="shared" si="5"/>
        <v>0.67873799725651573</v>
      </c>
      <c r="K57" s="111">
        <f>IFERROR(VLOOKUP($B57,MMWR_TRAD_AGG_STATE_COMP[],K$1,0),"ERROR")</f>
        <v>4902</v>
      </c>
      <c r="L57" s="112">
        <f>IFERROR(VLOOKUP($B57,MMWR_TRAD_AGG_STATE_COMP[],L$1,0),"ERROR")</f>
        <v>3809</v>
      </c>
      <c r="M57" s="114">
        <f t="shared" si="6"/>
        <v>0.77702978376172993</v>
      </c>
      <c r="N57" s="111">
        <f>IFERROR(VLOOKUP($B57,MMWR_TRAD_AGG_STATE_COMP[],N$1,0),"ERROR")</f>
        <v>2888</v>
      </c>
      <c r="O57" s="112">
        <f>IFERROR(VLOOKUP($B57,MMWR_TRAD_AGG_STATE_COMP[],O$1,0),"ERROR")</f>
        <v>1761</v>
      </c>
      <c r="P57" s="114">
        <f t="shared" si="7"/>
        <v>0.60976454293628812</v>
      </c>
      <c r="Q57" s="115">
        <f>IFERROR(VLOOKUP($B57,MMWR_TRAD_AGG_STATE_COMP[],Q$1,0),"ERROR")</f>
        <v>367</v>
      </c>
      <c r="R57" s="115">
        <f>IFERROR(VLOOKUP($B57,MMWR_TRAD_AGG_STATE_COMP[],R$1,0),"ERROR")</f>
        <v>347</v>
      </c>
      <c r="S57" s="115">
        <f>IFERROR(VLOOKUP($B57,MMWR_APP_STATE_COMP[],S$1,0),"ERROR")</f>
        <v>10577</v>
      </c>
      <c r="T57" s="28"/>
    </row>
    <row r="58" spans="1:20" s="123" customFormat="1" x14ac:dyDescent="0.2">
      <c r="A58" s="28"/>
      <c r="B58" s="127" t="s">
        <v>432</v>
      </c>
      <c r="C58" s="109">
        <f>IFERROR(VLOOKUP($B58,MMWR_TRAD_AGG_STATE_COMP[],C$1,0),"ERROR")</f>
        <v>21285</v>
      </c>
      <c r="D58" s="110">
        <f>IFERROR(VLOOKUP($B58,MMWR_TRAD_AGG_STATE_COMP[],D$1,0),"ERROR")</f>
        <v>319.79267089500001</v>
      </c>
      <c r="E58" s="111">
        <f>IFERROR(VLOOKUP($B58,MMWR_TRAD_AGG_STATE_COMP[],E$1,0),"ERROR")</f>
        <v>24827</v>
      </c>
      <c r="F58" s="112">
        <f>IFERROR(VLOOKUP($B58,MMWR_TRAD_AGG_STATE_COMP[],F$1,0),"ERROR")</f>
        <v>6068</v>
      </c>
      <c r="G58" s="113">
        <f t="shared" si="4"/>
        <v>0.24441132637853949</v>
      </c>
      <c r="H58" s="111">
        <f>IFERROR(VLOOKUP($B58,MMWR_TRAD_AGG_STATE_COMP[],H$1,0),"ERROR")</f>
        <v>29513</v>
      </c>
      <c r="I58" s="112">
        <f>IFERROR(VLOOKUP($B58,MMWR_TRAD_AGG_STATE_COMP[],I$1,0),"ERROR")</f>
        <v>18637</v>
      </c>
      <c r="J58" s="114">
        <f t="shared" si="5"/>
        <v>0.63148443058990955</v>
      </c>
      <c r="K58" s="111">
        <f>IFERROR(VLOOKUP($B58,MMWR_TRAD_AGG_STATE_COMP[],K$1,0),"ERROR")</f>
        <v>5777</v>
      </c>
      <c r="L58" s="112">
        <f>IFERROR(VLOOKUP($B58,MMWR_TRAD_AGG_STATE_COMP[],L$1,0),"ERROR")</f>
        <v>2884</v>
      </c>
      <c r="M58" s="114">
        <f t="shared" si="6"/>
        <v>0.49922104898736369</v>
      </c>
      <c r="N58" s="111">
        <f>IFERROR(VLOOKUP($B58,MMWR_TRAD_AGG_STATE_COMP[],N$1,0),"ERROR")</f>
        <v>13446</v>
      </c>
      <c r="O58" s="112">
        <f>IFERROR(VLOOKUP($B58,MMWR_TRAD_AGG_STATE_COMP[],O$1,0),"ERROR")</f>
        <v>7371</v>
      </c>
      <c r="P58" s="114">
        <f t="shared" si="7"/>
        <v>0.54819277108433739</v>
      </c>
      <c r="Q58" s="115">
        <f>IFERROR(VLOOKUP($B58,MMWR_TRAD_AGG_STATE_COMP[],Q$1,0),"ERROR")</f>
        <v>1896</v>
      </c>
      <c r="R58" s="115">
        <f>IFERROR(VLOOKUP($B58,MMWR_TRAD_AGG_STATE_COMP[],R$1,0),"ERROR")</f>
        <v>256</v>
      </c>
      <c r="S58" s="115">
        <f>IFERROR(VLOOKUP($B58,MMWR_APP_STATE_COMP[],S$1,0),"ERROR")</f>
        <v>30056</v>
      </c>
      <c r="T58" s="28"/>
    </row>
    <row r="59" spans="1:20" s="123" customFormat="1" x14ac:dyDescent="0.2">
      <c r="A59" s="28"/>
      <c r="B59" s="127" t="s">
        <v>388</v>
      </c>
      <c r="C59" s="109">
        <f>IFERROR(VLOOKUP($B59,MMWR_TRAD_AGG_STATE_COMP[],C$1,0),"ERROR")</f>
        <v>16956</v>
      </c>
      <c r="D59" s="110">
        <f>IFERROR(VLOOKUP($B59,MMWR_TRAD_AGG_STATE_COMP[],D$1,0),"ERROR")</f>
        <v>359.32189195559999</v>
      </c>
      <c r="E59" s="111">
        <f>IFERROR(VLOOKUP($B59,MMWR_TRAD_AGG_STATE_COMP[],E$1,0),"ERROR")</f>
        <v>19119</v>
      </c>
      <c r="F59" s="112">
        <f>IFERROR(VLOOKUP($B59,MMWR_TRAD_AGG_STATE_COMP[],F$1,0),"ERROR")</f>
        <v>4079</v>
      </c>
      <c r="G59" s="113">
        <f t="shared" si="4"/>
        <v>0.21334797845075579</v>
      </c>
      <c r="H59" s="111">
        <f>IFERROR(VLOOKUP($B59,MMWR_TRAD_AGG_STATE_COMP[],H$1,0),"ERROR")</f>
        <v>24878</v>
      </c>
      <c r="I59" s="112">
        <f>IFERROR(VLOOKUP($B59,MMWR_TRAD_AGG_STATE_COMP[],I$1,0),"ERROR")</f>
        <v>16502</v>
      </c>
      <c r="J59" s="114">
        <f t="shared" si="5"/>
        <v>0.66331698689605278</v>
      </c>
      <c r="K59" s="111">
        <f>IFERROR(VLOOKUP($B59,MMWR_TRAD_AGG_STATE_COMP[],K$1,0),"ERROR")</f>
        <v>7055</v>
      </c>
      <c r="L59" s="112">
        <f>IFERROR(VLOOKUP($B59,MMWR_TRAD_AGG_STATE_COMP[],L$1,0),"ERROR")</f>
        <v>4722</v>
      </c>
      <c r="M59" s="114">
        <f t="shared" si="6"/>
        <v>0.66931254429482634</v>
      </c>
      <c r="N59" s="111">
        <f>IFERROR(VLOOKUP($B59,MMWR_TRAD_AGG_STATE_COMP[],N$1,0),"ERROR")</f>
        <v>12181</v>
      </c>
      <c r="O59" s="112">
        <f>IFERROR(VLOOKUP($B59,MMWR_TRAD_AGG_STATE_COMP[],O$1,0),"ERROR")</f>
        <v>8244</v>
      </c>
      <c r="P59" s="114">
        <f t="shared" si="7"/>
        <v>0.67679172481733851</v>
      </c>
      <c r="Q59" s="115">
        <f>IFERROR(VLOOKUP($B59,MMWR_TRAD_AGG_STATE_COMP[],Q$1,0),"ERROR")</f>
        <v>885</v>
      </c>
      <c r="R59" s="115">
        <f>IFERROR(VLOOKUP($B59,MMWR_TRAD_AGG_STATE_COMP[],R$1,0),"ERROR")</f>
        <v>18</v>
      </c>
      <c r="S59" s="115">
        <f>IFERROR(VLOOKUP($B59,MMWR_APP_STATE_COMP[],S$1,0),"ERROR")</f>
        <v>17777</v>
      </c>
      <c r="T59" s="28"/>
    </row>
    <row r="60" spans="1:20" s="123" customFormat="1" x14ac:dyDescent="0.2">
      <c r="A60" s="28"/>
      <c r="B60" s="127" t="s">
        <v>400</v>
      </c>
      <c r="C60" s="109">
        <f>IFERROR(VLOOKUP($B60,MMWR_TRAD_AGG_STATE_COMP[],C$1,0),"ERROR")</f>
        <v>7047</v>
      </c>
      <c r="D60" s="110">
        <f>IFERROR(VLOOKUP($B60,MMWR_TRAD_AGG_STATE_COMP[],D$1,0),"ERROR")</f>
        <v>537.90322122889995</v>
      </c>
      <c r="E60" s="111">
        <f>IFERROR(VLOOKUP($B60,MMWR_TRAD_AGG_STATE_COMP[],E$1,0),"ERROR")</f>
        <v>4345</v>
      </c>
      <c r="F60" s="112">
        <f>IFERROR(VLOOKUP($B60,MMWR_TRAD_AGG_STATE_COMP[],F$1,0),"ERROR")</f>
        <v>854</v>
      </c>
      <c r="G60" s="113">
        <f t="shared" si="4"/>
        <v>0.19654775604142694</v>
      </c>
      <c r="H60" s="111">
        <f>IFERROR(VLOOKUP($B60,MMWR_TRAD_AGG_STATE_COMP[],H$1,0),"ERROR")</f>
        <v>10568</v>
      </c>
      <c r="I60" s="112">
        <f>IFERROR(VLOOKUP($B60,MMWR_TRAD_AGG_STATE_COMP[],I$1,0),"ERROR")</f>
        <v>7045</v>
      </c>
      <c r="J60" s="114">
        <f t="shared" si="5"/>
        <v>0.66663512490537469</v>
      </c>
      <c r="K60" s="111">
        <f>IFERROR(VLOOKUP($B60,MMWR_TRAD_AGG_STATE_COMP[],K$1,0),"ERROR")</f>
        <v>2807</v>
      </c>
      <c r="L60" s="112">
        <f>IFERROR(VLOOKUP($B60,MMWR_TRAD_AGG_STATE_COMP[],L$1,0),"ERROR")</f>
        <v>2429</v>
      </c>
      <c r="M60" s="114">
        <f t="shared" si="6"/>
        <v>0.86533665835411466</v>
      </c>
      <c r="N60" s="111">
        <f>IFERROR(VLOOKUP($B60,MMWR_TRAD_AGG_STATE_COMP[],N$1,0),"ERROR")</f>
        <v>1009</v>
      </c>
      <c r="O60" s="112">
        <f>IFERROR(VLOOKUP($B60,MMWR_TRAD_AGG_STATE_COMP[],O$1,0),"ERROR")</f>
        <v>508</v>
      </c>
      <c r="P60" s="114">
        <f t="shared" si="7"/>
        <v>0.50346878097125869</v>
      </c>
      <c r="Q60" s="115">
        <f>IFERROR(VLOOKUP($B60,MMWR_TRAD_AGG_STATE_COMP[],Q$1,0),"ERROR")</f>
        <v>405</v>
      </c>
      <c r="R60" s="115">
        <f>IFERROR(VLOOKUP($B60,MMWR_TRAD_AGG_STATE_COMP[],R$1,0),"ERROR")</f>
        <v>137</v>
      </c>
      <c r="S60" s="115">
        <f>IFERROR(VLOOKUP($B60,MMWR_APP_STATE_COMP[],S$1,0),"ERROR")</f>
        <v>3346</v>
      </c>
      <c r="T60" s="28"/>
    </row>
    <row r="61" spans="1:20" s="123" customFormat="1" x14ac:dyDescent="0.2">
      <c r="A61" s="28"/>
      <c r="B61" s="127" t="s">
        <v>434</v>
      </c>
      <c r="C61" s="109">
        <f>IFERROR(VLOOKUP($B61,MMWR_TRAD_AGG_STATE_COMP[],C$1,0),"ERROR")</f>
        <v>3066</v>
      </c>
      <c r="D61" s="110">
        <f>IFERROR(VLOOKUP($B61,MMWR_TRAD_AGG_STATE_COMP[],D$1,0),"ERROR")</f>
        <v>367.85257664710002</v>
      </c>
      <c r="E61" s="111">
        <f>IFERROR(VLOOKUP($B61,MMWR_TRAD_AGG_STATE_COMP[],E$1,0),"ERROR")</f>
        <v>3362</v>
      </c>
      <c r="F61" s="112">
        <f>IFERROR(VLOOKUP($B61,MMWR_TRAD_AGG_STATE_COMP[],F$1,0),"ERROR")</f>
        <v>762</v>
      </c>
      <c r="G61" s="113">
        <f t="shared" si="4"/>
        <v>0.22665080309339677</v>
      </c>
      <c r="H61" s="111">
        <f>IFERROR(VLOOKUP($B61,MMWR_TRAD_AGG_STATE_COMP[],H$1,0),"ERROR")</f>
        <v>5251</v>
      </c>
      <c r="I61" s="112">
        <f>IFERROR(VLOOKUP($B61,MMWR_TRAD_AGG_STATE_COMP[],I$1,0),"ERROR")</f>
        <v>3631</v>
      </c>
      <c r="J61" s="114">
        <f t="shared" si="5"/>
        <v>0.69148733574557231</v>
      </c>
      <c r="K61" s="111">
        <f>IFERROR(VLOOKUP($B61,MMWR_TRAD_AGG_STATE_COMP[],K$1,0),"ERROR")</f>
        <v>838</v>
      </c>
      <c r="L61" s="112">
        <f>IFERROR(VLOOKUP($B61,MMWR_TRAD_AGG_STATE_COMP[],L$1,0),"ERROR")</f>
        <v>655</v>
      </c>
      <c r="M61" s="114">
        <f t="shared" si="6"/>
        <v>0.7816229116945107</v>
      </c>
      <c r="N61" s="111">
        <f>IFERROR(VLOOKUP($B61,MMWR_TRAD_AGG_STATE_COMP[],N$1,0),"ERROR")</f>
        <v>1268</v>
      </c>
      <c r="O61" s="112">
        <f>IFERROR(VLOOKUP($B61,MMWR_TRAD_AGG_STATE_COMP[],O$1,0),"ERROR")</f>
        <v>775</v>
      </c>
      <c r="P61" s="114">
        <f t="shared" si="7"/>
        <v>0.61119873817034698</v>
      </c>
      <c r="Q61" s="115">
        <f>IFERROR(VLOOKUP($B61,MMWR_TRAD_AGG_STATE_COMP[],Q$1,0),"ERROR")</f>
        <v>298</v>
      </c>
      <c r="R61" s="115">
        <f>IFERROR(VLOOKUP($B61,MMWR_TRAD_AGG_STATE_COMP[],R$1,0),"ERROR")</f>
        <v>1</v>
      </c>
      <c r="S61" s="115">
        <f>IFERROR(VLOOKUP($B61,MMWR_APP_STATE_COMP[],S$1,0),"ERROR")</f>
        <v>6325</v>
      </c>
      <c r="T61" s="28"/>
    </row>
    <row r="62" spans="1:20" s="123" customFormat="1" x14ac:dyDescent="0.2">
      <c r="A62" s="28"/>
      <c r="B62" s="127" t="s">
        <v>390</v>
      </c>
      <c r="C62" s="109">
        <f>IFERROR(VLOOKUP($B62,MMWR_TRAD_AGG_STATE_COMP[],C$1,0),"ERROR")</f>
        <v>10960</v>
      </c>
      <c r="D62" s="110">
        <f>IFERROR(VLOOKUP($B62,MMWR_TRAD_AGG_STATE_COMP[],D$1,0),"ERROR")</f>
        <v>352.191879562</v>
      </c>
      <c r="E62" s="111">
        <f>IFERROR(VLOOKUP($B62,MMWR_TRAD_AGG_STATE_COMP[],E$1,0),"ERROR")</f>
        <v>9917</v>
      </c>
      <c r="F62" s="112">
        <f>IFERROR(VLOOKUP($B62,MMWR_TRAD_AGG_STATE_COMP[],F$1,0),"ERROR")</f>
        <v>2431</v>
      </c>
      <c r="G62" s="113">
        <f t="shared" si="4"/>
        <v>0.24513461732378744</v>
      </c>
      <c r="H62" s="111">
        <f>IFERROR(VLOOKUP($B62,MMWR_TRAD_AGG_STATE_COMP[],H$1,0),"ERROR")</f>
        <v>15544</v>
      </c>
      <c r="I62" s="112">
        <f>IFERROR(VLOOKUP($B62,MMWR_TRAD_AGG_STATE_COMP[],I$1,0),"ERROR")</f>
        <v>10831</v>
      </c>
      <c r="J62" s="114">
        <f t="shared" si="5"/>
        <v>0.69679619145651051</v>
      </c>
      <c r="K62" s="111">
        <f>IFERROR(VLOOKUP($B62,MMWR_TRAD_AGG_STATE_COMP[],K$1,0),"ERROR")</f>
        <v>2901</v>
      </c>
      <c r="L62" s="112">
        <f>IFERROR(VLOOKUP($B62,MMWR_TRAD_AGG_STATE_COMP[],L$1,0),"ERROR")</f>
        <v>1915</v>
      </c>
      <c r="M62" s="114">
        <f t="shared" si="6"/>
        <v>0.66011720096518445</v>
      </c>
      <c r="N62" s="111">
        <f>IFERROR(VLOOKUP($B62,MMWR_TRAD_AGG_STATE_COMP[],N$1,0),"ERROR")</f>
        <v>2848</v>
      </c>
      <c r="O62" s="112">
        <f>IFERROR(VLOOKUP($B62,MMWR_TRAD_AGG_STATE_COMP[],O$1,0),"ERROR")</f>
        <v>1691</v>
      </c>
      <c r="P62" s="114">
        <f t="shared" si="7"/>
        <v>0.59375</v>
      </c>
      <c r="Q62" s="115">
        <f>IFERROR(VLOOKUP($B62,MMWR_TRAD_AGG_STATE_COMP[],Q$1,0),"ERROR")</f>
        <v>528</v>
      </c>
      <c r="R62" s="115">
        <f>IFERROR(VLOOKUP($B62,MMWR_TRAD_AGG_STATE_COMP[],R$1,0),"ERROR")</f>
        <v>59</v>
      </c>
      <c r="S62" s="115">
        <f>IFERROR(VLOOKUP($B62,MMWR_APP_STATE_COMP[],S$1,0),"ERROR")</f>
        <v>12873</v>
      </c>
      <c r="T62" s="28"/>
    </row>
    <row r="63" spans="1:20" s="123" customFormat="1" x14ac:dyDescent="0.2">
      <c r="A63" s="28"/>
      <c r="B63" s="127" t="s">
        <v>391</v>
      </c>
      <c r="C63" s="109">
        <f>IFERROR(VLOOKUP($B63,MMWR_TRAD_AGG_STATE_COMP[],C$1,0),"ERROR")</f>
        <v>6986</v>
      </c>
      <c r="D63" s="110">
        <f>IFERROR(VLOOKUP($B63,MMWR_TRAD_AGG_STATE_COMP[],D$1,0),"ERROR")</f>
        <v>285.09719438880001</v>
      </c>
      <c r="E63" s="111">
        <f>IFERROR(VLOOKUP($B63,MMWR_TRAD_AGG_STATE_COMP[],E$1,0),"ERROR")</f>
        <v>9672</v>
      </c>
      <c r="F63" s="112">
        <f>IFERROR(VLOOKUP($B63,MMWR_TRAD_AGG_STATE_COMP[],F$1,0),"ERROR")</f>
        <v>2020</v>
      </c>
      <c r="G63" s="113">
        <f t="shared" si="4"/>
        <v>0.20885028949545079</v>
      </c>
      <c r="H63" s="111">
        <f>IFERROR(VLOOKUP($B63,MMWR_TRAD_AGG_STATE_COMP[],H$1,0),"ERROR")</f>
        <v>11820</v>
      </c>
      <c r="I63" s="112">
        <f>IFERROR(VLOOKUP($B63,MMWR_TRAD_AGG_STATE_COMP[],I$1,0),"ERROR")</f>
        <v>6024</v>
      </c>
      <c r="J63" s="114">
        <f t="shared" si="5"/>
        <v>0.50964467005076142</v>
      </c>
      <c r="K63" s="111">
        <f>IFERROR(VLOOKUP($B63,MMWR_TRAD_AGG_STATE_COMP[],K$1,0),"ERROR")</f>
        <v>3125</v>
      </c>
      <c r="L63" s="112">
        <f>IFERROR(VLOOKUP($B63,MMWR_TRAD_AGG_STATE_COMP[],L$1,0),"ERROR")</f>
        <v>2164</v>
      </c>
      <c r="M63" s="114">
        <f t="shared" si="6"/>
        <v>0.69247999999999998</v>
      </c>
      <c r="N63" s="111">
        <f>IFERROR(VLOOKUP($B63,MMWR_TRAD_AGG_STATE_COMP[],N$1,0),"ERROR")</f>
        <v>1948</v>
      </c>
      <c r="O63" s="112">
        <f>IFERROR(VLOOKUP($B63,MMWR_TRAD_AGG_STATE_COMP[],O$1,0),"ERROR")</f>
        <v>1145</v>
      </c>
      <c r="P63" s="114">
        <f t="shared" si="7"/>
        <v>0.58778234086242298</v>
      </c>
      <c r="Q63" s="115">
        <f>IFERROR(VLOOKUP($B63,MMWR_TRAD_AGG_STATE_COMP[],Q$1,0),"ERROR")</f>
        <v>514</v>
      </c>
      <c r="R63" s="115">
        <f>IFERROR(VLOOKUP($B63,MMWR_TRAD_AGG_STATE_COMP[],R$1,0),"ERROR")</f>
        <v>232</v>
      </c>
      <c r="S63" s="115">
        <f>IFERROR(VLOOKUP($B63,MMWR_APP_STATE_COMP[],S$1,0),"ERROR")</f>
        <v>6903</v>
      </c>
      <c r="T63" s="28"/>
    </row>
    <row r="64" spans="1:20" s="123" customFormat="1" x14ac:dyDescent="0.2">
      <c r="A64" s="28"/>
      <c r="B64" s="128" t="s">
        <v>8</v>
      </c>
      <c r="C64" s="102">
        <f>IFERROR(VLOOKUP($B64,MMWR_TRAD_AGG_ST_DISTRICT_COMP[],C$1,0),"ERROR")</f>
        <v>4407</v>
      </c>
      <c r="D64" s="103">
        <f>IFERROR(VLOOKUP($B64,MMWR_TRAD_AGG_ST_DISTRICT_COMP[],D$1,0),"ERROR")</f>
        <v>394.92035398230001</v>
      </c>
      <c r="E64" s="102">
        <f>IFERROR(VLOOKUP($B64,MMWR_TRAD_AGG_ST_DISTRICT_COMP[],E$1,0),"ERROR")</f>
        <v>3916</v>
      </c>
      <c r="F64" s="102">
        <f>IFERROR(VLOOKUP($B64,MMWR_TRAD_AGG_ST_DISTRICT_COMP[],F$1,0),"ERROR")</f>
        <v>1579</v>
      </c>
      <c r="G64" s="104">
        <f t="shared" si="4"/>
        <v>0.403217568947906</v>
      </c>
      <c r="H64" s="102">
        <f>IFERROR(VLOOKUP($B64,MMWR_TRAD_AGG_ST_DISTRICT_COMP[],H$1,0),"ERROR")</f>
        <v>5683</v>
      </c>
      <c r="I64" s="102">
        <f>IFERROR(VLOOKUP($B64,MMWR_TRAD_AGG_ST_DISTRICT_COMP[],I$1,0),"ERROR")</f>
        <v>3981</v>
      </c>
      <c r="J64" s="105">
        <f t="shared" si="5"/>
        <v>0.70051029385887731</v>
      </c>
      <c r="K64" s="102">
        <f>IFERROR(VLOOKUP($B64,MMWR_TRAD_AGG_ST_DISTRICT_COMP[],K$1,0),"ERROR")</f>
        <v>876</v>
      </c>
      <c r="L64" s="102">
        <f>IFERROR(VLOOKUP($B64,MMWR_TRAD_AGG_ST_DISTRICT_COMP[],L$1,0),"ERROR")</f>
        <v>526</v>
      </c>
      <c r="M64" s="105">
        <f t="shared" si="6"/>
        <v>0.6004566210045662</v>
      </c>
      <c r="N64" s="102">
        <f>IFERROR(VLOOKUP($B64,MMWR_TRAD_AGG_ST_DISTRICT_COMP[],N$1,0),"ERROR")</f>
        <v>1322</v>
      </c>
      <c r="O64" s="102">
        <f>IFERROR(VLOOKUP($B64,MMWR_TRAD_AGG_ST_DISTRICT_COMP[],O$1,0),"ERROR")</f>
        <v>811</v>
      </c>
      <c r="P64" s="105">
        <f t="shared" si="7"/>
        <v>0.61346444780635401</v>
      </c>
      <c r="Q64" s="102">
        <f>IFERROR(VLOOKUP($B64,MMWR_TRAD_AGG_ST_DISTRICT_COMP[],Q$1,0),"ERROR")</f>
        <v>362</v>
      </c>
      <c r="R64" s="106">
        <f>IFERROR(VLOOKUP($B64,MMWR_TRAD_AGG_ST_DISTRICT_COMP[],R$1,0),"ERROR")</f>
        <v>130</v>
      </c>
      <c r="S64" s="106">
        <f>IFERROR(VLOOKUP($B64,MMWR_APP_STATE_COMP[],S$1,0),"ERROR")</f>
        <v>402</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37" t="s">
        <v>494</v>
      </c>
      <c r="D66" s="438"/>
      <c r="E66" s="438"/>
      <c r="F66" s="438"/>
      <c r="G66" s="438"/>
      <c r="H66" s="438"/>
      <c r="I66" s="438"/>
      <c r="J66" s="438"/>
      <c r="K66" s="438"/>
      <c r="L66" s="438"/>
      <c r="M66" s="438"/>
      <c r="N66" s="438"/>
      <c r="O66" s="438"/>
      <c r="P66" s="438"/>
      <c r="Q66" s="438"/>
      <c r="R66" s="438"/>
      <c r="S66" s="439"/>
      <c r="T66" s="28"/>
    </row>
    <row r="67" spans="1:20" s="123" customFormat="1" x14ac:dyDescent="0.2">
      <c r="A67" s="28"/>
      <c r="B67" s="26"/>
      <c r="C67" s="445" t="s">
        <v>231</v>
      </c>
      <c r="D67" s="445"/>
      <c r="E67" s="442" t="s">
        <v>211</v>
      </c>
      <c r="F67" s="443"/>
      <c r="G67" s="444"/>
      <c r="H67" s="442" t="s">
        <v>7</v>
      </c>
      <c r="I67" s="443"/>
      <c r="J67" s="444"/>
      <c r="K67" s="442" t="s">
        <v>33</v>
      </c>
      <c r="L67" s="443"/>
      <c r="M67" s="444"/>
      <c r="N67" s="442" t="s">
        <v>8</v>
      </c>
      <c r="O67" s="443"/>
      <c r="P67" s="444"/>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495</v>
      </c>
      <c r="T68" s="28"/>
    </row>
    <row r="69" spans="1:20" s="123" customFormat="1" x14ac:dyDescent="0.2">
      <c r="A69" s="28"/>
      <c r="B69" s="129" t="s">
        <v>469</v>
      </c>
      <c r="C69" s="119">
        <f>IFERROR(VLOOKUP($B69,MMWR_TRAD_AGG_RO_PEN[],C$1,0),"ERROR")</f>
        <v>17239</v>
      </c>
      <c r="D69" s="120">
        <f>IFERROR(VLOOKUP($B69,MMWR_TRAD_AGG_RO_PEN[],D$1,0),"ERROR")</f>
        <v>96.098961656699998</v>
      </c>
      <c r="E69" s="119">
        <f>IFERROR(VLOOKUP($B69,MMWR_TRAD_AGG_RO_PEN[],E$1,0),"ERROR")</f>
        <v>30555</v>
      </c>
      <c r="F69" s="119">
        <f>IFERROR(VLOOKUP($B69,MMWR_TRAD_AGG_RO_PEN[],F$1,0),"ERROR")</f>
        <v>4493</v>
      </c>
      <c r="G69" s="98">
        <f t="shared" ref="G69:G100" si="8">IFERROR(F69/E69,"0%")</f>
        <v>0.14704630993290788</v>
      </c>
      <c r="H69" s="119">
        <f>IFERROR(VLOOKUP($B69,MMWR_TRAD_AGG_RO_PEN[],H$1,0),"ERROR")</f>
        <v>26064</v>
      </c>
      <c r="I69" s="119">
        <f>IFERROR(VLOOKUP($B69,MMWR_TRAD_AGG_RO_PEN[],I$1,0),"ERROR")</f>
        <v>6564</v>
      </c>
      <c r="J69" s="98">
        <f t="shared" ref="J69:J100" si="9">IFERROR(I69/H69,"0%")</f>
        <v>0.25184162062615101</v>
      </c>
      <c r="K69" s="119">
        <f>IFERROR(VLOOKUP($B69,MMWR_TRAD_AGG_RO_PEN[],K$1,0),"ERROR")</f>
        <v>636</v>
      </c>
      <c r="L69" s="119">
        <f>IFERROR(VLOOKUP($B69,MMWR_TRAD_AGG_RO_PEN[],L$1,0),"ERROR")</f>
        <v>591</v>
      </c>
      <c r="M69" s="98">
        <f t="shared" ref="M69:M100" si="10">IFERROR(L69/K69,"0%")</f>
        <v>0.92924528301886788</v>
      </c>
      <c r="N69" s="119">
        <f>IFERROR(VLOOKUP($B69,MMWR_TRAD_AGG_RO_PEN[],N$1,0),"ERROR")</f>
        <v>1496</v>
      </c>
      <c r="O69" s="119">
        <f>IFERROR(VLOOKUP($B69,MMWR_TRAD_AGG_RO_PEN[],O$1,0),"ERROR")</f>
        <v>545</v>
      </c>
      <c r="P69" s="98">
        <f t="shared" ref="P69:P100" si="11">IFERROR(O69/N69,"0%")</f>
        <v>0.36430481283422461</v>
      </c>
      <c r="Q69" s="119">
        <f>IFERROR(VLOOKUP($B69,MMWR_TRAD_AGG_RO_PEN[],Q$1,0),"ERROR")</f>
        <v>7605</v>
      </c>
      <c r="R69" s="121">
        <f>IFERROR(VLOOKUP($B69,MMWR_TRAD_AGG_RO_PEN[],R$1,0),"ERROR")</f>
        <v>5490</v>
      </c>
      <c r="S69" s="121">
        <f>S70+S86+S99+S109+S119+S127</f>
        <v>7589</v>
      </c>
      <c r="T69" s="28"/>
    </row>
    <row r="70" spans="1:20" s="123" customFormat="1" x14ac:dyDescent="0.2">
      <c r="A70" s="28"/>
      <c r="B70" s="126" t="s">
        <v>376</v>
      </c>
      <c r="C70" s="102">
        <f>IFERROR(VLOOKUP($B70,MMWR_TRAD_AGG_ST_DISTRICT_PEN[],C$1,0),"ERROR")</f>
        <v>6555</v>
      </c>
      <c r="D70" s="103">
        <f>IFERROR(VLOOKUP($B70,MMWR_TRAD_AGG_ST_DISTRICT_PEN[],D$1,0),"ERROR")</f>
        <v>112.1710144928</v>
      </c>
      <c r="E70" s="102">
        <f>IFERROR(VLOOKUP($B70,MMWR_TRAD_AGG_ST_DISTRICT_PEN[],E$1,0),"ERROR")</f>
        <v>9138</v>
      </c>
      <c r="F70" s="102">
        <f>IFERROR(VLOOKUP($B70,MMWR_TRAD_AGG_ST_DISTRICT_PEN[],F$1,0),"ERROR")</f>
        <v>2200</v>
      </c>
      <c r="G70" s="104">
        <f t="shared" si="8"/>
        <v>0.24075289997811336</v>
      </c>
      <c r="H70" s="102">
        <f>IFERROR(VLOOKUP($B70,MMWR_TRAD_AGG_ST_DISTRICT_PEN[],H$1,0),"ERROR")</f>
        <v>9400</v>
      </c>
      <c r="I70" s="102">
        <f>IFERROR(VLOOKUP($B70,MMWR_TRAD_AGG_ST_DISTRICT_PEN[],I$1,0),"ERROR")</f>
        <v>3198</v>
      </c>
      <c r="J70" s="104">
        <f t="shared" si="9"/>
        <v>0.34021276595744682</v>
      </c>
      <c r="K70" s="102">
        <f>IFERROR(VLOOKUP($B70,MMWR_TRAD_AGG_ST_DISTRICT_PEN[],K$1,0),"ERROR")</f>
        <v>371</v>
      </c>
      <c r="L70" s="102">
        <f>IFERROR(VLOOKUP($B70,MMWR_TRAD_AGG_ST_DISTRICT_PEN[],L$1,0),"ERROR")</f>
        <v>356</v>
      </c>
      <c r="M70" s="104">
        <f t="shared" si="10"/>
        <v>0.95956873315363878</v>
      </c>
      <c r="N70" s="102">
        <f>IFERROR(VLOOKUP($B70,MMWR_TRAD_AGG_ST_DISTRICT_PEN[],N$1,0),"ERROR")</f>
        <v>495</v>
      </c>
      <c r="O70" s="102">
        <f>IFERROR(VLOOKUP($B70,MMWR_TRAD_AGG_ST_DISTRICT_PEN[],O$1,0),"ERROR")</f>
        <v>187</v>
      </c>
      <c r="P70" s="104">
        <f t="shared" si="11"/>
        <v>0.37777777777777777</v>
      </c>
      <c r="Q70" s="102">
        <f>IFERROR(VLOOKUP($B70,MMWR_TRAD_AGG_ST_DISTRICT_PEN[],Q$1,0),"ERROR")</f>
        <v>970</v>
      </c>
      <c r="R70" s="106">
        <f>IFERROR(VLOOKUP($B70,MMWR_TRAD_AGG_ST_DISTRICT_PEN[],R$1,0),"ERROR")</f>
        <v>2328</v>
      </c>
      <c r="S70" s="106">
        <f>IFERROR(VLOOKUP($B70,MMWR_APP_STATE_PEN[],S$1,0),"ERROR")</f>
        <v>1431</v>
      </c>
      <c r="T70" s="28"/>
    </row>
    <row r="71" spans="1:20" s="123" customFormat="1" x14ac:dyDescent="0.2">
      <c r="A71" s="28"/>
      <c r="B71" s="127" t="s">
        <v>380</v>
      </c>
      <c r="C71" s="109">
        <f>IFERROR(VLOOKUP($B71,MMWR_TRAD_AGG_STATE_PEN[],C$1,0),"ERROR")</f>
        <v>172</v>
      </c>
      <c r="D71" s="110">
        <f>IFERROR(VLOOKUP($B71,MMWR_TRAD_AGG_STATE_PEN[],D$1,0),"ERROR")</f>
        <v>111.8546511628</v>
      </c>
      <c r="E71" s="111">
        <f>IFERROR(VLOOKUP($B71,MMWR_TRAD_AGG_STATE_PEN[],E$1,0),"ERROR")</f>
        <v>297</v>
      </c>
      <c r="F71" s="112">
        <f>IFERROR(VLOOKUP($B71,MMWR_TRAD_AGG_STATE_PEN[],F$1,0),"ERROR")</f>
        <v>85</v>
      </c>
      <c r="G71" s="113">
        <f t="shared" si="8"/>
        <v>0.28619528619528617</v>
      </c>
      <c r="H71" s="111">
        <f>IFERROR(VLOOKUP($B71,MMWR_TRAD_AGG_STATE_PEN[],H$1,0),"ERROR")</f>
        <v>249</v>
      </c>
      <c r="I71" s="112">
        <f>IFERROR(VLOOKUP($B71,MMWR_TRAD_AGG_STATE_PEN[],I$1,0),"ERROR")</f>
        <v>95</v>
      </c>
      <c r="J71" s="114">
        <f t="shared" si="9"/>
        <v>0.38152610441767071</v>
      </c>
      <c r="K71" s="111">
        <f>IFERROR(VLOOKUP($B71,MMWR_TRAD_AGG_STATE_PEN[],K$1,0),"ERROR")</f>
        <v>5</v>
      </c>
      <c r="L71" s="112">
        <f>IFERROR(VLOOKUP($B71,MMWR_TRAD_AGG_STATE_PEN[],L$1,0),"ERROR")</f>
        <v>5</v>
      </c>
      <c r="M71" s="114">
        <f t="shared" si="10"/>
        <v>1</v>
      </c>
      <c r="N71" s="111">
        <f>IFERROR(VLOOKUP($B71,MMWR_TRAD_AGG_STATE_PEN[],N$1,0),"ERROR")</f>
        <v>21</v>
      </c>
      <c r="O71" s="112">
        <f>IFERROR(VLOOKUP($B71,MMWR_TRAD_AGG_STATE_PEN[],O$1,0),"ERROR")</f>
        <v>7</v>
      </c>
      <c r="P71" s="114">
        <f t="shared" si="11"/>
        <v>0.33333333333333331</v>
      </c>
      <c r="Q71" s="115">
        <f>IFERROR(VLOOKUP($B71,MMWR_TRAD_AGG_STATE_PEN[],Q$1,0),"ERROR")</f>
        <v>25</v>
      </c>
      <c r="R71" s="115">
        <f>IFERROR(VLOOKUP($B71,MMWR_TRAD_AGG_STATE_PEN[],R$1,0),"ERROR")</f>
        <v>75</v>
      </c>
      <c r="S71" s="115">
        <f>IFERROR(VLOOKUP($B71,MMWR_APP_STATE_PEN[],S$1,0),"ERROR")</f>
        <v>53</v>
      </c>
      <c r="T71" s="28"/>
    </row>
    <row r="72" spans="1:20" s="123" customFormat="1" x14ac:dyDescent="0.2">
      <c r="A72" s="28"/>
      <c r="B72" s="127" t="s">
        <v>430</v>
      </c>
      <c r="C72" s="109">
        <f>IFERROR(VLOOKUP($B72,MMWR_TRAD_AGG_STATE_PEN[],C$1,0),"ERROR")</f>
        <v>54</v>
      </c>
      <c r="D72" s="110">
        <f>IFERROR(VLOOKUP($B72,MMWR_TRAD_AGG_STATE_PEN[],D$1,0),"ERROR")</f>
        <v>127.1111111111</v>
      </c>
      <c r="E72" s="111">
        <f>IFERROR(VLOOKUP($B72,MMWR_TRAD_AGG_STATE_PEN[],E$1,0),"ERROR")</f>
        <v>96</v>
      </c>
      <c r="F72" s="112">
        <f>IFERROR(VLOOKUP($B72,MMWR_TRAD_AGG_STATE_PEN[],F$1,0),"ERROR")</f>
        <v>16</v>
      </c>
      <c r="G72" s="113">
        <f t="shared" si="8"/>
        <v>0.16666666666666666</v>
      </c>
      <c r="H72" s="111">
        <f>IFERROR(VLOOKUP($B72,MMWR_TRAD_AGG_STATE_PEN[],H$1,0),"ERROR")</f>
        <v>79</v>
      </c>
      <c r="I72" s="112">
        <f>IFERROR(VLOOKUP($B72,MMWR_TRAD_AGG_STATE_PEN[],I$1,0),"ERROR")</f>
        <v>35</v>
      </c>
      <c r="J72" s="114">
        <f t="shared" si="9"/>
        <v>0.44303797468354428</v>
      </c>
      <c r="K72" s="111">
        <f>IFERROR(VLOOKUP($B72,MMWR_TRAD_AGG_STATE_PEN[],K$1,0),"ERROR")</f>
        <v>5</v>
      </c>
      <c r="L72" s="112">
        <f>IFERROR(VLOOKUP($B72,MMWR_TRAD_AGG_STATE_PEN[],L$1,0),"ERROR")</f>
        <v>4</v>
      </c>
      <c r="M72" s="114">
        <f t="shared" si="10"/>
        <v>0.8</v>
      </c>
      <c r="N72" s="111">
        <f>IFERROR(VLOOKUP($B72,MMWR_TRAD_AGG_STATE_PEN[],N$1,0),"ERROR")</f>
        <v>7</v>
      </c>
      <c r="O72" s="112">
        <f>IFERROR(VLOOKUP($B72,MMWR_TRAD_AGG_STATE_PEN[],O$1,0),"ERROR")</f>
        <v>3</v>
      </c>
      <c r="P72" s="114">
        <f t="shared" si="11"/>
        <v>0.42857142857142855</v>
      </c>
      <c r="Q72" s="115">
        <f>IFERROR(VLOOKUP($B72,MMWR_TRAD_AGG_STATE_PEN[],Q$1,0),"ERROR")</f>
        <v>8</v>
      </c>
      <c r="R72" s="115">
        <f>IFERROR(VLOOKUP($B72,MMWR_TRAD_AGG_STATE_PEN[],R$1,0),"ERROR")</f>
        <v>27</v>
      </c>
      <c r="S72" s="115">
        <f>IFERROR(VLOOKUP($B72,MMWR_APP_STATE_PEN[],S$1,0),"ERROR")</f>
        <v>19</v>
      </c>
      <c r="T72" s="28"/>
    </row>
    <row r="73" spans="1:20" s="123" customFormat="1" x14ac:dyDescent="0.2">
      <c r="A73" s="28"/>
      <c r="B73" s="127" t="s">
        <v>421</v>
      </c>
      <c r="C73" s="109">
        <f>IFERROR(VLOOKUP($B73,MMWR_TRAD_AGG_STATE_PEN[],C$1,0),"ERROR")</f>
        <v>47</v>
      </c>
      <c r="D73" s="110">
        <f>IFERROR(VLOOKUP($B73,MMWR_TRAD_AGG_STATE_PEN[],D$1,0),"ERROR")</f>
        <v>109.7234042553</v>
      </c>
      <c r="E73" s="111">
        <f>IFERROR(VLOOKUP($B73,MMWR_TRAD_AGG_STATE_PEN[],E$1,0),"ERROR")</f>
        <v>66</v>
      </c>
      <c r="F73" s="112">
        <f>IFERROR(VLOOKUP($B73,MMWR_TRAD_AGG_STATE_PEN[],F$1,0),"ERROR")</f>
        <v>9</v>
      </c>
      <c r="G73" s="113">
        <f t="shared" si="8"/>
        <v>0.13636363636363635</v>
      </c>
      <c r="H73" s="111">
        <f>IFERROR(VLOOKUP($B73,MMWR_TRAD_AGG_STATE_PEN[],H$1,0),"ERROR")</f>
        <v>62</v>
      </c>
      <c r="I73" s="112">
        <f>IFERROR(VLOOKUP($B73,MMWR_TRAD_AGG_STATE_PEN[],I$1,0),"ERROR")</f>
        <v>24</v>
      </c>
      <c r="J73" s="114">
        <f t="shared" si="9"/>
        <v>0.38709677419354838</v>
      </c>
      <c r="K73" s="111">
        <f>IFERROR(VLOOKUP($B73,MMWR_TRAD_AGG_STATE_PEN[],K$1,0),"ERROR")</f>
        <v>4</v>
      </c>
      <c r="L73" s="112">
        <f>IFERROR(VLOOKUP($B73,MMWR_TRAD_AGG_STATE_PEN[],L$1,0),"ERROR")</f>
        <v>4</v>
      </c>
      <c r="M73" s="114">
        <f t="shared" si="10"/>
        <v>1</v>
      </c>
      <c r="N73" s="111">
        <f>IFERROR(VLOOKUP($B73,MMWR_TRAD_AGG_STATE_PEN[],N$1,0),"ERROR")</f>
        <v>3</v>
      </c>
      <c r="O73" s="112">
        <f>IFERROR(VLOOKUP($B73,MMWR_TRAD_AGG_STATE_PEN[],O$1,0),"ERROR")</f>
        <v>1</v>
      </c>
      <c r="P73" s="114">
        <f t="shared" si="11"/>
        <v>0.33333333333333331</v>
      </c>
      <c r="Q73" s="115">
        <f>IFERROR(VLOOKUP($B73,MMWR_TRAD_AGG_STATE_PEN[],Q$1,0),"ERROR")</f>
        <v>15</v>
      </c>
      <c r="R73" s="115">
        <f>IFERROR(VLOOKUP($B73,MMWR_TRAD_AGG_STATE_PEN[],R$1,0),"ERROR")</f>
        <v>15</v>
      </c>
      <c r="S73" s="115">
        <f>IFERROR(VLOOKUP($B73,MMWR_APP_STATE_PEN[],S$1,0),"ERROR")</f>
        <v>13</v>
      </c>
      <c r="T73" s="28"/>
    </row>
    <row r="74" spans="1:20" s="123" customFormat="1" x14ac:dyDescent="0.2">
      <c r="A74" s="28"/>
      <c r="B74" s="127" t="s">
        <v>423</v>
      </c>
      <c r="C74" s="109">
        <f>IFERROR(VLOOKUP($B74,MMWR_TRAD_AGG_STATE_PEN[],C$1,0),"ERROR")</f>
        <v>103</v>
      </c>
      <c r="D74" s="110">
        <f>IFERROR(VLOOKUP($B74,MMWR_TRAD_AGG_STATE_PEN[],D$1,0),"ERROR")</f>
        <v>124.0776699029</v>
      </c>
      <c r="E74" s="111">
        <f>IFERROR(VLOOKUP($B74,MMWR_TRAD_AGG_STATE_PEN[],E$1,0),"ERROR")</f>
        <v>114</v>
      </c>
      <c r="F74" s="112">
        <f>IFERROR(VLOOKUP($B74,MMWR_TRAD_AGG_STATE_PEN[],F$1,0),"ERROR")</f>
        <v>27</v>
      </c>
      <c r="G74" s="113">
        <f t="shared" si="8"/>
        <v>0.23684210526315788</v>
      </c>
      <c r="H74" s="111">
        <f>IFERROR(VLOOKUP($B74,MMWR_TRAD_AGG_STATE_PEN[],H$1,0),"ERROR")</f>
        <v>151</v>
      </c>
      <c r="I74" s="112">
        <f>IFERROR(VLOOKUP($B74,MMWR_TRAD_AGG_STATE_PEN[],I$1,0),"ERROR")</f>
        <v>55</v>
      </c>
      <c r="J74" s="114">
        <f t="shared" si="9"/>
        <v>0.36423841059602646</v>
      </c>
      <c r="K74" s="111">
        <f>IFERROR(VLOOKUP($B74,MMWR_TRAD_AGG_STATE_PEN[],K$1,0),"ERROR")</f>
        <v>4</v>
      </c>
      <c r="L74" s="112">
        <f>IFERROR(VLOOKUP($B74,MMWR_TRAD_AGG_STATE_PEN[],L$1,0),"ERROR")</f>
        <v>3</v>
      </c>
      <c r="M74" s="114">
        <f t="shared" si="10"/>
        <v>0.75</v>
      </c>
      <c r="N74" s="111">
        <f>IFERROR(VLOOKUP($B74,MMWR_TRAD_AGG_STATE_PEN[],N$1,0),"ERROR")</f>
        <v>7</v>
      </c>
      <c r="O74" s="112">
        <f>IFERROR(VLOOKUP($B74,MMWR_TRAD_AGG_STATE_PEN[],O$1,0),"ERROR")</f>
        <v>2</v>
      </c>
      <c r="P74" s="114">
        <f t="shared" si="11"/>
        <v>0.2857142857142857</v>
      </c>
      <c r="Q74" s="115">
        <f>IFERROR(VLOOKUP($B74,MMWR_TRAD_AGG_STATE_PEN[],Q$1,0),"ERROR")</f>
        <v>31</v>
      </c>
      <c r="R74" s="115">
        <f>IFERROR(VLOOKUP($B74,MMWR_TRAD_AGG_STATE_PEN[],R$1,0),"ERROR")</f>
        <v>28</v>
      </c>
      <c r="S74" s="115">
        <f>IFERROR(VLOOKUP($B74,MMWR_APP_STATE_PEN[],S$1,0),"ERROR")</f>
        <v>22</v>
      </c>
      <c r="T74" s="28"/>
    </row>
    <row r="75" spans="1:20" s="123" customFormat="1" x14ac:dyDescent="0.2">
      <c r="A75" s="28"/>
      <c r="B75" s="127" t="s">
        <v>383</v>
      </c>
      <c r="C75" s="109">
        <f>IFERROR(VLOOKUP($B75,MMWR_TRAD_AGG_STATE_PEN[],C$1,0),"ERROR")</f>
        <v>346</v>
      </c>
      <c r="D75" s="110">
        <f>IFERROR(VLOOKUP($B75,MMWR_TRAD_AGG_STATE_PEN[],D$1,0),"ERROR")</f>
        <v>110.6329479769</v>
      </c>
      <c r="E75" s="111">
        <f>IFERROR(VLOOKUP($B75,MMWR_TRAD_AGG_STATE_PEN[],E$1,0),"ERROR")</f>
        <v>534</v>
      </c>
      <c r="F75" s="112">
        <f>IFERROR(VLOOKUP($B75,MMWR_TRAD_AGG_STATE_PEN[],F$1,0),"ERROR")</f>
        <v>134</v>
      </c>
      <c r="G75" s="113">
        <f t="shared" si="8"/>
        <v>0.25093632958801498</v>
      </c>
      <c r="H75" s="111">
        <f>IFERROR(VLOOKUP($B75,MMWR_TRAD_AGG_STATE_PEN[],H$1,0),"ERROR")</f>
        <v>489</v>
      </c>
      <c r="I75" s="112">
        <f>IFERROR(VLOOKUP($B75,MMWR_TRAD_AGG_STATE_PEN[],I$1,0),"ERROR")</f>
        <v>172</v>
      </c>
      <c r="J75" s="114">
        <f t="shared" si="9"/>
        <v>0.35173824130879344</v>
      </c>
      <c r="K75" s="111">
        <f>IFERROR(VLOOKUP($B75,MMWR_TRAD_AGG_STATE_PEN[],K$1,0),"ERROR")</f>
        <v>22</v>
      </c>
      <c r="L75" s="112">
        <f>IFERROR(VLOOKUP($B75,MMWR_TRAD_AGG_STATE_PEN[],L$1,0),"ERROR")</f>
        <v>19</v>
      </c>
      <c r="M75" s="114">
        <f t="shared" si="10"/>
        <v>0.86363636363636365</v>
      </c>
      <c r="N75" s="111">
        <f>IFERROR(VLOOKUP($B75,MMWR_TRAD_AGG_STATE_PEN[],N$1,0),"ERROR")</f>
        <v>38</v>
      </c>
      <c r="O75" s="112">
        <f>IFERROR(VLOOKUP($B75,MMWR_TRAD_AGG_STATE_PEN[],O$1,0),"ERROR")</f>
        <v>15</v>
      </c>
      <c r="P75" s="114">
        <f t="shared" si="11"/>
        <v>0.39473684210526316</v>
      </c>
      <c r="Q75" s="115">
        <f>IFERROR(VLOOKUP($B75,MMWR_TRAD_AGG_STATE_PEN[],Q$1,0),"ERROR")</f>
        <v>62</v>
      </c>
      <c r="R75" s="115">
        <f>IFERROR(VLOOKUP($B75,MMWR_TRAD_AGG_STATE_PEN[],R$1,0),"ERROR")</f>
        <v>160</v>
      </c>
      <c r="S75" s="115">
        <f>IFERROR(VLOOKUP($B75,MMWR_APP_STATE_PEN[],S$1,0),"ERROR")</f>
        <v>85</v>
      </c>
      <c r="T75" s="28"/>
    </row>
    <row r="76" spans="1:20" s="123" customFormat="1" x14ac:dyDescent="0.2">
      <c r="A76" s="28"/>
      <c r="B76" s="127" t="s">
        <v>378</v>
      </c>
      <c r="C76" s="109">
        <f>IFERROR(VLOOKUP($B76,MMWR_TRAD_AGG_STATE_PEN[],C$1,0),"ERROR")</f>
        <v>338</v>
      </c>
      <c r="D76" s="110">
        <f>IFERROR(VLOOKUP($B76,MMWR_TRAD_AGG_STATE_PEN[],D$1,0),"ERROR")</f>
        <v>111.3017751479</v>
      </c>
      <c r="E76" s="111">
        <f>IFERROR(VLOOKUP($B76,MMWR_TRAD_AGG_STATE_PEN[],E$1,0),"ERROR")</f>
        <v>555</v>
      </c>
      <c r="F76" s="112">
        <f>IFERROR(VLOOKUP($B76,MMWR_TRAD_AGG_STATE_PEN[],F$1,0),"ERROR")</f>
        <v>131</v>
      </c>
      <c r="G76" s="113">
        <f t="shared" si="8"/>
        <v>0.23603603603603604</v>
      </c>
      <c r="H76" s="111">
        <f>IFERROR(VLOOKUP($B76,MMWR_TRAD_AGG_STATE_PEN[],H$1,0),"ERROR")</f>
        <v>498</v>
      </c>
      <c r="I76" s="112">
        <f>IFERROR(VLOOKUP($B76,MMWR_TRAD_AGG_STATE_PEN[],I$1,0),"ERROR")</f>
        <v>177</v>
      </c>
      <c r="J76" s="114">
        <f t="shared" si="9"/>
        <v>0.35542168674698793</v>
      </c>
      <c r="K76" s="111">
        <f>IFERROR(VLOOKUP($B76,MMWR_TRAD_AGG_STATE_PEN[],K$1,0),"ERROR")</f>
        <v>10</v>
      </c>
      <c r="L76" s="112">
        <f>IFERROR(VLOOKUP($B76,MMWR_TRAD_AGG_STATE_PEN[],L$1,0),"ERROR")</f>
        <v>10</v>
      </c>
      <c r="M76" s="114">
        <f t="shared" si="10"/>
        <v>1</v>
      </c>
      <c r="N76" s="111">
        <f>IFERROR(VLOOKUP($B76,MMWR_TRAD_AGG_STATE_PEN[],N$1,0),"ERROR")</f>
        <v>31</v>
      </c>
      <c r="O76" s="112">
        <f>IFERROR(VLOOKUP($B76,MMWR_TRAD_AGG_STATE_PEN[],O$1,0),"ERROR")</f>
        <v>13</v>
      </c>
      <c r="P76" s="114">
        <f t="shared" si="11"/>
        <v>0.41935483870967744</v>
      </c>
      <c r="Q76" s="115">
        <f>IFERROR(VLOOKUP($B76,MMWR_TRAD_AGG_STATE_PEN[],Q$1,0),"ERROR")</f>
        <v>49</v>
      </c>
      <c r="R76" s="115">
        <f>IFERROR(VLOOKUP($B76,MMWR_TRAD_AGG_STATE_PEN[],R$1,0),"ERROR")</f>
        <v>159</v>
      </c>
      <c r="S76" s="115">
        <f>IFERROR(VLOOKUP($B76,MMWR_APP_STATE_PEN[],S$1,0),"ERROR")</f>
        <v>100</v>
      </c>
      <c r="T76" s="28"/>
    </row>
    <row r="77" spans="1:20" s="123" customFormat="1" x14ac:dyDescent="0.2">
      <c r="A77" s="28"/>
      <c r="B77" s="127" t="s">
        <v>422</v>
      </c>
      <c r="C77" s="109">
        <f>IFERROR(VLOOKUP($B77,MMWR_TRAD_AGG_STATE_PEN[],C$1,0),"ERROR")</f>
        <v>105</v>
      </c>
      <c r="D77" s="110">
        <f>IFERROR(VLOOKUP($B77,MMWR_TRAD_AGG_STATE_PEN[],D$1,0),"ERROR")</f>
        <v>97.542857142900004</v>
      </c>
      <c r="E77" s="111">
        <f>IFERROR(VLOOKUP($B77,MMWR_TRAD_AGG_STATE_PEN[],E$1,0),"ERROR")</f>
        <v>131</v>
      </c>
      <c r="F77" s="112">
        <f>IFERROR(VLOOKUP($B77,MMWR_TRAD_AGG_STATE_PEN[],F$1,0),"ERROR")</f>
        <v>38</v>
      </c>
      <c r="G77" s="113">
        <f t="shared" si="8"/>
        <v>0.29007633587786258</v>
      </c>
      <c r="H77" s="111">
        <f>IFERROR(VLOOKUP($B77,MMWR_TRAD_AGG_STATE_PEN[],H$1,0),"ERROR")</f>
        <v>145</v>
      </c>
      <c r="I77" s="112">
        <f>IFERROR(VLOOKUP($B77,MMWR_TRAD_AGG_STATE_PEN[],I$1,0),"ERROR")</f>
        <v>40</v>
      </c>
      <c r="J77" s="114">
        <f t="shared" si="9"/>
        <v>0.27586206896551724</v>
      </c>
      <c r="K77" s="111">
        <f>IFERROR(VLOOKUP($B77,MMWR_TRAD_AGG_STATE_PEN[],K$1,0),"ERROR")</f>
        <v>2</v>
      </c>
      <c r="L77" s="112">
        <f>IFERROR(VLOOKUP($B77,MMWR_TRAD_AGG_STATE_PEN[],L$1,0),"ERROR")</f>
        <v>2</v>
      </c>
      <c r="M77" s="114">
        <f t="shared" si="10"/>
        <v>1</v>
      </c>
      <c r="N77" s="111">
        <f>IFERROR(VLOOKUP($B77,MMWR_TRAD_AGG_STATE_PEN[],N$1,0),"ERROR")</f>
        <v>7</v>
      </c>
      <c r="O77" s="112">
        <f>IFERROR(VLOOKUP($B77,MMWR_TRAD_AGG_STATE_PEN[],O$1,0),"ERROR")</f>
        <v>2</v>
      </c>
      <c r="P77" s="114">
        <f t="shared" si="11"/>
        <v>0.2857142857142857</v>
      </c>
      <c r="Q77" s="115">
        <f>IFERROR(VLOOKUP($B77,MMWR_TRAD_AGG_STATE_PEN[],Q$1,0),"ERROR")</f>
        <v>13</v>
      </c>
      <c r="R77" s="115">
        <f>IFERROR(VLOOKUP($B77,MMWR_TRAD_AGG_STATE_PEN[],R$1,0),"ERROR")</f>
        <v>36</v>
      </c>
      <c r="S77" s="115">
        <f>IFERROR(VLOOKUP($B77,MMWR_APP_STATE_PEN[],S$1,0),"ERROR")</f>
        <v>14</v>
      </c>
      <c r="T77" s="28"/>
    </row>
    <row r="78" spans="1:20" s="123" customFormat="1" x14ac:dyDescent="0.2">
      <c r="A78" s="28"/>
      <c r="B78" s="127" t="s">
        <v>381</v>
      </c>
      <c r="C78" s="109">
        <f>IFERROR(VLOOKUP($B78,MMWR_TRAD_AGG_STATE_PEN[],C$1,0),"ERROR")</f>
        <v>458</v>
      </c>
      <c r="D78" s="110">
        <f>IFERROR(VLOOKUP($B78,MMWR_TRAD_AGG_STATE_PEN[],D$1,0),"ERROR")</f>
        <v>101.96506550220001</v>
      </c>
      <c r="E78" s="111">
        <f>IFERROR(VLOOKUP($B78,MMWR_TRAD_AGG_STATE_PEN[],E$1,0),"ERROR")</f>
        <v>666</v>
      </c>
      <c r="F78" s="112">
        <f>IFERROR(VLOOKUP($B78,MMWR_TRAD_AGG_STATE_PEN[],F$1,0),"ERROR")</f>
        <v>154</v>
      </c>
      <c r="G78" s="113">
        <f t="shared" si="8"/>
        <v>0.23123123123123124</v>
      </c>
      <c r="H78" s="111">
        <f>IFERROR(VLOOKUP($B78,MMWR_TRAD_AGG_STATE_PEN[],H$1,0),"ERROR")</f>
        <v>613</v>
      </c>
      <c r="I78" s="112">
        <f>IFERROR(VLOOKUP($B78,MMWR_TRAD_AGG_STATE_PEN[],I$1,0),"ERROR")</f>
        <v>190</v>
      </c>
      <c r="J78" s="114">
        <f t="shared" si="9"/>
        <v>0.3099510603588907</v>
      </c>
      <c r="K78" s="111">
        <f>IFERROR(VLOOKUP($B78,MMWR_TRAD_AGG_STATE_PEN[],K$1,0),"ERROR")</f>
        <v>13</v>
      </c>
      <c r="L78" s="112">
        <f>IFERROR(VLOOKUP($B78,MMWR_TRAD_AGG_STATE_PEN[],L$1,0),"ERROR")</f>
        <v>13</v>
      </c>
      <c r="M78" s="114">
        <f t="shared" si="10"/>
        <v>1</v>
      </c>
      <c r="N78" s="111">
        <f>IFERROR(VLOOKUP($B78,MMWR_TRAD_AGG_STATE_PEN[],N$1,0),"ERROR")</f>
        <v>32</v>
      </c>
      <c r="O78" s="112">
        <f>IFERROR(VLOOKUP($B78,MMWR_TRAD_AGG_STATE_PEN[],O$1,0),"ERROR")</f>
        <v>13</v>
      </c>
      <c r="P78" s="114">
        <f t="shared" si="11"/>
        <v>0.40625</v>
      </c>
      <c r="Q78" s="115">
        <f>IFERROR(VLOOKUP($B78,MMWR_TRAD_AGG_STATE_PEN[],Q$1,0),"ERROR")</f>
        <v>64</v>
      </c>
      <c r="R78" s="115">
        <f>IFERROR(VLOOKUP($B78,MMWR_TRAD_AGG_STATE_PEN[],R$1,0),"ERROR")</f>
        <v>198</v>
      </c>
      <c r="S78" s="115">
        <f>IFERROR(VLOOKUP($B78,MMWR_APP_STATE_PEN[],S$1,0),"ERROR")</f>
        <v>163</v>
      </c>
      <c r="T78" s="28"/>
    </row>
    <row r="79" spans="1:20" s="123" customFormat="1" x14ac:dyDescent="0.2">
      <c r="A79" s="28"/>
      <c r="B79" s="127" t="s">
        <v>63</v>
      </c>
      <c r="C79" s="109">
        <f>IFERROR(VLOOKUP($B79,MMWR_TRAD_AGG_STATE_PEN[],C$1,0),"ERROR")</f>
        <v>1166</v>
      </c>
      <c r="D79" s="110">
        <f>IFERROR(VLOOKUP($B79,MMWR_TRAD_AGG_STATE_PEN[],D$1,0),"ERROR")</f>
        <v>109.4133790738</v>
      </c>
      <c r="E79" s="111">
        <f>IFERROR(VLOOKUP($B79,MMWR_TRAD_AGG_STATE_PEN[],E$1,0),"ERROR")</f>
        <v>1993</v>
      </c>
      <c r="F79" s="112">
        <f>IFERROR(VLOOKUP($B79,MMWR_TRAD_AGG_STATE_PEN[],F$1,0),"ERROR")</f>
        <v>490</v>
      </c>
      <c r="G79" s="113">
        <f t="shared" si="8"/>
        <v>0.24586051179126944</v>
      </c>
      <c r="H79" s="111">
        <f>IFERROR(VLOOKUP($B79,MMWR_TRAD_AGG_STATE_PEN[],H$1,0),"ERROR")</f>
        <v>1717</v>
      </c>
      <c r="I79" s="112">
        <f>IFERROR(VLOOKUP($B79,MMWR_TRAD_AGG_STATE_PEN[],I$1,0),"ERROR")</f>
        <v>601</v>
      </c>
      <c r="J79" s="114">
        <f t="shared" si="9"/>
        <v>0.35002912055911473</v>
      </c>
      <c r="K79" s="111">
        <f>IFERROR(VLOOKUP($B79,MMWR_TRAD_AGG_STATE_PEN[],K$1,0),"ERROR")</f>
        <v>43</v>
      </c>
      <c r="L79" s="112">
        <f>IFERROR(VLOOKUP($B79,MMWR_TRAD_AGG_STATE_PEN[],L$1,0),"ERROR")</f>
        <v>41</v>
      </c>
      <c r="M79" s="114">
        <f t="shared" si="10"/>
        <v>0.95348837209302328</v>
      </c>
      <c r="N79" s="111">
        <f>IFERROR(VLOOKUP($B79,MMWR_TRAD_AGG_STATE_PEN[],N$1,0),"ERROR")</f>
        <v>84</v>
      </c>
      <c r="O79" s="112">
        <f>IFERROR(VLOOKUP($B79,MMWR_TRAD_AGG_STATE_PEN[],O$1,0),"ERROR")</f>
        <v>36</v>
      </c>
      <c r="P79" s="114">
        <f t="shared" si="11"/>
        <v>0.42857142857142855</v>
      </c>
      <c r="Q79" s="115">
        <f>IFERROR(VLOOKUP($B79,MMWR_TRAD_AGG_STATE_PEN[],Q$1,0),"ERROR")</f>
        <v>138</v>
      </c>
      <c r="R79" s="115">
        <f>IFERROR(VLOOKUP($B79,MMWR_TRAD_AGG_STATE_PEN[],R$1,0),"ERROR")</f>
        <v>358</v>
      </c>
      <c r="S79" s="115">
        <f>IFERROR(VLOOKUP($B79,MMWR_APP_STATE_PEN[],S$1,0),"ERROR")</f>
        <v>247</v>
      </c>
      <c r="T79" s="28"/>
    </row>
    <row r="80" spans="1:20" s="123" customFormat="1" x14ac:dyDescent="0.2">
      <c r="A80" s="28"/>
      <c r="B80" s="127" t="s">
        <v>389</v>
      </c>
      <c r="C80" s="109">
        <f>IFERROR(VLOOKUP($B80,MMWR_TRAD_AGG_STATE_PEN[],C$1,0),"ERROR")</f>
        <v>1210</v>
      </c>
      <c r="D80" s="110">
        <f>IFERROR(VLOOKUP($B80,MMWR_TRAD_AGG_STATE_PEN[],D$1,0),"ERROR")</f>
        <v>116.4619834711</v>
      </c>
      <c r="E80" s="111">
        <f>IFERROR(VLOOKUP($B80,MMWR_TRAD_AGG_STATE_PEN[],E$1,0),"ERROR")</f>
        <v>1250</v>
      </c>
      <c r="F80" s="112">
        <f>IFERROR(VLOOKUP($B80,MMWR_TRAD_AGG_STATE_PEN[],F$1,0),"ERROR")</f>
        <v>294</v>
      </c>
      <c r="G80" s="113">
        <f t="shared" si="8"/>
        <v>0.23519999999999999</v>
      </c>
      <c r="H80" s="111">
        <f>IFERROR(VLOOKUP($B80,MMWR_TRAD_AGG_STATE_PEN[],H$1,0),"ERROR")</f>
        <v>1763</v>
      </c>
      <c r="I80" s="112">
        <f>IFERROR(VLOOKUP($B80,MMWR_TRAD_AGG_STATE_PEN[],I$1,0),"ERROR")</f>
        <v>571</v>
      </c>
      <c r="J80" s="114">
        <f t="shared" si="9"/>
        <v>0.32387975042541123</v>
      </c>
      <c r="K80" s="111">
        <f>IFERROR(VLOOKUP($B80,MMWR_TRAD_AGG_STATE_PEN[],K$1,0),"ERROR")</f>
        <v>55</v>
      </c>
      <c r="L80" s="112">
        <f>IFERROR(VLOOKUP($B80,MMWR_TRAD_AGG_STATE_PEN[],L$1,0),"ERROR")</f>
        <v>53</v>
      </c>
      <c r="M80" s="114">
        <f t="shared" si="10"/>
        <v>0.96363636363636362</v>
      </c>
      <c r="N80" s="111">
        <f>IFERROR(VLOOKUP($B80,MMWR_TRAD_AGG_STATE_PEN[],N$1,0),"ERROR")</f>
        <v>99</v>
      </c>
      <c r="O80" s="112">
        <f>IFERROR(VLOOKUP($B80,MMWR_TRAD_AGG_STATE_PEN[],O$1,0),"ERROR")</f>
        <v>43</v>
      </c>
      <c r="P80" s="114">
        <f t="shared" si="11"/>
        <v>0.43434343434343436</v>
      </c>
      <c r="Q80" s="115">
        <f>IFERROR(VLOOKUP($B80,MMWR_TRAD_AGG_STATE_PEN[],Q$1,0),"ERROR")</f>
        <v>248</v>
      </c>
      <c r="R80" s="115">
        <f>IFERROR(VLOOKUP($B80,MMWR_TRAD_AGG_STATE_PEN[],R$1,0),"ERROR")</f>
        <v>428</v>
      </c>
      <c r="S80" s="115">
        <f>IFERROR(VLOOKUP($B80,MMWR_APP_STATE_PEN[],S$1,0),"ERROR")</f>
        <v>224</v>
      </c>
      <c r="T80" s="28"/>
    </row>
    <row r="81" spans="1:20" s="123" customFormat="1" x14ac:dyDescent="0.2">
      <c r="A81" s="28"/>
      <c r="B81" s="127" t="s">
        <v>382</v>
      </c>
      <c r="C81" s="109">
        <f>IFERROR(VLOOKUP($B81,MMWR_TRAD_AGG_STATE_PEN[],C$1,0),"ERROR")</f>
        <v>1468</v>
      </c>
      <c r="D81" s="110">
        <f>IFERROR(VLOOKUP($B81,MMWR_TRAD_AGG_STATE_PEN[],D$1,0),"ERROR")</f>
        <v>111.151226158</v>
      </c>
      <c r="E81" s="111">
        <f>IFERROR(VLOOKUP($B81,MMWR_TRAD_AGG_STATE_PEN[],E$1,0),"ERROR")</f>
        <v>2270</v>
      </c>
      <c r="F81" s="112">
        <f>IFERROR(VLOOKUP($B81,MMWR_TRAD_AGG_STATE_PEN[],F$1,0),"ERROR")</f>
        <v>530</v>
      </c>
      <c r="G81" s="113">
        <f t="shared" si="8"/>
        <v>0.23348017621145375</v>
      </c>
      <c r="H81" s="111">
        <f>IFERROR(VLOOKUP($B81,MMWR_TRAD_AGG_STATE_PEN[],H$1,0),"ERROR")</f>
        <v>2138</v>
      </c>
      <c r="I81" s="112">
        <f>IFERROR(VLOOKUP($B81,MMWR_TRAD_AGG_STATE_PEN[],I$1,0),"ERROR")</f>
        <v>728</v>
      </c>
      <c r="J81" s="114">
        <f t="shared" si="9"/>
        <v>0.34050514499532275</v>
      </c>
      <c r="K81" s="111">
        <f>IFERROR(VLOOKUP($B81,MMWR_TRAD_AGG_STATE_PEN[],K$1,0),"ERROR")</f>
        <v>45</v>
      </c>
      <c r="L81" s="112">
        <f>IFERROR(VLOOKUP($B81,MMWR_TRAD_AGG_STATE_PEN[],L$1,0),"ERROR")</f>
        <v>41</v>
      </c>
      <c r="M81" s="114">
        <f t="shared" si="10"/>
        <v>0.91111111111111109</v>
      </c>
      <c r="N81" s="111">
        <f>IFERROR(VLOOKUP($B81,MMWR_TRAD_AGG_STATE_PEN[],N$1,0),"ERROR")</f>
        <v>90</v>
      </c>
      <c r="O81" s="112">
        <f>IFERROR(VLOOKUP($B81,MMWR_TRAD_AGG_STATE_PEN[],O$1,0),"ERROR")</f>
        <v>21</v>
      </c>
      <c r="P81" s="114">
        <f t="shared" si="11"/>
        <v>0.23333333333333334</v>
      </c>
      <c r="Q81" s="115">
        <f>IFERROR(VLOOKUP($B81,MMWR_TRAD_AGG_STATE_PEN[],Q$1,0),"ERROR")</f>
        <v>138</v>
      </c>
      <c r="R81" s="115">
        <f>IFERROR(VLOOKUP($B81,MMWR_TRAD_AGG_STATE_PEN[],R$1,0),"ERROR")</f>
        <v>430</v>
      </c>
      <c r="S81" s="115">
        <f>IFERROR(VLOOKUP($B81,MMWR_APP_STATE_PEN[],S$1,0),"ERROR")</f>
        <v>255</v>
      </c>
      <c r="T81" s="28"/>
    </row>
    <row r="82" spans="1:20" s="123" customFormat="1" x14ac:dyDescent="0.2">
      <c r="A82" s="28"/>
      <c r="B82" s="127" t="s">
        <v>379</v>
      </c>
      <c r="C82" s="109">
        <f>IFERROR(VLOOKUP($B82,MMWR_TRAD_AGG_STATE_PEN[],C$1,0),"ERROR")</f>
        <v>77</v>
      </c>
      <c r="D82" s="110">
        <f>IFERROR(VLOOKUP($B82,MMWR_TRAD_AGG_STATE_PEN[],D$1,0),"ERROR")</f>
        <v>92.038961039</v>
      </c>
      <c r="E82" s="111">
        <f>IFERROR(VLOOKUP($B82,MMWR_TRAD_AGG_STATE_PEN[],E$1,0),"ERROR")</f>
        <v>140</v>
      </c>
      <c r="F82" s="112">
        <f>IFERROR(VLOOKUP($B82,MMWR_TRAD_AGG_STATE_PEN[],F$1,0),"ERROR")</f>
        <v>29</v>
      </c>
      <c r="G82" s="113">
        <f t="shared" si="8"/>
        <v>0.20714285714285716</v>
      </c>
      <c r="H82" s="111">
        <f>IFERROR(VLOOKUP($B82,MMWR_TRAD_AGG_STATE_PEN[],H$1,0),"ERROR")</f>
        <v>123</v>
      </c>
      <c r="I82" s="112">
        <f>IFERROR(VLOOKUP($B82,MMWR_TRAD_AGG_STATE_PEN[],I$1,0),"ERROR")</f>
        <v>35</v>
      </c>
      <c r="J82" s="114">
        <f t="shared" si="9"/>
        <v>0.28455284552845528</v>
      </c>
      <c r="K82" s="111">
        <f>IFERROR(VLOOKUP($B82,MMWR_TRAD_AGG_STATE_PEN[],K$1,0),"ERROR")</f>
        <v>5</v>
      </c>
      <c r="L82" s="112">
        <f>IFERROR(VLOOKUP($B82,MMWR_TRAD_AGG_STATE_PEN[],L$1,0),"ERROR")</f>
        <v>5</v>
      </c>
      <c r="M82" s="114">
        <f t="shared" si="10"/>
        <v>1</v>
      </c>
      <c r="N82" s="111">
        <f>IFERROR(VLOOKUP($B82,MMWR_TRAD_AGG_STATE_PEN[],N$1,0),"ERROR")</f>
        <v>13</v>
      </c>
      <c r="O82" s="112">
        <f>IFERROR(VLOOKUP($B82,MMWR_TRAD_AGG_STATE_PEN[],O$1,0),"ERROR")</f>
        <v>1</v>
      </c>
      <c r="P82" s="114">
        <f t="shared" si="11"/>
        <v>7.6923076923076927E-2</v>
      </c>
      <c r="Q82" s="115">
        <f>IFERROR(VLOOKUP($B82,MMWR_TRAD_AGG_STATE_PEN[],Q$1,0),"ERROR")</f>
        <v>14</v>
      </c>
      <c r="R82" s="115">
        <f>IFERROR(VLOOKUP($B82,MMWR_TRAD_AGG_STATE_PEN[],R$1,0),"ERROR")</f>
        <v>31</v>
      </c>
      <c r="S82" s="115">
        <f>IFERROR(VLOOKUP($B82,MMWR_APP_STATE_PEN[],S$1,0),"ERROR")</f>
        <v>20</v>
      </c>
      <c r="T82" s="28"/>
    </row>
    <row r="83" spans="1:20" s="123" customFormat="1" x14ac:dyDescent="0.2">
      <c r="A83" s="28"/>
      <c r="B83" s="127" t="s">
        <v>424</v>
      </c>
      <c r="C83" s="109">
        <f>IFERROR(VLOOKUP($B83,MMWR_TRAD_AGG_STATE_PEN[],C$1,0),"ERROR")</f>
        <v>38</v>
      </c>
      <c r="D83" s="110">
        <f>IFERROR(VLOOKUP($B83,MMWR_TRAD_AGG_STATE_PEN[],D$1,0),"ERROR")</f>
        <v>100.2105263158</v>
      </c>
      <c r="E83" s="111">
        <f>IFERROR(VLOOKUP($B83,MMWR_TRAD_AGG_STATE_PEN[],E$1,0),"ERROR")</f>
        <v>31</v>
      </c>
      <c r="F83" s="112">
        <f>IFERROR(VLOOKUP($B83,MMWR_TRAD_AGG_STATE_PEN[],F$1,0),"ERROR")</f>
        <v>7</v>
      </c>
      <c r="G83" s="113">
        <f t="shared" si="8"/>
        <v>0.22580645161290322</v>
      </c>
      <c r="H83" s="111">
        <f>IFERROR(VLOOKUP($B83,MMWR_TRAD_AGG_STATE_PEN[],H$1,0),"ERROR")</f>
        <v>46</v>
      </c>
      <c r="I83" s="112">
        <f>IFERROR(VLOOKUP($B83,MMWR_TRAD_AGG_STATE_PEN[],I$1,0),"ERROR")</f>
        <v>10</v>
      </c>
      <c r="J83" s="114">
        <f t="shared" si="9"/>
        <v>0.21739130434782608</v>
      </c>
      <c r="K83" s="111">
        <f>IFERROR(VLOOKUP($B83,MMWR_TRAD_AGG_STATE_PEN[],K$1,0),"ERROR")</f>
        <v>1</v>
      </c>
      <c r="L83" s="112">
        <f>IFERROR(VLOOKUP($B83,MMWR_TRAD_AGG_STATE_PEN[],L$1,0),"ERROR")</f>
        <v>1</v>
      </c>
      <c r="M83" s="114">
        <f t="shared" si="10"/>
        <v>1</v>
      </c>
      <c r="N83" s="111">
        <f>IFERROR(VLOOKUP($B83,MMWR_TRAD_AGG_STATE_PEN[],N$1,0),"ERROR")</f>
        <v>1</v>
      </c>
      <c r="O83" s="112">
        <f>IFERROR(VLOOKUP($B83,MMWR_TRAD_AGG_STATE_PEN[],O$1,0),"ERROR")</f>
        <v>1</v>
      </c>
      <c r="P83" s="114">
        <f t="shared" si="11"/>
        <v>1</v>
      </c>
      <c r="Q83" s="115">
        <f>IFERROR(VLOOKUP($B83,MMWR_TRAD_AGG_STATE_PEN[],Q$1,0),"ERROR")</f>
        <v>9</v>
      </c>
      <c r="R83" s="115">
        <f>IFERROR(VLOOKUP($B83,MMWR_TRAD_AGG_STATE_PEN[],R$1,0),"ERROR")</f>
        <v>8</v>
      </c>
      <c r="S83" s="115">
        <f>IFERROR(VLOOKUP($B83,MMWR_APP_STATE_PEN[],S$1,0),"ERROR")</f>
        <v>8</v>
      </c>
      <c r="T83" s="28"/>
    </row>
    <row r="84" spans="1:20" s="123" customFormat="1" x14ac:dyDescent="0.2">
      <c r="A84" s="28"/>
      <c r="B84" s="127" t="s">
        <v>385</v>
      </c>
      <c r="C84" s="109">
        <f>IFERROR(VLOOKUP($B84,MMWR_TRAD_AGG_STATE_PEN[],C$1,0),"ERROR")</f>
        <v>729</v>
      </c>
      <c r="D84" s="110">
        <f>IFERROR(VLOOKUP($B84,MMWR_TRAD_AGG_STATE_PEN[],D$1,0),"ERROR")</f>
        <v>119.74485596709999</v>
      </c>
      <c r="E84" s="111">
        <f>IFERROR(VLOOKUP($B84,MMWR_TRAD_AGG_STATE_PEN[],E$1,0),"ERROR")</f>
        <v>766</v>
      </c>
      <c r="F84" s="112">
        <f>IFERROR(VLOOKUP($B84,MMWR_TRAD_AGG_STATE_PEN[],F$1,0),"ERROR")</f>
        <v>205</v>
      </c>
      <c r="G84" s="113">
        <f t="shared" si="8"/>
        <v>0.26762402088772846</v>
      </c>
      <c r="H84" s="111">
        <f>IFERROR(VLOOKUP($B84,MMWR_TRAD_AGG_STATE_PEN[],H$1,0),"ERROR")</f>
        <v>1009</v>
      </c>
      <c r="I84" s="112">
        <f>IFERROR(VLOOKUP($B84,MMWR_TRAD_AGG_STATE_PEN[],I$1,0),"ERROR")</f>
        <v>353</v>
      </c>
      <c r="J84" s="114">
        <f t="shared" si="9"/>
        <v>0.34985133795837464</v>
      </c>
      <c r="K84" s="111">
        <f>IFERROR(VLOOKUP($B84,MMWR_TRAD_AGG_STATE_PEN[],K$1,0),"ERROR")</f>
        <v>150</v>
      </c>
      <c r="L84" s="112">
        <f>IFERROR(VLOOKUP($B84,MMWR_TRAD_AGG_STATE_PEN[],L$1,0),"ERROR")</f>
        <v>148</v>
      </c>
      <c r="M84" s="114">
        <f t="shared" si="10"/>
        <v>0.98666666666666669</v>
      </c>
      <c r="N84" s="111">
        <f>IFERROR(VLOOKUP($B84,MMWR_TRAD_AGG_STATE_PEN[],N$1,0),"ERROR")</f>
        <v>51</v>
      </c>
      <c r="O84" s="112">
        <f>IFERROR(VLOOKUP($B84,MMWR_TRAD_AGG_STATE_PEN[],O$1,0),"ERROR")</f>
        <v>25</v>
      </c>
      <c r="P84" s="114">
        <f t="shared" si="11"/>
        <v>0.49019607843137253</v>
      </c>
      <c r="Q84" s="115">
        <f>IFERROR(VLOOKUP($B84,MMWR_TRAD_AGG_STATE_PEN[],Q$1,0),"ERROR")</f>
        <v>119</v>
      </c>
      <c r="R84" s="115">
        <f>IFERROR(VLOOKUP($B84,MMWR_TRAD_AGG_STATE_PEN[],R$1,0),"ERROR")</f>
        <v>304</v>
      </c>
      <c r="S84" s="115">
        <f>IFERROR(VLOOKUP($B84,MMWR_APP_STATE_PEN[],S$1,0),"ERROR")</f>
        <v>165</v>
      </c>
      <c r="T84" s="28"/>
    </row>
    <row r="85" spans="1:20" s="123" customFormat="1" x14ac:dyDescent="0.2">
      <c r="A85" s="28"/>
      <c r="B85" s="127" t="s">
        <v>386</v>
      </c>
      <c r="C85" s="109">
        <f>IFERROR(VLOOKUP($B85,MMWR_TRAD_AGG_STATE_PEN[],C$1,0),"ERROR")</f>
        <v>244</v>
      </c>
      <c r="D85" s="110">
        <f>IFERROR(VLOOKUP($B85,MMWR_TRAD_AGG_STATE_PEN[],D$1,0),"ERROR")</f>
        <v>116.9918032787</v>
      </c>
      <c r="E85" s="111">
        <f>IFERROR(VLOOKUP($B85,MMWR_TRAD_AGG_STATE_PEN[],E$1,0),"ERROR")</f>
        <v>229</v>
      </c>
      <c r="F85" s="112">
        <f>IFERROR(VLOOKUP($B85,MMWR_TRAD_AGG_STATE_PEN[],F$1,0),"ERROR")</f>
        <v>51</v>
      </c>
      <c r="G85" s="113">
        <f t="shared" si="8"/>
        <v>0.22270742358078602</v>
      </c>
      <c r="H85" s="111">
        <f>IFERROR(VLOOKUP($B85,MMWR_TRAD_AGG_STATE_PEN[],H$1,0),"ERROR")</f>
        <v>318</v>
      </c>
      <c r="I85" s="112">
        <f>IFERROR(VLOOKUP($B85,MMWR_TRAD_AGG_STATE_PEN[],I$1,0),"ERROR")</f>
        <v>112</v>
      </c>
      <c r="J85" s="114">
        <f t="shared" si="9"/>
        <v>0.3522012578616352</v>
      </c>
      <c r="K85" s="111">
        <f>IFERROR(VLOOKUP($B85,MMWR_TRAD_AGG_STATE_PEN[],K$1,0),"ERROR")</f>
        <v>7</v>
      </c>
      <c r="L85" s="112">
        <f>IFERROR(VLOOKUP($B85,MMWR_TRAD_AGG_STATE_PEN[],L$1,0),"ERROR")</f>
        <v>7</v>
      </c>
      <c r="M85" s="114">
        <f t="shared" si="10"/>
        <v>1</v>
      </c>
      <c r="N85" s="111">
        <f>IFERROR(VLOOKUP($B85,MMWR_TRAD_AGG_STATE_PEN[],N$1,0),"ERROR")</f>
        <v>11</v>
      </c>
      <c r="O85" s="112">
        <f>IFERROR(VLOOKUP($B85,MMWR_TRAD_AGG_STATE_PEN[],O$1,0),"ERROR")</f>
        <v>4</v>
      </c>
      <c r="P85" s="114">
        <f t="shared" si="11"/>
        <v>0.36363636363636365</v>
      </c>
      <c r="Q85" s="115">
        <f>IFERROR(VLOOKUP($B85,MMWR_TRAD_AGG_STATE_PEN[],Q$1,0),"ERROR")</f>
        <v>37</v>
      </c>
      <c r="R85" s="115">
        <f>IFERROR(VLOOKUP($B85,MMWR_TRAD_AGG_STATE_PEN[],R$1,0),"ERROR")</f>
        <v>71</v>
      </c>
      <c r="S85" s="115">
        <f>IFERROR(VLOOKUP($B85,MMWR_APP_STATE_PEN[],S$1,0),"ERROR")</f>
        <v>43</v>
      </c>
      <c r="T85" s="28"/>
    </row>
    <row r="86" spans="1:20" s="123" customFormat="1" x14ac:dyDescent="0.2">
      <c r="A86" s="28"/>
      <c r="B86" s="126" t="s">
        <v>397</v>
      </c>
      <c r="C86" s="102">
        <f>IFERROR(VLOOKUP($B86,MMWR_TRAD_AGG_ST_DISTRICT_PEN[],C$1,0),"ERROR")</f>
        <v>2089</v>
      </c>
      <c r="D86" s="103">
        <f>IFERROR(VLOOKUP($B86,MMWR_TRAD_AGG_ST_DISTRICT_PEN[],D$1,0),"ERROR")</f>
        <v>59.969363331700002</v>
      </c>
      <c r="E86" s="102">
        <f>IFERROR(VLOOKUP($B86,MMWR_TRAD_AGG_ST_DISTRICT_PEN[],E$1,0),"ERROR")</f>
        <v>6175</v>
      </c>
      <c r="F86" s="102">
        <f>IFERROR(VLOOKUP($B86,MMWR_TRAD_AGG_ST_DISTRICT_PEN[],F$1,0),"ERROR")</f>
        <v>375</v>
      </c>
      <c r="G86" s="104">
        <f t="shared" si="8"/>
        <v>6.0728744939271252E-2</v>
      </c>
      <c r="H86" s="102">
        <f>IFERROR(VLOOKUP($B86,MMWR_TRAD_AGG_ST_DISTRICT_PEN[],H$1,0),"ERROR")</f>
        <v>3468</v>
      </c>
      <c r="I86" s="102">
        <f>IFERROR(VLOOKUP($B86,MMWR_TRAD_AGG_ST_DISTRICT_PEN[],I$1,0),"ERROR")</f>
        <v>237</v>
      </c>
      <c r="J86" s="104">
        <f t="shared" si="9"/>
        <v>6.8339100346020767E-2</v>
      </c>
      <c r="K86" s="102">
        <f>IFERROR(VLOOKUP($B86,MMWR_TRAD_AGG_ST_DISTRICT_PEN[],K$1,0),"ERROR")</f>
        <v>25</v>
      </c>
      <c r="L86" s="102">
        <f>IFERROR(VLOOKUP($B86,MMWR_TRAD_AGG_ST_DISTRICT_PEN[],L$1,0),"ERROR")</f>
        <v>15</v>
      </c>
      <c r="M86" s="104">
        <f t="shared" si="10"/>
        <v>0.6</v>
      </c>
      <c r="N86" s="102">
        <f>IFERROR(VLOOKUP($B86,MMWR_TRAD_AGG_ST_DISTRICT_PEN[],N$1,0),"ERROR")</f>
        <v>231</v>
      </c>
      <c r="O86" s="102">
        <f>IFERROR(VLOOKUP($B86,MMWR_TRAD_AGG_ST_DISTRICT_PEN[],O$1,0),"ERROR")</f>
        <v>69</v>
      </c>
      <c r="P86" s="104">
        <f t="shared" si="11"/>
        <v>0.29870129870129869</v>
      </c>
      <c r="Q86" s="102">
        <f>IFERROR(VLOOKUP($B86,MMWR_TRAD_AGG_ST_DISTRICT_PEN[],Q$1,0),"ERROR")</f>
        <v>1572</v>
      </c>
      <c r="R86" s="106">
        <f>IFERROR(VLOOKUP($B86,MMWR_TRAD_AGG_ST_DISTRICT_PEN[],R$1,0),"ERROR")</f>
        <v>534</v>
      </c>
      <c r="S86" s="106">
        <f>IFERROR(VLOOKUP($B86,MMWR_APP_STATE_PEN[],S$1,0),"ERROR")</f>
        <v>1718</v>
      </c>
      <c r="T86" s="28"/>
    </row>
    <row r="87" spans="1:20" s="123" customFormat="1" x14ac:dyDescent="0.2">
      <c r="A87" s="28"/>
      <c r="B87" s="127" t="s">
        <v>401</v>
      </c>
      <c r="C87" s="109">
        <f>IFERROR(VLOOKUP($B87,MMWR_TRAD_AGG_STATE_PEN[],C$1,0),"ERROR")</f>
        <v>300</v>
      </c>
      <c r="D87" s="110">
        <f>IFERROR(VLOOKUP($B87,MMWR_TRAD_AGG_STATE_PEN[],D$1,0),"ERROR")</f>
        <v>63.7866666667</v>
      </c>
      <c r="E87" s="111">
        <f>IFERROR(VLOOKUP($B87,MMWR_TRAD_AGG_STATE_PEN[],E$1,0),"ERROR")</f>
        <v>932</v>
      </c>
      <c r="F87" s="112">
        <f>IFERROR(VLOOKUP($B87,MMWR_TRAD_AGG_STATE_PEN[],F$1,0),"ERROR")</f>
        <v>69</v>
      </c>
      <c r="G87" s="113">
        <f t="shared" si="8"/>
        <v>7.4034334763948495E-2</v>
      </c>
      <c r="H87" s="111">
        <f>IFERROR(VLOOKUP($B87,MMWR_TRAD_AGG_STATE_PEN[],H$1,0),"ERROR")</f>
        <v>469</v>
      </c>
      <c r="I87" s="112">
        <f>IFERROR(VLOOKUP($B87,MMWR_TRAD_AGG_STATE_PEN[],I$1,0),"ERROR")</f>
        <v>39</v>
      </c>
      <c r="J87" s="114">
        <f t="shared" si="9"/>
        <v>8.3155650319829424E-2</v>
      </c>
      <c r="K87" s="111">
        <f>IFERROR(VLOOKUP($B87,MMWR_TRAD_AGG_STATE_PEN[],K$1,0),"ERROR")</f>
        <v>3</v>
      </c>
      <c r="L87" s="112">
        <f>IFERROR(VLOOKUP($B87,MMWR_TRAD_AGG_STATE_PEN[],L$1,0),"ERROR")</f>
        <v>1</v>
      </c>
      <c r="M87" s="114">
        <f t="shared" si="10"/>
        <v>0.33333333333333331</v>
      </c>
      <c r="N87" s="111">
        <f>IFERROR(VLOOKUP($B87,MMWR_TRAD_AGG_STATE_PEN[],N$1,0),"ERROR")</f>
        <v>44</v>
      </c>
      <c r="O87" s="112">
        <f>IFERROR(VLOOKUP($B87,MMWR_TRAD_AGG_STATE_PEN[],O$1,0),"ERROR")</f>
        <v>17</v>
      </c>
      <c r="P87" s="114">
        <f t="shared" si="11"/>
        <v>0.38636363636363635</v>
      </c>
      <c r="Q87" s="115">
        <f>IFERROR(VLOOKUP($B87,MMWR_TRAD_AGG_STATE_PEN[],Q$1,0),"ERROR")</f>
        <v>93</v>
      </c>
      <c r="R87" s="115">
        <f>IFERROR(VLOOKUP($B87,MMWR_TRAD_AGG_STATE_PEN[],R$1,0),"ERROR")</f>
        <v>133</v>
      </c>
      <c r="S87" s="115">
        <f>IFERROR(VLOOKUP($B87,MMWR_APP_STATE_PEN[],S$1,0),"ERROR")</f>
        <v>370</v>
      </c>
      <c r="T87" s="28"/>
    </row>
    <row r="88" spans="1:20" s="123" customFormat="1" x14ac:dyDescent="0.2">
      <c r="A88" s="28"/>
      <c r="B88" s="127" t="s">
        <v>399</v>
      </c>
      <c r="C88" s="109">
        <f>IFERROR(VLOOKUP($B88,MMWR_TRAD_AGG_STATE_PEN[],C$1,0),"ERROR")</f>
        <v>210</v>
      </c>
      <c r="D88" s="110">
        <f>IFERROR(VLOOKUP($B88,MMWR_TRAD_AGG_STATE_PEN[],D$1,0),"ERROR")</f>
        <v>63.647619047600003</v>
      </c>
      <c r="E88" s="111">
        <f>IFERROR(VLOOKUP($B88,MMWR_TRAD_AGG_STATE_PEN[],E$1,0),"ERROR")</f>
        <v>637</v>
      </c>
      <c r="F88" s="112">
        <f>IFERROR(VLOOKUP($B88,MMWR_TRAD_AGG_STATE_PEN[],F$1,0),"ERROR")</f>
        <v>55</v>
      </c>
      <c r="G88" s="113">
        <f t="shared" si="8"/>
        <v>8.6342229199372053E-2</v>
      </c>
      <c r="H88" s="111">
        <f>IFERROR(VLOOKUP($B88,MMWR_TRAD_AGG_STATE_PEN[],H$1,0),"ERROR")</f>
        <v>361</v>
      </c>
      <c r="I88" s="112">
        <f>IFERROR(VLOOKUP($B88,MMWR_TRAD_AGG_STATE_PEN[],I$1,0),"ERROR")</f>
        <v>34</v>
      </c>
      <c r="J88" s="114">
        <f t="shared" si="9"/>
        <v>9.4182825484764546E-2</v>
      </c>
      <c r="K88" s="111">
        <f>IFERROR(VLOOKUP($B88,MMWR_TRAD_AGG_STATE_PEN[],K$1,0),"ERROR")</f>
        <v>2</v>
      </c>
      <c r="L88" s="112">
        <f>IFERROR(VLOOKUP($B88,MMWR_TRAD_AGG_STATE_PEN[],L$1,0),"ERROR")</f>
        <v>2</v>
      </c>
      <c r="M88" s="114">
        <f t="shared" si="10"/>
        <v>1</v>
      </c>
      <c r="N88" s="111">
        <f>IFERROR(VLOOKUP($B88,MMWR_TRAD_AGG_STATE_PEN[],N$1,0),"ERROR")</f>
        <v>26</v>
      </c>
      <c r="O88" s="112">
        <f>IFERROR(VLOOKUP($B88,MMWR_TRAD_AGG_STATE_PEN[],O$1,0),"ERROR")</f>
        <v>13</v>
      </c>
      <c r="P88" s="114">
        <f t="shared" si="11"/>
        <v>0.5</v>
      </c>
      <c r="Q88" s="115">
        <f>IFERROR(VLOOKUP($B88,MMWR_TRAD_AGG_STATE_PEN[],Q$1,0),"ERROR")</f>
        <v>51</v>
      </c>
      <c r="R88" s="115">
        <f>IFERROR(VLOOKUP($B88,MMWR_TRAD_AGG_STATE_PEN[],R$1,0),"ERROR")</f>
        <v>67</v>
      </c>
      <c r="S88" s="115">
        <f>IFERROR(VLOOKUP($B88,MMWR_APP_STATE_PEN[],S$1,0),"ERROR")</f>
        <v>211</v>
      </c>
      <c r="T88" s="28"/>
    </row>
    <row r="89" spans="1:20" s="123" customFormat="1" x14ac:dyDescent="0.2">
      <c r="A89" s="28"/>
      <c r="B89" s="127" t="s">
        <v>406</v>
      </c>
      <c r="C89" s="109">
        <f>IFERROR(VLOOKUP($B89,MMWR_TRAD_AGG_STATE_PEN[],C$1,0),"ERROR")</f>
        <v>86</v>
      </c>
      <c r="D89" s="110">
        <f>IFERROR(VLOOKUP($B89,MMWR_TRAD_AGG_STATE_PEN[],D$1,0),"ERROR")</f>
        <v>45.2906976744</v>
      </c>
      <c r="E89" s="111">
        <f>IFERROR(VLOOKUP($B89,MMWR_TRAD_AGG_STATE_PEN[],E$1,0),"ERROR")</f>
        <v>312</v>
      </c>
      <c r="F89" s="112">
        <f>IFERROR(VLOOKUP($B89,MMWR_TRAD_AGG_STATE_PEN[],F$1,0),"ERROR")</f>
        <v>8</v>
      </c>
      <c r="G89" s="113">
        <f t="shared" si="8"/>
        <v>2.564102564102564E-2</v>
      </c>
      <c r="H89" s="111">
        <f>IFERROR(VLOOKUP($B89,MMWR_TRAD_AGG_STATE_PEN[],H$1,0),"ERROR")</f>
        <v>137</v>
      </c>
      <c r="I89" s="112">
        <f>IFERROR(VLOOKUP($B89,MMWR_TRAD_AGG_STATE_PEN[],I$1,0),"ERROR")</f>
        <v>5</v>
      </c>
      <c r="J89" s="114">
        <f t="shared" si="9"/>
        <v>3.6496350364963501E-2</v>
      </c>
      <c r="K89" s="111">
        <f>IFERROR(VLOOKUP($B89,MMWR_TRAD_AGG_STATE_PEN[],K$1,0),"ERROR")</f>
        <v>0</v>
      </c>
      <c r="L89" s="112">
        <f>IFERROR(VLOOKUP($B89,MMWR_TRAD_AGG_STATE_PEN[],L$1,0),"ERROR")</f>
        <v>0</v>
      </c>
      <c r="M89" s="114" t="str">
        <f t="shared" si="10"/>
        <v>0%</v>
      </c>
      <c r="N89" s="111">
        <f>IFERROR(VLOOKUP($B89,MMWR_TRAD_AGG_STATE_PEN[],N$1,0),"ERROR")</f>
        <v>5</v>
      </c>
      <c r="O89" s="112">
        <f>IFERROR(VLOOKUP($B89,MMWR_TRAD_AGG_STATE_PEN[],O$1,0),"ERROR")</f>
        <v>0</v>
      </c>
      <c r="P89" s="114">
        <f t="shared" si="11"/>
        <v>0</v>
      </c>
      <c r="Q89" s="115">
        <f>IFERROR(VLOOKUP($B89,MMWR_TRAD_AGG_STATE_PEN[],Q$1,0),"ERROR")</f>
        <v>213</v>
      </c>
      <c r="R89" s="115">
        <f>IFERROR(VLOOKUP($B89,MMWR_TRAD_AGG_STATE_PEN[],R$1,0),"ERROR")</f>
        <v>21</v>
      </c>
      <c r="S89" s="115">
        <f>IFERROR(VLOOKUP($B89,MMWR_APP_STATE_PEN[],S$1,0),"ERROR")</f>
        <v>25</v>
      </c>
      <c r="T89" s="28"/>
    </row>
    <row r="90" spans="1:20" s="123" customFormat="1" x14ac:dyDescent="0.2">
      <c r="A90" s="28"/>
      <c r="B90" s="127" t="s">
        <v>429</v>
      </c>
      <c r="C90" s="109">
        <f>IFERROR(VLOOKUP($B90,MMWR_TRAD_AGG_STATE_PEN[],C$1,0),"ERROR")</f>
        <v>59</v>
      </c>
      <c r="D90" s="110">
        <f>IFERROR(VLOOKUP($B90,MMWR_TRAD_AGG_STATE_PEN[],D$1,0),"ERROR")</f>
        <v>42.0508474576</v>
      </c>
      <c r="E90" s="111">
        <f>IFERROR(VLOOKUP($B90,MMWR_TRAD_AGG_STATE_PEN[],E$1,0),"ERROR")</f>
        <v>213</v>
      </c>
      <c r="F90" s="112">
        <f>IFERROR(VLOOKUP($B90,MMWR_TRAD_AGG_STATE_PEN[],F$1,0),"ERROR")</f>
        <v>5</v>
      </c>
      <c r="G90" s="113">
        <f t="shared" si="8"/>
        <v>2.3474178403755867E-2</v>
      </c>
      <c r="H90" s="111">
        <f>IFERROR(VLOOKUP($B90,MMWR_TRAD_AGG_STATE_PEN[],H$1,0),"ERROR")</f>
        <v>109</v>
      </c>
      <c r="I90" s="112">
        <f>IFERROR(VLOOKUP($B90,MMWR_TRAD_AGG_STATE_PEN[],I$1,0),"ERROR")</f>
        <v>4</v>
      </c>
      <c r="J90" s="114">
        <f t="shared" si="9"/>
        <v>3.669724770642202E-2</v>
      </c>
      <c r="K90" s="111">
        <f>IFERROR(VLOOKUP($B90,MMWR_TRAD_AGG_STATE_PEN[],K$1,0),"ERROR")</f>
        <v>1</v>
      </c>
      <c r="L90" s="112">
        <f>IFERROR(VLOOKUP($B90,MMWR_TRAD_AGG_STATE_PEN[],L$1,0),"ERROR")</f>
        <v>1</v>
      </c>
      <c r="M90" s="114">
        <f t="shared" si="10"/>
        <v>1</v>
      </c>
      <c r="N90" s="111">
        <f>IFERROR(VLOOKUP($B90,MMWR_TRAD_AGG_STATE_PEN[],N$1,0),"ERROR")</f>
        <v>4</v>
      </c>
      <c r="O90" s="112">
        <f>IFERROR(VLOOKUP($B90,MMWR_TRAD_AGG_STATE_PEN[],O$1,0),"ERROR")</f>
        <v>1</v>
      </c>
      <c r="P90" s="114">
        <f t="shared" si="11"/>
        <v>0.25</v>
      </c>
      <c r="Q90" s="115">
        <f>IFERROR(VLOOKUP($B90,MMWR_TRAD_AGG_STATE_PEN[],Q$1,0),"ERROR")</f>
        <v>119</v>
      </c>
      <c r="R90" s="115">
        <f>IFERROR(VLOOKUP($B90,MMWR_TRAD_AGG_STATE_PEN[],R$1,0),"ERROR")</f>
        <v>23</v>
      </c>
      <c r="S90" s="115">
        <f>IFERROR(VLOOKUP($B90,MMWR_APP_STATE_PEN[],S$1,0),"ERROR")</f>
        <v>23</v>
      </c>
      <c r="T90" s="28"/>
    </row>
    <row r="91" spans="1:20" s="123" customFormat="1" x14ac:dyDescent="0.2">
      <c r="A91" s="28"/>
      <c r="B91" s="127" t="s">
        <v>402</v>
      </c>
      <c r="C91" s="109">
        <f>IFERROR(VLOOKUP($B91,MMWR_TRAD_AGG_STATE_PEN[],C$1,0),"ERROR")</f>
        <v>390</v>
      </c>
      <c r="D91" s="110">
        <f>IFERROR(VLOOKUP($B91,MMWR_TRAD_AGG_STATE_PEN[],D$1,0),"ERROR")</f>
        <v>55.117948717899999</v>
      </c>
      <c r="E91" s="111">
        <f>IFERROR(VLOOKUP($B91,MMWR_TRAD_AGG_STATE_PEN[],E$1,0),"ERROR")</f>
        <v>1122</v>
      </c>
      <c r="F91" s="112">
        <f>IFERROR(VLOOKUP($B91,MMWR_TRAD_AGG_STATE_PEN[],F$1,0),"ERROR")</f>
        <v>72</v>
      </c>
      <c r="G91" s="113">
        <f t="shared" si="8"/>
        <v>6.4171122994652413E-2</v>
      </c>
      <c r="H91" s="111">
        <f>IFERROR(VLOOKUP($B91,MMWR_TRAD_AGG_STATE_PEN[],H$1,0),"ERROR")</f>
        <v>587</v>
      </c>
      <c r="I91" s="112">
        <f>IFERROR(VLOOKUP($B91,MMWR_TRAD_AGG_STATE_PEN[],I$1,0),"ERROR")</f>
        <v>34</v>
      </c>
      <c r="J91" s="114">
        <f t="shared" si="9"/>
        <v>5.7921635434412269E-2</v>
      </c>
      <c r="K91" s="111">
        <f>IFERROR(VLOOKUP($B91,MMWR_TRAD_AGG_STATE_PEN[],K$1,0),"ERROR")</f>
        <v>2</v>
      </c>
      <c r="L91" s="112">
        <f>IFERROR(VLOOKUP($B91,MMWR_TRAD_AGG_STATE_PEN[],L$1,0),"ERROR")</f>
        <v>2</v>
      </c>
      <c r="M91" s="114">
        <f t="shared" si="10"/>
        <v>1</v>
      </c>
      <c r="N91" s="111">
        <f>IFERROR(VLOOKUP($B91,MMWR_TRAD_AGG_STATE_PEN[],N$1,0),"ERROR")</f>
        <v>40</v>
      </c>
      <c r="O91" s="112">
        <f>IFERROR(VLOOKUP($B91,MMWR_TRAD_AGG_STATE_PEN[],O$1,0),"ERROR")</f>
        <v>8</v>
      </c>
      <c r="P91" s="114">
        <f t="shared" si="11"/>
        <v>0.2</v>
      </c>
      <c r="Q91" s="115">
        <f>IFERROR(VLOOKUP($B91,MMWR_TRAD_AGG_STATE_PEN[],Q$1,0),"ERROR")</f>
        <v>106</v>
      </c>
      <c r="R91" s="115">
        <f>IFERROR(VLOOKUP($B91,MMWR_TRAD_AGG_STATE_PEN[],R$1,0),"ERROR")</f>
        <v>75</v>
      </c>
      <c r="S91" s="115">
        <f>IFERROR(VLOOKUP($B91,MMWR_APP_STATE_PEN[],S$1,0),"ERROR")</f>
        <v>284</v>
      </c>
      <c r="T91" s="28"/>
    </row>
    <row r="92" spans="1:20" s="123" customFormat="1" x14ac:dyDescent="0.2">
      <c r="A92" s="28"/>
      <c r="B92" s="127" t="s">
        <v>408</v>
      </c>
      <c r="C92" s="109">
        <f>IFERROR(VLOOKUP($B92,MMWR_TRAD_AGG_STATE_PEN[],C$1,0),"ERROR")</f>
        <v>87</v>
      </c>
      <c r="D92" s="110">
        <f>IFERROR(VLOOKUP($B92,MMWR_TRAD_AGG_STATE_PEN[],D$1,0),"ERROR")</f>
        <v>39.540229885099997</v>
      </c>
      <c r="E92" s="111">
        <f>IFERROR(VLOOKUP($B92,MMWR_TRAD_AGG_STATE_PEN[],E$1,0),"ERROR")</f>
        <v>349</v>
      </c>
      <c r="F92" s="112">
        <f>IFERROR(VLOOKUP($B92,MMWR_TRAD_AGG_STATE_PEN[],F$1,0),"ERROR")</f>
        <v>11</v>
      </c>
      <c r="G92" s="113">
        <f t="shared" si="8"/>
        <v>3.151862464183381E-2</v>
      </c>
      <c r="H92" s="111">
        <f>IFERROR(VLOOKUP($B92,MMWR_TRAD_AGG_STATE_PEN[],H$1,0),"ERROR")</f>
        <v>135</v>
      </c>
      <c r="I92" s="112">
        <f>IFERROR(VLOOKUP($B92,MMWR_TRAD_AGG_STATE_PEN[],I$1,0),"ERROR")</f>
        <v>4</v>
      </c>
      <c r="J92" s="114">
        <f t="shared" si="9"/>
        <v>2.9629629629629631E-2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2</v>
      </c>
      <c r="P92" s="114">
        <f t="shared" si="11"/>
        <v>0.4</v>
      </c>
      <c r="Q92" s="115">
        <f>IFERROR(VLOOKUP($B92,MMWR_TRAD_AGG_STATE_PEN[],Q$1,0),"ERROR")</f>
        <v>445</v>
      </c>
      <c r="R92" s="115">
        <f>IFERROR(VLOOKUP($B92,MMWR_TRAD_AGG_STATE_PEN[],R$1,0),"ERROR")</f>
        <v>27</v>
      </c>
      <c r="S92" s="115">
        <f>IFERROR(VLOOKUP($B92,MMWR_APP_STATE_PEN[],S$1,0),"ERROR")</f>
        <v>23</v>
      </c>
      <c r="T92" s="28"/>
    </row>
    <row r="93" spans="1:20" s="123" customFormat="1" x14ac:dyDescent="0.2">
      <c r="A93" s="28"/>
      <c r="B93" s="127" t="s">
        <v>404</v>
      </c>
      <c r="C93" s="109">
        <f>IFERROR(VLOOKUP($B93,MMWR_TRAD_AGG_STATE_PEN[],C$1,0),"ERROR")</f>
        <v>262</v>
      </c>
      <c r="D93" s="110">
        <f>IFERROR(VLOOKUP($B93,MMWR_TRAD_AGG_STATE_PEN[],D$1,0),"ERROR")</f>
        <v>58.7595419847</v>
      </c>
      <c r="E93" s="111">
        <f>IFERROR(VLOOKUP($B93,MMWR_TRAD_AGG_STATE_PEN[],E$1,0),"ERROR")</f>
        <v>700</v>
      </c>
      <c r="F93" s="112">
        <f>IFERROR(VLOOKUP($B93,MMWR_TRAD_AGG_STATE_PEN[],F$1,0),"ERROR")</f>
        <v>41</v>
      </c>
      <c r="G93" s="113">
        <f t="shared" si="8"/>
        <v>5.8571428571428573E-2</v>
      </c>
      <c r="H93" s="111">
        <f>IFERROR(VLOOKUP($B93,MMWR_TRAD_AGG_STATE_PEN[],H$1,0),"ERROR")</f>
        <v>479</v>
      </c>
      <c r="I93" s="112">
        <f>IFERROR(VLOOKUP($B93,MMWR_TRAD_AGG_STATE_PEN[],I$1,0),"ERROR")</f>
        <v>29</v>
      </c>
      <c r="J93" s="114">
        <f t="shared" si="9"/>
        <v>6.0542797494780795E-2</v>
      </c>
      <c r="K93" s="111">
        <f>IFERROR(VLOOKUP($B93,MMWR_TRAD_AGG_STATE_PEN[],K$1,0),"ERROR")</f>
        <v>1</v>
      </c>
      <c r="L93" s="112">
        <f>IFERROR(VLOOKUP($B93,MMWR_TRAD_AGG_STATE_PEN[],L$1,0),"ERROR")</f>
        <v>1</v>
      </c>
      <c r="M93" s="114">
        <f t="shared" si="10"/>
        <v>1</v>
      </c>
      <c r="N93" s="111">
        <f>IFERROR(VLOOKUP($B93,MMWR_TRAD_AGG_STATE_PEN[],N$1,0),"ERROR")</f>
        <v>27</v>
      </c>
      <c r="O93" s="112">
        <f>IFERROR(VLOOKUP($B93,MMWR_TRAD_AGG_STATE_PEN[],O$1,0),"ERROR")</f>
        <v>7</v>
      </c>
      <c r="P93" s="114">
        <f t="shared" si="11"/>
        <v>0.25925925925925924</v>
      </c>
      <c r="Q93" s="115">
        <f>IFERROR(VLOOKUP($B93,MMWR_TRAD_AGG_STATE_PEN[],Q$1,0),"ERROR")</f>
        <v>104</v>
      </c>
      <c r="R93" s="115">
        <f>IFERROR(VLOOKUP($B93,MMWR_TRAD_AGG_STATE_PEN[],R$1,0),"ERROR")</f>
        <v>45</v>
      </c>
      <c r="S93" s="115">
        <f>IFERROR(VLOOKUP($B93,MMWR_APP_STATE_PEN[],S$1,0),"ERROR")</f>
        <v>218</v>
      </c>
      <c r="T93" s="28"/>
    </row>
    <row r="94" spans="1:20" s="123" customFormat="1" x14ac:dyDescent="0.2">
      <c r="A94" s="28"/>
      <c r="B94" s="127" t="s">
        <v>407</v>
      </c>
      <c r="C94" s="109">
        <f>IFERROR(VLOOKUP($B94,MMWR_TRAD_AGG_STATE_PEN[],C$1,0),"ERROR")</f>
        <v>28</v>
      </c>
      <c r="D94" s="110">
        <f>IFERROR(VLOOKUP($B94,MMWR_TRAD_AGG_STATE_PEN[],D$1,0),"ERROR")</f>
        <v>76.142857142899999</v>
      </c>
      <c r="E94" s="111">
        <f>IFERROR(VLOOKUP($B94,MMWR_TRAD_AGG_STATE_PEN[],E$1,0),"ERROR")</f>
        <v>95</v>
      </c>
      <c r="F94" s="112">
        <f>IFERROR(VLOOKUP($B94,MMWR_TRAD_AGG_STATE_PEN[],F$1,0),"ERROR")</f>
        <v>5</v>
      </c>
      <c r="G94" s="113">
        <f t="shared" si="8"/>
        <v>5.2631578947368418E-2</v>
      </c>
      <c r="H94" s="111">
        <f>IFERROR(VLOOKUP($B94,MMWR_TRAD_AGG_STATE_PEN[],H$1,0),"ERROR")</f>
        <v>59</v>
      </c>
      <c r="I94" s="112">
        <f>IFERROR(VLOOKUP($B94,MMWR_TRAD_AGG_STATE_PEN[],I$1,0),"ERROR")</f>
        <v>3</v>
      </c>
      <c r="J94" s="114">
        <f t="shared" si="9"/>
        <v>5.0847457627118647E-2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136</v>
      </c>
      <c r="R94" s="115">
        <f>IFERROR(VLOOKUP($B94,MMWR_TRAD_AGG_STATE_PEN[],R$1,0),"ERROR")</f>
        <v>4</v>
      </c>
      <c r="S94" s="115">
        <f>IFERROR(VLOOKUP($B94,MMWR_APP_STATE_PEN[],S$1,0),"ERROR")</f>
        <v>21</v>
      </c>
      <c r="T94" s="28"/>
    </row>
    <row r="95" spans="1:20" s="123" customFormat="1" x14ac:dyDescent="0.2">
      <c r="A95" s="28"/>
      <c r="B95" s="127" t="s">
        <v>426</v>
      </c>
      <c r="C95" s="109">
        <f>IFERROR(VLOOKUP($B95,MMWR_TRAD_AGG_STATE_PEN[],C$1,0),"ERROR")</f>
        <v>15</v>
      </c>
      <c r="D95" s="110">
        <f>IFERROR(VLOOKUP($B95,MMWR_TRAD_AGG_STATE_PEN[],D$1,0),"ERROR")</f>
        <v>48.866666666699999</v>
      </c>
      <c r="E95" s="111">
        <f>IFERROR(VLOOKUP($B95,MMWR_TRAD_AGG_STATE_PEN[],E$1,0),"ERROR")</f>
        <v>32</v>
      </c>
      <c r="F95" s="112">
        <f>IFERROR(VLOOKUP($B95,MMWR_TRAD_AGG_STATE_PEN[],F$1,0),"ERROR")</f>
        <v>1</v>
      </c>
      <c r="G95" s="113">
        <f t="shared" si="8"/>
        <v>3.125E-2</v>
      </c>
      <c r="H95" s="111">
        <f>IFERROR(VLOOKUP($B95,MMWR_TRAD_AGG_STATE_PEN[],H$1,0),"ERROR")</f>
        <v>24</v>
      </c>
      <c r="I95" s="112">
        <f>IFERROR(VLOOKUP($B95,MMWR_TRAD_AGG_STATE_PEN[],I$1,0),"ERROR")</f>
        <v>2</v>
      </c>
      <c r="J95" s="114">
        <f t="shared" si="9"/>
        <v>8.3333333333333329E-2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52</v>
      </c>
      <c r="R95" s="115">
        <f>IFERROR(VLOOKUP($B95,MMWR_TRAD_AGG_STATE_PEN[],R$1,0),"ERROR")</f>
        <v>8</v>
      </c>
      <c r="S95" s="115">
        <f>IFERROR(VLOOKUP($B95,MMWR_APP_STATE_PEN[],S$1,0),"ERROR")</f>
        <v>5</v>
      </c>
      <c r="T95" s="28"/>
    </row>
    <row r="96" spans="1:20" s="123" customFormat="1" x14ac:dyDescent="0.2">
      <c r="A96" s="28"/>
      <c r="B96" s="127" t="s">
        <v>398</v>
      </c>
      <c r="C96" s="109">
        <f>IFERROR(VLOOKUP($B96,MMWR_TRAD_AGG_STATE_PEN[],C$1,0),"ERROR")</f>
        <v>461</v>
      </c>
      <c r="D96" s="110">
        <f>IFERROR(VLOOKUP($B96,MMWR_TRAD_AGG_STATE_PEN[],D$1,0),"ERROR")</f>
        <v>71.774403470699994</v>
      </c>
      <c r="E96" s="111">
        <f>IFERROR(VLOOKUP($B96,MMWR_TRAD_AGG_STATE_PEN[],E$1,0),"ERROR")</f>
        <v>1335</v>
      </c>
      <c r="F96" s="112">
        <f>IFERROR(VLOOKUP($B96,MMWR_TRAD_AGG_STATE_PEN[],F$1,0),"ERROR")</f>
        <v>88</v>
      </c>
      <c r="G96" s="113">
        <f t="shared" si="8"/>
        <v>6.5917602996254682E-2</v>
      </c>
      <c r="H96" s="111">
        <f>IFERROR(VLOOKUP($B96,MMWR_TRAD_AGG_STATE_PEN[],H$1,0),"ERROR")</f>
        <v>772</v>
      </c>
      <c r="I96" s="112">
        <f>IFERROR(VLOOKUP($B96,MMWR_TRAD_AGG_STATE_PEN[],I$1,0),"ERROR")</f>
        <v>72</v>
      </c>
      <c r="J96" s="114">
        <f t="shared" si="9"/>
        <v>9.3264248704663211E-2</v>
      </c>
      <c r="K96" s="111">
        <f>IFERROR(VLOOKUP($B96,MMWR_TRAD_AGG_STATE_PEN[],K$1,0),"ERROR")</f>
        <v>14</v>
      </c>
      <c r="L96" s="112">
        <f>IFERROR(VLOOKUP($B96,MMWR_TRAD_AGG_STATE_PEN[],L$1,0),"ERROR")</f>
        <v>7</v>
      </c>
      <c r="M96" s="114">
        <f t="shared" si="10"/>
        <v>0.5</v>
      </c>
      <c r="N96" s="111">
        <f>IFERROR(VLOOKUP($B96,MMWR_TRAD_AGG_STATE_PEN[],N$1,0),"ERROR")</f>
        <v>50</v>
      </c>
      <c r="O96" s="112">
        <f>IFERROR(VLOOKUP($B96,MMWR_TRAD_AGG_STATE_PEN[],O$1,0),"ERROR")</f>
        <v>13</v>
      </c>
      <c r="P96" s="114">
        <f t="shared" si="11"/>
        <v>0.26</v>
      </c>
      <c r="Q96" s="115">
        <f>IFERROR(VLOOKUP($B96,MMWR_TRAD_AGG_STATE_PEN[],Q$1,0),"ERROR")</f>
        <v>124</v>
      </c>
      <c r="R96" s="115">
        <f>IFERROR(VLOOKUP($B96,MMWR_TRAD_AGG_STATE_PEN[],R$1,0),"ERROR")</f>
        <v>98</v>
      </c>
      <c r="S96" s="115">
        <f>IFERROR(VLOOKUP($B96,MMWR_APP_STATE_PEN[],S$1,0),"ERROR")</f>
        <v>444</v>
      </c>
      <c r="T96" s="28"/>
    </row>
    <row r="97" spans="1:20" s="123" customFormat="1" x14ac:dyDescent="0.2">
      <c r="A97" s="28"/>
      <c r="B97" s="127" t="s">
        <v>427</v>
      </c>
      <c r="C97" s="109">
        <f>IFERROR(VLOOKUP($B97,MMWR_TRAD_AGG_STATE_PEN[],C$1,0),"ERROR")</f>
        <v>29</v>
      </c>
      <c r="D97" s="110">
        <f>IFERROR(VLOOKUP($B97,MMWR_TRAD_AGG_STATE_PEN[],D$1,0),"ERROR")</f>
        <v>35.068965517199999</v>
      </c>
      <c r="E97" s="111">
        <f>IFERROR(VLOOKUP($B97,MMWR_TRAD_AGG_STATE_PEN[],E$1,0),"ERROR")</f>
        <v>44</v>
      </c>
      <c r="F97" s="112">
        <f>IFERROR(VLOOKUP($B97,MMWR_TRAD_AGG_STATE_PEN[],F$1,0),"ERROR")</f>
        <v>2</v>
      </c>
      <c r="G97" s="113">
        <f t="shared" si="8"/>
        <v>4.5454545454545456E-2</v>
      </c>
      <c r="H97" s="111">
        <f>IFERROR(VLOOKUP($B97,MMWR_TRAD_AGG_STATE_PEN[],H$1,0),"ERROR")</f>
        <v>40</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75</v>
      </c>
      <c r="R97" s="115">
        <f>IFERROR(VLOOKUP($B97,MMWR_TRAD_AGG_STATE_PEN[],R$1,0),"ERROR")</f>
        <v>3</v>
      </c>
      <c r="S97" s="115">
        <f>IFERROR(VLOOKUP($B97,MMWR_APP_STATE_PEN[],S$1,0),"ERROR")</f>
        <v>7</v>
      </c>
      <c r="T97" s="28"/>
    </row>
    <row r="98" spans="1:20" s="123" customFormat="1" x14ac:dyDescent="0.2">
      <c r="A98" s="28"/>
      <c r="B98" s="127" t="s">
        <v>403</v>
      </c>
      <c r="C98" s="109">
        <f>IFERROR(VLOOKUP($B98,MMWR_TRAD_AGG_STATE_PEN[],C$1,0),"ERROR")</f>
        <v>162</v>
      </c>
      <c r="D98" s="110">
        <f>IFERROR(VLOOKUP($B98,MMWR_TRAD_AGG_STATE_PEN[],D$1,0),"ERROR")</f>
        <v>56.154320987699997</v>
      </c>
      <c r="E98" s="111">
        <f>IFERROR(VLOOKUP($B98,MMWR_TRAD_AGG_STATE_PEN[],E$1,0),"ERROR")</f>
        <v>404</v>
      </c>
      <c r="F98" s="112">
        <f>IFERROR(VLOOKUP($B98,MMWR_TRAD_AGG_STATE_PEN[],F$1,0),"ERROR")</f>
        <v>18</v>
      </c>
      <c r="G98" s="113">
        <f t="shared" si="8"/>
        <v>4.4554455445544552E-2</v>
      </c>
      <c r="H98" s="111">
        <f>IFERROR(VLOOKUP($B98,MMWR_TRAD_AGG_STATE_PEN[],H$1,0),"ERROR")</f>
        <v>296</v>
      </c>
      <c r="I98" s="112">
        <f>IFERROR(VLOOKUP($B98,MMWR_TRAD_AGG_STATE_PEN[],I$1,0),"ERROR")</f>
        <v>11</v>
      </c>
      <c r="J98" s="114">
        <f t="shared" si="9"/>
        <v>3.7162162162162164E-2</v>
      </c>
      <c r="K98" s="111">
        <f>IFERROR(VLOOKUP($B98,MMWR_TRAD_AGG_STATE_PEN[],K$1,0),"ERROR")</f>
        <v>1</v>
      </c>
      <c r="L98" s="112">
        <f>IFERROR(VLOOKUP($B98,MMWR_TRAD_AGG_STATE_PEN[],L$1,0),"ERROR")</f>
        <v>0</v>
      </c>
      <c r="M98" s="114">
        <f t="shared" si="10"/>
        <v>0</v>
      </c>
      <c r="N98" s="111">
        <f>IFERROR(VLOOKUP($B98,MMWR_TRAD_AGG_STATE_PEN[],N$1,0),"ERROR")</f>
        <v>27</v>
      </c>
      <c r="O98" s="112">
        <f>IFERROR(VLOOKUP($B98,MMWR_TRAD_AGG_STATE_PEN[],O$1,0),"ERROR")</f>
        <v>7</v>
      </c>
      <c r="P98" s="114">
        <f t="shared" si="11"/>
        <v>0.25925925925925924</v>
      </c>
      <c r="Q98" s="115">
        <f>IFERROR(VLOOKUP($B98,MMWR_TRAD_AGG_STATE_PEN[],Q$1,0),"ERROR")</f>
        <v>54</v>
      </c>
      <c r="R98" s="115">
        <f>IFERROR(VLOOKUP($B98,MMWR_TRAD_AGG_STATE_PEN[],R$1,0),"ERROR")</f>
        <v>30</v>
      </c>
      <c r="S98" s="115">
        <f>IFERROR(VLOOKUP($B98,MMWR_APP_STATE_PEN[],S$1,0),"ERROR")</f>
        <v>87</v>
      </c>
      <c r="T98" s="28"/>
    </row>
    <row r="99" spans="1:20" s="123" customFormat="1" x14ac:dyDescent="0.2">
      <c r="A99" s="28"/>
      <c r="B99" s="126" t="s">
        <v>392</v>
      </c>
      <c r="C99" s="102">
        <f>IFERROR(VLOOKUP($B99,MMWR_TRAD_AGG_ST_DISTRICT_PEN[],C$1,0),"ERROR")</f>
        <v>1196</v>
      </c>
      <c r="D99" s="103">
        <f>IFERROR(VLOOKUP($B99,MMWR_TRAD_AGG_ST_DISTRICT_PEN[],D$1,0),"ERROR")</f>
        <v>53.501672240799998</v>
      </c>
      <c r="E99" s="102">
        <f>IFERROR(VLOOKUP($B99,MMWR_TRAD_AGG_ST_DISTRICT_PEN[],E$1,0),"ERROR")</f>
        <v>3323</v>
      </c>
      <c r="F99" s="102">
        <f>IFERROR(VLOOKUP($B99,MMWR_TRAD_AGG_ST_DISTRICT_PEN[],F$1,0),"ERROR")</f>
        <v>120</v>
      </c>
      <c r="G99" s="104">
        <f t="shared" si="8"/>
        <v>3.6111947035811012E-2</v>
      </c>
      <c r="H99" s="102">
        <f>IFERROR(VLOOKUP($B99,MMWR_TRAD_AGG_ST_DISTRICT_PEN[],H$1,0),"ERROR")</f>
        <v>2058</v>
      </c>
      <c r="I99" s="102">
        <f>IFERROR(VLOOKUP($B99,MMWR_TRAD_AGG_ST_DISTRICT_PEN[],I$1,0),"ERROR")</f>
        <v>152</v>
      </c>
      <c r="J99" s="104">
        <f t="shared" si="9"/>
        <v>7.38581146744412E-2</v>
      </c>
      <c r="K99" s="102">
        <f>IFERROR(VLOOKUP($B99,MMWR_TRAD_AGG_ST_DISTRICT_PEN[],K$1,0),"ERROR")</f>
        <v>25</v>
      </c>
      <c r="L99" s="102">
        <f>IFERROR(VLOOKUP($B99,MMWR_TRAD_AGG_ST_DISTRICT_PEN[],L$1,0),"ERROR")</f>
        <v>21</v>
      </c>
      <c r="M99" s="104">
        <f t="shared" si="10"/>
        <v>0.84</v>
      </c>
      <c r="N99" s="102">
        <f>IFERROR(VLOOKUP($B99,MMWR_TRAD_AGG_ST_DISTRICT_PEN[],N$1,0),"ERROR")</f>
        <v>161</v>
      </c>
      <c r="O99" s="102">
        <f>IFERROR(VLOOKUP($B99,MMWR_TRAD_AGG_ST_DISTRICT_PEN[],O$1,0),"ERROR")</f>
        <v>63</v>
      </c>
      <c r="P99" s="104">
        <f t="shared" si="11"/>
        <v>0.39130434782608697</v>
      </c>
      <c r="Q99" s="102">
        <f>IFERROR(VLOOKUP($B99,MMWR_TRAD_AGG_ST_DISTRICT_PEN[],Q$1,0),"ERROR")</f>
        <v>2001</v>
      </c>
      <c r="R99" s="106">
        <f>IFERROR(VLOOKUP($B99,MMWR_TRAD_AGG_ST_DISTRICT_PEN[],R$1,0),"ERROR")</f>
        <v>440</v>
      </c>
      <c r="S99" s="106">
        <f>IFERROR(VLOOKUP($B99,MMWR_APP_STATE_PEN[],S$1,0),"ERROR")</f>
        <v>1601</v>
      </c>
      <c r="T99" s="28"/>
    </row>
    <row r="100" spans="1:20" s="123" customFormat="1" x14ac:dyDescent="0.2">
      <c r="A100" s="28"/>
      <c r="B100" s="127" t="s">
        <v>418</v>
      </c>
      <c r="C100" s="109">
        <f>IFERROR(VLOOKUP($B100,MMWR_TRAD_AGG_STATE_PEN[],C$1,0),"ERROR")</f>
        <v>133</v>
      </c>
      <c r="D100" s="110">
        <f>IFERROR(VLOOKUP($B100,MMWR_TRAD_AGG_STATE_PEN[],D$1,0),"ERROR")</f>
        <v>57.541353383500002</v>
      </c>
      <c r="E100" s="111">
        <f>IFERROR(VLOOKUP($B100,MMWR_TRAD_AGG_STATE_PEN[],E$1,0),"ERROR")</f>
        <v>274</v>
      </c>
      <c r="F100" s="112">
        <f>IFERROR(VLOOKUP($B100,MMWR_TRAD_AGG_STATE_PEN[],F$1,0),"ERROR")</f>
        <v>25</v>
      </c>
      <c r="G100" s="113">
        <f t="shared" si="8"/>
        <v>9.1240875912408759E-2</v>
      </c>
      <c r="H100" s="111">
        <f>IFERROR(VLOOKUP($B100,MMWR_TRAD_AGG_STATE_PEN[],H$1,0),"ERROR")</f>
        <v>214</v>
      </c>
      <c r="I100" s="112">
        <f>IFERROR(VLOOKUP($B100,MMWR_TRAD_AGG_STATE_PEN[],I$1,0),"ERROR")</f>
        <v>24</v>
      </c>
      <c r="J100" s="114">
        <f t="shared" si="9"/>
        <v>0.11214953271028037</v>
      </c>
      <c r="K100" s="111">
        <f>IFERROR(VLOOKUP($B100,MMWR_TRAD_AGG_STATE_PEN[],K$1,0),"ERROR")</f>
        <v>5</v>
      </c>
      <c r="L100" s="112">
        <f>IFERROR(VLOOKUP($B100,MMWR_TRAD_AGG_STATE_PEN[],L$1,0),"ERROR")</f>
        <v>4</v>
      </c>
      <c r="M100" s="114">
        <f t="shared" si="10"/>
        <v>0.8</v>
      </c>
      <c r="N100" s="111">
        <f>IFERROR(VLOOKUP($B100,MMWR_TRAD_AGG_STATE_PEN[],N$1,0),"ERROR")</f>
        <v>21</v>
      </c>
      <c r="O100" s="112">
        <f>IFERROR(VLOOKUP($B100,MMWR_TRAD_AGG_STATE_PEN[],O$1,0),"ERROR")</f>
        <v>7</v>
      </c>
      <c r="P100" s="114">
        <f t="shared" si="11"/>
        <v>0.33333333333333331</v>
      </c>
      <c r="Q100" s="115">
        <f>IFERROR(VLOOKUP($B100,MMWR_TRAD_AGG_STATE_PEN[],Q$1,0),"ERROR")</f>
        <v>66</v>
      </c>
      <c r="R100" s="115">
        <f>IFERROR(VLOOKUP($B100,MMWR_TRAD_AGG_STATE_PEN[],R$1,0),"ERROR")</f>
        <v>28</v>
      </c>
      <c r="S100" s="115">
        <f>IFERROR(VLOOKUP($B100,MMWR_APP_STATE_PEN[],S$1,0),"ERROR")</f>
        <v>189</v>
      </c>
      <c r="T100" s="28"/>
    </row>
    <row r="101" spans="1:20" s="123" customFormat="1" x14ac:dyDescent="0.2">
      <c r="A101" s="28"/>
      <c r="B101" s="127" t="s">
        <v>410</v>
      </c>
      <c r="C101" s="109">
        <f>IFERROR(VLOOKUP($B101,MMWR_TRAD_AGG_STATE_PEN[],C$1,0),"ERROR")</f>
        <v>70</v>
      </c>
      <c r="D101" s="110">
        <f>IFERROR(VLOOKUP($B101,MMWR_TRAD_AGG_STATE_PEN[],D$1,0),"ERROR")</f>
        <v>44.557142857099997</v>
      </c>
      <c r="E101" s="111">
        <f>IFERROR(VLOOKUP($B101,MMWR_TRAD_AGG_STATE_PEN[],E$1,0),"ERROR")</f>
        <v>249</v>
      </c>
      <c r="F101" s="112">
        <f>IFERROR(VLOOKUP($B101,MMWR_TRAD_AGG_STATE_PEN[],F$1,0),"ERROR")</f>
        <v>9</v>
      </c>
      <c r="G101" s="113">
        <f t="shared" ref="G101:G127" si="12">IFERROR(F101/E101,"0%")</f>
        <v>3.614457831325301E-2</v>
      </c>
      <c r="H101" s="111">
        <f>IFERROR(VLOOKUP($B101,MMWR_TRAD_AGG_STATE_PEN[],H$1,0),"ERROR")</f>
        <v>130</v>
      </c>
      <c r="I101" s="112">
        <f>IFERROR(VLOOKUP($B101,MMWR_TRAD_AGG_STATE_PEN[],I$1,0),"ERROR")</f>
        <v>11</v>
      </c>
      <c r="J101" s="114">
        <f t="shared" ref="J101:J127" si="13">IFERROR(I101/H101,"0%")</f>
        <v>8.461538461538462E-2</v>
      </c>
      <c r="K101" s="111">
        <f>IFERROR(VLOOKUP($B101,MMWR_TRAD_AGG_STATE_PEN[],K$1,0),"ERROR")</f>
        <v>3</v>
      </c>
      <c r="L101" s="112">
        <f>IFERROR(VLOOKUP($B101,MMWR_TRAD_AGG_STATE_PEN[],L$1,0),"ERROR")</f>
        <v>3</v>
      </c>
      <c r="M101" s="114">
        <f t="shared" ref="M101:M127" si="14">IFERROR(L101/K101,"0%")</f>
        <v>1</v>
      </c>
      <c r="N101" s="111">
        <f>IFERROR(VLOOKUP($B101,MMWR_TRAD_AGG_STATE_PEN[],N$1,0),"ERROR")</f>
        <v>19</v>
      </c>
      <c r="O101" s="112">
        <f>IFERROR(VLOOKUP($B101,MMWR_TRAD_AGG_STATE_PEN[],O$1,0),"ERROR")</f>
        <v>12</v>
      </c>
      <c r="P101" s="114">
        <f t="shared" ref="P101:P127" si="15">IFERROR(O101/N101,"0%")</f>
        <v>0.63157894736842102</v>
      </c>
      <c r="Q101" s="115">
        <f>IFERROR(VLOOKUP($B101,MMWR_TRAD_AGG_STATE_PEN[],Q$1,0),"ERROR")</f>
        <v>218</v>
      </c>
      <c r="R101" s="115">
        <f>IFERROR(VLOOKUP($B101,MMWR_TRAD_AGG_STATE_PEN[],R$1,0),"ERROR")</f>
        <v>33</v>
      </c>
      <c r="S101" s="115">
        <f>IFERROR(VLOOKUP($B101,MMWR_APP_STATE_PEN[],S$1,0),"ERROR")</f>
        <v>114</v>
      </c>
      <c r="T101" s="28"/>
    </row>
    <row r="102" spans="1:20" s="123" customFormat="1" x14ac:dyDescent="0.2">
      <c r="A102" s="28"/>
      <c r="B102" s="127" t="s">
        <v>394</v>
      </c>
      <c r="C102" s="109">
        <f>IFERROR(VLOOKUP($B102,MMWR_TRAD_AGG_STATE_PEN[],C$1,0),"ERROR")</f>
        <v>227</v>
      </c>
      <c r="D102" s="110">
        <f>IFERROR(VLOOKUP($B102,MMWR_TRAD_AGG_STATE_PEN[],D$1,0),"ERROR")</f>
        <v>60.356828193799998</v>
      </c>
      <c r="E102" s="111">
        <f>IFERROR(VLOOKUP($B102,MMWR_TRAD_AGG_STATE_PEN[],E$1,0),"ERROR")</f>
        <v>465</v>
      </c>
      <c r="F102" s="112">
        <f>IFERROR(VLOOKUP($B102,MMWR_TRAD_AGG_STATE_PEN[],F$1,0),"ERROR")</f>
        <v>19</v>
      </c>
      <c r="G102" s="113">
        <f t="shared" si="12"/>
        <v>4.0860215053763443E-2</v>
      </c>
      <c r="H102" s="111">
        <f>IFERROR(VLOOKUP($B102,MMWR_TRAD_AGG_STATE_PEN[],H$1,0),"ERROR")</f>
        <v>371</v>
      </c>
      <c r="I102" s="112">
        <f>IFERROR(VLOOKUP($B102,MMWR_TRAD_AGG_STATE_PEN[],I$1,0),"ERROR")</f>
        <v>19</v>
      </c>
      <c r="J102" s="114">
        <f t="shared" si="13"/>
        <v>5.1212938005390833E-2</v>
      </c>
      <c r="K102" s="111">
        <f>IFERROR(VLOOKUP($B102,MMWR_TRAD_AGG_STATE_PEN[],K$1,0),"ERROR")</f>
        <v>2</v>
      </c>
      <c r="L102" s="112">
        <f>IFERROR(VLOOKUP($B102,MMWR_TRAD_AGG_STATE_PEN[],L$1,0),"ERROR")</f>
        <v>1</v>
      </c>
      <c r="M102" s="114">
        <f t="shared" si="14"/>
        <v>0.5</v>
      </c>
      <c r="N102" s="111">
        <f>IFERROR(VLOOKUP($B102,MMWR_TRAD_AGG_STATE_PEN[],N$1,0),"ERROR")</f>
        <v>24</v>
      </c>
      <c r="O102" s="112">
        <f>IFERROR(VLOOKUP($B102,MMWR_TRAD_AGG_STATE_PEN[],O$1,0),"ERROR")</f>
        <v>3</v>
      </c>
      <c r="P102" s="114">
        <f t="shared" si="15"/>
        <v>0.125</v>
      </c>
      <c r="Q102" s="115">
        <f>IFERROR(VLOOKUP($B102,MMWR_TRAD_AGG_STATE_PEN[],Q$1,0),"ERROR")</f>
        <v>77</v>
      </c>
      <c r="R102" s="115">
        <f>IFERROR(VLOOKUP($B102,MMWR_TRAD_AGG_STATE_PEN[],R$1,0),"ERROR")</f>
        <v>72</v>
      </c>
      <c r="S102" s="115">
        <f>IFERROR(VLOOKUP($B102,MMWR_APP_STATE_PEN[],S$1,0),"ERROR")</f>
        <v>197</v>
      </c>
      <c r="T102" s="28"/>
    </row>
    <row r="103" spans="1:20" s="123" customFormat="1" x14ac:dyDescent="0.2">
      <c r="A103" s="28"/>
      <c r="B103" s="127" t="s">
        <v>396</v>
      </c>
      <c r="C103" s="109">
        <f>IFERROR(VLOOKUP($B103,MMWR_TRAD_AGG_STATE_PEN[],C$1,0),"ERROR")</f>
        <v>132</v>
      </c>
      <c r="D103" s="110">
        <f>IFERROR(VLOOKUP($B103,MMWR_TRAD_AGG_STATE_PEN[],D$1,0),"ERROR")</f>
        <v>66.954545454500007</v>
      </c>
      <c r="E103" s="111">
        <f>IFERROR(VLOOKUP($B103,MMWR_TRAD_AGG_STATE_PEN[],E$1,0),"ERROR")</f>
        <v>306</v>
      </c>
      <c r="F103" s="112">
        <f>IFERROR(VLOOKUP($B103,MMWR_TRAD_AGG_STATE_PEN[],F$1,0),"ERROR")</f>
        <v>11</v>
      </c>
      <c r="G103" s="113">
        <f t="shared" si="12"/>
        <v>3.5947712418300651E-2</v>
      </c>
      <c r="H103" s="111">
        <f>IFERROR(VLOOKUP($B103,MMWR_TRAD_AGG_STATE_PEN[],H$1,0),"ERROR")</f>
        <v>224</v>
      </c>
      <c r="I103" s="112">
        <f>IFERROR(VLOOKUP($B103,MMWR_TRAD_AGG_STATE_PEN[],I$1,0),"ERROR")</f>
        <v>24</v>
      </c>
      <c r="J103" s="114">
        <f t="shared" si="13"/>
        <v>0.10714285714285714</v>
      </c>
      <c r="K103" s="111">
        <f>IFERROR(VLOOKUP($B103,MMWR_TRAD_AGG_STATE_PEN[],K$1,0),"ERROR")</f>
        <v>3</v>
      </c>
      <c r="L103" s="112">
        <f>IFERROR(VLOOKUP($B103,MMWR_TRAD_AGG_STATE_PEN[],L$1,0),"ERROR")</f>
        <v>3</v>
      </c>
      <c r="M103" s="114">
        <f t="shared" si="14"/>
        <v>1</v>
      </c>
      <c r="N103" s="111">
        <f>IFERROR(VLOOKUP($B103,MMWR_TRAD_AGG_STATE_PEN[],N$1,0),"ERROR")</f>
        <v>32</v>
      </c>
      <c r="O103" s="112">
        <f>IFERROR(VLOOKUP($B103,MMWR_TRAD_AGG_STATE_PEN[],O$1,0),"ERROR")</f>
        <v>4</v>
      </c>
      <c r="P103" s="114">
        <f t="shared" si="15"/>
        <v>0.125</v>
      </c>
      <c r="Q103" s="115">
        <f>IFERROR(VLOOKUP($B103,MMWR_TRAD_AGG_STATE_PEN[],Q$1,0),"ERROR")</f>
        <v>71</v>
      </c>
      <c r="R103" s="115">
        <f>IFERROR(VLOOKUP($B103,MMWR_TRAD_AGG_STATE_PEN[],R$1,0),"ERROR")</f>
        <v>29</v>
      </c>
      <c r="S103" s="115">
        <f>IFERROR(VLOOKUP($B103,MMWR_APP_STATE_PEN[],S$1,0),"ERROR")</f>
        <v>161</v>
      </c>
      <c r="T103" s="28"/>
    </row>
    <row r="104" spans="1:20" s="123" customFormat="1" x14ac:dyDescent="0.2">
      <c r="A104" s="28"/>
      <c r="B104" s="127" t="s">
        <v>425</v>
      </c>
      <c r="C104" s="109">
        <f>IFERROR(VLOOKUP($B104,MMWR_TRAD_AGG_STATE_PEN[],C$1,0),"ERROR")</f>
        <v>21</v>
      </c>
      <c r="D104" s="110">
        <f>IFERROR(VLOOKUP($B104,MMWR_TRAD_AGG_STATE_PEN[],D$1,0),"ERROR")</f>
        <v>49.380952381</v>
      </c>
      <c r="E104" s="111">
        <f>IFERROR(VLOOKUP($B104,MMWR_TRAD_AGG_STATE_PEN[],E$1,0),"ERROR")</f>
        <v>77</v>
      </c>
      <c r="F104" s="112">
        <f>IFERROR(VLOOKUP($B104,MMWR_TRAD_AGG_STATE_PEN[],F$1,0),"ERROR")</f>
        <v>4</v>
      </c>
      <c r="G104" s="113">
        <f t="shared" si="12"/>
        <v>5.1948051948051951E-2</v>
      </c>
      <c r="H104" s="111">
        <f>IFERROR(VLOOKUP($B104,MMWR_TRAD_AGG_STATE_PEN[],H$1,0),"ERROR")</f>
        <v>40</v>
      </c>
      <c r="I104" s="112">
        <f>IFERROR(VLOOKUP($B104,MMWR_TRAD_AGG_STATE_PEN[],I$1,0),"ERROR")</f>
        <v>3</v>
      </c>
      <c r="J104" s="114">
        <f t="shared" si="13"/>
        <v>7.4999999999999997E-2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80</v>
      </c>
      <c r="R104" s="115">
        <f>IFERROR(VLOOKUP($B104,MMWR_TRAD_AGG_STATE_PEN[],R$1,0),"ERROR")</f>
        <v>9</v>
      </c>
      <c r="S104" s="115">
        <f>IFERROR(VLOOKUP($B104,MMWR_APP_STATE_PEN[],S$1,0),"ERROR")</f>
        <v>5</v>
      </c>
      <c r="T104" s="28"/>
    </row>
    <row r="105" spans="1:20" s="123" customFormat="1" x14ac:dyDescent="0.2">
      <c r="A105" s="28"/>
      <c r="B105" s="127" t="s">
        <v>419</v>
      </c>
      <c r="C105" s="109">
        <f>IFERROR(VLOOKUP($B105,MMWR_TRAD_AGG_STATE_PEN[],C$1,0),"ERROR")</f>
        <v>99</v>
      </c>
      <c r="D105" s="110">
        <f>IFERROR(VLOOKUP($B105,MMWR_TRAD_AGG_STATE_PEN[],D$1,0),"ERROR")</f>
        <v>38.121212121200003</v>
      </c>
      <c r="E105" s="111">
        <f>IFERROR(VLOOKUP($B105,MMWR_TRAD_AGG_STATE_PEN[],E$1,0),"ERROR")</f>
        <v>282</v>
      </c>
      <c r="F105" s="112">
        <f>IFERROR(VLOOKUP($B105,MMWR_TRAD_AGG_STATE_PEN[],F$1,0),"ERROR")</f>
        <v>5</v>
      </c>
      <c r="G105" s="113">
        <f t="shared" si="12"/>
        <v>1.7730496453900711E-2</v>
      </c>
      <c r="H105" s="111">
        <f>IFERROR(VLOOKUP($B105,MMWR_TRAD_AGG_STATE_PEN[],H$1,0),"ERROR")</f>
        <v>153</v>
      </c>
      <c r="I105" s="112">
        <f>IFERROR(VLOOKUP($B105,MMWR_TRAD_AGG_STATE_PEN[],I$1,0),"ERROR")</f>
        <v>7</v>
      </c>
      <c r="J105" s="114">
        <f t="shared" si="13"/>
        <v>4.5751633986928102E-2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7</v>
      </c>
      <c r="P105" s="114">
        <f t="shared" si="15"/>
        <v>0.58333333333333337</v>
      </c>
      <c r="Q105" s="115">
        <f>IFERROR(VLOOKUP($B105,MMWR_TRAD_AGG_STATE_PEN[],Q$1,0),"ERROR")</f>
        <v>384</v>
      </c>
      <c r="R105" s="115">
        <f>IFERROR(VLOOKUP($B105,MMWR_TRAD_AGG_STATE_PEN[],R$1,0),"ERROR")</f>
        <v>49</v>
      </c>
      <c r="S105" s="115">
        <f>IFERROR(VLOOKUP($B105,MMWR_APP_STATE_PEN[],S$1,0),"ERROR")</f>
        <v>94</v>
      </c>
      <c r="T105" s="28"/>
    </row>
    <row r="106" spans="1:20" s="123" customFormat="1" x14ac:dyDescent="0.2">
      <c r="A106" s="28"/>
      <c r="B106" s="127" t="s">
        <v>417</v>
      </c>
      <c r="C106" s="109">
        <f>IFERROR(VLOOKUP($B106,MMWR_TRAD_AGG_STATE_PEN[],C$1,0),"ERROR")</f>
        <v>472</v>
      </c>
      <c r="D106" s="110">
        <f>IFERROR(VLOOKUP($B106,MMWR_TRAD_AGG_STATE_PEN[],D$1,0),"ERROR")</f>
        <v>50.764830508499998</v>
      </c>
      <c r="E106" s="111">
        <f>IFERROR(VLOOKUP($B106,MMWR_TRAD_AGG_STATE_PEN[],E$1,0),"ERROR")</f>
        <v>1445</v>
      </c>
      <c r="F106" s="112">
        <f>IFERROR(VLOOKUP($B106,MMWR_TRAD_AGG_STATE_PEN[],F$1,0),"ERROR")</f>
        <v>41</v>
      </c>
      <c r="G106" s="113">
        <f t="shared" si="12"/>
        <v>2.837370242214533E-2</v>
      </c>
      <c r="H106" s="111">
        <f>IFERROR(VLOOKUP($B106,MMWR_TRAD_AGG_STATE_PEN[],H$1,0),"ERROR")</f>
        <v>859</v>
      </c>
      <c r="I106" s="112">
        <f>IFERROR(VLOOKUP($B106,MMWR_TRAD_AGG_STATE_PEN[],I$1,0),"ERROR")</f>
        <v>62</v>
      </c>
      <c r="J106" s="114">
        <f t="shared" si="13"/>
        <v>7.2176949941792787E-2</v>
      </c>
      <c r="K106" s="111">
        <f>IFERROR(VLOOKUP($B106,MMWR_TRAD_AGG_STATE_PEN[],K$1,0),"ERROR")</f>
        <v>10</v>
      </c>
      <c r="L106" s="112">
        <f>IFERROR(VLOOKUP($B106,MMWR_TRAD_AGG_STATE_PEN[],L$1,0),"ERROR")</f>
        <v>8</v>
      </c>
      <c r="M106" s="114">
        <f t="shared" si="14"/>
        <v>0.8</v>
      </c>
      <c r="N106" s="111">
        <f>IFERROR(VLOOKUP($B106,MMWR_TRAD_AGG_STATE_PEN[],N$1,0),"ERROR")</f>
        <v>47</v>
      </c>
      <c r="O106" s="112">
        <f>IFERROR(VLOOKUP($B106,MMWR_TRAD_AGG_STATE_PEN[],O$1,0),"ERROR")</f>
        <v>26</v>
      </c>
      <c r="P106" s="114">
        <f t="shared" si="15"/>
        <v>0.55319148936170215</v>
      </c>
      <c r="Q106" s="115">
        <f>IFERROR(VLOOKUP($B106,MMWR_TRAD_AGG_STATE_PEN[],Q$1,0),"ERROR")</f>
        <v>957</v>
      </c>
      <c r="R106" s="115">
        <f>IFERROR(VLOOKUP($B106,MMWR_TRAD_AGG_STATE_PEN[],R$1,0),"ERROR")</f>
        <v>203</v>
      </c>
      <c r="S106" s="115">
        <f>IFERROR(VLOOKUP($B106,MMWR_APP_STATE_PEN[],S$1,0),"ERROR")</f>
        <v>812</v>
      </c>
      <c r="T106" s="28"/>
    </row>
    <row r="107" spans="1:20" s="123" customFormat="1" x14ac:dyDescent="0.2">
      <c r="A107" s="28"/>
      <c r="B107" s="127" t="s">
        <v>413</v>
      </c>
      <c r="C107" s="109">
        <f>IFERROR(VLOOKUP($B107,MMWR_TRAD_AGG_STATE_PEN[],C$1,0),"ERROR")</f>
        <v>33</v>
      </c>
      <c r="D107" s="110">
        <f>IFERROR(VLOOKUP($B107,MMWR_TRAD_AGG_STATE_PEN[],D$1,0),"ERROR")</f>
        <v>49.939393939399999</v>
      </c>
      <c r="E107" s="111">
        <f>IFERROR(VLOOKUP($B107,MMWR_TRAD_AGG_STATE_PEN[],E$1,0),"ERROR")</f>
        <v>202</v>
      </c>
      <c r="F107" s="112">
        <f>IFERROR(VLOOKUP($B107,MMWR_TRAD_AGG_STATE_PEN[],F$1,0),"ERROR")</f>
        <v>6</v>
      </c>
      <c r="G107" s="113">
        <f t="shared" si="12"/>
        <v>2.9702970297029702E-2</v>
      </c>
      <c r="H107" s="111">
        <f>IFERROR(VLOOKUP($B107,MMWR_TRAD_AGG_STATE_PEN[],H$1,0),"ERROR")</f>
        <v>51</v>
      </c>
      <c r="I107" s="112">
        <f>IFERROR(VLOOKUP($B107,MMWR_TRAD_AGG_STATE_PEN[],I$1,0),"ERROR")</f>
        <v>1</v>
      </c>
      <c r="J107" s="114">
        <f t="shared" si="13"/>
        <v>1.9607843137254902E-2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3</v>
      </c>
      <c r="P107" s="114">
        <f t="shared" si="15"/>
        <v>0.75</v>
      </c>
      <c r="Q107" s="115">
        <f>IFERROR(VLOOKUP($B107,MMWR_TRAD_AGG_STATE_PEN[],Q$1,0),"ERROR")</f>
        <v>94</v>
      </c>
      <c r="R107" s="115">
        <f>IFERROR(VLOOKUP($B107,MMWR_TRAD_AGG_STATE_PEN[],R$1,0),"ERROR")</f>
        <v>14</v>
      </c>
      <c r="S107" s="115">
        <f>IFERROR(VLOOKUP($B107,MMWR_APP_STATE_PEN[],S$1,0),"ERROR")</f>
        <v>22</v>
      </c>
      <c r="T107" s="28"/>
    </row>
    <row r="108" spans="1:20" s="123" customFormat="1" x14ac:dyDescent="0.2">
      <c r="A108" s="28"/>
      <c r="B108" s="127" t="s">
        <v>428</v>
      </c>
      <c r="C108" s="109">
        <f>IFERROR(VLOOKUP($B108,MMWR_TRAD_AGG_STATE_PEN[],C$1,0),"ERROR")</f>
        <v>9</v>
      </c>
      <c r="D108" s="110">
        <f>IFERROR(VLOOKUP($B108,MMWR_TRAD_AGG_STATE_PEN[],D$1,0),"ERROR")</f>
        <v>28.555555555600002</v>
      </c>
      <c r="E108" s="111">
        <f>IFERROR(VLOOKUP($B108,MMWR_TRAD_AGG_STATE_PEN[],E$1,0),"ERROR")</f>
        <v>23</v>
      </c>
      <c r="F108" s="112">
        <f>IFERROR(VLOOKUP($B108,MMWR_TRAD_AGG_STATE_PEN[],F$1,0),"ERROR")</f>
        <v>0</v>
      </c>
      <c r="G108" s="113">
        <f t="shared" si="12"/>
        <v>0</v>
      </c>
      <c r="H108" s="111">
        <f>IFERROR(VLOOKUP($B108,MMWR_TRAD_AGG_STATE_PEN[],H$1,0),"ERROR")</f>
        <v>16</v>
      </c>
      <c r="I108" s="112">
        <f>IFERROR(VLOOKUP($B108,MMWR_TRAD_AGG_STATE_PEN[],I$1,0),"ERROR")</f>
        <v>1</v>
      </c>
      <c r="J108" s="114">
        <f t="shared" si="13"/>
        <v>6.25E-2</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54</v>
      </c>
      <c r="R108" s="115">
        <f>IFERROR(VLOOKUP($B108,MMWR_TRAD_AGG_STATE_PEN[],R$1,0),"ERROR")</f>
        <v>3</v>
      </c>
      <c r="S108" s="115">
        <f>IFERROR(VLOOKUP($B108,MMWR_APP_STATE_PEN[],S$1,0),"ERROR")</f>
        <v>7</v>
      </c>
      <c r="T108" s="28"/>
    </row>
    <row r="109" spans="1:20" s="123" customFormat="1" x14ac:dyDescent="0.2">
      <c r="A109" s="28"/>
      <c r="B109" s="126" t="s">
        <v>411</v>
      </c>
      <c r="C109" s="102">
        <f>IFERROR(VLOOKUP($B109,MMWR_TRAD_AGG_ST_DISTRICT_PEN[],C$1,0),"ERROR")</f>
        <v>948</v>
      </c>
      <c r="D109" s="103">
        <f>IFERROR(VLOOKUP($B109,MMWR_TRAD_AGG_ST_DISTRICT_PEN[],D$1,0),"ERROR")</f>
        <v>51.206751054900003</v>
      </c>
      <c r="E109" s="102">
        <f>IFERROR(VLOOKUP($B109,MMWR_TRAD_AGG_ST_DISTRICT_PEN[],E$1,0),"ERROR")</f>
        <v>3724</v>
      </c>
      <c r="F109" s="102">
        <f>IFERROR(VLOOKUP($B109,MMWR_TRAD_AGG_ST_DISTRICT_PEN[],F$1,0),"ERROR")</f>
        <v>130</v>
      </c>
      <c r="G109" s="104">
        <f t="shared" si="12"/>
        <v>3.4908700322234157E-2</v>
      </c>
      <c r="H109" s="102">
        <f>IFERROR(VLOOKUP($B109,MMWR_TRAD_AGG_ST_DISTRICT_PEN[],H$1,0),"ERROR")</f>
        <v>1641</v>
      </c>
      <c r="I109" s="102">
        <f>IFERROR(VLOOKUP($B109,MMWR_TRAD_AGG_ST_DISTRICT_PEN[],I$1,0),"ERROR")</f>
        <v>97</v>
      </c>
      <c r="J109" s="104">
        <f t="shared" si="13"/>
        <v>5.91102985984156E-2</v>
      </c>
      <c r="K109" s="102">
        <f>IFERROR(VLOOKUP($B109,MMWR_TRAD_AGG_ST_DISTRICT_PEN[],K$1,0),"ERROR")</f>
        <v>15</v>
      </c>
      <c r="L109" s="102">
        <f>IFERROR(VLOOKUP($B109,MMWR_TRAD_AGG_ST_DISTRICT_PEN[],L$1,0),"ERROR")</f>
        <v>15</v>
      </c>
      <c r="M109" s="104">
        <f t="shared" si="14"/>
        <v>1</v>
      </c>
      <c r="N109" s="102">
        <f>IFERROR(VLOOKUP($B109,MMWR_TRAD_AGG_ST_DISTRICT_PEN[],N$1,0),"ERROR")</f>
        <v>110</v>
      </c>
      <c r="O109" s="102">
        <f>IFERROR(VLOOKUP($B109,MMWR_TRAD_AGG_ST_DISTRICT_PEN[],O$1,0),"ERROR")</f>
        <v>50</v>
      </c>
      <c r="P109" s="104">
        <f t="shared" si="15"/>
        <v>0.45454545454545453</v>
      </c>
      <c r="Q109" s="102">
        <f>IFERROR(VLOOKUP($B109,MMWR_TRAD_AGG_ST_DISTRICT_PEN[],Q$1,0),"ERROR")</f>
        <v>2065</v>
      </c>
      <c r="R109" s="106">
        <f>IFERROR(VLOOKUP($B109,MMWR_TRAD_AGG_ST_DISTRICT_PEN[],R$1,0),"ERROR")</f>
        <v>393</v>
      </c>
      <c r="S109" s="106">
        <f>IFERROR(VLOOKUP($B109,MMWR_APP_STATE_PEN[],S$1,0),"ERROR")</f>
        <v>828</v>
      </c>
      <c r="T109" s="28"/>
    </row>
    <row r="110" spans="1:20" s="123" customFormat="1" x14ac:dyDescent="0.2">
      <c r="A110" s="28"/>
      <c r="B110" s="127" t="s">
        <v>431</v>
      </c>
      <c r="C110" s="109">
        <f>IFERROR(VLOOKUP($B110,MMWR_TRAD_AGG_STATE_PEN[],C$1,0),"ERROR")</f>
        <v>9</v>
      </c>
      <c r="D110" s="110">
        <f>IFERROR(VLOOKUP($B110,MMWR_TRAD_AGG_STATE_PEN[],D$1,0),"ERROR")</f>
        <v>51.777777777799997</v>
      </c>
      <c r="E110" s="111">
        <f>IFERROR(VLOOKUP($B110,MMWR_TRAD_AGG_STATE_PEN[],E$1,0),"ERROR")</f>
        <v>11</v>
      </c>
      <c r="F110" s="112">
        <f>IFERROR(VLOOKUP($B110,MMWR_TRAD_AGG_STATE_PEN[],F$1,0),"ERROR")</f>
        <v>0</v>
      </c>
      <c r="G110" s="113">
        <f t="shared" si="12"/>
        <v>0</v>
      </c>
      <c r="H110" s="111">
        <f>IFERROR(VLOOKUP($B110,MMWR_TRAD_AGG_STATE_PEN[],H$1,0),"ERROR")</f>
        <v>13</v>
      </c>
      <c r="I110" s="112">
        <f>IFERROR(VLOOKUP($B110,MMWR_TRAD_AGG_STATE_PEN[],I$1,0),"ERROR")</f>
        <v>0</v>
      </c>
      <c r="J110" s="114">
        <f t="shared" si="13"/>
        <v>0</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0</v>
      </c>
      <c r="P110" s="114">
        <f t="shared" si="15"/>
        <v>0</v>
      </c>
      <c r="Q110" s="115">
        <f>IFERROR(VLOOKUP($B110,MMWR_TRAD_AGG_STATE_PEN[],Q$1,0),"ERROR")</f>
        <v>12</v>
      </c>
      <c r="R110" s="115">
        <f>IFERROR(VLOOKUP($B110,MMWR_TRAD_AGG_STATE_PEN[],R$1,0),"ERROR")</f>
        <v>1</v>
      </c>
      <c r="S110" s="115">
        <f>IFERROR(VLOOKUP($B110,MMWR_APP_STATE_PEN[],S$1,0),"ERROR")</f>
        <v>2</v>
      </c>
      <c r="T110" s="28"/>
    </row>
    <row r="111" spans="1:20" s="123" customFormat="1" x14ac:dyDescent="0.2">
      <c r="A111" s="28"/>
      <c r="B111" s="127" t="s">
        <v>433</v>
      </c>
      <c r="C111" s="109">
        <f>IFERROR(VLOOKUP($B111,MMWR_TRAD_AGG_STATE_PEN[],C$1,0),"ERROR")</f>
        <v>115</v>
      </c>
      <c r="D111" s="110">
        <f>IFERROR(VLOOKUP($B111,MMWR_TRAD_AGG_STATE_PEN[],D$1,0),"ERROR")</f>
        <v>61.556521739099999</v>
      </c>
      <c r="E111" s="111">
        <f>IFERROR(VLOOKUP($B111,MMWR_TRAD_AGG_STATE_PEN[],E$1,0),"ERROR")</f>
        <v>460</v>
      </c>
      <c r="F111" s="112">
        <f>IFERROR(VLOOKUP($B111,MMWR_TRAD_AGG_STATE_PEN[],F$1,0),"ERROR")</f>
        <v>17</v>
      </c>
      <c r="G111" s="113">
        <f t="shared" si="12"/>
        <v>3.6956521739130437E-2</v>
      </c>
      <c r="H111" s="111">
        <f>IFERROR(VLOOKUP($B111,MMWR_TRAD_AGG_STATE_PEN[],H$1,0),"ERROR")</f>
        <v>196</v>
      </c>
      <c r="I111" s="112">
        <f>IFERROR(VLOOKUP($B111,MMWR_TRAD_AGG_STATE_PEN[],I$1,0),"ERROR")</f>
        <v>18</v>
      </c>
      <c r="J111" s="114">
        <f t="shared" si="13"/>
        <v>9.1836734693877556E-2</v>
      </c>
      <c r="K111" s="111">
        <f>IFERROR(VLOOKUP($B111,MMWR_TRAD_AGG_STATE_PEN[],K$1,0),"ERROR")</f>
        <v>3</v>
      </c>
      <c r="L111" s="112">
        <f>IFERROR(VLOOKUP($B111,MMWR_TRAD_AGG_STATE_PEN[],L$1,0),"ERROR")</f>
        <v>3</v>
      </c>
      <c r="M111" s="114">
        <f t="shared" si="14"/>
        <v>1</v>
      </c>
      <c r="N111" s="111">
        <f>IFERROR(VLOOKUP($B111,MMWR_TRAD_AGG_STATE_PEN[],N$1,0),"ERROR")</f>
        <v>14</v>
      </c>
      <c r="O111" s="112">
        <f>IFERROR(VLOOKUP($B111,MMWR_TRAD_AGG_STATE_PEN[],O$1,0),"ERROR")</f>
        <v>4</v>
      </c>
      <c r="P111" s="114">
        <f t="shared" si="15"/>
        <v>0.2857142857142857</v>
      </c>
      <c r="Q111" s="115">
        <f>IFERROR(VLOOKUP($B111,MMWR_TRAD_AGG_STATE_PEN[],Q$1,0),"ERROR")</f>
        <v>247</v>
      </c>
      <c r="R111" s="115">
        <f>IFERROR(VLOOKUP($B111,MMWR_TRAD_AGG_STATE_PEN[],R$1,0),"ERROR")</f>
        <v>39</v>
      </c>
      <c r="S111" s="115">
        <f>IFERROR(VLOOKUP($B111,MMWR_APP_STATE_PEN[],S$1,0),"ERROR")</f>
        <v>163</v>
      </c>
      <c r="T111" s="28"/>
    </row>
    <row r="112" spans="1:20" s="123" customFormat="1" x14ac:dyDescent="0.2">
      <c r="A112" s="28"/>
      <c r="B112" s="127" t="s">
        <v>414</v>
      </c>
      <c r="C112" s="109">
        <f>IFERROR(VLOOKUP($B112,MMWR_TRAD_AGG_STATE_PEN[],C$1,0),"ERROR")</f>
        <v>499</v>
      </c>
      <c r="D112" s="110">
        <f>IFERROR(VLOOKUP($B112,MMWR_TRAD_AGG_STATE_PEN[],D$1,0),"ERROR")</f>
        <v>50.366733466900001</v>
      </c>
      <c r="E112" s="111">
        <f>IFERROR(VLOOKUP($B112,MMWR_TRAD_AGG_STATE_PEN[],E$1,0),"ERROR")</f>
        <v>2036</v>
      </c>
      <c r="F112" s="112">
        <f>IFERROR(VLOOKUP($B112,MMWR_TRAD_AGG_STATE_PEN[],F$1,0),"ERROR")</f>
        <v>72</v>
      </c>
      <c r="G112" s="113">
        <f t="shared" si="12"/>
        <v>3.536345776031434E-2</v>
      </c>
      <c r="H112" s="111">
        <f>IFERROR(VLOOKUP($B112,MMWR_TRAD_AGG_STATE_PEN[],H$1,0),"ERROR")</f>
        <v>827</v>
      </c>
      <c r="I112" s="112">
        <f>IFERROR(VLOOKUP($B112,MMWR_TRAD_AGG_STATE_PEN[],I$1,0),"ERROR")</f>
        <v>41</v>
      </c>
      <c r="J112" s="114">
        <f t="shared" si="13"/>
        <v>4.9576783555018135E-2</v>
      </c>
      <c r="K112" s="111">
        <f>IFERROR(VLOOKUP($B112,MMWR_TRAD_AGG_STATE_PEN[],K$1,0),"ERROR")</f>
        <v>8</v>
      </c>
      <c r="L112" s="112">
        <f>IFERROR(VLOOKUP($B112,MMWR_TRAD_AGG_STATE_PEN[],L$1,0),"ERROR")</f>
        <v>8</v>
      </c>
      <c r="M112" s="114">
        <f t="shared" si="14"/>
        <v>1</v>
      </c>
      <c r="N112" s="111">
        <f>IFERROR(VLOOKUP($B112,MMWR_TRAD_AGG_STATE_PEN[],N$1,0),"ERROR")</f>
        <v>67</v>
      </c>
      <c r="O112" s="112">
        <f>IFERROR(VLOOKUP($B112,MMWR_TRAD_AGG_STATE_PEN[],O$1,0),"ERROR")</f>
        <v>34</v>
      </c>
      <c r="P112" s="114">
        <f t="shared" si="15"/>
        <v>0.5074626865671642</v>
      </c>
      <c r="Q112" s="115">
        <f>IFERROR(VLOOKUP($B112,MMWR_TRAD_AGG_STATE_PEN[],Q$1,0),"ERROR")</f>
        <v>870</v>
      </c>
      <c r="R112" s="115">
        <f>IFERROR(VLOOKUP($B112,MMWR_TRAD_AGG_STATE_PEN[],R$1,0),"ERROR")</f>
        <v>221</v>
      </c>
      <c r="S112" s="115">
        <f>IFERROR(VLOOKUP($B112,MMWR_APP_STATE_PEN[],S$1,0),"ERROR")</f>
        <v>436</v>
      </c>
      <c r="T112" s="28"/>
    </row>
    <row r="113" spans="1:20" s="123" customFormat="1" x14ac:dyDescent="0.2">
      <c r="A113" s="28"/>
      <c r="B113" s="127" t="s">
        <v>435</v>
      </c>
      <c r="C113" s="109">
        <f>IFERROR(VLOOKUP($B113,MMWR_TRAD_AGG_STATE_PEN[],C$1,0),"ERROR")</f>
        <v>14</v>
      </c>
      <c r="D113" s="110">
        <f>IFERROR(VLOOKUP($B113,MMWR_TRAD_AGG_STATE_PEN[],D$1,0),"ERROR")</f>
        <v>44.428571428600002</v>
      </c>
      <c r="E113" s="111">
        <f>IFERROR(VLOOKUP($B113,MMWR_TRAD_AGG_STATE_PEN[],E$1,0),"ERROR")</f>
        <v>34</v>
      </c>
      <c r="F113" s="112">
        <f>IFERROR(VLOOKUP($B113,MMWR_TRAD_AGG_STATE_PEN[],F$1,0),"ERROR")</f>
        <v>3</v>
      </c>
      <c r="G113" s="113">
        <f t="shared" si="12"/>
        <v>8.8235294117647065E-2</v>
      </c>
      <c r="H113" s="111">
        <f>IFERROR(VLOOKUP($B113,MMWR_TRAD_AGG_STATE_PEN[],H$1,0),"ERROR")</f>
        <v>21</v>
      </c>
      <c r="I113" s="112">
        <f>IFERROR(VLOOKUP($B113,MMWR_TRAD_AGG_STATE_PEN[],I$1,0),"ERROR")</f>
        <v>0</v>
      </c>
      <c r="J113" s="114">
        <f t="shared" si="13"/>
        <v>0</v>
      </c>
      <c r="K113" s="111">
        <f>IFERROR(VLOOKUP($B113,MMWR_TRAD_AGG_STATE_PEN[],K$1,0),"ERROR")</f>
        <v>2</v>
      </c>
      <c r="L113" s="112">
        <f>IFERROR(VLOOKUP($B113,MMWR_TRAD_AGG_STATE_PEN[],L$1,0),"ERROR")</f>
        <v>2</v>
      </c>
      <c r="M113" s="114">
        <f t="shared" si="14"/>
        <v>1</v>
      </c>
      <c r="N113" s="111">
        <f>IFERROR(VLOOKUP($B113,MMWR_TRAD_AGG_STATE_PEN[],N$1,0),"ERROR")</f>
        <v>0</v>
      </c>
      <c r="O113" s="112">
        <f>IFERROR(VLOOKUP($B113,MMWR_TRAD_AGG_STATE_PEN[],O$1,0),"ERROR")</f>
        <v>0</v>
      </c>
      <c r="P113" s="114" t="str">
        <f t="shared" si="15"/>
        <v>0%</v>
      </c>
      <c r="Q113" s="115">
        <f>IFERROR(VLOOKUP($B113,MMWR_TRAD_AGG_STATE_PEN[],Q$1,0),"ERROR")</f>
        <v>46</v>
      </c>
      <c r="R113" s="115">
        <f>IFERROR(VLOOKUP($B113,MMWR_TRAD_AGG_STATE_PEN[],R$1,0),"ERROR")</f>
        <v>5</v>
      </c>
      <c r="S113" s="115">
        <f>IFERROR(VLOOKUP($B113,MMWR_APP_STATE_PEN[],S$1,0),"ERROR")</f>
        <v>11</v>
      </c>
      <c r="T113" s="28"/>
    </row>
    <row r="114" spans="1:20" s="123" customFormat="1" x14ac:dyDescent="0.2">
      <c r="A114" s="28"/>
      <c r="B114" s="127" t="s">
        <v>415</v>
      </c>
      <c r="C114" s="109">
        <f>IFERROR(VLOOKUP($B114,MMWR_TRAD_AGG_STATE_PEN[],C$1,0),"ERROR")</f>
        <v>35</v>
      </c>
      <c r="D114" s="110">
        <f>IFERROR(VLOOKUP($B114,MMWR_TRAD_AGG_STATE_PEN[],D$1,0),"ERROR")</f>
        <v>50.0857142857</v>
      </c>
      <c r="E114" s="111">
        <f>IFERROR(VLOOKUP($B114,MMWR_TRAD_AGG_STATE_PEN[],E$1,0),"ERROR")</f>
        <v>114</v>
      </c>
      <c r="F114" s="112">
        <f>IFERROR(VLOOKUP($B114,MMWR_TRAD_AGG_STATE_PEN[],F$1,0),"ERROR")</f>
        <v>3</v>
      </c>
      <c r="G114" s="113">
        <f t="shared" si="12"/>
        <v>2.6315789473684209E-2</v>
      </c>
      <c r="H114" s="111">
        <f>IFERROR(VLOOKUP($B114,MMWR_TRAD_AGG_STATE_PEN[],H$1,0),"ERROR")</f>
        <v>57</v>
      </c>
      <c r="I114" s="112">
        <f>IFERROR(VLOOKUP($B114,MMWR_TRAD_AGG_STATE_PEN[],I$1,0),"ERROR")</f>
        <v>1</v>
      </c>
      <c r="J114" s="114">
        <f t="shared" si="13"/>
        <v>1.7543859649122806E-2</v>
      </c>
      <c r="K114" s="111">
        <f>IFERROR(VLOOKUP($B114,MMWR_TRAD_AGG_STATE_PEN[],K$1,0),"ERROR")</f>
        <v>1</v>
      </c>
      <c r="L114" s="112">
        <f>IFERROR(VLOOKUP($B114,MMWR_TRAD_AGG_STATE_PEN[],L$1,0),"ERROR")</f>
        <v>1</v>
      </c>
      <c r="M114" s="114">
        <f t="shared" si="14"/>
        <v>1</v>
      </c>
      <c r="N114" s="111">
        <f>IFERROR(VLOOKUP($B114,MMWR_TRAD_AGG_STATE_PEN[],N$1,0),"ERROR")</f>
        <v>1</v>
      </c>
      <c r="O114" s="112">
        <f>IFERROR(VLOOKUP($B114,MMWR_TRAD_AGG_STATE_PEN[],O$1,0),"ERROR")</f>
        <v>0</v>
      </c>
      <c r="P114" s="114">
        <f t="shared" si="15"/>
        <v>0</v>
      </c>
      <c r="Q114" s="115">
        <f>IFERROR(VLOOKUP($B114,MMWR_TRAD_AGG_STATE_PEN[],Q$1,0),"ERROR")</f>
        <v>93</v>
      </c>
      <c r="R114" s="115">
        <f>IFERROR(VLOOKUP($B114,MMWR_TRAD_AGG_STATE_PEN[],R$1,0),"ERROR")</f>
        <v>9</v>
      </c>
      <c r="S114" s="115">
        <f>IFERROR(VLOOKUP($B114,MMWR_APP_STATE_PEN[],S$1,0),"ERROR")</f>
        <v>11</v>
      </c>
      <c r="T114" s="28"/>
    </row>
    <row r="115" spans="1:20" s="123" customFormat="1" x14ac:dyDescent="0.2">
      <c r="A115" s="28"/>
      <c r="B115" s="127" t="s">
        <v>420</v>
      </c>
      <c r="C115" s="109">
        <f>IFERROR(VLOOKUP($B115,MMWR_TRAD_AGG_STATE_PEN[],C$1,0),"ERROR")</f>
        <v>43</v>
      </c>
      <c r="D115" s="110">
        <f>IFERROR(VLOOKUP($B115,MMWR_TRAD_AGG_STATE_PEN[],D$1,0),"ERROR")</f>
        <v>57.627906976699997</v>
      </c>
      <c r="E115" s="111">
        <f>IFERROR(VLOOKUP($B115,MMWR_TRAD_AGG_STATE_PEN[],E$1,0),"ERROR")</f>
        <v>185</v>
      </c>
      <c r="F115" s="112">
        <f>IFERROR(VLOOKUP($B115,MMWR_TRAD_AGG_STATE_PEN[],F$1,0),"ERROR")</f>
        <v>4</v>
      </c>
      <c r="G115" s="113">
        <f t="shared" si="12"/>
        <v>2.1621621621621623E-2</v>
      </c>
      <c r="H115" s="111">
        <f>IFERROR(VLOOKUP($B115,MMWR_TRAD_AGG_STATE_PEN[],H$1,0),"ERROR")</f>
        <v>79</v>
      </c>
      <c r="I115" s="112">
        <f>IFERROR(VLOOKUP($B115,MMWR_TRAD_AGG_STATE_PEN[],I$1,0),"ERROR")</f>
        <v>5</v>
      </c>
      <c r="J115" s="114">
        <f t="shared" si="13"/>
        <v>6.3291139240506333E-2</v>
      </c>
      <c r="K115" s="111">
        <f>IFERROR(VLOOKUP($B115,MMWR_TRAD_AGG_STATE_PEN[],K$1,0),"ERROR")</f>
        <v>0</v>
      </c>
      <c r="L115" s="112">
        <f>IFERROR(VLOOKUP($B115,MMWR_TRAD_AGG_STATE_PEN[],L$1,0),"ERROR")</f>
        <v>0</v>
      </c>
      <c r="M115" s="114" t="str">
        <f t="shared" si="14"/>
        <v>0%</v>
      </c>
      <c r="N115" s="111">
        <f>IFERROR(VLOOKUP($B115,MMWR_TRAD_AGG_STATE_PEN[],N$1,0),"ERROR")</f>
        <v>6</v>
      </c>
      <c r="O115" s="112">
        <f>IFERROR(VLOOKUP($B115,MMWR_TRAD_AGG_STATE_PEN[],O$1,0),"ERROR")</f>
        <v>4</v>
      </c>
      <c r="P115" s="114">
        <f t="shared" si="15"/>
        <v>0.66666666666666663</v>
      </c>
      <c r="Q115" s="115">
        <f>IFERROR(VLOOKUP($B115,MMWR_TRAD_AGG_STATE_PEN[],Q$1,0),"ERROR")</f>
        <v>100</v>
      </c>
      <c r="R115" s="115">
        <f>IFERROR(VLOOKUP($B115,MMWR_TRAD_AGG_STATE_PEN[],R$1,0),"ERROR")</f>
        <v>21</v>
      </c>
      <c r="S115" s="115">
        <f>IFERROR(VLOOKUP($B115,MMWR_APP_STATE_PEN[],S$1,0),"ERROR")</f>
        <v>33</v>
      </c>
      <c r="T115" s="28"/>
    </row>
    <row r="116" spans="1:20" s="123" customFormat="1" x14ac:dyDescent="0.2">
      <c r="A116" s="28"/>
      <c r="B116" s="127" t="s">
        <v>412</v>
      </c>
      <c r="C116" s="109">
        <f>IFERROR(VLOOKUP($B116,MMWR_TRAD_AGG_STATE_PEN[],C$1,0),"ERROR")</f>
        <v>45</v>
      </c>
      <c r="D116" s="110">
        <f>IFERROR(VLOOKUP($B116,MMWR_TRAD_AGG_STATE_PEN[],D$1,0),"ERROR")</f>
        <v>48.688888888900003</v>
      </c>
      <c r="E116" s="111">
        <f>IFERROR(VLOOKUP($B116,MMWR_TRAD_AGG_STATE_PEN[],E$1,0),"ERROR")</f>
        <v>145</v>
      </c>
      <c r="F116" s="112">
        <f>IFERROR(VLOOKUP($B116,MMWR_TRAD_AGG_STATE_PEN[],F$1,0),"ERROR")</f>
        <v>0</v>
      </c>
      <c r="G116" s="113">
        <f t="shared" si="12"/>
        <v>0</v>
      </c>
      <c r="H116" s="111">
        <f>IFERROR(VLOOKUP($B116,MMWR_TRAD_AGG_STATE_PEN[],H$1,0),"ERROR")</f>
        <v>70</v>
      </c>
      <c r="I116" s="112">
        <f>IFERROR(VLOOKUP($B116,MMWR_TRAD_AGG_STATE_PEN[],I$1,0),"ERROR")</f>
        <v>4</v>
      </c>
      <c r="J116" s="114">
        <f t="shared" si="13"/>
        <v>5.7142857142857141E-2</v>
      </c>
      <c r="K116" s="111">
        <f>IFERROR(VLOOKUP($B116,MMWR_TRAD_AGG_STATE_PEN[],K$1,0),"ERROR")</f>
        <v>0</v>
      </c>
      <c r="L116" s="112">
        <f>IFERROR(VLOOKUP($B116,MMWR_TRAD_AGG_STATE_PEN[],L$1,0),"ERROR")</f>
        <v>0</v>
      </c>
      <c r="M116" s="114" t="str">
        <f t="shared" si="14"/>
        <v>0%</v>
      </c>
      <c r="N116" s="111">
        <f>IFERROR(VLOOKUP($B116,MMWR_TRAD_AGG_STATE_PEN[],N$1,0),"ERROR")</f>
        <v>3</v>
      </c>
      <c r="O116" s="112">
        <f>IFERROR(VLOOKUP($B116,MMWR_TRAD_AGG_STATE_PEN[],O$1,0),"ERROR")</f>
        <v>1</v>
      </c>
      <c r="P116" s="114">
        <f t="shared" si="15"/>
        <v>0.33333333333333331</v>
      </c>
      <c r="Q116" s="115">
        <f>IFERROR(VLOOKUP($B116,MMWR_TRAD_AGG_STATE_PEN[],Q$1,0),"ERROR")</f>
        <v>164</v>
      </c>
      <c r="R116" s="115">
        <f>IFERROR(VLOOKUP($B116,MMWR_TRAD_AGG_STATE_PEN[],R$1,0),"ERROR")</f>
        <v>13</v>
      </c>
      <c r="S116" s="115">
        <f>IFERROR(VLOOKUP($B116,MMWR_APP_STATE_PEN[],S$1,0),"ERROR")</f>
        <v>35</v>
      </c>
      <c r="T116" s="28"/>
    </row>
    <row r="117" spans="1:20" s="123" customFormat="1" x14ac:dyDescent="0.2">
      <c r="A117" s="28"/>
      <c r="B117" s="127" t="s">
        <v>416</v>
      </c>
      <c r="C117" s="109">
        <f>IFERROR(VLOOKUP($B117,MMWR_TRAD_AGG_STATE_PEN[],C$1,0),"ERROR")</f>
        <v>66</v>
      </c>
      <c r="D117" s="110">
        <f>IFERROR(VLOOKUP($B117,MMWR_TRAD_AGG_STATE_PEN[],D$1,0),"ERROR")</f>
        <v>52.257575757600002</v>
      </c>
      <c r="E117" s="111">
        <f>IFERROR(VLOOKUP($B117,MMWR_TRAD_AGG_STATE_PEN[],E$1,0),"ERROR")</f>
        <v>265</v>
      </c>
      <c r="F117" s="112">
        <f>IFERROR(VLOOKUP($B117,MMWR_TRAD_AGG_STATE_PEN[],F$1,0),"ERROR")</f>
        <v>12</v>
      </c>
      <c r="G117" s="113">
        <f t="shared" si="12"/>
        <v>4.5283018867924525E-2</v>
      </c>
      <c r="H117" s="111">
        <f>IFERROR(VLOOKUP($B117,MMWR_TRAD_AGG_STATE_PEN[],H$1,0),"ERROR")</f>
        <v>123</v>
      </c>
      <c r="I117" s="112">
        <f>IFERROR(VLOOKUP($B117,MMWR_TRAD_AGG_STATE_PEN[],I$1,0),"ERROR")</f>
        <v>5</v>
      </c>
      <c r="J117" s="114">
        <f t="shared" si="13"/>
        <v>4.065040650406504E-2</v>
      </c>
      <c r="K117" s="111">
        <f>IFERROR(VLOOKUP($B117,MMWR_TRAD_AGG_STATE_PEN[],K$1,0),"ERROR")</f>
        <v>1</v>
      </c>
      <c r="L117" s="112">
        <f>IFERROR(VLOOKUP($B117,MMWR_TRAD_AGG_STATE_PEN[],L$1,0),"ERROR")</f>
        <v>1</v>
      </c>
      <c r="M117" s="114">
        <f t="shared" si="14"/>
        <v>1</v>
      </c>
      <c r="N117" s="111">
        <f>IFERROR(VLOOKUP($B117,MMWR_TRAD_AGG_STATE_PEN[],N$1,0),"ERROR")</f>
        <v>7</v>
      </c>
      <c r="O117" s="112">
        <f>IFERROR(VLOOKUP($B117,MMWR_TRAD_AGG_STATE_PEN[],O$1,0),"ERROR")</f>
        <v>4</v>
      </c>
      <c r="P117" s="114">
        <f t="shared" si="15"/>
        <v>0.5714285714285714</v>
      </c>
      <c r="Q117" s="115">
        <f>IFERROR(VLOOKUP($B117,MMWR_TRAD_AGG_STATE_PEN[],Q$1,0),"ERROR")</f>
        <v>209</v>
      </c>
      <c r="R117" s="115">
        <f>IFERROR(VLOOKUP($B117,MMWR_TRAD_AGG_STATE_PEN[],R$1,0),"ERROR")</f>
        <v>27</v>
      </c>
      <c r="S117" s="115">
        <f>IFERROR(VLOOKUP($B117,MMWR_APP_STATE_PEN[],S$1,0),"ERROR")</f>
        <v>58</v>
      </c>
      <c r="T117" s="28"/>
    </row>
    <row r="118" spans="1:20" s="123" customFormat="1" x14ac:dyDescent="0.2">
      <c r="A118" s="28"/>
      <c r="B118" s="127" t="s">
        <v>83</v>
      </c>
      <c r="C118" s="109">
        <f>IFERROR(VLOOKUP($B118,MMWR_TRAD_AGG_STATE_PEN[],C$1,0),"ERROR")</f>
        <v>122</v>
      </c>
      <c r="D118" s="110">
        <f>IFERROR(VLOOKUP($B118,MMWR_TRAD_AGG_STATE_PEN[],D$1,0),"ERROR")</f>
        <v>44.040983606600001</v>
      </c>
      <c r="E118" s="111">
        <f>IFERROR(VLOOKUP($B118,MMWR_TRAD_AGG_STATE_PEN[],E$1,0),"ERROR")</f>
        <v>474</v>
      </c>
      <c r="F118" s="112">
        <f>IFERROR(VLOOKUP($B118,MMWR_TRAD_AGG_STATE_PEN[],F$1,0),"ERROR")</f>
        <v>19</v>
      </c>
      <c r="G118" s="113">
        <f t="shared" si="12"/>
        <v>4.0084388185654012E-2</v>
      </c>
      <c r="H118" s="111">
        <f>IFERROR(VLOOKUP($B118,MMWR_TRAD_AGG_STATE_PEN[],H$1,0),"ERROR")</f>
        <v>255</v>
      </c>
      <c r="I118" s="112">
        <f>IFERROR(VLOOKUP($B118,MMWR_TRAD_AGG_STATE_PEN[],I$1,0),"ERROR")</f>
        <v>23</v>
      </c>
      <c r="J118" s="114">
        <f t="shared" si="13"/>
        <v>9.0196078431372548E-2</v>
      </c>
      <c r="K118" s="111">
        <f>IFERROR(VLOOKUP($B118,MMWR_TRAD_AGG_STATE_PEN[],K$1,0),"ERROR")</f>
        <v>0</v>
      </c>
      <c r="L118" s="112">
        <f>IFERROR(VLOOKUP($B118,MMWR_TRAD_AGG_STATE_PEN[],L$1,0),"ERROR")</f>
        <v>0</v>
      </c>
      <c r="M118" s="114" t="str">
        <f t="shared" si="14"/>
        <v>0%</v>
      </c>
      <c r="N118" s="111">
        <f>IFERROR(VLOOKUP($B118,MMWR_TRAD_AGG_STATE_PEN[],N$1,0),"ERROR")</f>
        <v>11</v>
      </c>
      <c r="O118" s="112">
        <f>IFERROR(VLOOKUP($B118,MMWR_TRAD_AGG_STATE_PEN[],O$1,0),"ERROR")</f>
        <v>3</v>
      </c>
      <c r="P118" s="114">
        <f t="shared" si="15"/>
        <v>0.27272727272727271</v>
      </c>
      <c r="Q118" s="115">
        <f>IFERROR(VLOOKUP($B118,MMWR_TRAD_AGG_STATE_PEN[],Q$1,0),"ERROR")</f>
        <v>324</v>
      </c>
      <c r="R118" s="115">
        <f>IFERROR(VLOOKUP($B118,MMWR_TRAD_AGG_STATE_PEN[],R$1,0),"ERROR")</f>
        <v>57</v>
      </c>
      <c r="S118" s="115">
        <f>IFERROR(VLOOKUP($B118,MMWR_APP_STATE_PEN[],S$1,0),"ERROR")</f>
        <v>79</v>
      </c>
      <c r="T118" s="28"/>
    </row>
    <row r="119" spans="1:20" s="123" customFormat="1" x14ac:dyDescent="0.2">
      <c r="A119" s="28"/>
      <c r="B119" s="126" t="s">
        <v>387</v>
      </c>
      <c r="C119" s="102">
        <f>IFERROR(VLOOKUP($B119,MMWR_TRAD_AGG_ST_DISTRICT_PEN[],C$1,0),"ERROR")</f>
        <v>6316</v>
      </c>
      <c r="D119" s="103">
        <f>IFERROR(VLOOKUP($B119,MMWR_TRAD_AGG_ST_DISTRICT_PEN[],D$1,0),"ERROR")</f>
        <v>105.84832172260001</v>
      </c>
      <c r="E119" s="102">
        <f>IFERROR(VLOOKUP($B119,MMWR_TRAD_AGG_ST_DISTRICT_PEN[],E$1,0),"ERROR")</f>
        <v>8008</v>
      </c>
      <c r="F119" s="102">
        <f>IFERROR(VLOOKUP($B119,MMWR_TRAD_AGG_ST_DISTRICT_PEN[],F$1,0),"ERROR")</f>
        <v>1599</v>
      </c>
      <c r="G119" s="104">
        <f t="shared" si="12"/>
        <v>0.19967532467532467</v>
      </c>
      <c r="H119" s="102">
        <f>IFERROR(VLOOKUP($B119,MMWR_TRAD_AGG_ST_DISTRICT_PEN[],H$1,0),"ERROR")</f>
        <v>9212</v>
      </c>
      <c r="I119" s="102">
        <f>IFERROR(VLOOKUP($B119,MMWR_TRAD_AGG_ST_DISTRICT_PEN[],I$1,0),"ERROR")</f>
        <v>2732</v>
      </c>
      <c r="J119" s="104">
        <f t="shared" si="13"/>
        <v>0.2965696917064698</v>
      </c>
      <c r="K119" s="102">
        <f>IFERROR(VLOOKUP($B119,MMWR_TRAD_AGG_ST_DISTRICT_PEN[],K$1,0),"ERROR")</f>
        <v>185</v>
      </c>
      <c r="L119" s="102">
        <f>IFERROR(VLOOKUP($B119,MMWR_TRAD_AGG_ST_DISTRICT_PEN[],L$1,0),"ERROR")</f>
        <v>172</v>
      </c>
      <c r="M119" s="104">
        <f t="shared" si="14"/>
        <v>0.92972972972972978</v>
      </c>
      <c r="N119" s="102">
        <f>IFERROR(VLOOKUP($B119,MMWR_TRAD_AGG_ST_DISTRICT_PEN[],N$1,0),"ERROR")</f>
        <v>483</v>
      </c>
      <c r="O119" s="102">
        <f>IFERROR(VLOOKUP($B119,MMWR_TRAD_AGG_ST_DISTRICT_PEN[],O$1,0),"ERROR")</f>
        <v>166</v>
      </c>
      <c r="P119" s="104">
        <f t="shared" si="15"/>
        <v>0.34368530020703936</v>
      </c>
      <c r="Q119" s="102">
        <f>IFERROR(VLOOKUP($B119,MMWR_TRAD_AGG_ST_DISTRICT_PEN[],Q$1,0),"ERROR")</f>
        <v>952</v>
      </c>
      <c r="R119" s="106">
        <f>IFERROR(VLOOKUP($B119,MMWR_TRAD_AGG_ST_DISTRICT_PEN[],R$1,0),"ERROR")</f>
        <v>1782</v>
      </c>
      <c r="S119" s="106">
        <f>IFERROR(VLOOKUP($B119,MMWR_APP_STATE_PEN[],S$1,0),"ERROR")</f>
        <v>2003</v>
      </c>
      <c r="T119" s="28"/>
    </row>
    <row r="120" spans="1:20" s="123" customFormat="1" x14ac:dyDescent="0.2">
      <c r="A120" s="28"/>
      <c r="B120" s="127" t="s">
        <v>395</v>
      </c>
      <c r="C120" s="109">
        <f>IFERROR(VLOOKUP($B120,MMWR_TRAD_AGG_STATE_PEN[],C$1,0),"ERROR")</f>
        <v>378</v>
      </c>
      <c r="D120" s="110">
        <f>IFERROR(VLOOKUP($B120,MMWR_TRAD_AGG_STATE_PEN[],D$1,0),"ERROR")</f>
        <v>61.089947089900001</v>
      </c>
      <c r="E120" s="111">
        <f>IFERROR(VLOOKUP($B120,MMWR_TRAD_AGG_STATE_PEN[],E$1,0),"ERROR")</f>
        <v>901</v>
      </c>
      <c r="F120" s="112">
        <f>IFERROR(VLOOKUP($B120,MMWR_TRAD_AGG_STATE_PEN[],F$1,0),"ERROR")</f>
        <v>55</v>
      </c>
      <c r="G120" s="113">
        <f t="shared" si="12"/>
        <v>6.1043285238623748E-2</v>
      </c>
      <c r="H120" s="111">
        <f>IFERROR(VLOOKUP($B120,MMWR_TRAD_AGG_STATE_PEN[],H$1,0),"ERROR")</f>
        <v>607</v>
      </c>
      <c r="I120" s="112">
        <f>IFERROR(VLOOKUP($B120,MMWR_TRAD_AGG_STATE_PEN[],I$1,0),"ERROR")</f>
        <v>44</v>
      </c>
      <c r="J120" s="114">
        <f t="shared" si="13"/>
        <v>7.248764415156507E-2</v>
      </c>
      <c r="K120" s="111">
        <f>IFERROR(VLOOKUP($B120,MMWR_TRAD_AGG_STATE_PEN[],K$1,0),"ERROR")</f>
        <v>5</v>
      </c>
      <c r="L120" s="112">
        <f>IFERROR(VLOOKUP($B120,MMWR_TRAD_AGG_STATE_PEN[],L$1,0),"ERROR")</f>
        <v>4</v>
      </c>
      <c r="M120" s="114">
        <f t="shared" si="14"/>
        <v>0.8</v>
      </c>
      <c r="N120" s="111">
        <f>IFERROR(VLOOKUP($B120,MMWR_TRAD_AGG_STATE_PEN[],N$1,0),"ERROR")</f>
        <v>54</v>
      </c>
      <c r="O120" s="112">
        <f>IFERROR(VLOOKUP($B120,MMWR_TRAD_AGG_STATE_PEN[],O$1,0),"ERROR")</f>
        <v>9</v>
      </c>
      <c r="P120" s="114">
        <f t="shared" si="15"/>
        <v>0.16666666666666666</v>
      </c>
      <c r="Q120" s="115">
        <f>IFERROR(VLOOKUP($B120,MMWR_TRAD_AGG_STATE_PEN[],Q$1,0),"ERROR")</f>
        <v>116</v>
      </c>
      <c r="R120" s="115">
        <f>IFERROR(VLOOKUP($B120,MMWR_TRAD_AGG_STATE_PEN[],R$1,0),"ERROR")</f>
        <v>99</v>
      </c>
      <c r="S120" s="115">
        <f>IFERROR(VLOOKUP($B120,MMWR_APP_STATE_PEN[],S$1,0),"ERROR")</f>
        <v>292</v>
      </c>
      <c r="T120" s="28"/>
    </row>
    <row r="121" spans="1:20" s="123" customFormat="1" x14ac:dyDescent="0.2">
      <c r="A121" s="28"/>
      <c r="B121" s="127" t="s">
        <v>432</v>
      </c>
      <c r="C121" s="109">
        <f>IFERROR(VLOOKUP($B121,MMWR_TRAD_AGG_STATE_PEN[],C$1,0),"ERROR")</f>
        <v>2419</v>
      </c>
      <c r="D121" s="110">
        <f>IFERROR(VLOOKUP($B121,MMWR_TRAD_AGG_STATE_PEN[],D$1,0),"ERROR")</f>
        <v>110.371641174</v>
      </c>
      <c r="E121" s="111">
        <f>IFERROR(VLOOKUP($B121,MMWR_TRAD_AGG_STATE_PEN[],E$1,0),"ERROR")</f>
        <v>3051</v>
      </c>
      <c r="F121" s="112">
        <f>IFERROR(VLOOKUP($B121,MMWR_TRAD_AGG_STATE_PEN[],F$1,0),"ERROR")</f>
        <v>744</v>
      </c>
      <c r="G121" s="113">
        <f t="shared" si="12"/>
        <v>0.24385447394296952</v>
      </c>
      <c r="H121" s="111">
        <f>IFERROR(VLOOKUP($B121,MMWR_TRAD_AGG_STATE_PEN[],H$1,0),"ERROR")</f>
        <v>3383</v>
      </c>
      <c r="I121" s="112">
        <f>IFERROR(VLOOKUP($B121,MMWR_TRAD_AGG_STATE_PEN[],I$1,0),"ERROR")</f>
        <v>1125</v>
      </c>
      <c r="J121" s="114">
        <f t="shared" si="13"/>
        <v>0.33254507833284069</v>
      </c>
      <c r="K121" s="111">
        <f>IFERROR(VLOOKUP($B121,MMWR_TRAD_AGG_STATE_PEN[],K$1,0),"ERROR")</f>
        <v>86</v>
      </c>
      <c r="L121" s="112">
        <f>IFERROR(VLOOKUP($B121,MMWR_TRAD_AGG_STATE_PEN[],L$1,0),"ERROR")</f>
        <v>82</v>
      </c>
      <c r="M121" s="114">
        <f t="shared" si="14"/>
        <v>0.95348837209302328</v>
      </c>
      <c r="N121" s="111">
        <f>IFERROR(VLOOKUP($B121,MMWR_TRAD_AGG_STATE_PEN[],N$1,0),"ERROR")</f>
        <v>168</v>
      </c>
      <c r="O121" s="112">
        <f>IFERROR(VLOOKUP($B121,MMWR_TRAD_AGG_STATE_PEN[],O$1,0),"ERROR")</f>
        <v>65</v>
      </c>
      <c r="P121" s="114">
        <f t="shared" si="15"/>
        <v>0.38690476190476192</v>
      </c>
      <c r="Q121" s="115">
        <f>IFERROR(VLOOKUP($B121,MMWR_TRAD_AGG_STATE_PEN[],Q$1,0),"ERROR")</f>
        <v>330</v>
      </c>
      <c r="R121" s="115">
        <f>IFERROR(VLOOKUP($B121,MMWR_TRAD_AGG_STATE_PEN[],R$1,0),"ERROR")</f>
        <v>717</v>
      </c>
      <c r="S121" s="115">
        <f>IFERROR(VLOOKUP($B121,MMWR_APP_STATE_PEN[],S$1,0),"ERROR")</f>
        <v>621</v>
      </c>
      <c r="T121" s="28"/>
    </row>
    <row r="122" spans="1:20" s="123" customFormat="1" x14ac:dyDescent="0.2">
      <c r="A122" s="28"/>
      <c r="B122" s="127" t="s">
        <v>388</v>
      </c>
      <c r="C122" s="109">
        <f>IFERROR(VLOOKUP($B122,MMWR_TRAD_AGG_STATE_PEN[],C$1,0),"ERROR")</f>
        <v>1225</v>
      </c>
      <c r="D122" s="110">
        <f>IFERROR(VLOOKUP($B122,MMWR_TRAD_AGG_STATE_PEN[],D$1,0),"ERROR")</f>
        <v>117.73469387759999</v>
      </c>
      <c r="E122" s="111">
        <f>IFERROR(VLOOKUP($B122,MMWR_TRAD_AGG_STATE_PEN[],E$1,0),"ERROR")</f>
        <v>1403</v>
      </c>
      <c r="F122" s="112">
        <f>IFERROR(VLOOKUP($B122,MMWR_TRAD_AGG_STATE_PEN[],F$1,0),"ERROR")</f>
        <v>361</v>
      </c>
      <c r="G122" s="113">
        <f t="shared" si="12"/>
        <v>0.25730577334283677</v>
      </c>
      <c r="H122" s="111">
        <f>IFERROR(VLOOKUP($B122,MMWR_TRAD_AGG_STATE_PEN[],H$1,0),"ERROR")</f>
        <v>1702</v>
      </c>
      <c r="I122" s="112">
        <f>IFERROR(VLOOKUP($B122,MMWR_TRAD_AGG_STATE_PEN[],I$1,0),"ERROR")</f>
        <v>595</v>
      </c>
      <c r="J122" s="114">
        <f t="shared" si="13"/>
        <v>0.34958871915393652</v>
      </c>
      <c r="K122" s="111">
        <f>IFERROR(VLOOKUP($B122,MMWR_TRAD_AGG_STATE_PEN[],K$1,0),"ERROR")</f>
        <v>54</v>
      </c>
      <c r="L122" s="112">
        <f>IFERROR(VLOOKUP($B122,MMWR_TRAD_AGG_STATE_PEN[],L$1,0),"ERROR")</f>
        <v>51</v>
      </c>
      <c r="M122" s="114">
        <f t="shared" si="14"/>
        <v>0.94444444444444442</v>
      </c>
      <c r="N122" s="111">
        <f>IFERROR(VLOOKUP($B122,MMWR_TRAD_AGG_STATE_PEN[],N$1,0),"ERROR")</f>
        <v>87</v>
      </c>
      <c r="O122" s="112">
        <f>IFERROR(VLOOKUP($B122,MMWR_TRAD_AGG_STATE_PEN[],O$1,0),"ERROR")</f>
        <v>34</v>
      </c>
      <c r="P122" s="114">
        <f t="shared" si="15"/>
        <v>0.39080459770114945</v>
      </c>
      <c r="Q122" s="115">
        <f>IFERROR(VLOOKUP($B122,MMWR_TRAD_AGG_STATE_PEN[],Q$1,0),"ERROR")</f>
        <v>148</v>
      </c>
      <c r="R122" s="115">
        <f>IFERROR(VLOOKUP($B122,MMWR_TRAD_AGG_STATE_PEN[],R$1,0),"ERROR")</f>
        <v>458</v>
      </c>
      <c r="S122" s="115">
        <f>IFERROR(VLOOKUP($B122,MMWR_APP_STATE_PEN[],S$1,0),"ERROR")</f>
        <v>391</v>
      </c>
      <c r="T122" s="28"/>
    </row>
    <row r="123" spans="1:20" s="123" customFormat="1" x14ac:dyDescent="0.2">
      <c r="A123" s="28"/>
      <c r="B123" s="127" t="s">
        <v>400</v>
      </c>
      <c r="C123" s="109">
        <f>IFERROR(VLOOKUP($B123,MMWR_TRAD_AGG_STATE_PEN[],C$1,0),"ERROR")</f>
        <v>157</v>
      </c>
      <c r="D123" s="110">
        <f>IFERROR(VLOOKUP($B123,MMWR_TRAD_AGG_STATE_PEN[],D$1,0),"ERROR")</f>
        <v>57.611464968200004</v>
      </c>
      <c r="E123" s="111">
        <f>IFERROR(VLOOKUP($B123,MMWR_TRAD_AGG_STATE_PEN[],E$1,0),"ERROR")</f>
        <v>450</v>
      </c>
      <c r="F123" s="112">
        <f>IFERROR(VLOOKUP($B123,MMWR_TRAD_AGG_STATE_PEN[],F$1,0),"ERROR")</f>
        <v>35</v>
      </c>
      <c r="G123" s="113">
        <f t="shared" si="12"/>
        <v>7.7777777777777779E-2</v>
      </c>
      <c r="H123" s="111">
        <f>IFERROR(VLOOKUP($B123,MMWR_TRAD_AGG_STATE_PEN[],H$1,0),"ERROR")</f>
        <v>275</v>
      </c>
      <c r="I123" s="112">
        <f>IFERROR(VLOOKUP($B123,MMWR_TRAD_AGG_STATE_PEN[],I$1,0),"ERROR")</f>
        <v>29</v>
      </c>
      <c r="J123" s="114">
        <f t="shared" si="13"/>
        <v>0.10545454545454545</v>
      </c>
      <c r="K123" s="111">
        <f>IFERROR(VLOOKUP($B123,MMWR_TRAD_AGG_STATE_PEN[],K$1,0),"ERROR")</f>
        <v>2</v>
      </c>
      <c r="L123" s="112">
        <f>IFERROR(VLOOKUP($B123,MMWR_TRAD_AGG_STATE_PEN[],L$1,0),"ERROR")</f>
        <v>1</v>
      </c>
      <c r="M123" s="114">
        <f t="shared" si="14"/>
        <v>0.5</v>
      </c>
      <c r="N123" s="111">
        <f>IFERROR(VLOOKUP($B123,MMWR_TRAD_AGG_STATE_PEN[],N$1,0),"ERROR")</f>
        <v>46</v>
      </c>
      <c r="O123" s="112">
        <f>IFERROR(VLOOKUP($B123,MMWR_TRAD_AGG_STATE_PEN[],O$1,0),"ERROR")</f>
        <v>6</v>
      </c>
      <c r="P123" s="114">
        <f t="shared" si="15"/>
        <v>0.13043478260869565</v>
      </c>
      <c r="Q123" s="115">
        <f>IFERROR(VLOOKUP($B123,MMWR_TRAD_AGG_STATE_PEN[],Q$1,0),"ERROR")</f>
        <v>63</v>
      </c>
      <c r="R123" s="115">
        <f>IFERROR(VLOOKUP($B123,MMWR_TRAD_AGG_STATE_PEN[],R$1,0),"ERROR")</f>
        <v>69</v>
      </c>
      <c r="S123" s="115">
        <f>IFERROR(VLOOKUP($B123,MMWR_APP_STATE_PEN[],S$1,0),"ERROR")</f>
        <v>148</v>
      </c>
      <c r="T123" s="28"/>
    </row>
    <row r="124" spans="1:20" s="123" customFormat="1" x14ac:dyDescent="0.2">
      <c r="A124" s="28"/>
      <c r="B124" s="127" t="s">
        <v>434</v>
      </c>
      <c r="C124" s="109">
        <f>IFERROR(VLOOKUP($B124,MMWR_TRAD_AGG_STATE_PEN[],C$1,0),"ERROR")</f>
        <v>996</v>
      </c>
      <c r="D124" s="110">
        <f>IFERROR(VLOOKUP($B124,MMWR_TRAD_AGG_STATE_PEN[],D$1,0),"ERROR")</f>
        <v>116.2168674699</v>
      </c>
      <c r="E124" s="111">
        <f>IFERROR(VLOOKUP($B124,MMWR_TRAD_AGG_STATE_PEN[],E$1,0),"ERROR")</f>
        <v>532</v>
      </c>
      <c r="F124" s="112">
        <f>IFERROR(VLOOKUP($B124,MMWR_TRAD_AGG_STATE_PEN[],F$1,0),"ERROR")</f>
        <v>125</v>
      </c>
      <c r="G124" s="113">
        <f t="shared" si="12"/>
        <v>0.23496240601503759</v>
      </c>
      <c r="H124" s="111">
        <f>IFERROR(VLOOKUP($B124,MMWR_TRAD_AGG_STATE_PEN[],H$1,0),"ERROR")</f>
        <v>1555</v>
      </c>
      <c r="I124" s="112">
        <f>IFERROR(VLOOKUP($B124,MMWR_TRAD_AGG_STATE_PEN[],I$1,0),"ERROR")</f>
        <v>507</v>
      </c>
      <c r="J124" s="114">
        <f t="shared" si="13"/>
        <v>0.3260450160771704</v>
      </c>
      <c r="K124" s="111">
        <f>IFERROR(VLOOKUP($B124,MMWR_TRAD_AGG_STATE_PEN[],K$1,0),"ERROR")</f>
        <v>20</v>
      </c>
      <c r="L124" s="112">
        <f>IFERROR(VLOOKUP($B124,MMWR_TRAD_AGG_STATE_PEN[],L$1,0),"ERROR")</f>
        <v>18</v>
      </c>
      <c r="M124" s="114">
        <f t="shared" si="14"/>
        <v>0.9</v>
      </c>
      <c r="N124" s="111">
        <f>IFERROR(VLOOKUP($B124,MMWR_TRAD_AGG_STATE_PEN[],N$1,0),"ERROR")</f>
        <v>29</v>
      </c>
      <c r="O124" s="112">
        <f>IFERROR(VLOOKUP($B124,MMWR_TRAD_AGG_STATE_PEN[],O$1,0),"ERROR")</f>
        <v>19</v>
      </c>
      <c r="P124" s="114">
        <f t="shared" si="15"/>
        <v>0.65517241379310343</v>
      </c>
      <c r="Q124" s="115">
        <f>IFERROR(VLOOKUP($B124,MMWR_TRAD_AGG_STATE_PEN[],Q$1,0),"ERROR")</f>
        <v>66</v>
      </c>
      <c r="R124" s="115">
        <f>IFERROR(VLOOKUP($B124,MMWR_TRAD_AGG_STATE_PEN[],R$1,0),"ERROR")</f>
        <v>117</v>
      </c>
      <c r="S124" s="115">
        <f>IFERROR(VLOOKUP($B124,MMWR_APP_STATE_PEN[],S$1,0),"ERROR")</f>
        <v>138</v>
      </c>
      <c r="T124" s="28"/>
    </row>
    <row r="125" spans="1:20" s="123" customFormat="1" x14ac:dyDescent="0.2">
      <c r="A125" s="28"/>
      <c r="B125" s="127" t="s">
        <v>390</v>
      </c>
      <c r="C125" s="109">
        <f>IFERROR(VLOOKUP($B125,MMWR_TRAD_AGG_STATE_PEN[],C$1,0),"ERROR")</f>
        <v>870</v>
      </c>
      <c r="D125" s="110">
        <f>IFERROR(VLOOKUP($B125,MMWR_TRAD_AGG_STATE_PEN[],D$1,0),"ERROR")</f>
        <v>109.5494252874</v>
      </c>
      <c r="E125" s="111">
        <f>IFERROR(VLOOKUP($B125,MMWR_TRAD_AGG_STATE_PEN[],E$1,0),"ERROR")</f>
        <v>888</v>
      </c>
      <c r="F125" s="112">
        <f>IFERROR(VLOOKUP($B125,MMWR_TRAD_AGG_STATE_PEN[],F$1,0),"ERROR")</f>
        <v>237</v>
      </c>
      <c r="G125" s="113">
        <f t="shared" si="12"/>
        <v>0.26689189189189189</v>
      </c>
      <c r="H125" s="111">
        <f>IFERROR(VLOOKUP($B125,MMWR_TRAD_AGG_STATE_PEN[],H$1,0),"ERROR")</f>
        <v>1210</v>
      </c>
      <c r="I125" s="112">
        <f>IFERROR(VLOOKUP($B125,MMWR_TRAD_AGG_STATE_PEN[],I$1,0),"ERROR")</f>
        <v>387</v>
      </c>
      <c r="J125" s="114">
        <f t="shared" si="13"/>
        <v>0.31983471074380165</v>
      </c>
      <c r="K125" s="111">
        <f>IFERROR(VLOOKUP($B125,MMWR_TRAD_AGG_STATE_PEN[],K$1,0),"ERROR")</f>
        <v>15</v>
      </c>
      <c r="L125" s="112">
        <f>IFERROR(VLOOKUP($B125,MMWR_TRAD_AGG_STATE_PEN[],L$1,0),"ERROR")</f>
        <v>13</v>
      </c>
      <c r="M125" s="114">
        <f t="shared" si="14"/>
        <v>0.8666666666666667</v>
      </c>
      <c r="N125" s="111">
        <f>IFERROR(VLOOKUP($B125,MMWR_TRAD_AGG_STATE_PEN[],N$1,0),"ERROR")</f>
        <v>54</v>
      </c>
      <c r="O125" s="112">
        <f>IFERROR(VLOOKUP($B125,MMWR_TRAD_AGG_STATE_PEN[],O$1,0),"ERROR")</f>
        <v>20</v>
      </c>
      <c r="P125" s="114">
        <f t="shared" si="15"/>
        <v>0.37037037037037035</v>
      </c>
      <c r="Q125" s="115">
        <f>IFERROR(VLOOKUP($B125,MMWR_TRAD_AGG_STATE_PEN[],Q$1,0),"ERROR")</f>
        <v>125</v>
      </c>
      <c r="R125" s="115">
        <f>IFERROR(VLOOKUP($B125,MMWR_TRAD_AGG_STATE_PEN[],R$1,0),"ERROR")</f>
        <v>268</v>
      </c>
      <c r="S125" s="115">
        <f>IFERROR(VLOOKUP($B125,MMWR_APP_STATE_PEN[],S$1,0),"ERROR")</f>
        <v>167</v>
      </c>
      <c r="T125" s="28"/>
    </row>
    <row r="126" spans="1:20" s="123" customFormat="1" x14ac:dyDescent="0.2">
      <c r="A126" s="28"/>
      <c r="B126" s="127" t="s">
        <v>391</v>
      </c>
      <c r="C126" s="109">
        <f>IFERROR(VLOOKUP($B126,MMWR_TRAD_AGG_STATE_PEN[],C$1,0),"ERROR")</f>
        <v>271</v>
      </c>
      <c r="D126" s="110">
        <f>IFERROR(VLOOKUP($B126,MMWR_TRAD_AGG_STATE_PEN[],D$1,0),"ERROR")</f>
        <v>52.129151291500001</v>
      </c>
      <c r="E126" s="111">
        <f>IFERROR(VLOOKUP($B126,MMWR_TRAD_AGG_STATE_PEN[],E$1,0),"ERROR")</f>
        <v>783</v>
      </c>
      <c r="F126" s="112">
        <f>IFERROR(VLOOKUP($B126,MMWR_TRAD_AGG_STATE_PEN[],F$1,0),"ERROR")</f>
        <v>42</v>
      </c>
      <c r="G126" s="113">
        <f t="shared" si="12"/>
        <v>5.3639846743295021E-2</v>
      </c>
      <c r="H126" s="111">
        <f>IFERROR(VLOOKUP($B126,MMWR_TRAD_AGG_STATE_PEN[],H$1,0),"ERROR")</f>
        <v>480</v>
      </c>
      <c r="I126" s="112">
        <f>IFERROR(VLOOKUP($B126,MMWR_TRAD_AGG_STATE_PEN[],I$1,0),"ERROR")</f>
        <v>45</v>
      </c>
      <c r="J126" s="114">
        <f t="shared" si="13"/>
        <v>9.375E-2</v>
      </c>
      <c r="K126" s="111">
        <f>IFERROR(VLOOKUP($B126,MMWR_TRAD_AGG_STATE_PEN[],K$1,0),"ERROR")</f>
        <v>3</v>
      </c>
      <c r="L126" s="112">
        <f>IFERROR(VLOOKUP($B126,MMWR_TRAD_AGG_STATE_PEN[],L$1,0),"ERROR")</f>
        <v>3</v>
      </c>
      <c r="M126" s="114">
        <f t="shared" si="14"/>
        <v>1</v>
      </c>
      <c r="N126" s="111">
        <f>IFERROR(VLOOKUP($B126,MMWR_TRAD_AGG_STATE_PEN[],N$1,0),"ERROR")</f>
        <v>45</v>
      </c>
      <c r="O126" s="112">
        <f>IFERROR(VLOOKUP($B126,MMWR_TRAD_AGG_STATE_PEN[],O$1,0),"ERROR")</f>
        <v>13</v>
      </c>
      <c r="P126" s="114">
        <f t="shared" si="15"/>
        <v>0.28888888888888886</v>
      </c>
      <c r="Q126" s="115">
        <f>IFERROR(VLOOKUP($B126,MMWR_TRAD_AGG_STATE_PEN[],Q$1,0),"ERROR")</f>
        <v>104</v>
      </c>
      <c r="R126" s="115">
        <f>IFERROR(VLOOKUP($B126,MMWR_TRAD_AGG_STATE_PEN[],R$1,0),"ERROR")</f>
        <v>54</v>
      </c>
      <c r="S126" s="115">
        <f>IFERROR(VLOOKUP($B126,MMWR_APP_STATE_PEN[],S$1,0),"ERROR")</f>
        <v>246</v>
      </c>
      <c r="T126" s="28"/>
    </row>
    <row r="127" spans="1:20" s="123" customFormat="1" x14ac:dyDescent="0.2">
      <c r="A127" s="28"/>
      <c r="B127" s="128" t="s">
        <v>8</v>
      </c>
      <c r="C127" s="102">
        <f>IFERROR(VLOOKUP($B127,MMWR_TRAD_AGG_ST_DISTRICT_PEN[],C$1,0),"ERROR")</f>
        <v>135</v>
      </c>
      <c r="D127" s="103">
        <f>IFERROR(VLOOKUP($B127,MMWR_TRAD_AGG_ST_DISTRICT_PEN[],D$1,0),"ERROR")</f>
        <v>111.28148148149999</v>
      </c>
      <c r="E127" s="102">
        <f>IFERROR(VLOOKUP($B127,MMWR_TRAD_AGG_ST_DISTRICT_PEN[],E$1,0),"ERROR")</f>
        <v>187</v>
      </c>
      <c r="F127" s="102">
        <f>IFERROR(VLOOKUP($B127,MMWR_TRAD_AGG_ST_DISTRICT_PEN[],F$1,0),"ERROR")</f>
        <v>69</v>
      </c>
      <c r="G127" s="104">
        <f t="shared" si="12"/>
        <v>0.36898395721925131</v>
      </c>
      <c r="H127" s="102">
        <f>IFERROR(VLOOKUP($B127,MMWR_TRAD_AGG_ST_DISTRICT_PEN[],H$1,0),"ERROR")</f>
        <v>285</v>
      </c>
      <c r="I127" s="102">
        <f>IFERROR(VLOOKUP($B127,MMWR_TRAD_AGG_ST_DISTRICT_PEN[],I$1,0),"ERROR")</f>
        <v>148</v>
      </c>
      <c r="J127" s="104">
        <f t="shared" si="13"/>
        <v>0.51929824561403504</v>
      </c>
      <c r="K127" s="102">
        <f>IFERROR(VLOOKUP($B127,MMWR_TRAD_AGG_ST_DISTRICT_PEN[],K$1,0),"ERROR")</f>
        <v>15</v>
      </c>
      <c r="L127" s="102">
        <f>IFERROR(VLOOKUP($B127,MMWR_TRAD_AGG_ST_DISTRICT_PEN[],L$1,0),"ERROR")</f>
        <v>12</v>
      </c>
      <c r="M127" s="104">
        <f t="shared" si="14"/>
        <v>0.8</v>
      </c>
      <c r="N127" s="102">
        <f>IFERROR(VLOOKUP($B127,MMWR_TRAD_AGG_ST_DISTRICT_PEN[],N$1,0),"ERROR")</f>
        <v>16</v>
      </c>
      <c r="O127" s="102">
        <f>IFERROR(VLOOKUP($B127,MMWR_TRAD_AGG_ST_DISTRICT_PEN[],O$1,0),"ERROR")</f>
        <v>10</v>
      </c>
      <c r="P127" s="104">
        <f t="shared" si="15"/>
        <v>0.625</v>
      </c>
      <c r="Q127" s="102">
        <f>IFERROR(VLOOKUP($B127,MMWR_TRAD_AGG_ST_DISTRICT_PEN[],Q$1,0),"ERROR")</f>
        <v>45</v>
      </c>
      <c r="R127" s="106">
        <f>IFERROR(VLOOKUP($B127,MMWR_TRAD_AGG_ST_DISTRICT_PEN[],R$1,0),"ERROR")</f>
        <v>13</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660</v>
      </c>
      <c r="C2" t="s">
        <v>463</v>
      </c>
      <c r="D2" t="s">
        <v>465</v>
      </c>
      <c r="F2" t="s">
        <v>659</v>
      </c>
      <c r="G2" t="s">
        <v>312</v>
      </c>
      <c r="H2" t="s">
        <v>139</v>
      </c>
      <c r="I2" t="s">
        <v>220</v>
      </c>
      <c r="J2" t="s">
        <v>221</v>
      </c>
      <c r="K2" t="s">
        <v>222</v>
      </c>
      <c r="L2" t="s">
        <v>223</v>
      </c>
      <c r="M2" t="s">
        <v>224</v>
      </c>
      <c r="N2" t="s">
        <v>225</v>
      </c>
      <c r="O2" t="s">
        <v>226</v>
      </c>
      <c r="P2" t="s">
        <v>227</v>
      </c>
      <c r="Q2" t="s">
        <v>228</v>
      </c>
      <c r="R2" t="s">
        <v>229</v>
      </c>
      <c r="T2" t="s">
        <v>658</v>
      </c>
      <c r="U2" t="s">
        <v>312</v>
      </c>
      <c r="V2" t="s">
        <v>139</v>
      </c>
      <c r="W2" t="s">
        <v>220</v>
      </c>
      <c r="X2" t="s">
        <v>466</v>
      </c>
      <c r="Y2" t="s">
        <v>222</v>
      </c>
      <c r="Z2" t="s">
        <v>223</v>
      </c>
      <c r="AA2" t="s">
        <v>224</v>
      </c>
      <c r="AB2" t="s">
        <v>467</v>
      </c>
      <c r="AC2" t="s">
        <v>226</v>
      </c>
      <c r="AD2" t="s">
        <v>227</v>
      </c>
      <c r="AE2" t="s">
        <v>228</v>
      </c>
      <c r="AF2" t="s">
        <v>229</v>
      </c>
      <c r="AH2" t="s">
        <v>657</v>
      </c>
      <c r="AI2" t="s">
        <v>312</v>
      </c>
      <c r="AJ2" t="s">
        <v>139</v>
      </c>
      <c r="AK2" t="s">
        <v>220</v>
      </c>
      <c r="AL2" t="s">
        <v>221</v>
      </c>
      <c r="AM2" t="s">
        <v>222</v>
      </c>
      <c r="AN2" t="s">
        <v>223</v>
      </c>
      <c r="AO2" t="s">
        <v>224</v>
      </c>
      <c r="AP2" t="s">
        <v>225</v>
      </c>
      <c r="AQ2" t="s">
        <v>226</v>
      </c>
      <c r="AR2" t="s">
        <v>227</v>
      </c>
      <c r="AS2" t="s">
        <v>228</v>
      </c>
      <c r="AT2" t="s">
        <v>229</v>
      </c>
      <c r="AV2" t="s">
        <v>656</v>
      </c>
      <c r="AW2" t="s">
        <v>312</v>
      </c>
      <c r="AX2" t="s">
        <v>139</v>
      </c>
      <c r="AY2" t="s">
        <v>220</v>
      </c>
      <c r="AZ2" t="s">
        <v>466</v>
      </c>
      <c r="BA2" t="s">
        <v>222</v>
      </c>
      <c r="BB2" t="s">
        <v>223</v>
      </c>
      <c r="BC2" t="s">
        <v>224</v>
      </c>
      <c r="BD2" t="s">
        <v>467</v>
      </c>
      <c r="BE2" t="s">
        <v>226</v>
      </c>
      <c r="BF2" t="s">
        <v>227</v>
      </c>
      <c r="BG2" t="s">
        <v>228</v>
      </c>
      <c r="BH2" t="s">
        <v>229</v>
      </c>
      <c r="BJ2" t="s">
        <v>718</v>
      </c>
      <c r="BK2" t="s">
        <v>737</v>
      </c>
      <c r="BL2" t="s">
        <v>706</v>
      </c>
      <c r="BM2" t="s">
        <v>707</v>
      </c>
      <c r="BN2" t="s">
        <v>708</v>
      </c>
      <c r="BO2" t="s">
        <v>709</v>
      </c>
      <c r="BP2" t="s">
        <v>710</v>
      </c>
      <c r="BQ2" t="s">
        <v>719</v>
      </c>
      <c r="BR2" t="s">
        <v>720</v>
      </c>
      <c r="BS2" t="s">
        <v>711</v>
      </c>
      <c r="BT2" t="s">
        <v>712</v>
      </c>
      <c r="BU2" t="s">
        <v>713</v>
      </c>
      <c r="BV2" t="s">
        <v>714</v>
      </c>
      <c r="BW2" t="s">
        <v>715</v>
      </c>
      <c r="BX2" t="s">
        <v>716</v>
      </c>
      <c r="BY2" t="s">
        <v>717</v>
      </c>
      <c r="CA2" t="s">
        <v>1038</v>
      </c>
      <c r="CB2" t="s">
        <v>742</v>
      </c>
      <c r="CC2" t="s">
        <v>743</v>
      </c>
      <c r="CD2" t="s">
        <v>721</v>
      </c>
      <c r="CE2" t="s">
        <v>722</v>
      </c>
      <c r="CF2" t="s">
        <v>723</v>
      </c>
      <c r="CG2" t="s">
        <v>724</v>
      </c>
      <c r="CH2" t="s">
        <v>725</v>
      </c>
      <c r="CI2" t="s">
        <v>726</v>
      </c>
      <c r="CJ2" t="s">
        <v>727</v>
      </c>
      <c r="CL2" t="s">
        <v>1039</v>
      </c>
      <c r="CM2" t="s">
        <v>742</v>
      </c>
      <c r="CN2" t="s">
        <v>743</v>
      </c>
      <c r="CO2" t="s">
        <v>721</v>
      </c>
      <c r="CP2" t="s">
        <v>722</v>
      </c>
      <c r="CQ2" t="s">
        <v>723</v>
      </c>
      <c r="CR2" t="s">
        <v>724</v>
      </c>
      <c r="CS2" t="s">
        <v>725</v>
      </c>
      <c r="CT2" t="s">
        <v>726</v>
      </c>
      <c r="CU2" t="s">
        <v>727</v>
      </c>
      <c r="CW2" t="s">
        <v>1040</v>
      </c>
      <c r="CX2" t="s">
        <v>742</v>
      </c>
      <c r="CY2" t="s">
        <v>743</v>
      </c>
      <c r="CZ2" t="s">
        <v>721</v>
      </c>
      <c r="DA2" t="s">
        <v>722</v>
      </c>
      <c r="DB2" t="s">
        <v>723</v>
      </c>
      <c r="DC2" t="s">
        <v>724</v>
      </c>
      <c r="DD2" t="s">
        <v>725</v>
      </c>
      <c r="DE2" t="s">
        <v>726</v>
      </c>
      <c r="DF2" t="s">
        <v>727</v>
      </c>
      <c r="DH2" t="s">
        <v>1041</v>
      </c>
      <c r="DI2" t="s">
        <v>742</v>
      </c>
      <c r="DJ2" t="s">
        <v>743</v>
      </c>
      <c r="DK2" t="s">
        <v>721</v>
      </c>
      <c r="DL2" t="s">
        <v>722</v>
      </c>
      <c r="DM2" t="s">
        <v>723</v>
      </c>
      <c r="DN2" t="s">
        <v>724</v>
      </c>
      <c r="DO2" t="s">
        <v>725</v>
      </c>
      <c r="DP2" t="s">
        <v>726</v>
      </c>
      <c r="DQ2" t="s">
        <v>727</v>
      </c>
    </row>
    <row r="3" spans="2:121" x14ac:dyDescent="0.2">
      <c r="C3">
        <v>373418</v>
      </c>
      <c r="D3">
        <v>287372</v>
      </c>
      <c r="F3" t="s">
        <v>34</v>
      </c>
      <c r="G3">
        <v>1117</v>
      </c>
      <c r="H3">
        <v>134.6535362578</v>
      </c>
      <c r="I3">
        <v>3304</v>
      </c>
      <c r="J3">
        <v>685</v>
      </c>
      <c r="K3">
        <v>1633</v>
      </c>
      <c r="L3">
        <v>541</v>
      </c>
      <c r="M3">
        <v>380</v>
      </c>
      <c r="N3">
        <v>103</v>
      </c>
      <c r="O3">
        <v>354</v>
      </c>
      <c r="P3">
        <v>171</v>
      </c>
      <c r="Q3">
        <v>0</v>
      </c>
      <c r="R3">
        <v>9</v>
      </c>
      <c r="T3" t="s">
        <v>215</v>
      </c>
      <c r="U3">
        <v>2944</v>
      </c>
      <c r="V3">
        <v>56.764945652199998</v>
      </c>
      <c r="W3">
        <v>8299</v>
      </c>
      <c r="X3">
        <v>526</v>
      </c>
      <c r="Y3">
        <v>4978</v>
      </c>
      <c r="Z3">
        <v>255</v>
      </c>
      <c r="AA3">
        <v>5</v>
      </c>
      <c r="AB3">
        <v>5</v>
      </c>
      <c r="AC3">
        <v>400</v>
      </c>
      <c r="AD3">
        <v>71</v>
      </c>
      <c r="AE3">
        <v>994</v>
      </c>
      <c r="AF3">
        <v>766</v>
      </c>
      <c r="AH3" t="s">
        <v>395</v>
      </c>
      <c r="AI3">
        <v>14449</v>
      </c>
      <c r="AJ3">
        <v>386.06360301749999</v>
      </c>
      <c r="AK3">
        <v>8362</v>
      </c>
      <c r="AL3">
        <v>1501</v>
      </c>
      <c r="AM3">
        <v>18225</v>
      </c>
      <c r="AN3">
        <v>12370</v>
      </c>
      <c r="AO3">
        <v>4902</v>
      </c>
      <c r="AP3">
        <v>3809</v>
      </c>
      <c r="AQ3">
        <v>2888</v>
      </c>
      <c r="AR3">
        <v>1761</v>
      </c>
      <c r="AS3">
        <v>367</v>
      </c>
      <c r="AT3">
        <v>347</v>
      </c>
      <c r="AV3" t="s">
        <v>420</v>
      </c>
      <c r="AW3">
        <v>43</v>
      </c>
      <c r="AX3">
        <v>57.627906976699997</v>
      </c>
      <c r="AY3">
        <v>185</v>
      </c>
      <c r="AZ3">
        <v>4</v>
      </c>
      <c r="BA3">
        <v>79</v>
      </c>
      <c r="BB3">
        <v>5</v>
      </c>
      <c r="BC3">
        <v>0</v>
      </c>
      <c r="BE3">
        <v>6</v>
      </c>
      <c r="BF3">
        <v>4</v>
      </c>
      <c r="BG3">
        <v>100</v>
      </c>
      <c r="BH3">
        <v>21</v>
      </c>
      <c r="BJ3" t="s">
        <v>735</v>
      </c>
      <c r="BK3" t="s">
        <v>738</v>
      </c>
      <c r="BL3">
        <v>326580</v>
      </c>
      <c r="BM3">
        <v>69954</v>
      </c>
      <c r="BN3">
        <v>93.4840314777</v>
      </c>
      <c r="BO3">
        <v>127882</v>
      </c>
      <c r="BP3">
        <v>41857</v>
      </c>
      <c r="BQ3">
        <v>136.64869958240001</v>
      </c>
      <c r="BR3">
        <v>134.29925699410001</v>
      </c>
      <c r="BS3">
        <v>326580</v>
      </c>
      <c r="BT3">
        <v>69954</v>
      </c>
      <c r="BU3">
        <v>93.4840314777</v>
      </c>
      <c r="BV3">
        <v>127882</v>
      </c>
      <c r="BW3">
        <v>41857</v>
      </c>
      <c r="BX3">
        <v>136.64869958240001</v>
      </c>
      <c r="BY3">
        <v>134.29925699410001</v>
      </c>
      <c r="CA3" t="s">
        <v>1044</v>
      </c>
      <c r="CB3" t="s">
        <v>738</v>
      </c>
      <c r="CC3" t="s">
        <v>924</v>
      </c>
      <c r="CD3">
        <v>11811</v>
      </c>
      <c r="CE3">
        <v>1849</v>
      </c>
      <c r="CF3">
        <v>75.277876555800006</v>
      </c>
      <c r="CG3">
        <v>2528</v>
      </c>
      <c r="CH3">
        <v>952</v>
      </c>
      <c r="CI3">
        <v>128.66455696200001</v>
      </c>
      <c r="CJ3">
        <v>128.09663865549999</v>
      </c>
      <c r="CL3" t="s">
        <v>1044</v>
      </c>
      <c r="CM3" t="s">
        <v>738</v>
      </c>
      <c r="CN3" t="s">
        <v>924</v>
      </c>
      <c r="CO3">
        <v>11811</v>
      </c>
      <c r="CP3">
        <v>1849</v>
      </c>
      <c r="CQ3">
        <v>75.277876555800006</v>
      </c>
      <c r="CR3">
        <v>2528</v>
      </c>
      <c r="CS3">
        <v>952</v>
      </c>
      <c r="CT3">
        <v>128.66455696200001</v>
      </c>
      <c r="CU3">
        <v>128.09663865549999</v>
      </c>
      <c r="CW3" t="s">
        <v>1044</v>
      </c>
      <c r="CX3" t="s">
        <v>738</v>
      </c>
      <c r="CY3" t="s">
        <v>924</v>
      </c>
      <c r="CZ3">
        <v>11811</v>
      </c>
      <c r="DA3">
        <v>1849</v>
      </c>
      <c r="DB3">
        <v>75.277876555800006</v>
      </c>
      <c r="DC3">
        <v>2528</v>
      </c>
      <c r="DD3">
        <v>952</v>
      </c>
      <c r="DE3">
        <v>128.66455696200001</v>
      </c>
      <c r="DF3">
        <v>128.09663865549999</v>
      </c>
      <c r="DH3" t="s">
        <v>1044</v>
      </c>
      <c r="DI3" t="s">
        <v>738</v>
      </c>
      <c r="DJ3" t="s">
        <v>924</v>
      </c>
      <c r="DK3">
        <v>11811</v>
      </c>
      <c r="DL3">
        <v>1849</v>
      </c>
      <c r="DM3">
        <v>75.277876555800006</v>
      </c>
      <c r="DN3">
        <v>2528</v>
      </c>
      <c r="DO3">
        <v>952</v>
      </c>
      <c r="DP3">
        <v>128.66455696200001</v>
      </c>
      <c r="DQ3">
        <v>128.09663865549999</v>
      </c>
    </row>
    <row r="4" spans="2:121" x14ac:dyDescent="0.2">
      <c r="B4" t="s">
        <v>113</v>
      </c>
      <c r="C4">
        <v>77000</v>
      </c>
      <c r="D4">
        <v>54920</v>
      </c>
      <c r="F4" t="s">
        <v>80</v>
      </c>
      <c r="G4">
        <v>15931</v>
      </c>
      <c r="H4">
        <v>289.90352143619998</v>
      </c>
      <c r="I4">
        <v>22872</v>
      </c>
      <c r="J4">
        <v>5757</v>
      </c>
      <c r="K4">
        <v>19412</v>
      </c>
      <c r="L4">
        <v>12240</v>
      </c>
      <c r="M4">
        <v>3700</v>
      </c>
      <c r="N4">
        <v>1673</v>
      </c>
      <c r="O4">
        <v>10224</v>
      </c>
      <c r="P4">
        <v>5825</v>
      </c>
      <c r="Q4">
        <v>10</v>
      </c>
      <c r="R4">
        <v>241</v>
      </c>
      <c r="T4" t="s">
        <v>230</v>
      </c>
      <c r="U4">
        <v>0</v>
      </c>
      <c r="W4">
        <v>239</v>
      </c>
      <c r="X4">
        <v>91</v>
      </c>
      <c r="Y4">
        <v>447</v>
      </c>
      <c r="Z4">
        <v>311</v>
      </c>
      <c r="AA4">
        <v>230</v>
      </c>
      <c r="AB4">
        <v>225</v>
      </c>
      <c r="AC4">
        <v>220</v>
      </c>
      <c r="AD4">
        <v>162</v>
      </c>
      <c r="AE4">
        <v>18</v>
      </c>
      <c r="AF4">
        <v>0</v>
      </c>
      <c r="AH4" t="s">
        <v>431</v>
      </c>
      <c r="AI4">
        <v>1966</v>
      </c>
      <c r="AJ4">
        <v>431.1932858596</v>
      </c>
      <c r="AK4">
        <v>1131</v>
      </c>
      <c r="AL4">
        <v>203</v>
      </c>
      <c r="AM4">
        <v>2866</v>
      </c>
      <c r="AN4">
        <v>1860</v>
      </c>
      <c r="AO4">
        <v>1558</v>
      </c>
      <c r="AP4">
        <v>1397</v>
      </c>
      <c r="AQ4">
        <v>431</v>
      </c>
      <c r="AR4">
        <v>182</v>
      </c>
      <c r="AS4">
        <v>4</v>
      </c>
      <c r="AT4">
        <v>2</v>
      </c>
      <c r="AV4" t="s">
        <v>407</v>
      </c>
      <c r="AW4">
        <v>28</v>
      </c>
      <c r="AX4">
        <v>76.142857142899999</v>
      </c>
      <c r="AY4">
        <v>95</v>
      </c>
      <c r="AZ4">
        <v>5</v>
      </c>
      <c r="BA4">
        <v>59</v>
      </c>
      <c r="BB4">
        <v>3</v>
      </c>
      <c r="BC4">
        <v>0</v>
      </c>
      <c r="BE4">
        <v>2</v>
      </c>
      <c r="BF4">
        <v>1</v>
      </c>
      <c r="BG4">
        <v>136</v>
      </c>
      <c r="BH4">
        <v>4</v>
      </c>
      <c r="BJ4" t="s">
        <v>644</v>
      </c>
      <c r="BK4" t="s">
        <v>392</v>
      </c>
      <c r="BL4">
        <v>874</v>
      </c>
      <c r="BM4">
        <v>152</v>
      </c>
      <c r="BN4">
        <v>82.532036613299994</v>
      </c>
      <c r="BO4">
        <v>275</v>
      </c>
      <c r="BP4">
        <v>78</v>
      </c>
      <c r="BQ4">
        <v>134.03272727269999</v>
      </c>
      <c r="BR4">
        <v>146.06410256410001</v>
      </c>
      <c r="BS4">
        <v>981</v>
      </c>
      <c r="BT4">
        <v>177</v>
      </c>
      <c r="BU4">
        <v>87.553516819600006</v>
      </c>
      <c r="BV4">
        <v>316</v>
      </c>
      <c r="BW4">
        <v>93</v>
      </c>
      <c r="BX4">
        <v>139.3575949367</v>
      </c>
      <c r="BY4">
        <v>152.97849462369999</v>
      </c>
      <c r="CA4" t="s">
        <v>1043</v>
      </c>
      <c r="CB4" t="s">
        <v>738</v>
      </c>
      <c r="CC4" t="s">
        <v>924</v>
      </c>
      <c r="CD4">
        <v>326580</v>
      </c>
      <c r="CE4">
        <v>69954</v>
      </c>
      <c r="CF4">
        <v>93.4840314777</v>
      </c>
      <c r="CG4">
        <v>127882</v>
      </c>
      <c r="CH4">
        <v>41857</v>
      </c>
      <c r="CI4">
        <v>136.64869958240001</v>
      </c>
      <c r="CJ4">
        <v>134.29925699410001</v>
      </c>
      <c r="CL4" t="s">
        <v>1043</v>
      </c>
      <c r="CM4" t="s">
        <v>738</v>
      </c>
      <c r="CN4" t="s">
        <v>924</v>
      </c>
      <c r="CO4">
        <v>326580</v>
      </c>
      <c r="CP4">
        <v>69954</v>
      </c>
      <c r="CQ4">
        <v>93.4840314777</v>
      </c>
      <c r="CR4">
        <v>127882</v>
      </c>
      <c r="CS4">
        <v>41857</v>
      </c>
      <c r="CT4">
        <v>136.64869958240001</v>
      </c>
      <c r="CU4">
        <v>134.29925699410001</v>
      </c>
      <c r="CW4" t="s">
        <v>1043</v>
      </c>
      <c r="CX4" t="s">
        <v>738</v>
      </c>
      <c r="CY4" t="s">
        <v>924</v>
      </c>
      <c r="CZ4">
        <v>326580</v>
      </c>
      <c r="DA4">
        <v>69954</v>
      </c>
      <c r="DB4">
        <v>93.4840314777</v>
      </c>
      <c r="DC4">
        <v>127882</v>
      </c>
      <c r="DD4">
        <v>41857</v>
      </c>
      <c r="DE4">
        <v>136.64869958240001</v>
      </c>
      <c r="DF4">
        <v>134.29925699410001</v>
      </c>
      <c r="DH4" t="s">
        <v>1043</v>
      </c>
      <c r="DI4" t="s">
        <v>738</v>
      </c>
      <c r="DJ4" t="s">
        <v>924</v>
      </c>
      <c r="DK4">
        <v>326580</v>
      </c>
      <c r="DL4">
        <v>69954</v>
      </c>
      <c r="DM4">
        <v>93.4840314777</v>
      </c>
      <c r="DN4">
        <v>127882</v>
      </c>
      <c r="DO4">
        <v>41857</v>
      </c>
      <c r="DP4">
        <v>136.64869958240001</v>
      </c>
      <c r="DQ4">
        <v>134.29925699410001</v>
      </c>
    </row>
    <row r="5" spans="2:121" x14ac:dyDescent="0.2">
      <c r="B5" t="s">
        <v>101</v>
      </c>
      <c r="C5">
        <v>121600</v>
      </c>
      <c r="D5">
        <v>95959</v>
      </c>
      <c r="F5" t="s">
        <v>54</v>
      </c>
      <c r="G5">
        <v>5215</v>
      </c>
      <c r="H5">
        <v>343.5907957814</v>
      </c>
      <c r="I5">
        <v>3544</v>
      </c>
      <c r="J5">
        <v>598</v>
      </c>
      <c r="K5">
        <v>9223</v>
      </c>
      <c r="L5">
        <v>4611</v>
      </c>
      <c r="M5">
        <v>4284</v>
      </c>
      <c r="N5">
        <v>3762</v>
      </c>
      <c r="O5">
        <v>1026</v>
      </c>
      <c r="P5">
        <v>451</v>
      </c>
      <c r="Q5">
        <v>1</v>
      </c>
      <c r="R5">
        <v>146</v>
      </c>
      <c r="T5" t="s">
        <v>216</v>
      </c>
      <c r="U5">
        <v>12533</v>
      </c>
      <c r="V5">
        <v>113.2073725365</v>
      </c>
      <c r="W5">
        <v>14825</v>
      </c>
      <c r="X5">
        <v>3651</v>
      </c>
      <c r="Y5">
        <v>17661</v>
      </c>
      <c r="Z5">
        <v>5966</v>
      </c>
      <c r="AA5">
        <v>375</v>
      </c>
      <c r="AB5">
        <v>358</v>
      </c>
      <c r="AC5">
        <v>767</v>
      </c>
      <c r="AD5">
        <v>282</v>
      </c>
      <c r="AE5">
        <v>1648</v>
      </c>
      <c r="AF5">
        <v>3960</v>
      </c>
      <c r="AH5" t="s">
        <v>433</v>
      </c>
      <c r="AI5">
        <v>6657</v>
      </c>
      <c r="AJ5">
        <v>300.9695057834</v>
      </c>
      <c r="AK5">
        <v>6087</v>
      </c>
      <c r="AL5">
        <v>1212</v>
      </c>
      <c r="AM5">
        <v>9240</v>
      </c>
      <c r="AN5">
        <v>5305</v>
      </c>
      <c r="AO5">
        <v>1313</v>
      </c>
      <c r="AP5">
        <v>548</v>
      </c>
      <c r="AQ5">
        <v>3103</v>
      </c>
      <c r="AR5">
        <v>2329</v>
      </c>
      <c r="AS5">
        <v>5</v>
      </c>
      <c r="AT5">
        <v>78</v>
      </c>
      <c r="AV5" t="s">
        <v>427</v>
      </c>
      <c r="AW5">
        <v>29</v>
      </c>
      <c r="AX5">
        <v>35.068965517199999</v>
      </c>
      <c r="AY5">
        <v>44</v>
      </c>
      <c r="AZ5">
        <v>2</v>
      </c>
      <c r="BA5">
        <v>40</v>
      </c>
      <c r="BC5">
        <v>0</v>
      </c>
      <c r="BE5">
        <v>1</v>
      </c>
      <c r="BG5">
        <v>75</v>
      </c>
      <c r="BH5">
        <v>3</v>
      </c>
      <c r="BJ5" t="s">
        <v>392</v>
      </c>
      <c r="BK5" t="s">
        <v>392</v>
      </c>
      <c r="BL5">
        <v>64507</v>
      </c>
      <c r="BM5">
        <v>13445</v>
      </c>
      <c r="BN5">
        <v>93.118808811400001</v>
      </c>
      <c r="BO5">
        <v>25276</v>
      </c>
      <c r="BP5">
        <v>8054</v>
      </c>
      <c r="BQ5">
        <v>143.14068681750001</v>
      </c>
      <c r="BR5">
        <v>139.55028557240001</v>
      </c>
      <c r="BS5">
        <v>65322</v>
      </c>
      <c r="BT5">
        <v>13936</v>
      </c>
      <c r="BU5">
        <v>93.277134809100005</v>
      </c>
      <c r="BV5">
        <v>25043</v>
      </c>
      <c r="BW5">
        <v>8142</v>
      </c>
      <c r="BX5">
        <v>142.49498861960001</v>
      </c>
      <c r="BY5">
        <v>138.87054777700001</v>
      </c>
      <c r="CA5" t="s">
        <v>1045</v>
      </c>
      <c r="CB5" t="s">
        <v>738</v>
      </c>
      <c r="CC5" t="s">
        <v>924</v>
      </c>
      <c r="CD5">
        <v>24249</v>
      </c>
      <c r="CE5">
        <v>2026</v>
      </c>
      <c r="CF5">
        <v>63.736978844500001</v>
      </c>
      <c r="CG5">
        <v>17083</v>
      </c>
      <c r="CH5">
        <v>5217</v>
      </c>
      <c r="CI5">
        <v>68.267751565899999</v>
      </c>
      <c r="CJ5">
        <v>68.825570251100004</v>
      </c>
      <c r="CL5" t="s">
        <v>1045</v>
      </c>
      <c r="CM5" t="s">
        <v>738</v>
      </c>
      <c r="CN5" t="s">
        <v>924</v>
      </c>
      <c r="CO5">
        <v>24249</v>
      </c>
      <c r="CP5">
        <v>2026</v>
      </c>
      <c r="CQ5">
        <v>63.736978844500001</v>
      </c>
      <c r="CR5">
        <v>17083</v>
      </c>
      <c r="CS5">
        <v>5217</v>
      </c>
      <c r="CT5">
        <v>68.267751565899999</v>
      </c>
      <c r="CU5">
        <v>68.825570251100004</v>
      </c>
      <c r="CW5" t="s">
        <v>1045</v>
      </c>
      <c r="CX5" t="s">
        <v>738</v>
      </c>
      <c r="CY5" t="s">
        <v>924</v>
      </c>
      <c r="CZ5">
        <v>24249</v>
      </c>
      <c r="DA5">
        <v>2026</v>
      </c>
      <c r="DB5">
        <v>63.736978844500001</v>
      </c>
      <c r="DC5">
        <v>17083</v>
      </c>
      <c r="DD5">
        <v>5217</v>
      </c>
      <c r="DE5">
        <v>68.267751565899999</v>
      </c>
      <c r="DF5">
        <v>68.825570251100004</v>
      </c>
      <c r="DH5" t="s">
        <v>1045</v>
      </c>
      <c r="DI5" t="s">
        <v>738</v>
      </c>
      <c r="DJ5" t="s">
        <v>924</v>
      </c>
      <c r="DK5">
        <v>24249</v>
      </c>
      <c r="DL5">
        <v>2026</v>
      </c>
      <c r="DM5">
        <v>63.736978844500001</v>
      </c>
      <c r="DN5">
        <v>17083</v>
      </c>
      <c r="DO5">
        <v>5217</v>
      </c>
      <c r="DP5">
        <v>68.267751565899999</v>
      </c>
      <c r="DQ5">
        <v>68.825570251100004</v>
      </c>
    </row>
    <row r="6" spans="2:121" x14ac:dyDescent="0.2">
      <c r="B6" t="s">
        <v>93</v>
      </c>
      <c r="C6">
        <v>7472</v>
      </c>
      <c r="D6">
        <v>1187</v>
      </c>
      <c r="F6" t="s">
        <v>187</v>
      </c>
      <c r="G6">
        <v>623</v>
      </c>
      <c r="H6">
        <v>191.09470304979999</v>
      </c>
      <c r="I6">
        <v>683</v>
      </c>
      <c r="J6">
        <v>66</v>
      </c>
      <c r="K6">
        <v>986</v>
      </c>
      <c r="L6">
        <v>414</v>
      </c>
      <c r="M6">
        <v>457</v>
      </c>
      <c r="N6">
        <v>157</v>
      </c>
      <c r="O6">
        <v>100</v>
      </c>
      <c r="P6">
        <v>40</v>
      </c>
      <c r="Q6">
        <v>0</v>
      </c>
      <c r="R6">
        <v>1</v>
      </c>
      <c r="T6" t="s">
        <v>218</v>
      </c>
      <c r="U6">
        <v>1762</v>
      </c>
      <c r="V6">
        <v>40.128263337100002</v>
      </c>
      <c r="W6">
        <v>7192</v>
      </c>
      <c r="X6">
        <v>225</v>
      </c>
      <c r="Y6">
        <v>2978</v>
      </c>
      <c r="Z6">
        <v>32</v>
      </c>
      <c r="AA6">
        <v>26</v>
      </c>
      <c r="AB6">
        <v>3</v>
      </c>
      <c r="AC6">
        <v>109</v>
      </c>
      <c r="AD6">
        <v>30</v>
      </c>
      <c r="AE6">
        <v>4945</v>
      </c>
      <c r="AF6">
        <v>764</v>
      </c>
      <c r="AH6" t="s">
        <v>418</v>
      </c>
      <c r="AI6">
        <v>5624</v>
      </c>
      <c r="AJ6">
        <v>352.45234708390001</v>
      </c>
      <c r="AK6">
        <v>3816</v>
      </c>
      <c r="AL6">
        <v>648</v>
      </c>
      <c r="AM6">
        <v>7433</v>
      </c>
      <c r="AN6">
        <v>4873</v>
      </c>
      <c r="AO6">
        <v>1995</v>
      </c>
      <c r="AP6">
        <v>1575</v>
      </c>
      <c r="AQ6">
        <v>1647</v>
      </c>
      <c r="AR6">
        <v>679</v>
      </c>
      <c r="AS6">
        <v>281</v>
      </c>
      <c r="AT6">
        <v>143</v>
      </c>
      <c r="AV6" t="s">
        <v>434</v>
      </c>
      <c r="AW6">
        <v>996</v>
      </c>
      <c r="AX6">
        <v>116.2168674699</v>
      </c>
      <c r="AY6">
        <v>532</v>
      </c>
      <c r="AZ6">
        <v>125</v>
      </c>
      <c r="BA6">
        <v>1555</v>
      </c>
      <c r="BB6">
        <v>507</v>
      </c>
      <c r="BC6">
        <v>20</v>
      </c>
      <c r="BD6">
        <v>18</v>
      </c>
      <c r="BE6">
        <v>29</v>
      </c>
      <c r="BF6">
        <v>19</v>
      </c>
      <c r="BG6">
        <v>66</v>
      </c>
      <c r="BH6">
        <v>117</v>
      </c>
      <c r="BJ6" t="s">
        <v>591</v>
      </c>
      <c r="BK6" t="s">
        <v>392</v>
      </c>
      <c r="BL6">
        <v>6723</v>
      </c>
      <c r="BM6">
        <v>1759</v>
      </c>
      <c r="BN6">
        <v>104.2741335713</v>
      </c>
      <c r="BO6">
        <v>2204</v>
      </c>
      <c r="BP6">
        <v>663</v>
      </c>
      <c r="BQ6">
        <v>151.3266787659</v>
      </c>
      <c r="BR6">
        <v>168.28959276020001</v>
      </c>
      <c r="BS6">
        <v>6744</v>
      </c>
      <c r="BT6">
        <v>1780</v>
      </c>
      <c r="BU6">
        <v>102.7118920522</v>
      </c>
      <c r="BV6">
        <v>2184</v>
      </c>
      <c r="BW6">
        <v>658</v>
      </c>
      <c r="BX6">
        <v>145.57738095240001</v>
      </c>
      <c r="BY6">
        <v>162.5653495441</v>
      </c>
      <c r="CA6" t="s">
        <v>1046</v>
      </c>
      <c r="CB6" t="s">
        <v>738</v>
      </c>
      <c r="CC6" t="s">
        <v>924</v>
      </c>
      <c r="CD6">
        <v>10558</v>
      </c>
      <c r="CE6">
        <v>1634</v>
      </c>
      <c r="CF6">
        <v>75.202121613900005</v>
      </c>
      <c r="CG6">
        <v>2147</v>
      </c>
      <c r="CH6">
        <v>749</v>
      </c>
      <c r="CI6">
        <v>134.65533302279999</v>
      </c>
      <c r="CJ6">
        <v>137.7543391188</v>
      </c>
      <c r="CL6" t="s">
        <v>1046</v>
      </c>
      <c r="CM6" t="s">
        <v>738</v>
      </c>
      <c r="CN6" t="s">
        <v>924</v>
      </c>
      <c r="CO6">
        <v>10558</v>
      </c>
      <c r="CP6">
        <v>1634</v>
      </c>
      <c r="CQ6">
        <v>75.202121613900005</v>
      </c>
      <c r="CR6">
        <v>2147</v>
      </c>
      <c r="CS6">
        <v>749</v>
      </c>
      <c r="CT6">
        <v>134.65533302279999</v>
      </c>
      <c r="CU6">
        <v>137.7543391188</v>
      </c>
      <c r="CW6" t="s">
        <v>1046</v>
      </c>
      <c r="CX6" t="s">
        <v>738</v>
      </c>
      <c r="CY6" t="s">
        <v>924</v>
      </c>
      <c r="CZ6">
        <v>10558</v>
      </c>
      <c r="DA6">
        <v>1634</v>
      </c>
      <c r="DB6">
        <v>75.202121613900005</v>
      </c>
      <c r="DC6">
        <v>2147</v>
      </c>
      <c r="DD6">
        <v>749</v>
      </c>
      <c r="DE6">
        <v>134.65533302279999</v>
      </c>
      <c r="DF6">
        <v>137.7543391188</v>
      </c>
      <c r="DH6" t="s">
        <v>1046</v>
      </c>
      <c r="DI6" t="s">
        <v>738</v>
      </c>
      <c r="DJ6" t="s">
        <v>924</v>
      </c>
      <c r="DK6">
        <v>10558</v>
      </c>
      <c r="DL6">
        <v>1634</v>
      </c>
      <c r="DM6">
        <v>75.202121613900005</v>
      </c>
      <c r="DN6">
        <v>2147</v>
      </c>
      <c r="DO6">
        <v>749</v>
      </c>
      <c r="DP6">
        <v>134.65533302279999</v>
      </c>
      <c r="DQ6">
        <v>137.7543391188</v>
      </c>
    </row>
    <row r="7" spans="2:121" x14ac:dyDescent="0.2">
      <c r="B7" t="s">
        <v>94</v>
      </c>
      <c r="C7">
        <v>275</v>
      </c>
      <c r="D7">
        <v>59</v>
      </c>
      <c r="F7" t="s">
        <v>27</v>
      </c>
      <c r="G7">
        <v>1575</v>
      </c>
      <c r="H7">
        <v>98.215238095199993</v>
      </c>
      <c r="I7">
        <v>6375</v>
      </c>
      <c r="J7">
        <v>1019</v>
      </c>
      <c r="K7">
        <v>9135</v>
      </c>
      <c r="L7">
        <v>2996</v>
      </c>
      <c r="M7">
        <v>1762</v>
      </c>
      <c r="N7">
        <v>532</v>
      </c>
      <c r="O7">
        <v>863</v>
      </c>
      <c r="P7">
        <v>406</v>
      </c>
      <c r="Q7">
        <v>1</v>
      </c>
      <c r="R7">
        <v>63</v>
      </c>
      <c r="T7" t="s">
        <v>469</v>
      </c>
      <c r="U7">
        <v>17239</v>
      </c>
      <c r="V7">
        <v>96.098961656699998</v>
      </c>
      <c r="W7">
        <v>30555</v>
      </c>
      <c r="X7">
        <v>4493</v>
      </c>
      <c r="Y7">
        <v>26064</v>
      </c>
      <c r="Z7">
        <v>6564</v>
      </c>
      <c r="AA7">
        <v>636</v>
      </c>
      <c r="AB7">
        <v>591</v>
      </c>
      <c r="AC7">
        <v>1496</v>
      </c>
      <c r="AD7">
        <v>545</v>
      </c>
      <c r="AE7">
        <v>7605</v>
      </c>
      <c r="AF7">
        <v>5490</v>
      </c>
      <c r="AH7" t="s">
        <v>414</v>
      </c>
      <c r="AI7">
        <v>30140</v>
      </c>
      <c r="AJ7">
        <v>371.40245520899998</v>
      </c>
      <c r="AK7">
        <v>32040</v>
      </c>
      <c r="AL7">
        <v>6205</v>
      </c>
      <c r="AM7">
        <v>44281</v>
      </c>
      <c r="AN7">
        <v>28912</v>
      </c>
      <c r="AO7">
        <v>9838</v>
      </c>
      <c r="AP7">
        <v>6500</v>
      </c>
      <c r="AQ7">
        <v>11403</v>
      </c>
      <c r="AR7">
        <v>7570</v>
      </c>
      <c r="AS7">
        <v>47</v>
      </c>
      <c r="AT7">
        <v>131</v>
      </c>
      <c r="AV7" t="s">
        <v>395</v>
      </c>
      <c r="AW7">
        <v>378</v>
      </c>
      <c r="AX7">
        <v>61.089947089900001</v>
      </c>
      <c r="AY7">
        <v>901</v>
      </c>
      <c r="AZ7">
        <v>55</v>
      </c>
      <c r="BA7">
        <v>607</v>
      </c>
      <c r="BB7">
        <v>44</v>
      </c>
      <c r="BC7">
        <v>5</v>
      </c>
      <c r="BD7">
        <v>4</v>
      </c>
      <c r="BE7">
        <v>54</v>
      </c>
      <c r="BF7">
        <v>9</v>
      </c>
      <c r="BG7">
        <v>116</v>
      </c>
      <c r="BH7">
        <v>99</v>
      </c>
      <c r="BJ7" t="s">
        <v>638</v>
      </c>
      <c r="BK7" t="s">
        <v>392</v>
      </c>
      <c r="BL7">
        <v>716</v>
      </c>
      <c r="BM7">
        <v>65</v>
      </c>
      <c r="BN7">
        <v>60.974860335199999</v>
      </c>
      <c r="BO7">
        <v>605</v>
      </c>
      <c r="BP7">
        <v>174</v>
      </c>
      <c r="BQ7">
        <v>86.808264462799997</v>
      </c>
      <c r="BR7">
        <v>80.459770114899996</v>
      </c>
      <c r="BS7">
        <v>1276</v>
      </c>
      <c r="BT7">
        <v>338</v>
      </c>
      <c r="BU7">
        <v>104.7178683386</v>
      </c>
      <c r="BV7">
        <v>754</v>
      </c>
      <c r="BW7">
        <v>232</v>
      </c>
      <c r="BX7">
        <v>119.3859416446</v>
      </c>
      <c r="BY7">
        <v>128</v>
      </c>
      <c r="CA7" t="s">
        <v>418</v>
      </c>
      <c r="CB7" t="s">
        <v>774</v>
      </c>
      <c r="CC7" t="s">
        <v>1001</v>
      </c>
      <c r="CD7">
        <v>4013</v>
      </c>
      <c r="CE7">
        <v>635</v>
      </c>
      <c r="CF7">
        <v>79.541490156999998</v>
      </c>
      <c r="CG7">
        <v>1585</v>
      </c>
      <c r="CH7">
        <v>492</v>
      </c>
      <c r="CI7">
        <v>116.4296529968</v>
      </c>
      <c r="CJ7">
        <v>116.1382113821</v>
      </c>
      <c r="CL7" t="s">
        <v>418</v>
      </c>
      <c r="CM7" t="s">
        <v>755</v>
      </c>
      <c r="CN7" t="s">
        <v>754</v>
      </c>
      <c r="CO7">
        <v>316</v>
      </c>
      <c r="CP7">
        <v>20</v>
      </c>
      <c r="CQ7">
        <v>56.363924050599998</v>
      </c>
      <c r="CR7">
        <v>200</v>
      </c>
      <c r="CS7">
        <v>69</v>
      </c>
      <c r="CT7">
        <v>55.195</v>
      </c>
      <c r="CU7">
        <v>51.246376811600001</v>
      </c>
      <c r="CW7" t="s">
        <v>418</v>
      </c>
      <c r="CX7" t="s">
        <v>765</v>
      </c>
      <c r="CY7" t="s">
        <v>764</v>
      </c>
      <c r="CZ7">
        <v>53</v>
      </c>
      <c r="DA7">
        <v>8</v>
      </c>
      <c r="DB7">
        <v>75.0188679245</v>
      </c>
      <c r="DC7">
        <v>8</v>
      </c>
      <c r="DD7">
        <v>2</v>
      </c>
      <c r="DE7">
        <v>130.75</v>
      </c>
      <c r="DF7">
        <v>129.5</v>
      </c>
      <c r="DH7" t="s">
        <v>418</v>
      </c>
      <c r="DI7" t="s">
        <v>745</v>
      </c>
      <c r="DJ7" t="s">
        <v>744</v>
      </c>
      <c r="DK7">
        <v>38</v>
      </c>
      <c r="DL7">
        <v>3</v>
      </c>
      <c r="DM7">
        <v>59.342105263199997</v>
      </c>
      <c r="DN7">
        <v>19</v>
      </c>
      <c r="DO7">
        <v>6</v>
      </c>
      <c r="DP7">
        <v>133.31578947369999</v>
      </c>
      <c r="DQ7">
        <v>120.5</v>
      </c>
    </row>
    <row r="8" spans="2:121" x14ac:dyDescent="0.2">
      <c r="B8" t="s">
        <v>103</v>
      </c>
      <c r="C8">
        <v>271</v>
      </c>
      <c r="D8">
        <v>170</v>
      </c>
      <c r="F8" t="s">
        <v>61</v>
      </c>
      <c r="G8">
        <v>5348</v>
      </c>
      <c r="H8">
        <v>229.3277860883</v>
      </c>
      <c r="I8">
        <v>9836</v>
      </c>
      <c r="J8">
        <v>2031</v>
      </c>
      <c r="K8">
        <v>9088</v>
      </c>
      <c r="L8">
        <v>4499</v>
      </c>
      <c r="M8">
        <v>2642</v>
      </c>
      <c r="N8">
        <v>1749</v>
      </c>
      <c r="O8">
        <v>1356</v>
      </c>
      <c r="P8">
        <v>1010</v>
      </c>
      <c r="Q8">
        <v>5</v>
      </c>
      <c r="R8">
        <v>231</v>
      </c>
      <c r="AH8" t="s">
        <v>410</v>
      </c>
      <c r="AI8">
        <v>7681</v>
      </c>
      <c r="AJ8">
        <v>382.63429240980003</v>
      </c>
      <c r="AK8">
        <v>7319</v>
      </c>
      <c r="AL8">
        <v>1843</v>
      </c>
      <c r="AM8">
        <v>10809</v>
      </c>
      <c r="AN8">
        <v>7215</v>
      </c>
      <c r="AO8">
        <v>2529</v>
      </c>
      <c r="AP8">
        <v>1740</v>
      </c>
      <c r="AQ8">
        <v>1673</v>
      </c>
      <c r="AR8">
        <v>648</v>
      </c>
      <c r="AS8">
        <v>11</v>
      </c>
      <c r="AT8">
        <v>64</v>
      </c>
      <c r="AV8" t="s">
        <v>424</v>
      </c>
      <c r="AW8">
        <v>38</v>
      </c>
      <c r="AX8">
        <v>100.2105263158</v>
      </c>
      <c r="AY8">
        <v>31</v>
      </c>
      <c r="AZ8">
        <v>7</v>
      </c>
      <c r="BA8">
        <v>46</v>
      </c>
      <c r="BB8">
        <v>10</v>
      </c>
      <c r="BC8">
        <v>1</v>
      </c>
      <c r="BD8">
        <v>1</v>
      </c>
      <c r="BE8">
        <v>1</v>
      </c>
      <c r="BF8">
        <v>1</v>
      </c>
      <c r="BG8">
        <v>9</v>
      </c>
      <c r="BH8">
        <v>8</v>
      </c>
      <c r="BJ8" t="s">
        <v>626</v>
      </c>
      <c r="BK8" t="s">
        <v>392</v>
      </c>
      <c r="BL8">
        <v>16140</v>
      </c>
      <c r="BM8">
        <v>4148</v>
      </c>
      <c r="BN8">
        <v>104.1470879802</v>
      </c>
      <c r="BO8">
        <v>7349</v>
      </c>
      <c r="BP8">
        <v>2214</v>
      </c>
      <c r="BQ8">
        <v>146.7251326711</v>
      </c>
      <c r="BR8">
        <v>142.56955736219999</v>
      </c>
      <c r="BS8">
        <v>12424</v>
      </c>
      <c r="BT8">
        <v>2480</v>
      </c>
      <c r="BU8">
        <v>88.2149066323</v>
      </c>
      <c r="BV8">
        <v>4601</v>
      </c>
      <c r="BW8">
        <v>1541</v>
      </c>
      <c r="BX8">
        <v>139.5333623125</v>
      </c>
      <c r="BY8">
        <v>132.59312134979999</v>
      </c>
      <c r="CA8" t="s">
        <v>410</v>
      </c>
      <c r="CB8" t="s">
        <v>774</v>
      </c>
      <c r="CC8" t="s">
        <v>1002</v>
      </c>
      <c r="CD8">
        <v>6884</v>
      </c>
      <c r="CE8">
        <v>1774</v>
      </c>
      <c r="CF8">
        <v>102.7866066241</v>
      </c>
      <c r="CG8">
        <v>2468</v>
      </c>
      <c r="CH8">
        <v>741</v>
      </c>
      <c r="CI8">
        <v>142.40032414909999</v>
      </c>
      <c r="CJ8">
        <v>158.87314439950001</v>
      </c>
      <c r="CL8" t="s">
        <v>410</v>
      </c>
      <c r="CM8" t="s">
        <v>755</v>
      </c>
      <c r="CN8" t="s">
        <v>756</v>
      </c>
      <c r="CO8">
        <v>304</v>
      </c>
      <c r="CP8">
        <v>22</v>
      </c>
      <c r="CQ8">
        <v>56.861842105299999</v>
      </c>
      <c r="CR8">
        <v>230</v>
      </c>
      <c r="CS8">
        <v>63</v>
      </c>
      <c r="CT8">
        <v>61.778260869599997</v>
      </c>
      <c r="CU8">
        <v>68.523809523799997</v>
      </c>
      <c r="CW8" t="s">
        <v>410</v>
      </c>
      <c r="CX8" t="s">
        <v>765</v>
      </c>
      <c r="CY8" t="s">
        <v>766</v>
      </c>
      <c r="CZ8">
        <v>294</v>
      </c>
      <c r="DA8">
        <v>47</v>
      </c>
      <c r="DB8">
        <v>70.823129251699996</v>
      </c>
      <c r="DC8">
        <v>57</v>
      </c>
      <c r="DD8">
        <v>14</v>
      </c>
      <c r="DE8">
        <v>132.1052631579</v>
      </c>
      <c r="DF8">
        <v>149.8571428571</v>
      </c>
      <c r="DH8" t="s">
        <v>410</v>
      </c>
      <c r="DI8" t="s">
        <v>745</v>
      </c>
      <c r="DJ8" t="s">
        <v>746</v>
      </c>
      <c r="DK8">
        <v>457</v>
      </c>
      <c r="DL8">
        <v>32</v>
      </c>
      <c r="DM8">
        <v>62.7067833698</v>
      </c>
      <c r="DN8">
        <v>99</v>
      </c>
      <c r="DO8">
        <v>38</v>
      </c>
      <c r="DP8">
        <v>117.9090909091</v>
      </c>
      <c r="DQ8">
        <v>120.2105263158</v>
      </c>
    </row>
    <row r="9" spans="2:121" x14ac:dyDescent="0.2">
      <c r="B9" t="s">
        <v>95</v>
      </c>
      <c r="C9">
        <v>11</v>
      </c>
      <c r="D9">
        <v>8</v>
      </c>
      <c r="F9" t="s">
        <v>24</v>
      </c>
      <c r="G9">
        <v>1831</v>
      </c>
      <c r="H9">
        <v>174.04806116879999</v>
      </c>
      <c r="I9">
        <v>4204</v>
      </c>
      <c r="J9">
        <v>921</v>
      </c>
      <c r="K9">
        <v>2708</v>
      </c>
      <c r="L9">
        <v>1193</v>
      </c>
      <c r="M9">
        <v>386</v>
      </c>
      <c r="N9">
        <v>79</v>
      </c>
      <c r="O9">
        <v>329</v>
      </c>
      <c r="P9">
        <v>206</v>
      </c>
      <c r="Q9">
        <v>0</v>
      </c>
      <c r="R9">
        <v>0</v>
      </c>
      <c r="AH9" t="s">
        <v>380</v>
      </c>
      <c r="AI9">
        <v>1661</v>
      </c>
      <c r="AJ9">
        <v>295.39133052379998</v>
      </c>
      <c r="AK9">
        <v>1891</v>
      </c>
      <c r="AL9">
        <v>349</v>
      </c>
      <c r="AM9">
        <v>3361</v>
      </c>
      <c r="AN9">
        <v>2096</v>
      </c>
      <c r="AO9">
        <v>515</v>
      </c>
      <c r="AP9">
        <v>281</v>
      </c>
      <c r="AQ9">
        <v>859</v>
      </c>
      <c r="AR9">
        <v>597</v>
      </c>
      <c r="AS9">
        <v>261</v>
      </c>
      <c r="AT9">
        <v>3</v>
      </c>
      <c r="AV9" t="s">
        <v>416</v>
      </c>
      <c r="AW9">
        <v>66</v>
      </c>
      <c r="AX9">
        <v>52.257575757600002</v>
      </c>
      <c r="AY9">
        <v>265</v>
      </c>
      <c r="AZ9">
        <v>12</v>
      </c>
      <c r="BA9">
        <v>123</v>
      </c>
      <c r="BB9">
        <v>5</v>
      </c>
      <c r="BC9">
        <v>1</v>
      </c>
      <c r="BD9">
        <v>1</v>
      </c>
      <c r="BE9">
        <v>7</v>
      </c>
      <c r="BF9">
        <v>4</v>
      </c>
      <c r="BG9">
        <v>209</v>
      </c>
      <c r="BH9">
        <v>27</v>
      </c>
      <c r="BJ9" t="s">
        <v>562</v>
      </c>
      <c r="BK9" t="s">
        <v>392</v>
      </c>
      <c r="BL9">
        <v>4192</v>
      </c>
      <c r="BM9">
        <v>1027</v>
      </c>
      <c r="BN9">
        <v>103.7707538168</v>
      </c>
      <c r="BO9">
        <v>1055</v>
      </c>
      <c r="BP9">
        <v>349</v>
      </c>
      <c r="BQ9">
        <v>152.9620853081</v>
      </c>
      <c r="BR9">
        <v>134.77936962749999</v>
      </c>
      <c r="BS9">
        <v>4980</v>
      </c>
      <c r="BT9">
        <v>1594</v>
      </c>
      <c r="BU9">
        <v>121.1584337349</v>
      </c>
      <c r="BV9">
        <v>1679</v>
      </c>
      <c r="BW9">
        <v>461</v>
      </c>
      <c r="BX9">
        <v>141.30017867780001</v>
      </c>
      <c r="BY9">
        <v>139.75054229930001</v>
      </c>
      <c r="CA9" t="s">
        <v>394</v>
      </c>
      <c r="CB9" t="s">
        <v>774</v>
      </c>
      <c r="CC9" t="s">
        <v>1003</v>
      </c>
      <c r="CD9">
        <v>6112</v>
      </c>
      <c r="CE9">
        <v>1002</v>
      </c>
      <c r="CF9">
        <v>83.937009162300001</v>
      </c>
      <c r="CG9">
        <v>2594</v>
      </c>
      <c r="CH9">
        <v>696</v>
      </c>
      <c r="CI9">
        <v>133.30570547420001</v>
      </c>
      <c r="CJ9">
        <v>137.742816092</v>
      </c>
      <c r="CL9" t="s">
        <v>394</v>
      </c>
      <c r="CM9" t="s">
        <v>755</v>
      </c>
      <c r="CN9" t="s">
        <v>757</v>
      </c>
      <c r="CO9">
        <v>440</v>
      </c>
      <c r="CP9">
        <v>40</v>
      </c>
      <c r="CQ9">
        <v>62.0727272727</v>
      </c>
      <c r="CR9">
        <v>297</v>
      </c>
      <c r="CS9">
        <v>92</v>
      </c>
      <c r="CT9">
        <v>57.444444444399998</v>
      </c>
      <c r="CU9">
        <v>49.684782608699997</v>
      </c>
      <c r="CW9" t="s">
        <v>394</v>
      </c>
      <c r="CX9" t="s">
        <v>765</v>
      </c>
      <c r="CY9" t="s">
        <v>767</v>
      </c>
      <c r="CZ9">
        <v>84</v>
      </c>
      <c r="DA9">
        <v>15</v>
      </c>
      <c r="DB9">
        <v>78.559523809500007</v>
      </c>
      <c r="DC9">
        <v>12</v>
      </c>
      <c r="DD9">
        <v>3</v>
      </c>
      <c r="DE9">
        <v>110.3333333333</v>
      </c>
      <c r="DF9">
        <v>101</v>
      </c>
      <c r="DH9" t="s">
        <v>394</v>
      </c>
      <c r="DI9" t="s">
        <v>745</v>
      </c>
      <c r="DJ9" t="s">
        <v>747</v>
      </c>
      <c r="DK9">
        <v>175</v>
      </c>
      <c r="DL9">
        <v>15</v>
      </c>
      <c r="DM9">
        <v>61.474285714300002</v>
      </c>
      <c r="DN9">
        <v>34</v>
      </c>
      <c r="DO9">
        <v>13</v>
      </c>
      <c r="DP9">
        <v>96.235294117600006</v>
      </c>
      <c r="DQ9">
        <v>100.23076923079999</v>
      </c>
    </row>
    <row r="10" spans="2:121" x14ac:dyDescent="0.2">
      <c r="B10" t="s">
        <v>320</v>
      </c>
      <c r="C10">
        <v>2</v>
      </c>
      <c r="F10" t="s">
        <v>62</v>
      </c>
      <c r="G10">
        <v>5271</v>
      </c>
      <c r="H10">
        <v>406.83968886359997</v>
      </c>
      <c r="I10">
        <v>6015</v>
      </c>
      <c r="J10">
        <v>973</v>
      </c>
      <c r="K10">
        <v>6591</v>
      </c>
      <c r="L10">
        <v>4604</v>
      </c>
      <c r="M10">
        <v>827</v>
      </c>
      <c r="N10">
        <v>480</v>
      </c>
      <c r="O10">
        <v>992</v>
      </c>
      <c r="P10">
        <v>504</v>
      </c>
      <c r="Q10">
        <v>2</v>
      </c>
      <c r="R10">
        <v>246</v>
      </c>
      <c r="AH10" t="s">
        <v>430</v>
      </c>
      <c r="AI10">
        <v>914</v>
      </c>
      <c r="AJ10">
        <v>401.77680525160002</v>
      </c>
      <c r="AK10">
        <v>929</v>
      </c>
      <c r="AL10">
        <v>234</v>
      </c>
      <c r="AM10">
        <v>1199</v>
      </c>
      <c r="AN10">
        <v>836</v>
      </c>
      <c r="AO10">
        <v>185</v>
      </c>
      <c r="AP10">
        <v>101</v>
      </c>
      <c r="AQ10">
        <v>302</v>
      </c>
      <c r="AR10">
        <v>193</v>
      </c>
      <c r="AS10">
        <v>61</v>
      </c>
      <c r="AT10">
        <v>1</v>
      </c>
      <c r="AV10" t="s">
        <v>378</v>
      </c>
      <c r="AW10">
        <v>338</v>
      </c>
      <c r="AX10">
        <v>111.3017751479</v>
      </c>
      <c r="AY10">
        <v>555</v>
      </c>
      <c r="AZ10">
        <v>131</v>
      </c>
      <c r="BA10">
        <v>498</v>
      </c>
      <c r="BB10">
        <v>177</v>
      </c>
      <c r="BC10">
        <v>10</v>
      </c>
      <c r="BD10">
        <v>10</v>
      </c>
      <c r="BE10">
        <v>31</v>
      </c>
      <c r="BF10">
        <v>13</v>
      </c>
      <c r="BG10">
        <v>49</v>
      </c>
      <c r="BH10">
        <v>159</v>
      </c>
      <c r="BJ10" t="s">
        <v>614</v>
      </c>
      <c r="BK10" t="s">
        <v>392</v>
      </c>
      <c r="BL10">
        <v>3954</v>
      </c>
      <c r="BM10">
        <v>610</v>
      </c>
      <c r="BN10">
        <v>78.371269600399998</v>
      </c>
      <c r="BO10">
        <v>1535</v>
      </c>
      <c r="BP10">
        <v>464</v>
      </c>
      <c r="BQ10">
        <v>118.76482084689999</v>
      </c>
      <c r="BR10">
        <v>119.99784482760001</v>
      </c>
      <c r="BS10">
        <v>4578</v>
      </c>
      <c r="BT10">
        <v>964</v>
      </c>
      <c r="BU10">
        <v>88.969418960200002</v>
      </c>
      <c r="BV10">
        <v>1811</v>
      </c>
      <c r="BW10">
        <v>572</v>
      </c>
      <c r="BX10">
        <v>129.531198233</v>
      </c>
      <c r="BY10">
        <v>133.95979020979999</v>
      </c>
      <c r="CA10" t="s">
        <v>396</v>
      </c>
      <c r="CB10" t="s">
        <v>774</v>
      </c>
      <c r="CC10" t="s">
        <v>1004</v>
      </c>
      <c r="CD10">
        <v>4355</v>
      </c>
      <c r="CE10">
        <v>1052</v>
      </c>
      <c r="CF10">
        <v>102.8645235362</v>
      </c>
      <c r="CG10">
        <v>1193</v>
      </c>
      <c r="CH10">
        <v>390</v>
      </c>
      <c r="CI10">
        <v>147.94383906120001</v>
      </c>
      <c r="CJ10">
        <v>133.2230769231</v>
      </c>
      <c r="CL10" t="s">
        <v>396</v>
      </c>
      <c r="CM10" t="s">
        <v>755</v>
      </c>
      <c r="CN10" t="s">
        <v>758</v>
      </c>
      <c r="CO10">
        <v>342</v>
      </c>
      <c r="CP10">
        <v>25</v>
      </c>
      <c r="CQ10">
        <v>59.821637426899997</v>
      </c>
      <c r="CR10">
        <v>217</v>
      </c>
      <c r="CS10">
        <v>80</v>
      </c>
      <c r="CT10">
        <v>69.907834101399999</v>
      </c>
      <c r="CU10">
        <v>72.95</v>
      </c>
      <c r="CW10" t="s">
        <v>396</v>
      </c>
      <c r="CX10" t="s">
        <v>765</v>
      </c>
      <c r="CY10" t="s">
        <v>768</v>
      </c>
      <c r="CZ10">
        <v>92</v>
      </c>
      <c r="DA10">
        <v>22</v>
      </c>
      <c r="DB10">
        <v>84.902173912999999</v>
      </c>
      <c r="DC10">
        <v>19</v>
      </c>
      <c r="DD10">
        <v>10</v>
      </c>
      <c r="DE10">
        <v>135.47368421050001</v>
      </c>
      <c r="DF10">
        <v>134.6</v>
      </c>
      <c r="DH10" t="s">
        <v>396</v>
      </c>
      <c r="DI10" t="s">
        <v>745</v>
      </c>
      <c r="DJ10" t="s">
        <v>748</v>
      </c>
      <c r="DK10">
        <v>81</v>
      </c>
      <c r="DL10">
        <v>8</v>
      </c>
      <c r="DM10">
        <v>71.975308642000002</v>
      </c>
      <c r="DN10">
        <v>22</v>
      </c>
      <c r="DO10">
        <v>12</v>
      </c>
      <c r="DP10">
        <v>155.36363636359999</v>
      </c>
      <c r="DQ10">
        <v>165.9166666667</v>
      </c>
    </row>
    <row r="11" spans="2:121" x14ac:dyDescent="0.2">
      <c r="B11" t="s">
        <v>117</v>
      </c>
      <c r="C11">
        <v>7185</v>
      </c>
      <c r="D11">
        <v>286</v>
      </c>
      <c r="F11" t="s">
        <v>36</v>
      </c>
      <c r="G11">
        <v>7819</v>
      </c>
      <c r="H11">
        <v>648.98989640620005</v>
      </c>
      <c r="I11">
        <v>5081</v>
      </c>
      <c r="J11">
        <v>1077</v>
      </c>
      <c r="K11">
        <v>9102</v>
      </c>
      <c r="L11">
        <v>7365</v>
      </c>
      <c r="M11">
        <v>1114</v>
      </c>
      <c r="N11">
        <v>808</v>
      </c>
      <c r="O11">
        <v>5850</v>
      </c>
      <c r="P11">
        <v>5014</v>
      </c>
      <c r="Q11">
        <v>22</v>
      </c>
      <c r="R11">
        <v>3</v>
      </c>
      <c r="AH11" t="s">
        <v>421</v>
      </c>
      <c r="AI11">
        <v>499</v>
      </c>
      <c r="AJ11">
        <v>486.67334669339999</v>
      </c>
      <c r="AK11">
        <v>479</v>
      </c>
      <c r="AL11">
        <v>97</v>
      </c>
      <c r="AM11">
        <v>686</v>
      </c>
      <c r="AN11">
        <v>482</v>
      </c>
      <c r="AO11">
        <v>176</v>
      </c>
      <c r="AP11">
        <v>124</v>
      </c>
      <c r="AQ11">
        <v>321</v>
      </c>
      <c r="AR11">
        <v>239</v>
      </c>
      <c r="AS11">
        <v>24</v>
      </c>
      <c r="AT11">
        <v>0</v>
      </c>
      <c r="AV11" t="s">
        <v>432</v>
      </c>
      <c r="AW11">
        <v>2419</v>
      </c>
      <c r="AX11">
        <v>110.371641174</v>
      </c>
      <c r="AY11">
        <v>3051</v>
      </c>
      <c r="AZ11">
        <v>744</v>
      </c>
      <c r="BA11">
        <v>3383</v>
      </c>
      <c r="BB11">
        <v>1125</v>
      </c>
      <c r="BC11">
        <v>86</v>
      </c>
      <c r="BD11">
        <v>82</v>
      </c>
      <c r="BE11">
        <v>168</v>
      </c>
      <c r="BF11">
        <v>65</v>
      </c>
      <c r="BG11">
        <v>330</v>
      </c>
      <c r="BH11">
        <v>717</v>
      </c>
      <c r="BJ11" t="s">
        <v>616</v>
      </c>
      <c r="BK11" t="s">
        <v>392</v>
      </c>
      <c r="BL11">
        <v>6231</v>
      </c>
      <c r="BM11">
        <v>980</v>
      </c>
      <c r="BN11">
        <v>85.007863906300003</v>
      </c>
      <c r="BO11">
        <v>2945</v>
      </c>
      <c r="BP11">
        <v>1161</v>
      </c>
      <c r="BQ11">
        <v>157.8030560272</v>
      </c>
      <c r="BR11">
        <v>130.4909560724</v>
      </c>
      <c r="BS11">
        <v>8453</v>
      </c>
      <c r="BT11">
        <v>1879</v>
      </c>
      <c r="BU11">
        <v>98.344019874599994</v>
      </c>
      <c r="BV11">
        <v>4584</v>
      </c>
      <c r="BW11">
        <v>1643</v>
      </c>
      <c r="BX11">
        <v>152.48974694590001</v>
      </c>
      <c r="BY11">
        <v>130.71880706030001</v>
      </c>
      <c r="CA11" t="s">
        <v>425</v>
      </c>
      <c r="CB11" t="s">
        <v>774</v>
      </c>
      <c r="CC11" t="s">
        <v>1005</v>
      </c>
      <c r="CD11">
        <v>747</v>
      </c>
      <c r="CE11">
        <v>83</v>
      </c>
      <c r="CF11">
        <v>65.621151271800002</v>
      </c>
      <c r="CG11">
        <v>649</v>
      </c>
      <c r="CH11">
        <v>193</v>
      </c>
      <c r="CI11">
        <v>89.092449923000004</v>
      </c>
      <c r="CJ11">
        <v>89.606217616600006</v>
      </c>
      <c r="CL11" t="s">
        <v>425</v>
      </c>
      <c r="CM11" t="s">
        <v>755</v>
      </c>
      <c r="CN11" t="s">
        <v>759</v>
      </c>
      <c r="CO11">
        <v>93</v>
      </c>
      <c r="CP11">
        <v>7</v>
      </c>
      <c r="CQ11">
        <v>54.376344086000003</v>
      </c>
      <c r="CR11">
        <v>75</v>
      </c>
      <c r="CS11">
        <v>21</v>
      </c>
      <c r="CT11">
        <v>48.8266666667</v>
      </c>
      <c r="CU11">
        <v>52.523809523799997</v>
      </c>
      <c r="CW11" t="s">
        <v>425</v>
      </c>
      <c r="CX11" t="s">
        <v>765</v>
      </c>
      <c r="CY11" t="s">
        <v>769</v>
      </c>
      <c r="CZ11">
        <v>24</v>
      </c>
      <c r="DA11">
        <v>2</v>
      </c>
      <c r="DB11">
        <v>68.166666666699996</v>
      </c>
      <c r="DC11">
        <v>5</v>
      </c>
      <c r="DD11">
        <v>0</v>
      </c>
      <c r="DE11">
        <v>111.4</v>
      </c>
      <c r="DF11">
        <v>0</v>
      </c>
      <c r="DH11" t="s">
        <v>425</v>
      </c>
      <c r="DI11" t="s">
        <v>745</v>
      </c>
      <c r="DJ11" t="s">
        <v>749</v>
      </c>
      <c r="DK11">
        <v>19</v>
      </c>
      <c r="DL11">
        <v>0</v>
      </c>
      <c r="DM11">
        <v>60.157894736800003</v>
      </c>
      <c r="DN11">
        <v>4</v>
      </c>
      <c r="DO11">
        <v>1</v>
      </c>
      <c r="DP11">
        <v>87.25</v>
      </c>
      <c r="DQ11">
        <v>44</v>
      </c>
    </row>
    <row r="12" spans="2:121" x14ac:dyDescent="0.2">
      <c r="B12" t="s">
        <v>100</v>
      </c>
      <c r="C12">
        <v>212</v>
      </c>
      <c r="D12">
        <v>118</v>
      </c>
      <c r="F12" t="s">
        <v>60</v>
      </c>
      <c r="G12">
        <v>13127</v>
      </c>
      <c r="H12">
        <v>373.9318199132</v>
      </c>
      <c r="I12">
        <v>7738</v>
      </c>
      <c r="J12">
        <v>1337</v>
      </c>
      <c r="K12">
        <v>14735</v>
      </c>
      <c r="L12">
        <v>10459</v>
      </c>
      <c r="M12">
        <v>4648</v>
      </c>
      <c r="N12">
        <v>3742</v>
      </c>
      <c r="O12">
        <v>1723</v>
      </c>
      <c r="P12">
        <v>1241</v>
      </c>
      <c r="Q12">
        <v>0</v>
      </c>
      <c r="R12">
        <v>344</v>
      </c>
      <c r="T12" t="s">
        <v>655</v>
      </c>
      <c r="U12" t="s">
        <v>312</v>
      </c>
      <c r="V12" t="s">
        <v>139</v>
      </c>
      <c r="W12" t="s">
        <v>220</v>
      </c>
      <c r="X12" t="s">
        <v>221</v>
      </c>
      <c r="Y12" t="s">
        <v>222</v>
      </c>
      <c r="Z12" t="s">
        <v>223</v>
      </c>
      <c r="AA12" t="s">
        <v>224</v>
      </c>
      <c r="AB12" t="s">
        <v>225</v>
      </c>
      <c r="AC12" t="s">
        <v>226</v>
      </c>
      <c r="AD12" t="s">
        <v>227</v>
      </c>
      <c r="AE12" t="s">
        <v>228</v>
      </c>
      <c r="AF12" t="s">
        <v>229</v>
      </c>
      <c r="AH12" t="s">
        <v>432</v>
      </c>
      <c r="AI12">
        <v>21285</v>
      </c>
      <c r="AJ12">
        <v>319.79267089500001</v>
      </c>
      <c r="AK12">
        <v>24827</v>
      </c>
      <c r="AL12">
        <v>6068</v>
      </c>
      <c r="AM12">
        <v>29513</v>
      </c>
      <c r="AN12">
        <v>18637</v>
      </c>
      <c r="AO12">
        <v>5777</v>
      </c>
      <c r="AP12">
        <v>2884</v>
      </c>
      <c r="AQ12">
        <v>13446</v>
      </c>
      <c r="AR12">
        <v>7371</v>
      </c>
      <c r="AS12">
        <v>1896</v>
      </c>
      <c r="AT12">
        <v>256</v>
      </c>
      <c r="AV12" t="s">
        <v>394</v>
      </c>
      <c r="AW12">
        <v>227</v>
      </c>
      <c r="AX12">
        <v>60.356828193799998</v>
      </c>
      <c r="AY12">
        <v>465</v>
      </c>
      <c r="AZ12">
        <v>19</v>
      </c>
      <c r="BA12">
        <v>371</v>
      </c>
      <c r="BB12">
        <v>19</v>
      </c>
      <c r="BC12">
        <v>2</v>
      </c>
      <c r="BD12">
        <v>1</v>
      </c>
      <c r="BE12">
        <v>24</v>
      </c>
      <c r="BF12">
        <v>3</v>
      </c>
      <c r="BG12">
        <v>77</v>
      </c>
      <c r="BH12">
        <v>72</v>
      </c>
      <c r="BJ12" t="s">
        <v>558</v>
      </c>
      <c r="BK12" t="s">
        <v>392</v>
      </c>
      <c r="BL12">
        <v>5959</v>
      </c>
      <c r="BM12">
        <v>957</v>
      </c>
      <c r="BN12">
        <v>82.221513676800001</v>
      </c>
      <c r="BO12">
        <v>2431</v>
      </c>
      <c r="BP12">
        <v>641</v>
      </c>
      <c r="BQ12">
        <v>136.7046482929</v>
      </c>
      <c r="BR12">
        <v>144.2028081123</v>
      </c>
      <c r="BS12">
        <v>5199</v>
      </c>
      <c r="BT12">
        <v>556</v>
      </c>
      <c r="BU12">
        <v>68.990190421199998</v>
      </c>
      <c r="BV12">
        <v>1729</v>
      </c>
      <c r="BW12">
        <v>505</v>
      </c>
      <c r="BX12">
        <v>131.59282822439999</v>
      </c>
      <c r="BY12">
        <v>138.5287128713</v>
      </c>
      <c r="CA12" t="s">
        <v>419</v>
      </c>
      <c r="CB12" t="s">
        <v>774</v>
      </c>
      <c r="CC12" t="s">
        <v>1006</v>
      </c>
      <c r="CD12">
        <v>6329</v>
      </c>
      <c r="CE12">
        <v>977</v>
      </c>
      <c r="CF12">
        <v>77.654605782900006</v>
      </c>
      <c r="CG12">
        <v>2949</v>
      </c>
      <c r="CH12">
        <v>1146</v>
      </c>
      <c r="CI12">
        <v>112.8796202102</v>
      </c>
      <c r="CJ12">
        <v>101.5942408377</v>
      </c>
      <c r="CL12" t="s">
        <v>419</v>
      </c>
      <c r="CM12" t="s">
        <v>755</v>
      </c>
      <c r="CN12" t="s">
        <v>760</v>
      </c>
      <c r="CO12">
        <v>426</v>
      </c>
      <c r="CP12">
        <v>38</v>
      </c>
      <c r="CQ12">
        <v>60.2112676056</v>
      </c>
      <c r="CR12">
        <v>370</v>
      </c>
      <c r="CS12">
        <v>124</v>
      </c>
      <c r="CT12">
        <v>59.513513513500001</v>
      </c>
      <c r="CU12">
        <v>64.556451612900005</v>
      </c>
      <c r="CW12" t="s">
        <v>419</v>
      </c>
      <c r="CX12" t="s">
        <v>765</v>
      </c>
      <c r="CY12" t="s">
        <v>770</v>
      </c>
      <c r="CZ12">
        <v>122</v>
      </c>
      <c r="DA12">
        <v>17</v>
      </c>
      <c r="DB12">
        <v>73.811475409799996</v>
      </c>
      <c r="DC12">
        <v>29</v>
      </c>
      <c r="DD12">
        <v>11</v>
      </c>
      <c r="DE12">
        <v>130.93103448279999</v>
      </c>
      <c r="DF12">
        <v>136.63636363640001</v>
      </c>
      <c r="DH12" t="s">
        <v>419</v>
      </c>
      <c r="DI12" t="s">
        <v>745</v>
      </c>
      <c r="DJ12" t="s">
        <v>750</v>
      </c>
      <c r="DK12">
        <v>187</v>
      </c>
      <c r="DL12">
        <v>20</v>
      </c>
      <c r="DM12">
        <v>70.074866310199994</v>
      </c>
      <c r="DN12">
        <v>49</v>
      </c>
      <c r="DO12">
        <v>21</v>
      </c>
      <c r="DP12">
        <v>115.387755102</v>
      </c>
      <c r="DQ12">
        <v>110.380952381</v>
      </c>
    </row>
    <row r="13" spans="2:121" x14ac:dyDescent="0.2">
      <c r="B13" t="s">
        <v>127</v>
      </c>
      <c r="C13">
        <v>674</v>
      </c>
      <c r="D13">
        <v>356</v>
      </c>
      <c r="F13" t="s">
        <v>37</v>
      </c>
      <c r="G13">
        <v>225</v>
      </c>
      <c r="H13">
        <v>71.506666666699999</v>
      </c>
      <c r="I13">
        <v>1326</v>
      </c>
      <c r="J13">
        <v>268</v>
      </c>
      <c r="K13">
        <v>414</v>
      </c>
      <c r="L13">
        <v>67</v>
      </c>
      <c r="M13">
        <v>255</v>
      </c>
      <c r="N13">
        <v>22</v>
      </c>
      <c r="O13">
        <v>136</v>
      </c>
      <c r="P13">
        <v>57</v>
      </c>
      <c r="Q13">
        <v>0</v>
      </c>
      <c r="R13">
        <v>3</v>
      </c>
      <c r="T13" t="s">
        <v>392</v>
      </c>
      <c r="U13">
        <v>58445</v>
      </c>
      <c r="V13">
        <v>327.4376764479</v>
      </c>
      <c r="W13">
        <v>66014</v>
      </c>
      <c r="X13">
        <v>14023</v>
      </c>
      <c r="Y13">
        <v>92371</v>
      </c>
      <c r="Z13">
        <v>52390</v>
      </c>
      <c r="AA13">
        <v>19222</v>
      </c>
      <c r="AB13">
        <v>11812</v>
      </c>
      <c r="AC13">
        <v>12977</v>
      </c>
      <c r="AD13">
        <v>6956</v>
      </c>
      <c r="AE13">
        <v>45</v>
      </c>
      <c r="AF13">
        <v>1128</v>
      </c>
      <c r="AH13" t="s">
        <v>388</v>
      </c>
      <c r="AI13">
        <v>16956</v>
      </c>
      <c r="AJ13">
        <v>359.32189195559999</v>
      </c>
      <c r="AK13">
        <v>19119</v>
      </c>
      <c r="AL13">
        <v>4079</v>
      </c>
      <c r="AM13">
        <v>24878</v>
      </c>
      <c r="AN13">
        <v>16502</v>
      </c>
      <c r="AO13">
        <v>7055</v>
      </c>
      <c r="AP13">
        <v>4722</v>
      </c>
      <c r="AQ13">
        <v>12181</v>
      </c>
      <c r="AR13">
        <v>8244</v>
      </c>
      <c r="AS13">
        <v>885</v>
      </c>
      <c r="AT13">
        <v>18</v>
      </c>
      <c r="AV13" t="s">
        <v>415</v>
      </c>
      <c r="AW13">
        <v>35</v>
      </c>
      <c r="AX13">
        <v>50.0857142857</v>
      </c>
      <c r="AY13">
        <v>114</v>
      </c>
      <c r="AZ13">
        <v>3</v>
      </c>
      <c r="BA13">
        <v>57</v>
      </c>
      <c r="BB13">
        <v>1</v>
      </c>
      <c r="BC13">
        <v>1</v>
      </c>
      <c r="BD13">
        <v>1</v>
      </c>
      <c r="BE13">
        <v>1</v>
      </c>
      <c r="BG13">
        <v>93</v>
      </c>
      <c r="BH13">
        <v>9</v>
      </c>
      <c r="BJ13" t="s">
        <v>595</v>
      </c>
      <c r="BK13" t="s">
        <v>392</v>
      </c>
      <c r="BL13">
        <v>2080</v>
      </c>
      <c r="BM13">
        <v>373</v>
      </c>
      <c r="BN13">
        <v>88.715865384599994</v>
      </c>
      <c r="BO13">
        <v>675</v>
      </c>
      <c r="BP13">
        <v>275</v>
      </c>
      <c r="BQ13">
        <v>162.31851851850001</v>
      </c>
      <c r="BR13">
        <v>179.2</v>
      </c>
      <c r="BS13">
        <v>3349</v>
      </c>
      <c r="BT13">
        <v>1064</v>
      </c>
      <c r="BU13">
        <v>115.10600179159999</v>
      </c>
      <c r="BV13">
        <v>1374</v>
      </c>
      <c r="BW13">
        <v>435</v>
      </c>
      <c r="BX13">
        <v>179.85807860259999</v>
      </c>
      <c r="BY13">
        <v>188.5149425287</v>
      </c>
      <c r="CA13" t="s">
        <v>417</v>
      </c>
      <c r="CB13" t="s">
        <v>774</v>
      </c>
      <c r="CC13" t="s">
        <v>1007</v>
      </c>
      <c r="CD13">
        <v>34851</v>
      </c>
      <c r="CE13">
        <v>7648</v>
      </c>
      <c r="CF13">
        <v>95.131646150799995</v>
      </c>
      <c r="CG13">
        <v>14513</v>
      </c>
      <c r="CH13">
        <v>4541</v>
      </c>
      <c r="CI13">
        <v>137.0600840626</v>
      </c>
      <c r="CJ13">
        <v>132.3860383176</v>
      </c>
      <c r="CL13" t="s">
        <v>417</v>
      </c>
      <c r="CM13" t="s">
        <v>755</v>
      </c>
      <c r="CN13" t="s">
        <v>761</v>
      </c>
      <c r="CO13">
        <v>1726</v>
      </c>
      <c r="CP13">
        <v>115</v>
      </c>
      <c r="CQ13">
        <v>55.836037079999997</v>
      </c>
      <c r="CR13">
        <v>1461</v>
      </c>
      <c r="CS13">
        <v>405</v>
      </c>
      <c r="CT13">
        <v>63.767282683099999</v>
      </c>
      <c r="CU13">
        <v>65.446913580200004</v>
      </c>
      <c r="CW13" t="s">
        <v>417</v>
      </c>
      <c r="CX13" t="s">
        <v>765</v>
      </c>
      <c r="CY13" t="s">
        <v>771</v>
      </c>
      <c r="CZ13">
        <v>1215</v>
      </c>
      <c r="DA13">
        <v>145</v>
      </c>
      <c r="DB13">
        <v>68.363786008199995</v>
      </c>
      <c r="DC13">
        <v>247</v>
      </c>
      <c r="DD13">
        <v>81</v>
      </c>
      <c r="DE13">
        <v>134.34817813769999</v>
      </c>
      <c r="DF13">
        <v>132.90123456789999</v>
      </c>
      <c r="DH13" t="s">
        <v>417</v>
      </c>
      <c r="DI13" t="s">
        <v>745</v>
      </c>
      <c r="DJ13" t="s">
        <v>751</v>
      </c>
      <c r="DK13">
        <v>1132</v>
      </c>
      <c r="DL13">
        <v>140</v>
      </c>
      <c r="DM13">
        <v>72.443462897499998</v>
      </c>
      <c r="DN13">
        <v>319</v>
      </c>
      <c r="DO13">
        <v>122</v>
      </c>
      <c r="DP13">
        <v>125.82445141069999</v>
      </c>
      <c r="DQ13">
        <v>127.7786885246</v>
      </c>
    </row>
    <row r="14" spans="2:121" x14ac:dyDescent="0.2">
      <c r="B14" t="s">
        <v>134</v>
      </c>
      <c r="C14">
        <v>1139</v>
      </c>
      <c r="D14">
        <v>245</v>
      </c>
      <c r="F14" t="s">
        <v>41</v>
      </c>
      <c r="G14">
        <v>7504</v>
      </c>
      <c r="H14">
        <v>579.54704157779997</v>
      </c>
      <c r="I14">
        <v>8485</v>
      </c>
      <c r="J14">
        <v>1937</v>
      </c>
      <c r="K14">
        <v>9965</v>
      </c>
      <c r="L14">
        <v>7294</v>
      </c>
      <c r="M14">
        <v>1708</v>
      </c>
      <c r="N14">
        <v>929</v>
      </c>
      <c r="O14">
        <v>4423</v>
      </c>
      <c r="P14">
        <v>1943</v>
      </c>
      <c r="Q14">
        <v>4</v>
      </c>
      <c r="R14">
        <v>332</v>
      </c>
      <c r="T14" t="s">
        <v>397</v>
      </c>
      <c r="U14">
        <v>43534</v>
      </c>
      <c r="V14">
        <v>373.67207240319999</v>
      </c>
      <c r="W14">
        <v>58650</v>
      </c>
      <c r="X14">
        <v>11478</v>
      </c>
      <c r="Y14">
        <v>74162</v>
      </c>
      <c r="Z14">
        <v>37764</v>
      </c>
      <c r="AA14">
        <v>13424</v>
      </c>
      <c r="AB14">
        <v>7507</v>
      </c>
      <c r="AC14">
        <v>17177</v>
      </c>
      <c r="AD14">
        <v>11615</v>
      </c>
      <c r="AE14">
        <v>5219</v>
      </c>
      <c r="AF14">
        <v>1047</v>
      </c>
      <c r="AH14" t="s">
        <v>435</v>
      </c>
      <c r="AI14">
        <v>1767</v>
      </c>
      <c r="AJ14">
        <v>293.75551782679997</v>
      </c>
      <c r="AK14">
        <v>2122</v>
      </c>
      <c r="AL14">
        <v>384</v>
      </c>
      <c r="AM14">
        <v>2465</v>
      </c>
      <c r="AN14">
        <v>1499</v>
      </c>
      <c r="AO14">
        <v>480</v>
      </c>
      <c r="AP14">
        <v>280</v>
      </c>
      <c r="AQ14">
        <v>377</v>
      </c>
      <c r="AR14">
        <v>186</v>
      </c>
      <c r="AS14">
        <v>4</v>
      </c>
      <c r="AT14">
        <v>3</v>
      </c>
      <c r="AV14" t="s">
        <v>400</v>
      </c>
      <c r="AW14">
        <v>157</v>
      </c>
      <c r="AX14">
        <v>57.611464968200004</v>
      </c>
      <c r="AY14">
        <v>450</v>
      </c>
      <c r="AZ14">
        <v>35</v>
      </c>
      <c r="BA14">
        <v>275</v>
      </c>
      <c r="BB14">
        <v>29</v>
      </c>
      <c r="BC14">
        <v>2</v>
      </c>
      <c r="BD14">
        <v>1</v>
      </c>
      <c r="BE14">
        <v>46</v>
      </c>
      <c r="BF14">
        <v>6</v>
      </c>
      <c r="BG14">
        <v>63</v>
      </c>
      <c r="BH14">
        <v>69</v>
      </c>
      <c r="BJ14" t="s">
        <v>612</v>
      </c>
      <c r="BK14" t="s">
        <v>392</v>
      </c>
      <c r="BL14">
        <v>17638</v>
      </c>
      <c r="BM14">
        <v>3374</v>
      </c>
      <c r="BN14">
        <v>88.445231885699997</v>
      </c>
      <c r="BO14">
        <v>6202</v>
      </c>
      <c r="BP14">
        <v>2035</v>
      </c>
      <c r="BQ14">
        <v>139.71880038699999</v>
      </c>
      <c r="BR14">
        <v>135.32628992630001</v>
      </c>
      <c r="BS14">
        <v>17338</v>
      </c>
      <c r="BT14">
        <v>3104</v>
      </c>
      <c r="BU14">
        <v>86.441631099299997</v>
      </c>
      <c r="BV14">
        <v>6011</v>
      </c>
      <c r="BW14">
        <v>2002</v>
      </c>
      <c r="BX14">
        <v>137.91848278160001</v>
      </c>
      <c r="BY14">
        <v>133.70879120879999</v>
      </c>
      <c r="CA14" t="s">
        <v>413</v>
      </c>
      <c r="CB14" t="s">
        <v>774</v>
      </c>
      <c r="CC14" t="s">
        <v>1008</v>
      </c>
      <c r="CD14">
        <v>1846</v>
      </c>
      <c r="CE14">
        <v>351</v>
      </c>
      <c r="CF14">
        <v>89.198266522200001</v>
      </c>
      <c r="CG14">
        <v>598</v>
      </c>
      <c r="CH14">
        <v>236</v>
      </c>
      <c r="CI14">
        <v>159.118729097</v>
      </c>
      <c r="CJ14">
        <v>176.6906779661</v>
      </c>
      <c r="CL14" t="s">
        <v>413</v>
      </c>
      <c r="CM14" t="s">
        <v>755</v>
      </c>
      <c r="CN14" t="s">
        <v>762</v>
      </c>
      <c r="CO14">
        <v>183</v>
      </c>
      <c r="CP14">
        <v>12</v>
      </c>
      <c r="CQ14">
        <v>56.8415300546</v>
      </c>
      <c r="CR14">
        <v>118</v>
      </c>
      <c r="CS14">
        <v>43</v>
      </c>
      <c r="CT14">
        <v>55.508474576300003</v>
      </c>
      <c r="CU14">
        <v>61.674418604700001</v>
      </c>
      <c r="CW14" t="s">
        <v>413</v>
      </c>
      <c r="CX14" t="s">
        <v>765</v>
      </c>
      <c r="CY14" t="s">
        <v>772</v>
      </c>
      <c r="CZ14">
        <v>62</v>
      </c>
      <c r="DA14">
        <v>18</v>
      </c>
      <c r="DB14">
        <v>93.290322580600005</v>
      </c>
      <c r="DC14">
        <v>21</v>
      </c>
      <c r="DD14">
        <v>12</v>
      </c>
      <c r="DE14">
        <v>103.42857142859999</v>
      </c>
      <c r="DF14">
        <v>108.9166666667</v>
      </c>
      <c r="DH14" t="s">
        <v>413</v>
      </c>
      <c r="DI14" t="s">
        <v>745</v>
      </c>
      <c r="DJ14" t="s">
        <v>752</v>
      </c>
      <c r="DK14">
        <v>71</v>
      </c>
      <c r="DL14">
        <v>6</v>
      </c>
      <c r="DM14">
        <v>67.591549295799993</v>
      </c>
      <c r="DN14">
        <v>22</v>
      </c>
      <c r="DO14">
        <v>9</v>
      </c>
      <c r="DP14">
        <v>99.954545454500007</v>
      </c>
      <c r="DQ14">
        <v>84.444444444400006</v>
      </c>
    </row>
    <row r="15" spans="2:121" x14ac:dyDescent="0.2">
      <c r="B15" t="s">
        <v>983</v>
      </c>
      <c r="C15">
        <v>3</v>
      </c>
      <c r="D15">
        <v>2</v>
      </c>
      <c r="F15" t="s">
        <v>39</v>
      </c>
      <c r="G15">
        <v>428</v>
      </c>
      <c r="H15">
        <v>273.39485981310003</v>
      </c>
      <c r="I15">
        <v>842</v>
      </c>
      <c r="J15">
        <v>152</v>
      </c>
      <c r="K15">
        <v>706</v>
      </c>
      <c r="L15">
        <v>335</v>
      </c>
      <c r="M15">
        <v>84</v>
      </c>
      <c r="N15">
        <v>9</v>
      </c>
      <c r="O15">
        <v>126</v>
      </c>
      <c r="P15">
        <v>34</v>
      </c>
      <c r="Q15">
        <v>2</v>
      </c>
      <c r="R15">
        <v>6</v>
      </c>
      <c r="T15" t="s">
        <v>376</v>
      </c>
      <c r="U15">
        <v>107634</v>
      </c>
      <c r="V15">
        <v>448.89377891740003</v>
      </c>
      <c r="W15">
        <v>80724</v>
      </c>
      <c r="X15">
        <v>18268</v>
      </c>
      <c r="Y15">
        <v>140161</v>
      </c>
      <c r="Z15">
        <v>101445</v>
      </c>
      <c r="AA15">
        <v>30558</v>
      </c>
      <c r="AB15">
        <v>20536</v>
      </c>
      <c r="AC15">
        <v>29670</v>
      </c>
      <c r="AD15">
        <v>24379</v>
      </c>
      <c r="AE15">
        <v>11260</v>
      </c>
      <c r="AF15">
        <v>50</v>
      </c>
      <c r="AH15" t="s">
        <v>415</v>
      </c>
      <c r="AI15">
        <v>794</v>
      </c>
      <c r="AJ15">
        <v>287.12720403020001</v>
      </c>
      <c r="AK15">
        <v>1470</v>
      </c>
      <c r="AL15">
        <v>288</v>
      </c>
      <c r="AM15">
        <v>1229</v>
      </c>
      <c r="AN15">
        <v>602</v>
      </c>
      <c r="AO15">
        <v>353</v>
      </c>
      <c r="AP15">
        <v>125</v>
      </c>
      <c r="AQ15">
        <v>344</v>
      </c>
      <c r="AR15">
        <v>157</v>
      </c>
      <c r="AS15">
        <v>2</v>
      </c>
      <c r="AT15">
        <v>4</v>
      </c>
      <c r="AV15" t="s">
        <v>419</v>
      </c>
      <c r="AW15">
        <v>99</v>
      </c>
      <c r="AX15">
        <v>38.121212121200003</v>
      </c>
      <c r="AY15">
        <v>282</v>
      </c>
      <c r="AZ15">
        <v>5</v>
      </c>
      <c r="BA15">
        <v>153</v>
      </c>
      <c r="BB15">
        <v>7</v>
      </c>
      <c r="BC15">
        <v>2</v>
      </c>
      <c r="BD15">
        <v>2</v>
      </c>
      <c r="BE15">
        <v>12</v>
      </c>
      <c r="BF15">
        <v>7</v>
      </c>
      <c r="BG15">
        <v>384</v>
      </c>
      <c r="BH15">
        <v>49</v>
      </c>
      <c r="BJ15" t="s">
        <v>574</v>
      </c>
      <c r="BK15" t="s">
        <v>397</v>
      </c>
      <c r="BL15">
        <v>6868</v>
      </c>
      <c r="BM15">
        <v>1839</v>
      </c>
      <c r="BN15">
        <v>103.2013686663</v>
      </c>
      <c r="BO15">
        <v>2184</v>
      </c>
      <c r="BP15">
        <v>712</v>
      </c>
      <c r="BQ15">
        <v>163.0100732601</v>
      </c>
      <c r="BR15">
        <v>160.23735955059999</v>
      </c>
      <c r="BS15">
        <v>3746</v>
      </c>
      <c r="BT15">
        <v>659</v>
      </c>
      <c r="BU15">
        <v>94.750667378499998</v>
      </c>
      <c r="BV15">
        <v>1307</v>
      </c>
      <c r="BW15">
        <v>437</v>
      </c>
      <c r="BX15">
        <v>143.57689364960001</v>
      </c>
      <c r="BY15">
        <v>138.5697940503</v>
      </c>
      <c r="CA15" t="s">
        <v>428</v>
      </c>
      <c r="CB15" t="s">
        <v>774</v>
      </c>
      <c r="CC15" t="s">
        <v>1009</v>
      </c>
      <c r="CD15">
        <v>911</v>
      </c>
      <c r="CE15">
        <v>173</v>
      </c>
      <c r="CF15">
        <v>86.892425905600007</v>
      </c>
      <c r="CG15">
        <v>279</v>
      </c>
      <c r="CH15">
        <v>79</v>
      </c>
      <c r="CI15">
        <v>137.02867383509999</v>
      </c>
      <c r="CJ15">
        <v>157.98734177220001</v>
      </c>
      <c r="CL15" t="s">
        <v>428</v>
      </c>
      <c r="CM15" t="s">
        <v>755</v>
      </c>
      <c r="CN15" t="s">
        <v>763</v>
      </c>
      <c r="CO15">
        <v>24</v>
      </c>
      <c r="CP15">
        <v>1</v>
      </c>
      <c r="CQ15">
        <v>51.583333333299997</v>
      </c>
      <c r="CR15">
        <v>25</v>
      </c>
      <c r="CS15">
        <v>7</v>
      </c>
      <c r="CT15">
        <v>68.08</v>
      </c>
      <c r="CU15">
        <v>105.57142857140001</v>
      </c>
      <c r="CW15" t="s">
        <v>428</v>
      </c>
      <c r="CX15" t="s">
        <v>765</v>
      </c>
      <c r="CY15" t="s">
        <v>773</v>
      </c>
      <c r="CZ15">
        <v>22</v>
      </c>
      <c r="DA15">
        <v>5</v>
      </c>
      <c r="DB15">
        <v>101.2272727273</v>
      </c>
      <c r="DC15">
        <v>3</v>
      </c>
      <c r="DD15">
        <v>0</v>
      </c>
      <c r="DE15">
        <v>121.6666666667</v>
      </c>
      <c r="DF15">
        <v>0</v>
      </c>
      <c r="DH15" t="s">
        <v>428</v>
      </c>
      <c r="DI15" t="s">
        <v>745</v>
      </c>
      <c r="DJ15" t="s">
        <v>753</v>
      </c>
      <c r="DK15">
        <v>13</v>
      </c>
      <c r="DL15">
        <v>1</v>
      </c>
      <c r="DM15">
        <v>75.923076923099998</v>
      </c>
      <c r="DN15">
        <v>8</v>
      </c>
      <c r="DO15">
        <v>3</v>
      </c>
      <c r="DP15">
        <v>108</v>
      </c>
      <c r="DQ15">
        <v>102.6666666667</v>
      </c>
    </row>
    <row r="16" spans="2:121" x14ac:dyDescent="0.2">
      <c r="B16" t="s">
        <v>124</v>
      </c>
      <c r="C16">
        <v>23</v>
      </c>
      <c r="D16">
        <v>9</v>
      </c>
      <c r="F16" t="s">
        <v>64</v>
      </c>
      <c r="G16">
        <v>922</v>
      </c>
      <c r="H16">
        <v>107.7885032538</v>
      </c>
      <c r="I16">
        <v>2446</v>
      </c>
      <c r="J16">
        <v>539</v>
      </c>
      <c r="K16">
        <v>1647</v>
      </c>
      <c r="L16">
        <v>383</v>
      </c>
      <c r="M16">
        <v>768</v>
      </c>
      <c r="N16">
        <v>550</v>
      </c>
      <c r="O16">
        <v>2089</v>
      </c>
      <c r="P16">
        <v>1322</v>
      </c>
      <c r="Q16">
        <v>0</v>
      </c>
      <c r="R16">
        <v>0</v>
      </c>
      <c r="T16" t="s">
        <v>8</v>
      </c>
      <c r="U16">
        <v>54</v>
      </c>
      <c r="V16">
        <v>862.44444444440001</v>
      </c>
      <c r="W16">
        <v>2</v>
      </c>
      <c r="Y16">
        <v>55</v>
      </c>
      <c r="Z16">
        <v>53</v>
      </c>
      <c r="AA16">
        <v>2</v>
      </c>
      <c r="AB16">
        <v>1</v>
      </c>
      <c r="AC16">
        <v>29926</v>
      </c>
      <c r="AD16">
        <v>10218</v>
      </c>
      <c r="AE16">
        <v>0</v>
      </c>
      <c r="AF16">
        <v>1</v>
      </c>
      <c r="AH16" t="s">
        <v>401</v>
      </c>
      <c r="AI16">
        <v>7617</v>
      </c>
      <c r="AJ16">
        <v>483.3119338322</v>
      </c>
      <c r="AK16">
        <v>7648</v>
      </c>
      <c r="AL16">
        <v>1925</v>
      </c>
      <c r="AM16">
        <v>10118</v>
      </c>
      <c r="AN16">
        <v>6901</v>
      </c>
      <c r="AO16">
        <v>1876</v>
      </c>
      <c r="AP16">
        <v>1366</v>
      </c>
      <c r="AQ16">
        <v>2692</v>
      </c>
      <c r="AR16">
        <v>1665</v>
      </c>
      <c r="AS16">
        <v>588</v>
      </c>
      <c r="AT16">
        <v>201</v>
      </c>
      <c r="AV16" t="s">
        <v>382</v>
      </c>
      <c r="AW16">
        <v>1468</v>
      </c>
      <c r="AX16">
        <v>111.151226158</v>
      </c>
      <c r="AY16">
        <v>2270</v>
      </c>
      <c r="AZ16">
        <v>530</v>
      </c>
      <c r="BA16">
        <v>2138</v>
      </c>
      <c r="BB16">
        <v>728</v>
      </c>
      <c r="BC16">
        <v>45</v>
      </c>
      <c r="BD16">
        <v>41</v>
      </c>
      <c r="BE16">
        <v>90</v>
      </c>
      <c r="BF16">
        <v>21</v>
      </c>
      <c r="BG16">
        <v>138</v>
      </c>
      <c r="BH16">
        <v>430</v>
      </c>
      <c r="BJ16" t="s">
        <v>566</v>
      </c>
      <c r="BK16" t="s">
        <v>397</v>
      </c>
      <c r="BL16">
        <v>8722</v>
      </c>
      <c r="BM16">
        <v>1995</v>
      </c>
      <c r="BN16">
        <v>96.813918826000005</v>
      </c>
      <c r="BO16">
        <v>3406</v>
      </c>
      <c r="BP16">
        <v>1180</v>
      </c>
      <c r="BQ16">
        <v>129.43863769820001</v>
      </c>
      <c r="BR16">
        <v>127.3584745763</v>
      </c>
      <c r="BS16">
        <v>9700</v>
      </c>
      <c r="BT16">
        <v>2517</v>
      </c>
      <c r="BU16">
        <v>107.99556701029999</v>
      </c>
      <c r="BV16">
        <v>4006</v>
      </c>
      <c r="BW16">
        <v>1366</v>
      </c>
      <c r="BX16">
        <v>144.3869196206</v>
      </c>
      <c r="BY16">
        <v>141.18301610539999</v>
      </c>
      <c r="CA16" t="s">
        <v>392</v>
      </c>
      <c r="CB16" t="s">
        <v>774</v>
      </c>
      <c r="CD16">
        <v>66048</v>
      </c>
      <c r="CE16">
        <v>13695</v>
      </c>
      <c r="CF16">
        <v>92.168241279100002</v>
      </c>
      <c r="CG16">
        <v>26828</v>
      </c>
      <c r="CH16">
        <v>8514</v>
      </c>
      <c r="CI16">
        <v>133.12647234229999</v>
      </c>
      <c r="CJ16">
        <v>130.579868452</v>
      </c>
      <c r="CL16" t="s">
        <v>392</v>
      </c>
      <c r="CM16" t="s">
        <v>755</v>
      </c>
      <c r="CO16">
        <v>3854</v>
      </c>
      <c r="CP16">
        <v>280</v>
      </c>
      <c r="CQ16">
        <v>57.495588998400002</v>
      </c>
      <c r="CR16">
        <v>2993</v>
      </c>
      <c r="CS16">
        <v>904</v>
      </c>
      <c r="CT16">
        <v>61.669562312099998</v>
      </c>
      <c r="CU16">
        <v>63.346238938100001</v>
      </c>
      <c r="CW16" t="s">
        <v>392</v>
      </c>
      <c r="CX16" t="s">
        <v>765</v>
      </c>
      <c r="CZ16">
        <v>1968</v>
      </c>
      <c r="DA16">
        <v>279</v>
      </c>
      <c r="DB16">
        <v>71.606707317100003</v>
      </c>
      <c r="DC16">
        <v>401</v>
      </c>
      <c r="DD16">
        <v>133</v>
      </c>
      <c r="DE16">
        <v>131.04488778050001</v>
      </c>
      <c r="DF16">
        <v>132.1879699248</v>
      </c>
      <c r="DH16" t="s">
        <v>392</v>
      </c>
      <c r="DI16" t="s">
        <v>745</v>
      </c>
      <c r="DK16">
        <v>2173</v>
      </c>
      <c r="DL16">
        <v>225</v>
      </c>
      <c r="DM16">
        <v>68.816843074100007</v>
      </c>
      <c r="DN16">
        <v>576</v>
      </c>
      <c r="DO16">
        <v>225</v>
      </c>
      <c r="DP16">
        <v>121.7013888889</v>
      </c>
      <c r="DQ16">
        <v>122.6844444444</v>
      </c>
    </row>
    <row r="17" spans="2:121" x14ac:dyDescent="0.2">
      <c r="B17" t="s">
        <v>97</v>
      </c>
      <c r="C17">
        <v>29</v>
      </c>
      <c r="D17">
        <v>9</v>
      </c>
      <c r="F17" t="s">
        <v>86</v>
      </c>
      <c r="G17">
        <v>19030</v>
      </c>
      <c r="H17">
        <v>365.38681029949998</v>
      </c>
      <c r="I17">
        <v>20539</v>
      </c>
      <c r="J17">
        <v>4931</v>
      </c>
      <c r="K17">
        <v>31295</v>
      </c>
      <c r="L17">
        <v>18037</v>
      </c>
      <c r="M17">
        <v>7130</v>
      </c>
      <c r="N17">
        <v>4808</v>
      </c>
      <c r="O17">
        <v>3335</v>
      </c>
      <c r="P17">
        <v>2850</v>
      </c>
      <c r="Q17">
        <v>0</v>
      </c>
      <c r="R17">
        <v>15</v>
      </c>
      <c r="T17" t="s">
        <v>411</v>
      </c>
      <c r="U17">
        <v>59403</v>
      </c>
      <c r="V17">
        <v>371.65436089090002</v>
      </c>
      <c r="W17">
        <v>61921</v>
      </c>
      <c r="X17">
        <v>12386</v>
      </c>
      <c r="Y17">
        <v>84384</v>
      </c>
      <c r="Z17">
        <v>54426</v>
      </c>
      <c r="AA17">
        <v>23148</v>
      </c>
      <c r="AB17">
        <v>15952</v>
      </c>
      <c r="AC17">
        <v>19261</v>
      </c>
      <c r="AD17">
        <v>14302</v>
      </c>
      <c r="AE17">
        <v>311</v>
      </c>
      <c r="AF17">
        <v>656</v>
      </c>
      <c r="AH17" t="s">
        <v>399</v>
      </c>
      <c r="AI17">
        <v>7690</v>
      </c>
      <c r="AJ17">
        <v>596.82587776330001</v>
      </c>
      <c r="AK17">
        <v>5411</v>
      </c>
      <c r="AL17">
        <v>869</v>
      </c>
      <c r="AM17">
        <v>11810</v>
      </c>
      <c r="AN17">
        <v>7525</v>
      </c>
      <c r="AO17">
        <v>1737</v>
      </c>
      <c r="AP17">
        <v>1118</v>
      </c>
      <c r="AQ17">
        <v>2301</v>
      </c>
      <c r="AR17">
        <v>1718</v>
      </c>
      <c r="AS17">
        <v>434</v>
      </c>
      <c r="AT17">
        <v>189</v>
      </c>
      <c r="AV17" t="s">
        <v>406</v>
      </c>
      <c r="AW17">
        <v>86</v>
      </c>
      <c r="AX17">
        <v>45.2906976744</v>
      </c>
      <c r="AY17">
        <v>312</v>
      </c>
      <c r="AZ17">
        <v>8</v>
      </c>
      <c r="BA17">
        <v>137</v>
      </c>
      <c r="BB17">
        <v>5</v>
      </c>
      <c r="BC17">
        <v>0</v>
      </c>
      <c r="BE17">
        <v>5</v>
      </c>
      <c r="BG17">
        <v>213</v>
      </c>
      <c r="BH17">
        <v>21</v>
      </c>
      <c r="BJ17" t="s">
        <v>583</v>
      </c>
      <c r="BK17" t="s">
        <v>397</v>
      </c>
      <c r="BL17">
        <v>2242</v>
      </c>
      <c r="BM17">
        <v>389</v>
      </c>
      <c r="BN17">
        <v>79.1079393399</v>
      </c>
      <c r="BO17">
        <v>1199</v>
      </c>
      <c r="BP17">
        <v>303</v>
      </c>
      <c r="BQ17">
        <v>109.259382819</v>
      </c>
      <c r="BR17">
        <v>110.9768976898</v>
      </c>
      <c r="BS17">
        <v>3256</v>
      </c>
      <c r="BT17">
        <v>708</v>
      </c>
      <c r="BU17">
        <v>97.080466830500001</v>
      </c>
      <c r="BV17">
        <v>1476</v>
      </c>
      <c r="BW17">
        <v>419</v>
      </c>
      <c r="BX17">
        <v>124.4390243902</v>
      </c>
      <c r="BY17">
        <v>125.6252983294</v>
      </c>
      <c r="CA17" t="s">
        <v>401</v>
      </c>
      <c r="CB17" t="s">
        <v>814</v>
      </c>
      <c r="CC17" t="s">
        <v>1010</v>
      </c>
      <c r="CD17">
        <v>7059</v>
      </c>
      <c r="CE17">
        <v>1849</v>
      </c>
      <c r="CF17">
        <v>102.43632242530001</v>
      </c>
      <c r="CG17">
        <v>2370</v>
      </c>
      <c r="CH17">
        <v>777</v>
      </c>
      <c r="CI17">
        <v>158.16540084389999</v>
      </c>
      <c r="CJ17">
        <v>153.5585585586</v>
      </c>
      <c r="CL17" t="s">
        <v>401</v>
      </c>
      <c r="CM17" t="s">
        <v>789</v>
      </c>
      <c r="CN17" t="s">
        <v>788</v>
      </c>
      <c r="CO17">
        <v>808</v>
      </c>
      <c r="CP17">
        <v>59</v>
      </c>
      <c r="CQ17">
        <v>68.491336633700001</v>
      </c>
      <c r="CR17">
        <v>526</v>
      </c>
      <c r="CS17">
        <v>157</v>
      </c>
      <c r="CT17">
        <v>65.340304182500006</v>
      </c>
      <c r="CU17">
        <v>70.401273885400002</v>
      </c>
      <c r="CW17" t="s">
        <v>401</v>
      </c>
      <c r="CX17" t="s">
        <v>802</v>
      </c>
      <c r="CY17" t="s">
        <v>801</v>
      </c>
      <c r="CZ17">
        <v>256</v>
      </c>
      <c r="DA17">
        <v>43</v>
      </c>
      <c r="DB17">
        <v>77.37890625</v>
      </c>
      <c r="DC17">
        <v>36</v>
      </c>
      <c r="DD17">
        <v>13</v>
      </c>
      <c r="DE17">
        <v>138.6666666667</v>
      </c>
      <c r="DF17">
        <v>137.30769230769999</v>
      </c>
      <c r="DH17" t="s">
        <v>401</v>
      </c>
      <c r="DI17" t="s">
        <v>776</v>
      </c>
      <c r="DJ17" t="s">
        <v>775</v>
      </c>
      <c r="DK17">
        <v>194</v>
      </c>
      <c r="DL17">
        <v>20</v>
      </c>
      <c r="DM17">
        <v>71.520618556700001</v>
      </c>
      <c r="DN17">
        <v>54</v>
      </c>
      <c r="DO17">
        <v>20</v>
      </c>
      <c r="DP17">
        <v>106.8888888889</v>
      </c>
      <c r="DQ17">
        <v>114.6</v>
      </c>
    </row>
    <row r="18" spans="2:121" x14ac:dyDescent="0.2">
      <c r="B18" t="s">
        <v>125</v>
      </c>
      <c r="C18">
        <v>86</v>
      </c>
      <c r="D18">
        <v>59</v>
      </c>
      <c r="F18" t="s">
        <v>73</v>
      </c>
      <c r="G18">
        <v>8075</v>
      </c>
      <c r="H18">
        <v>248.51591331270001</v>
      </c>
      <c r="I18">
        <v>2041</v>
      </c>
      <c r="J18">
        <v>375</v>
      </c>
      <c r="K18">
        <v>17779</v>
      </c>
      <c r="L18">
        <v>7941</v>
      </c>
      <c r="M18">
        <v>1672</v>
      </c>
      <c r="N18">
        <v>729</v>
      </c>
      <c r="O18">
        <v>186</v>
      </c>
      <c r="P18">
        <v>110</v>
      </c>
      <c r="Q18">
        <v>0</v>
      </c>
      <c r="R18">
        <v>2</v>
      </c>
      <c r="T18" t="s">
        <v>387</v>
      </c>
      <c r="U18">
        <v>69616</v>
      </c>
      <c r="V18">
        <v>341.32904791999999</v>
      </c>
      <c r="W18">
        <v>75733</v>
      </c>
      <c r="X18">
        <v>17363</v>
      </c>
      <c r="Y18">
        <v>99685</v>
      </c>
      <c r="Z18">
        <v>63905</v>
      </c>
      <c r="AA18">
        <v>23928</v>
      </c>
      <c r="AB18">
        <v>16946</v>
      </c>
      <c r="AC18">
        <v>27241</v>
      </c>
      <c r="AD18">
        <v>17842</v>
      </c>
      <c r="AE18">
        <v>145</v>
      </c>
      <c r="AF18">
        <v>1102</v>
      </c>
      <c r="AH18" t="s">
        <v>406</v>
      </c>
      <c r="AI18">
        <v>1501</v>
      </c>
      <c r="AJ18">
        <v>190.63224516989999</v>
      </c>
      <c r="AK18">
        <v>2376</v>
      </c>
      <c r="AL18">
        <v>427</v>
      </c>
      <c r="AM18">
        <v>2790</v>
      </c>
      <c r="AN18">
        <v>1177</v>
      </c>
      <c r="AO18">
        <v>407</v>
      </c>
      <c r="AP18">
        <v>206</v>
      </c>
      <c r="AQ18">
        <v>1279</v>
      </c>
      <c r="AR18">
        <v>995</v>
      </c>
      <c r="AS18">
        <v>1</v>
      </c>
      <c r="AT18">
        <v>9</v>
      </c>
      <c r="AV18" t="s">
        <v>435</v>
      </c>
      <c r="AW18">
        <v>14</v>
      </c>
      <c r="AX18">
        <v>44.428571428600002</v>
      </c>
      <c r="AY18">
        <v>34</v>
      </c>
      <c r="AZ18">
        <v>3</v>
      </c>
      <c r="BA18">
        <v>21</v>
      </c>
      <c r="BC18">
        <v>2</v>
      </c>
      <c r="BD18">
        <v>2</v>
      </c>
      <c r="BE18">
        <v>0</v>
      </c>
      <c r="BG18">
        <v>46</v>
      </c>
      <c r="BH18">
        <v>5</v>
      </c>
      <c r="BJ18" t="s">
        <v>576</v>
      </c>
      <c r="BK18" t="s">
        <v>397</v>
      </c>
      <c r="BL18">
        <v>7629</v>
      </c>
      <c r="BM18">
        <v>1800</v>
      </c>
      <c r="BN18">
        <v>95.261895399099998</v>
      </c>
      <c r="BO18">
        <v>2491</v>
      </c>
      <c r="BP18">
        <v>851</v>
      </c>
      <c r="BQ18">
        <v>151.6190285026</v>
      </c>
      <c r="BR18">
        <v>156.7015276146</v>
      </c>
      <c r="BS18">
        <v>7711</v>
      </c>
      <c r="BT18">
        <v>1759</v>
      </c>
      <c r="BU18">
        <v>94.326935546599998</v>
      </c>
      <c r="BV18">
        <v>2473</v>
      </c>
      <c r="BW18">
        <v>856</v>
      </c>
      <c r="BX18">
        <v>145.67165386170001</v>
      </c>
      <c r="BY18">
        <v>157.33644859809999</v>
      </c>
      <c r="CA18" t="s">
        <v>399</v>
      </c>
      <c r="CB18" t="s">
        <v>814</v>
      </c>
      <c r="CC18" t="s">
        <v>1011</v>
      </c>
      <c r="CD18">
        <v>5170</v>
      </c>
      <c r="CE18">
        <v>810</v>
      </c>
      <c r="CF18">
        <v>83.893036750500002</v>
      </c>
      <c r="CG18">
        <v>2173</v>
      </c>
      <c r="CH18">
        <v>714</v>
      </c>
      <c r="CI18">
        <v>125.8789691671</v>
      </c>
      <c r="CJ18">
        <v>121.77310924370001</v>
      </c>
      <c r="CL18" t="s">
        <v>399</v>
      </c>
      <c r="CM18" t="s">
        <v>789</v>
      </c>
      <c r="CN18" t="s">
        <v>790</v>
      </c>
      <c r="CO18">
        <v>451</v>
      </c>
      <c r="CP18">
        <v>31</v>
      </c>
      <c r="CQ18">
        <v>60.667405764999998</v>
      </c>
      <c r="CR18">
        <v>335</v>
      </c>
      <c r="CS18">
        <v>100</v>
      </c>
      <c r="CT18">
        <v>69.340298507499995</v>
      </c>
      <c r="CU18">
        <v>74.91</v>
      </c>
      <c r="CW18" t="s">
        <v>399</v>
      </c>
      <c r="CX18" t="s">
        <v>802</v>
      </c>
      <c r="CY18" t="s">
        <v>803</v>
      </c>
      <c r="CZ18">
        <v>110</v>
      </c>
      <c r="DA18">
        <v>14</v>
      </c>
      <c r="DB18">
        <v>72.018181818200006</v>
      </c>
      <c r="DC18">
        <v>28</v>
      </c>
      <c r="DD18">
        <v>9</v>
      </c>
      <c r="DE18">
        <v>146.67857142860001</v>
      </c>
      <c r="DF18">
        <v>144.3333333333</v>
      </c>
      <c r="DH18" t="s">
        <v>399</v>
      </c>
      <c r="DI18" t="s">
        <v>776</v>
      </c>
      <c r="DJ18" t="s">
        <v>777</v>
      </c>
      <c r="DK18">
        <v>99</v>
      </c>
      <c r="DL18">
        <v>20</v>
      </c>
      <c r="DM18">
        <v>78.363636363599994</v>
      </c>
      <c r="DN18">
        <v>25</v>
      </c>
      <c r="DO18">
        <v>9</v>
      </c>
      <c r="DP18">
        <v>135.44</v>
      </c>
      <c r="DQ18">
        <v>114.7777777778</v>
      </c>
    </row>
    <row r="19" spans="2:121" x14ac:dyDescent="0.2">
      <c r="B19" t="s">
        <v>129</v>
      </c>
      <c r="C19">
        <v>35</v>
      </c>
      <c r="D19">
        <v>25</v>
      </c>
      <c r="F19" t="s">
        <v>77</v>
      </c>
      <c r="G19">
        <v>253</v>
      </c>
      <c r="H19">
        <v>100.8181818182</v>
      </c>
      <c r="I19">
        <v>796</v>
      </c>
      <c r="J19">
        <v>161</v>
      </c>
      <c r="K19">
        <v>500</v>
      </c>
      <c r="L19">
        <v>111</v>
      </c>
      <c r="M19">
        <v>437</v>
      </c>
      <c r="N19">
        <v>174</v>
      </c>
      <c r="O19">
        <v>36</v>
      </c>
      <c r="P19">
        <v>18</v>
      </c>
      <c r="Q19">
        <v>0</v>
      </c>
      <c r="R19">
        <v>0</v>
      </c>
      <c r="T19" t="s">
        <v>468</v>
      </c>
      <c r="U19">
        <v>338686</v>
      </c>
      <c r="V19">
        <v>382.67506480930001</v>
      </c>
      <c r="W19">
        <v>343044</v>
      </c>
      <c r="X19">
        <v>73518</v>
      </c>
      <c r="Y19">
        <v>490818</v>
      </c>
      <c r="Z19">
        <v>309983</v>
      </c>
      <c r="AA19">
        <v>110282</v>
      </c>
      <c r="AB19">
        <v>72754</v>
      </c>
      <c r="AC19">
        <v>136252</v>
      </c>
      <c r="AD19">
        <v>85312</v>
      </c>
      <c r="AE19">
        <v>16980</v>
      </c>
      <c r="AF19">
        <v>3984</v>
      </c>
      <c r="AH19" t="s">
        <v>429</v>
      </c>
      <c r="AI19">
        <v>2050</v>
      </c>
      <c r="AJ19">
        <v>236.29414634150001</v>
      </c>
      <c r="AK19">
        <v>2937</v>
      </c>
      <c r="AL19">
        <v>560</v>
      </c>
      <c r="AM19">
        <v>3481</v>
      </c>
      <c r="AN19">
        <v>1495</v>
      </c>
      <c r="AO19">
        <v>769</v>
      </c>
      <c r="AP19">
        <v>296</v>
      </c>
      <c r="AQ19">
        <v>502</v>
      </c>
      <c r="AR19">
        <v>232</v>
      </c>
      <c r="AS19">
        <v>8</v>
      </c>
      <c r="AT19">
        <v>15</v>
      </c>
      <c r="AV19" t="s">
        <v>8</v>
      </c>
      <c r="AW19">
        <v>135</v>
      </c>
      <c r="AX19">
        <v>111.28148148149999</v>
      </c>
      <c r="AY19">
        <v>187</v>
      </c>
      <c r="AZ19">
        <v>69</v>
      </c>
      <c r="BA19">
        <v>285</v>
      </c>
      <c r="BB19">
        <v>148</v>
      </c>
      <c r="BC19">
        <v>15</v>
      </c>
      <c r="BD19">
        <v>12</v>
      </c>
      <c r="BE19">
        <v>16</v>
      </c>
      <c r="BF19">
        <v>10</v>
      </c>
      <c r="BG19">
        <v>45</v>
      </c>
      <c r="BH19">
        <v>13</v>
      </c>
      <c r="BJ19" t="s">
        <v>640</v>
      </c>
      <c r="BK19" t="s">
        <v>397</v>
      </c>
      <c r="BL19">
        <v>845</v>
      </c>
      <c r="BM19">
        <v>162</v>
      </c>
      <c r="BN19">
        <v>78.713609467500007</v>
      </c>
      <c r="BO19">
        <v>450</v>
      </c>
      <c r="BP19">
        <v>137</v>
      </c>
      <c r="BQ19">
        <v>102.52</v>
      </c>
      <c r="BR19">
        <v>101.197080292</v>
      </c>
      <c r="BS19">
        <v>1173</v>
      </c>
      <c r="BT19">
        <v>320</v>
      </c>
      <c r="BU19">
        <v>100.4117647059</v>
      </c>
      <c r="BV19">
        <v>605</v>
      </c>
      <c r="BW19">
        <v>181</v>
      </c>
      <c r="BX19">
        <v>156.8545454545</v>
      </c>
      <c r="BY19">
        <v>136.4033149171</v>
      </c>
      <c r="CA19" t="s">
        <v>406</v>
      </c>
      <c r="CB19" t="s">
        <v>814</v>
      </c>
      <c r="CC19" t="s">
        <v>1012</v>
      </c>
      <c r="CD19">
        <v>2302</v>
      </c>
      <c r="CE19">
        <v>409</v>
      </c>
      <c r="CF19">
        <v>80.279322328399999</v>
      </c>
      <c r="CG19">
        <v>1249</v>
      </c>
      <c r="CH19">
        <v>319</v>
      </c>
      <c r="CI19">
        <v>109.60288230579999</v>
      </c>
      <c r="CJ19">
        <v>113.15047021940001</v>
      </c>
      <c r="CL19" t="s">
        <v>406</v>
      </c>
      <c r="CM19" t="s">
        <v>789</v>
      </c>
      <c r="CN19" t="s">
        <v>791</v>
      </c>
      <c r="CO19">
        <v>246</v>
      </c>
      <c r="CP19">
        <v>11</v>
      </c>
      <c r="CQ19">
        <v>50.243902439000003</v>
      </c>
      <c r="CR19">
        <v>215</v>
      </c>
      <c r="CS19">
        <v>66</v>
      </c>
      <c r="CT19">
        <v>66.023255813999995</v>
      </c>
      <c r="CU19">
        <v>76.681818181799997</v>
      </c>
      <c r="CW19" t="s">
        <v>406</v>
      </c>
      <c r="CX19" t="s">
        <v>802</v>
      </c>
      <c r="CY19" t="s">
        <v>804</v>
      </c>
      <c r="CZ19">
        <v>62</v>
      </c>
      <c r="DA19">
        <v>9</v>
      </c>
      <c r="DB19">
        <v>63.564516128999998</v>
      </c>
      <c r="DC19">
        <v>14</v>
      </c>
      <c r="DD19">
        <v>7</v>
      </c>
      <c r="DE19">
        <v>125</v>
      </c>
      <c r="DF19">
        <v>123</v>
      </c>
      <c r="DH19" t="s">
        <v>406</v>
      </c>
      <c r="DI19" t="s">
        <v>776</v>
      </c>
      <c r="DJ19" t="s">
        <v>778</v>
      </c>
      <c r="DK19">
        <v>39</v>
      </c>
      <c r="DL19">
        <v>6</v>
      </c>
      <c r="DM19">
        <v>71.256410256400002</v>
      </c>
      <c r="DN19">
        <v>14</v>
      </c>
      <c r="DO19">
        <v>4</v>
      </c>
      <c r="DP19">
        <v>145.71428571429999</v>
      </c>
      <c r="DQ19">
        <v>157</v>
      </c>
    </row>
    <row r="20" spans="2:121" x14ac:dyDescent="0.2">
      <c r="B20" t="s">
        <v>122</v>
      </c>
      <c r="C20">
        <v>10280</v>
      </c>
      <c r="D20">
        <v>2901</v>
      </c>
      <c r="F20" t="s">
        <v>71</v>
      </c>
      <c r="G20">
        <v>3484</v>
      </c>
      <c r="H20">
        <v>495.59873708380002</v>
      </c>
      <c r="I20">
        <v>3552</v>
      </c>
      <c r="J20">
        <v>762</v>
      </c>
      <c r="K20">
        <v>4000</v>
      </c>
      <c r="L20">
        <v>2868</v>
      </c>
      <c r="M20">
        <v>417</v>
      </c>
      <c r="N20">
        <v>296</v>
      </c>
      <c r="O20">
        <v>1008</v>
      </c>
      <c r="P20">
        <v>669</v>
      </c>
      <c r="Q20">
        <v>0</v>
      </c>
      <c r="R20">
        <v>112</v>
      </c>
      <c r="AH20" t="s">
        <v>400</v>
      </c>
      <c r="AI20">
        <v>7047</v>
      </c>
      <c r="AJ20">
        <v>537.90322122889995</v>
      </c>
      <c r="AK20">
        <v>4345</v>
      </c>
      <c r="AL20">
        <v>854</v>
      </c>
      <c r="AM20">
        <v>10568</v>
      </c>
      <c r="AN20">
        <v>7045</v>
      </c>
      <c r="AO20">
        <v>2807</v>
      </c>
      <c r="AP20">
        <v>2429</v>
      </c>
      <c r="AQ20">
        <v>1009</v>
      </c>
      <c r="AR20">
        <v>508</v>
      </c>
      <c r="AS20">
        <v>405</v>
      </c>
      <c r="AT20">
        <v>137</v>
      </c>
      <c r="AV20" t="s">
        <v>389</v>
      </c>
      <c r="AW20">
        <v>1210</v>
      </c>
      <c r="AX20">
        <v>116.4619834711</v>
      </c>
      <c r="AY20">
        <v>1250</v>
      </c>
      <c r="AZ20">
        <v>294</v>
      </c>
      <c r="BA20">
        <v>1763</v>
      </c>
      <c r="BB20">
        <v>571</v>
      </c>
      <c r="BC20">
        <v>55</v>
      </c>
      <c r="BD20">
        <v>53</v>
      </c>
      <c r="BE20">
        <v>99</v>
      </c>
      <c r="BF20">
        <v>43</v>
      </c>
      <c r="BG20">
        <v>248</v>
      </c>
      <c r="BH20">
        <v>428</v>
      </c>
      <c r="BJ20" t="s">
        <v>568</v>
      </c>
      <c r="BK20" t="s">
        <v>397</v>
      </c>
      <c r="BL20">
        <v>5024</v>
      </c>
      <c r="BM20">
        <v>803</v>
      </c>
      <c r="BN20">
        <v>84.100915605099999</v>
      </c>
      <c r="BO20">
        <v>2100</v>
      </c>
      <c r="BP20">
        <v>684</v>
      </c>
      <c r="BQ20">
        <v>129.88380952380001</v>
      </c>
      <c r="BR20">
        <v>126.2997076023</v>
      </c>
      <c r="BS20">
        <v>5594</v>
      </c>
      <c r="BT20">
        <v>1118</v>
      </c>
      <c r="BU20">
        <v>92.516982481200003</v>
      </c>
      <c r="BV20">
        <v>2258</v>
      </c>
      <c r="BW20">
        <v>758</v>
      </c>
      <c r="BX20">
        <v>135.15810451729999</v>
      </c>
      <c r="BY20">
        <v>134.10290237469999</v>
      </c>
      <c r="CA20" t="s">
        <v>429</v>
      </c>
      <c r="CB20" t="s">
        <v>814</v>
      </c>
      <c r="CC20" t="s">
        <v>1013</v>
      </c>
      <c r="CD20">
        <v>2903</v>
      </c>
      <c r="CE20">
        <v>559</v>
      </c>
      <c r="CF20">
        <v>86.509128487799998</v>
      </c>
      <c r="CG20">
        <v>1099</v>
      </c>
      <c r="CH20">
        <v>361</v>
      </c>
      <c r="CI20">
        <v>134.3994540491</v>
      </c>
      <c r="CJ20">
        <v>131.188365651</v>
      </c>
      <c r="CL20" t="s">
        <v>429</v>
      </c>
      <c r="CM20" t="s">
        <v>789</v>
      </c>
      <c r="CN20" t="s">
        <v>792</v>
      </c>
      <c r="CO20">
        <v>193</v>
      </c>
      <c r="CP20">
        <v>14</v>
      </c>
      <c r="CQ20">
        <v>60.989637305700001</v>
      </c>
      <c r="CR20">
        <v>204</v>
      </c>
      <c r="CS20">
        <v>60</v>
      </c>
      <c r="CT20">
        <v>70.5637254902</v>
      </c>
      <c r="CU20">
        <v>73.866666666699999</v>
      </c>
      <c r="CW20" t="s">
        <v>429</v>
      </c>
      <c r="CX20" t="s">
        <v>802</v>
      </c>
      <c r="CY20" t="s">
        <v>805</v>
      </c>
      <c r="CZ20">
        <v>73</v>
      </c>
      <c r="DA20">
        <v>5</v>
      </c>
      <c r="DB20">
        <v>58.821917808199998</v>
      </c>
      <c r="DC20">
        <v>21</v>
      </c>
      <c r="DD20">
        <v>6</v>
      </c>
      <c r="DE20">
        <v>100.95238095240001</v>
      </c>
      <c r="DF20">
        <v>85.666666666699996</v>
      </c>
      <c r="DH20" t="s">
        <v>429</v>
      </c>
      <c r="DI20" t="s">
        <v>776</v>
      </c>
      <c r="DJ20" t="s">
        <v>779</v>
      </c>
      <c r="DK20">
        <v>164</v>
      </c>
      <c r="DL20">
        <v>10</v>
      </c>
      <c r="DM20">
        <v>61.896341463399999</v>
      </c>
      <c r="DN20">
        <v>38</v>
      </c>
      <c r="DO20">
        <v>19</v>
      </c>
      <c r="DP20">
        <v>109.05263157890001</v>
      </c>
      <c r="DQ20">
        <v>108.1578947368</v>
      </c>
    </row>
    <row r="21" spans="2:121" x14ac:dyDescent="0.2">
      <c r="B21" t="s">
        <v>321</v>
      </c>
      <c r="C21">
        <v>3</v>
      </c>
      <c r="D21">
        <v>3</v>
      </c>
      <c r="F21" t="s">
        <v>8</v>
      </c>
      <c r="G21">
        <v>54</v>
      </c>
      <c r="H21">
        <v>862.44444444440001</v>
      </c>
      <c r="I21">
        <v>2</v>
      </c>
      <c r="K21">
        <v>55</v>
      </c>
      <c r="L21">
        <v>53</v>
      </c>
      <c r="M21">
        <v>2</v>
      </c>
      <c r="N21">
        <v>1</v>
      </c>
      <c r="O21">
        <v>29926</v>
      </c>
      <c r="P21">
        <v>10218</v>
      </c>
      <c r="Q21">
        <v>0</v>
      </c>
      <c r="R21">
        <v>1</v>
      </c>
      <c r="AH21" t="s">
        <v>394</v>
      </c>
      <c r="AI21">
        <v>6253</v>
      </c>
      <c r="AJ21">
        <v>410.0175915561</v>
      </c>
      <c r="AK21">
        <v>6200</v>
      </c>
      <c r="AL21">
        <v>1061</v>
      </c>
      <c r="AM21">
        <v>9008</v>
      </c>
      <c r="AN21">
        <v>5808</v>
      </c>
      <c r="AO21">
        <v>1527</v>
      </c>
      <c r="AP21">
        <v>987</v>
      </c>
      <c r="AQ21">
        <v>1678</v>
      </c>
      <c r="AR21">
        <v>796</v>
      </c>
      <c r="AS21">
        <v>236</v>
      </c>
      <c r="AT21">
        <v>241</v>
      </c>
      <c r="AV21" t="s">
        <v>383</v>
      </c>
      <c r="AW21">
        <v>346</v>
      </c>
      <c r="AX21">
        <v>110.6329479769</v>
      </c>
      <c r="AY21">
        <v>534</v>
      </c>
      <c r="AZ21">
        <v>134</v>
      </c>
      <c r="BA21">
        <v>489</v>
      </c>
      <c r="BB21">
        <v>172</v>
      </c>
      <c r="BC21">
        <v>22</v>
      </c>
      <c r="BD21">
        <v>19</v>
      </c>
      <c r="BE21">
        <v>38</v>
      </c>
      <c r="BF21">
        <v>15</v>
      </c>
      <c r="BG21">
        <v>62</v>
      </c>
      <c r="BH21">
        <v>160</v>
      </c>
      <c r="BJ21" t="s">
        <v>585</v>
      </c>
      <c r="BK21" t="s">
        <v>397</v>
      </c>
      <c r="BL21">
        <v>2086</v>
      </c>
      <c r="BM21">
        <v>237</v>
      </c>
      <c r="BN21">
        <v>68.913231064200005</v>
      </c>
      <c r="BO21">
        <v>816</v>
      </c>
      <c r="BP21">
        <v>335</v>
      </c>
      <c r="BQ21">
        <v>113.375</v>
      </c>
      <c r="BR21">
        <v>110.5731343284</v>
      </c>
      <c r="BS21">
        <v>6191</v>
      </c>
      <c r="BT21">
        <v>1414</v>
      </c>
      <c r="BU21">
        <v>96.965756743699998</v>
      </c>
      <c r="BV21">
        <v>2360</v>
      </c>
      <c r="BW21">
        <v>880</v>
      </c>
      <c r="BX21">
        <v>143.01694915249999</v>
      </c>
      <c r="BY21">
        <v>133.46477272729999</v>
      </c>
      <c r="CA21" t="s">
        <v>402</v>
      </c>
      <c r="CB21" t="s">
        <v>814</v>
      </c>
      <c r="CC21" t="s">
        <v>1014</v>
      </c>
      <c r="CD21">
        <v>7687</v>
      </c>
      <c r="CE21">
        <v>1762</v>
      </c>
      <c r="CF21">
        <v>94.679719006100001</v>
      </c>
      <c r="CG21">
        <v>2611</v>
      </c>
      <c r="CH21">
        <v>890</v>
      </c>
      <c r="CI21">
        <v>153.12715434699999</v>
      </c>
      <c r="CJ21">
        <v>159.6584269663</v>
      </c>
      <c r="CL21" t="s">
        <v>402</v>
      </c>
      <c r="CM21" t="s">
        <v>789</v>
      </c>
      <c r="CN21" t="s">
        <v>793</v>
      </c>
      <c r="CO21">
        <v>848</v>
      </c>
      <c r="CP21">
        <v>60</v>
      </c>
      <c r="CQ21">
        <v>61.538915094300002</v>
      </c>
      <c r="CR21">
        <v>570</v>
      </c>
      <c r="CS21">
        <v>168</v>
      </c>
      <c r="CT21">
        <v>66.315789473699994</v>
      </c>
      <c r="CU21">
        <v>66.327380952400006</v>
      </c>
      <c r="CW21" t="s">
        <v>402</v>
      </c>
      <c r="CX21" t="s">
        <v>802</v>
      </c>
      <c r="CY21" t="s">
        <v>806</v>
      </c>
      <c r="CZ21">
        <v>184</v>
      </c>
      <c r="DA21">
        <v>22</v>
      </c>
      <c r="DB21">
        <v>72.739130434800003</v>
      </c>
      <c r="DC21">
        <v>35</v>
      </c>
      <c r="DD21">
        <v>17</v>
      </c>
      <c r="DE21">
        <v>141.3714285714</v>
      </c>
      <c r="DF21">
        <v>137.23529411760001</v>
      </c>
      <c r="DH21" t="s">
        <v>402</v>
      </c>
      <c r="DI21" t="s">
        <v>776</v>
      </c>
      <c r="DJ21" t="s">
        <v>780</v>
      </c>
      <c r="DK21">
        <v>123</v>
      </c>
      <c r="DL21">
        <v>20</v>
      </c>
      <c r="DM21">
        <v>72.3414634146</v>
      </c>
      <c r="DN21">
        <v>40</v>
      </c>
      <c r="DO21">
        <v>12</v>
      </c>
      <c r="DP21">
        <v>136.80000000000001</v>
      </c>
      <c r="DQ21">
        <v>152.8333333333</v>
      </c>
    </row>
    <row r="22" spans="2:121" x14ac:dyDescent="0.2">
      <c r="B22" t="s">
        <v>115</v>
      </c>
      <c r="C22">
        <v>14731</v>
      </c>
      <c r="D22">
        <v>12521</v>
      </c>
      <c r="F22" t="s">
        <v>47</v>
      </c>
      <c r="G22">
        <v>1460</v>
      </c>
      <c r="H22">
        <v>275.34041095890001</v>
      </c>
      <c r="I22">
        <v>1797</v>
      </c>
      <c r="J22">
        <v>330</v>
      </c>
      <c r="K22">
        <v>3145</v>
      </c>
      <c r="L22">
        <v>1989</v>
      </c>
      <c r="M22">
        <v>524</v>
      </c>
      <c r="N22">
        <v>249</v>
      </c>
      <c r="O22">
        <v>713</v>
      </c>
      <c r="P22">
        <v>551</v>
      </c>
      <c r="Q22">
        <v>0</v>
      </c>
      <c r="R22">
        <v>4</v>
      </c>
      <c r="AH22" t="s">
        <v>423</v>
      </c>
      <c r="AI22">
        <v>1462</v>
      </c>
      <c r="AJ22">
        <v>276.77496580029998</v>
      </c>
      <c r="AK22">
        <v>1192</v>
      </c>
      <c r="AL22">
        <v>188</v>
      </c>
      <c r="AM22">
        <v>2087</v>
      </c>
      <c r="AN22">
        <v>1240</v>
      </c>
      <c r="AO22">
        <v>1045</v>
      </c>
      <c r="AP22">
        <v>787</v>
      </c>
      <c r="AQ22">
        <v>307</v>
      </c>
      <c r="AR22">
        <v>186</v>
      </c>
      <c r="AS22">
        <v>341</v>
      </c>
      <c r="AT22">
        <v>3</v>
      </c>
      <c r="AV22" t="s">
        <v>429</v>
      </c>
      <c r="AW22">
        <v>59</v>
      </c>
      <c r="AX22">
        <v>42.0508474576</v>
      </c>
      <c r="AY22">
        <v>213</v>
      </c>
      <c r="AZ22">
        <v>5</v>
      </c>
      <c r="BA22">
        <v>109</v>
      </c>
      <c r="BB22">
        <v>4</v>
      </c>
      <c r="BC22">
        <v>1</v>
      </c>
      <c r="BD22">
        <v>1</v>
      </c>
      <c r="BE22">
        <v>4</v>
      </c>
      <c r="BF22">
        <v>1</v>
      </c>
      <c r="BG22">
        <v>119</v>
      </c>
      <c r="BH22">
        <v>23</v>
      </c>
      <c r="BJ22" t="s">
        <v>397</v>
      </c>
      <c r="BK22" t="s">
        <v>397</v>
      </c>
      <c r="BL22">
        <v>54583</v>
      </c>
      <c r="BM22">
        <v>10981</v>
      </c>
      <c r="BN22">
        <v>89.169576608100002</v>
      </c>
      <c r="BO22">
        <v>20945</v>
      </c>
      <c r="BP22">
        <v>6914</v>
      </c>
      <c r="BQ22">
        <v>130.99842444500001</v>
      </c>
      <c r="BR22">
        <v>129.232860862</v>
      </c>
      <c r="BS22">
        <v>60906</v>
      </c>
      <c r="BT22">
        <v>14414</v>
      </c>
      <c r="BU22">
        <v>98.123928676999995</v>
      </c>
      <c r="BV22">
        <v>24551</v>
      </c>
      <c r="BW22">
        <v>8013</v>
      </c>
      <c r="BX22">
        <v>140.143049163</v>
      </c>
      <c r="BY22">
        <v>137.96954948210001</v>
      </c>
      <c r="CA22" t="s">
        <v>408</v>
      </c>
      <c r="CB22" t="s">
        <v>814</v>
      </c>
      <c r="CC22" t="s">
        <v>1015</v>
      </c>
      <c r="CD22">
        <v>5230</v>
      </c>
      <c r="CE22">
        <v>994</v>
      </c>
      <c r="CF22">
        <v>84.285277246700005</v>
      </c>
      <c r="CG22">
        <v>2664</v>
      </c>
      <c r="CH22">
        <v>831</v>
      </c>
      <c r="CI22">
        <v>112.8614864865</v>
      </c>
      <c r="CJ22">
        <v>111.1504211793</v>
      </c>
      <c r="CL22" t="s">
        <v>408</v>
      </c>
      <c r="CM22" t="s">
        <v>789</v>
      </c>
      <c r="CN22" t="s">
        <v>794</v>
      </c>
      <c r="CO22">
        <v>295</v>
      </c>
      <c r="CP22">
        <v>23</v>
      </c>
      <c r="CQ22">
        <v>55.088135593200001</v>
      </c>
      <c r="CR22">
        <v>263</v>
      </c>
      <c r="CS22">
        <v>86</v>
      </c>
      <c r="CT22">
        <v>51.771863117899997</v>
      </c>
      <c r="CU22">
        <v>48.372093023300003</v>
      </c>
      <c r="CW22" t="s">
        <v>408</v>
      </c>
      <c r="CX22" t="s">
        <v>802</v>
      </c>
      <c r="CY22" t="s">
        <v>807</v>
      </c>
      <c r="CZ22">
        <v>84</v>
      </c>
      <c r="DA22">
        <v>8</v>
      </c>
      <c r="DB22">
        <v>67.976190476200003</v>
      </c>
      <c r="DC22">
        <v>19</v>
      </c>
      <c r="DD22">
        <v>6</v>
      </c>
      <c r="DE22">
        <v>120.68421052630001</v>
      </c>
      <c r="DF22">
        <v>141.6666666667</v>
      </c>
      <c r="DH22" t="s">
        <v>408</v>
      </c>
      <c r="DI22" t="s">
        <v>776</v>
      </c>
      <c r="DJ22" t="s">
        <v>781</v>
      </c>
      <c r="DK22">
        <v>43</v>
      </c>
      <c r="DL22">
        <v>8</v>
      </c>
      <c r="DM22">
        <v>91.651162790699999</v>
      </c>
      <c r="DN22">
        <v>11</v>
      </c>
      <c r="DO22">
        <v>8</v>
      </c>
      <c r="DP22">
        <v>96.454545454500007</v>
      </c>
      <c r="DQ22">
        <v>104.75</v>
      </c>
    </row>
    <row r="23" spans="2:121" x14ac:dyDescent="0.2">
      <c r="B23" t="s">
        <v>116</v>
      </c>
      <c r="C23">
        <v>1662</v>
      </c>
      <c r="D23">
        <v>558</v>
      </c>
      <c r="F23" t="s">
        <v>46</v>
      </c>
      <c r="G23">
        <v>118</v>
      </c>
      <c r="H23">
        <v>84.008474576300003</v>
      </c>
      <c r="I23">
        <v>811</v>
      </c>
      <c r="J23">
        <v>165</v>
      </c>
      <c r="K23">
        <v>288</v>
      </c>
      <c r="L23">
        <v>35</v>
      </c>
      <c r="M23">
        <v>142</v>
      </c>
      <c r="N23">
        <v>17</v>
      </c>
      <c r="O23">
        <v>66</v>
      </c>
      <c r="P23">
        <v>27</v>
      </c>
      <c r="Q23">
        <v>0</v>
      </c>
      <c r="R23">
        <v>0</v>
      </c>
      <c r="AH23" t="s">
        <v>383</v>
      </c>
      <c r="AI23">
        <v>8680</v>
      </c>
      <c r="AJ23">
        <v>564.16693548390003</v>
      </c>
      <c r="AK23">
        <v>6085</v>
      </c>
      <c r="AL23">
        <v>1262</v>
      </c>
      <c r="AM23">
        <v>11505</v>
      </c>
      <c r="AN23">
        <v>8295</v>
      </c>
      <c r="AO23">
        <v>2712</v>
      </c>
      <c r="AP23">
        <v>1896</v>
      </c>
      <c r="AQ23">
        <v>6577</v>
      </c>
      <c r="AR23">
        <v>5348</v>
      </c>
      <c r="AS23">
        <v>390</v>
      </c>
      <c r="AT23">
        <v>4</v>
      </c>
      <c r="AV23" t="s">
        <v>414</v>
      </c>
      <c r="AW23">
        <v>499</v>
      </c>
      <c r="AX23">
        <v>50.366733466900001</v>
      </c>
      <c r="AY23">
        <v>2036</v>
      </c>
      <c r="AZ23">
        <v>72</v>
      </c>
      <c r="BA23">
        <v>827</v>
      </c>
      <c r="BB23">
        <v>41</v>
      </c>
      <c r="BC23">
        <v>8</v>
      </c>
      <c r="BD23">
        <v>8</v>
      </c>
      <c r="BE23">
        <v>67</v>
      </c>
      <c r="BF23">
        <v>34</v>
      </c>
      <c r="BG23">
        <v>870</v>
      </c>
      <c r="BH23">
        <v>221</v>
      </c>
      <c r="BJ23" t="s">
        <v>578</v>
      </c>
      <c r="BK23" t="s">
        <v>397</v>
      </c>
      <c r="BL23">
        <v>4220</v>
      </c>
      <c r="BM23">
        <v>737</v>
      </c>
      <c r="BN23">
        <v>84.625355450200004</v>
      </c>
      <c r="BO23">
        <v>1538</v>
      </c>
      <c r="BP23">
        <v>533</v>
      </c>
      <c r="BQ23">
        <v>121.57022106629999</v>
      </c>
      <c r="BR23">
        <v>124.2288930582</v>
      </c>
      <c r="BS23">
        <v>5018</v>
      </c>
      <c r="BT23">
        <v>1535</v>
      </c>
      <c r="BU23">
        <v>106.83798326030001</v>
      </c>
      <c r="BV23">
        <v>1961</v>
      </c>
      <c r="BW23">
        <v>655</v>
      </c>
      <c r="BX23">
        <v>143.74247832739999</v>
      </c>
      <c r="BY23">
        <v>146.6229007634</v>
      </c>
      <c r="CA23" t="s">
        <v>404</v>
      </c>
      <c r="CB23" t="s">
        <v>814</v>
      </c>
      <c r="CC23" t="s">
        <v>1016</v>
      </c>
      <c r="CD23">
        <v>6082</v>
      </c>
      <c r="CE23">
        <v>900</v>
      </c>
      <c r="CF23">
        <v>78.747122657000006</v>
      </c>
      <c r="CG23">
        <v>2269</v>
      </c>
      <c r="CH23">
        <v>657</v>
      </c>
      <c r="CI23">
        <v>120.94843543410001</v>
      </c>
      <c r="CJ23">
        <v>112.9619482496</v>
      </c>
      <c r="CL23" t="s">
        <v>404</v>
      </c>
      <c r="CM23" t="s">
        <v>789</v>
      </c>
      <c r="CN23" t="s">
        <v>795</v>
      </c>
      <c r="CO23">
        <v>576</v>
      </c>
      <c r="CP23">
        <v>46</v>
      </c>
      <c r="CQ23">
        <v>62.647569444399998</v>
      </c>
      <c r="CR23">
        <v>406</v>
      </c>
      <c r="CS23">
        <v>137</v>
      </c>
      <c r="CT23">
        <v>67.453201970400002</v>
      </c>
      <c r="CU23">
        <v>79.985401459900004</v>
      </c>
      <c r="CW23" t="s">
        <v>404</v>
      </c>
      <c r="CX23" t="s">
        <v>802</v>
      </c>
      <c r="CY23" t="s">
        <v>808</v>
      </c>
      <c r="CZ23">
        <v>193</v>
      </c>
      <c r="DA23">
        <v>21</v>
      </c>
      <c r="DB23">
        <v>71.2797927461</v>
      </c>
      <c r="DC23">
        <v>42</v>
      </c>
      <c r="DD23">
        <v>14</v>
      </c>
      <c r="DE23">
        <v>125.8333333333</v>
      </c>
      <c r="DF23">
        <v>153.5</v>
      </c>
      <c r="DH23" t="s">
        <v>404</v>
      </c>
      <c r="DI23" t="s">
        <v>776</v>
      </c>
      <c r="DJ23" t="s">
        <v>782</v>
      </c>
      <c r="DK23">
        <v>168</v>
      </c>
      <c r="DL23">
        <v>18</v>
      </c>
      <c r="DM23">
        <v>70.416666666699996</v>
      </c>
      <c r="DN23">
        <v>39</v>
      </c>
      <c r="DO23">
        <v>18</v>
      </c>
      <c r="DP23">
        <v>135.87179487180001</v>
      </c>
      <c r="DQ23">
        <v>146.7777777778</v>
      </c>
    </row>
    <row r="24" spans="2:121" x14ac:dyDescent="0.2">
      <c r="B24" t="s">
        <v>110</v>
      </c>
      <c r="C24">
        <v>25149</v>
      </c>
      <c r="D24">
        <v>45</v>
      </c>
      <c r="F24" t="s">
        <v>42</v>
      </c>
      <c r="G24">
        <v>10941</v>
      </c>
      <c r="H24">
        <v>298.26825701489997</v>
      </c>
      <c r="I24">
        <v>9205</v>
      </c>
      <c r="J24">
        <v>2376</v>
      </c>
      <c r="K24">
        <v>20553</v>
      </c>
      <c r="L24">
        <v>12146</v>
      </c>
      <c r="M24">
        <v>3320</v>
      </c>
      <c r="N24">
        <v>2433</v>
      </c>
      <c r="O24">
        <v>1446</v>
      </c>
      <c r="P24">
        <v>1048</v>
      </c>
      <c r="Q24">
        <v>1</v>
      </c>
      <c r="R24">
        <v>52</v>
      </c>
      <c r="T24" t="s">
        <v>654</v>
      </c>
      <c r="U24" t="s">
        <v>312</v>
      </c>
      <c r="V24" t="s">
        <v>139</v>
      </c>
      <c r="W24" t="s">
        <v>220</v>
      </c>
      <c r="X24" t="s">
        <v>221</v>
      </c>
      <c r="Y24" t="s">
        <v>222</v>
      </c>
      <c r="Z24" t="s">
        <v>223</v>
      </c>
      <c r="AA24" t="s">
        <v>224</v>
      </c>
      <c r="AB24" t="s">
        <v>225</v>
      </c>
      <c r="AC24" t="s">
        <v>226</v>
      </c>
      <c r="AD24" t="s">
        <v>227</v>
      </c>
      <c r="AE24" t="s">
        <v>228</v>
      </c>
      <c r="AF24" t="s">
        <v>229</v>
      </c>
      <c r="AH24" t="s">
        <v>378</v>
      </c>
      <c r="AI24">
        <v>4873</v>
      </c>
      <c r="AJ24">
        <v>513.92776523700002</v>
      </c>
      <c r="AK24">
        <v>4392</v>
      </c>
      <c r="AL24">
        <v>1111</v>
      </c>
      <c r="AM24">
        <v>7357</v>
      </c>
      <c r="AN24">
        <v>4922</v>
      </c>
      <c r="AO24">
        <v>2841</v>
      </c>
      <c r="AP24">
        <v>2257</v>
      </c>
      <c r="AQ24">
        <v>1366</v>
      </c>
      <c r="AR24">
        <v>1054</v>
      </c>
      <c r="AS24">
        <v>700</v>
      </c>
      <c r="AT24">
        <v>9</v>
      </c>
      <c r="AV24" t="s">
        <v>381</v>
      </c>
      <c r="AW24">
        <v>458</v>
      </c>
      <c r="AX24">
        <v>101.96506550220001</v>
      </c>
      <c r="AY24">
        <v>666</v>
      </c>
      <c r="AZ24">
        <v>154</v>
      </c>
      <c r="BA24">
        <v>613</v>
      </c>
      <c r="BB24">
        <v>190</v>
      </c>
      <c r="BC24">
        <v>13</v>
      </c>
      <c r="BD24">
        <v>13</v>
      </c>
      <c r="BE24">
        <v>32</v>
      </c>
      <c r="BF24">
        <v>13</v>
      </c>
      <c r="BG24">
        <v>64</v>
      </c>
      <c r="BH24">
        <v>198</v>
      </c>
      <c r="BJ24" t="s">
        <v>642</v>
      </c>
      <c r="BK24" t="s">
        <v>397</v>
      </c>
      <c r="BL24">
        <v>852</v>
      </c>
      <c r="BM24">
        <v>161</v>
      </c>
      <c r="BN24">
        <v>79.684272300499998</v>
      </c>
      <c r="BO24">
        <v>417</v>
      </c>
      <c r="BP24">
        <v>151</v>
      </c>
      <c r="BQ24">
        <v>108.8441247002</v>
      </c>
      <c r="BR24">
        <v>103.3642384106</v>
      </c>
      <c r="BS24">
        <v>1725</v>
      </c>
      <c r="BT24">
        <v>467</v>
      </c>
      <c r="BU24">
        <v>94.679420289899994</v>
      </c>
      <c r="BV24">
        <v>773</v>
      </c>
      <c r="BW24">
        <v>250</v>
      </c>
      <c r="BX24">
        <v>142.3544631307</v>
      </c>
      <c r="BY24">
        <v>145.72800000000001</v>
      </c>
      <c r="CA24" t="s">
        <v>407</v>
      </c>
      <c r="CB24" t="s">
        <v>814</v>
      </c>
      <c r="CC24" t="s">
        <v>1017</v>
      </c>
      <c r="CD24">
        <v>2102</v>
      </c>
      <c r="CE24">
        <v>246</v>
      </c>
      <c r="CF24">
        <v>69.8101807802</v>
      </c>
      <c r="CG24">
        <v>849</v>
      </c>
      <c r="CH24">
        <v>344</v>
      </c>
      <c r="CI24">
        <v>110.62426383979999</v>
      </c>
      <c r="CJ24">
        <v>105.9127906977</v>
      </c>
      <c r="CL24" t="s">
        <v>407</v>
      </c>
      <c r="CM24" t="s">
        <v>789</v>
      </c>
      <c r="CN24" t="s">
        <v>796</v>
      </c>
      <c r="CO24">
        <v>96</v>
      </c>
      <c r="CP24">
        <v>12</v>
      </c>
      <c r="CQ24">
        <v>66.177083333300004</v>
      </c>
      <c r="CR24">
        <v>67</v>
      </c>
      <c r="CS24">
        <v>17</v>
      </c>
      <c r="CT24">
        <v>67.985074626900001</v>
      </c>
      <c r="CU24">
        <v>67.529411764700001</v>
      </c>
      <c r="CW24" t="s">
        <v>407</v>
      </c>
      <c r="CX24" t="s">
        <v>802</v>
      </c>
      <c r="CY24" t="s">
        <v>809</v>
      </c>
      <c r="CZ24">
        <v>50</v>
      </c>
      <c r="DA24">
        <v>4</v>
      </c>
      <c r="DB24">
        <v>61.04</v>
      </c>
      <c r="DC24">
        <v>8</v>
      </c>
      <c r="DD24">
        <v>3</v>
      </c>
      <c r="DE24">
        <v>90.75</v>
      </c>
      <c r="DF24">
        <v>99.666666666699996</v>
      </c>
      <c r="DH24" t="s">
        <v>407</v>
      </c>
      <c r="DI24" t="s">
        <v>776</v>
      </c>
      <c r="DJ24" t="s">
        <v>783</v>
      </c>
      <c r="DK24">
        <v>88</v>
      </c>
      <c r="DL24">
        <v>4</v>
      </c>
      <c r="DM24">
        <v>61.977272727299997</v>
      </c>
      <c r="DN24">
        <v>17</v>
      </c>
      <c r="DO24">
        <v>6</v>
      </c>
      <c r="DP24">
        <v>107.1176470588</v>
      </c>
      <c r="DQ24">
        <v>104.5</v>
      </c>
    </row>
    <row r="25" spans="2:121" x14ac:dyDescent="0.2">
      <c r="B25" t="s">
        <v>108</v>
      </c>
      <c r="C25">
        <v>57</v>
      </c>
      <c r="D25">
        <v>43</v>
      </c>
      <c r="F25" t="s">
        <v>38</v>
      </c>
      <c r="G25">
        <v>4237</v>
      </c>
      <c r="H25">
        <v>577.76870427189999</v>
      </c>
      <c r="I25">
        <v>3394</v>
      </c>
      <c r="J25">
        <v>889</v>
      </c>
      <c r="K25">
        <v>5624</v>
      </c>
      <c r="L25">
        <v>4348</v>
      </c>
      <c r="M25">
        <v>2289</v>
      </c>
      <c r="N25">
        <v>1876</v>
      </c>
      <c r="O25">
        <v>853</v>
      </c>
      <c r="P25">
        <v>755</v>
      </c>
      <c r="Q25">
        <v>0</v>
      </c>
      <c r="R25">
        <v>2</v>
      </c>
      <c r="T25" t="s">
        <v>392</v>
      </c>
      <c r="U25">
        <v>63658</v>
      </c>
      <c r="V25">
        <v>365.81912721100002</v>
      </c>
      <c r="W25">
        <v>68991</v>
      </c>
      <c r="X25">
        <v>14204</v>
      </c>
      <c r="Y25">
        <v>90866</v>
      </c>
      <c r="Z25">
        <v>55966</v>
      </c>
      <c r="AA25">
        <v>18174</v>
      </c>
      <c r="AB25">
        <v>10678</v>
      </c>
      <c r="AC25">
        <v>19888</v>
      </c>
      <c r="AD25">
        <v>9713</v>
      </c>
      <c r="AE25">
        <v>868</v>
      </c>
      <c r="AF25">
        <v>1079</v>
      </c>
      <c r="AH25" t="s">
        <v>402</v>
      </c>
      <c r="AI25">
        <v>4545</v>
      </c>
      <c r="AJ25">
        <v>262.1817381738</v>
      </c>
      <c r="AK25">
        <v>7859</v>
      </c>
      <c r="AL25">
        <v>1812</v>
      </c>
      <c r="AM25">
        <v>8470</v>
      </c>
      <c r="AN25">
        <v>4333</v>
      </c>
      <c r="AO25">
        <v>1590</v>
      </c>
      <c r="AP25">
        <v>804</v>
      </c>
      <c r="AQ25">
        <v>1500</v>
      </c>
      <c r="AR25">
        <v>737</v>
      </c>
      <c r="AS25">
        <v>621</v>
      </c>
      <c r="AT25">
        <v>199</v>
      </c>
      <c r="AV25" t="s">
        <v>83</v>
      </c>
      <c r="AW25">
        <v>122</v>
      </c>
      <c r="AX25">
        <v>44.040983606600001</v>
      </c>
      <c r="AY25">
        <v>474</v>
      </c>
      <c r="AZ25">
        <v>19</v>
      </c>
      <c r="BA25">
        <v>255</v>
      </c>
      <c r="BB25">
        <v>23</v>
      </c>
      <c r="BC25">
        <v>0</v>
      </c>
      <c r="BE25">
        <v>11</v>
      </c>
      <c r="BF25">
        <v>3</v>
      </c>
      <c r="BG25">
        <v>324</v>
      </c>
      <c r="BH25">
        <v>57</v>
      </c>
      <c r="BJ25" t="s">
        <v>581</v>
      </c>
      <c r="BK25" t="s">
        <v>397</v>
      </c>
      <c r="BL25">
        <v>5921</v>
      </c>
      <c r="BM25">
        <v>840</v>
      </c>
      <c r="BN25">
        <v>77.107583178499993</v>
      </c>
      <c r="BO25">
        <v>2084</v>
      </c>
      <c r="BP25">
        <v>609</v>
      </c>
      <c r="BQ25">
        <v>122.0484644914</v>
      </c>
      <c r="BR25">
        <v>115.5550082102</v>
      </c>
      <c r="BS25">
        <v>6455</v>
      </c>
      <c r="BT25">
        <v>1251</v>
      </c>
      <c r="BU25">
        <v>82.610379550700003</v>
      </c>
      <c r="BV25">
        <v>2670</v>
      </c>
      <c r="BW25">
        <v>708</v>
      </c>
      <c r="BX25">
        <v>124.1865168539</v>
      </c>
      <c r="BY25">
        <v>118.00141242940001</v>
      </c>
      <c r="CA25" t="s">
        <v>426</v>
      </c>
      <c r="CB25" t="s">
        <v>814</v>
      </c>
      <c r="CC25" t="s">
        <v>1018</v>
      </c>
      <c r="CD25">
        <v>626</v>
      </c>
      <c r="CE25">
        <v>103</v>
      </c>
      <c r="CF25">
        <v>73.961661341899998</v>
      </c>
      <c r="CG25">
        <v>352</v>
      </c>
      <c r="CH25">
        <v>115</v>
      </c>
      <c r="CI25">
        <v>96.448863636400006</v>
      </c>
      <c r="CJ25">
        <v>88.591304347800005</v>
      </c>
      <c r="CL25" t="s">
        <v>426</v>
      </c>
      <c r="CM25" t="s">
        <v>789</v>
      </c>
      <c r="CN25" t="s">
        <v>797</v>
      </c>
      <c r="CO25">
        <v>33</v>
      </c>
      <c r="CP25">
        <v>1</v>
      </c>
      <c r="CQ25">
        <v>53.787878787899999</v>
      </c>
      <c r="CR25">
        <v>31</v>
      </c>
      <c r="CS25">
        <v>8</v>
      </c>
      <c r="CT25">
        <v>54.387096774200003</v>
      </c>
      <c r="CU25">
        <v>62.5</v>
      </c>
      <c r="CW25" t="s">
        <v>426</v>
      </c>
      <c r="CX25" t="s">
        <v>802</v>
      </c>
      <c r="CY25" t="s">
        <v>810</v>
      </c>
      <c r="CZ25">
        <v>22</v>
      </c>
      <c r="DA25">
        <v>5</v>
      </c>
      <c r="DB25">
        <v>74.409090909100001</v>
      </c>
      <c r="DC25">
        <v>6</v>
      </c>
      <c r="DD25">
        <v>2</v>
      </c>
      <c r="DE25">
        <v>43.833333333299997</v>
      </c>
      <c r="DF25">
        <v>39.5</v>
      </c>
      <c r="DH25" t="s">
        <v>426</v>
      </c>
      <c r="DI25" t="s">
        <v>776</v>
      </c>
      <c r="DJ25" t="s">
        <v>784</v>
      </c>
      <c r="DK25">
        <v>5</v>
      </c>
      <c r="DL25">
        <v>1</v>
      </c>
      <c r="DM25">
        <v>55.4</v>
      </c>
      <c r="DN25">
        <v>3</v>
      </c>
      <c r="DO25">
        <v>0</v>
      </c>
      <c r="DP25">
        <v>117.3333333333</v>
      </c>
      <c r="DQ25">
        <v>0</v>
      </c>
    </row>
    <row r="26" spans="2:121" x14ac:dyDescent="0.2">
      <c r="B26" t="s">
        <v>91</v>
      </c>
      <c r="C26">
        <v>83658</v>
      </c>
      <c r="D26">
        <v>20538</v>
      </c>
      <c r="F26" t="s">
        <v>82</v>
      </c>
      <c r="G26">
        <v>12921</v>
      </c>
      <c r="H26">
        <v>317.26228620080002</v>
      </c>
      <c r="I26">
        <v>18386</v>
      </c>
      <c r="J26">
        <v>3445</v>
      </c>
      <c r="K26">
        <v>15446</v>
      </c>
      <c r="L26">
        <v>8964</v>
      </c>
      <c r="M26">
        <v>3177</v>
      </c>
      <c r="N26">
        <v>1385</v>
      </c>
      <c r="O26">
        <v>3665</v>
      </c>
      <c r="P26">
        <v>1568</v>
      </c>
      <c r="Q26">
        <v>2</v>
      </c>
      <c r="R26">
        <v>206</v>
      </c>
      <c r="T26" t="s">
        <v>397</v>
      </c>
      <c r="U26">
        <v>45881</v>
      </c>
      <c r="V26">
        <v>405.8327630174</v>
      </c>
      <c r="W26">
        <v>54615</v>
      </c>
      <c r="X26">
        <v>10853</v>
      </c>
      <c r="Y26">
        <v>72670</v>
      </c>
      <c r="Z26">
        <v>41669</v>
      </c>
      <c r="AA26">
        <v>13184</v>
      </c>
      <c r="AB26">
        <v>8083</v>
      </c>
      <c r="AC26">
        <v>22442</v>
      </c>
      <c r="AD26">
        <v>13518</v>
      </c>
      <c r="AE26">
        <v>3182</v>
      </c>
      <c r="AF26">
        <v>1063</v>
      </c>
      <c r="AH26" t="s">
        <v>408</v>
      </c>
      <c r="AI26">
        <v>1312</v>
      </c>
      <c r="AJ26">
        <v>204.71646341460001</v>
      </c>
      <c r="AK26">
        <v>5094</v>
      </c>
      <c r="AL26">
        <v>1000</v>
      </c>
      <c r="AM26">
        <v>3678</v>
      </c>
      <c r="AN26">
        <v>1209</v>
      </c>
      <c r="AO26">
        <v>590</v>
      </c>
      <c r="AP26">
        <v>235</v>
      </c>
      <c r="AQ26">
        <v>1015</v>
      </c>
      <c r="AR26">
        <v>570</v>
      </c>
      <c r="AS26">
        <v>8</v>
      </c>
      <c r="AT26">
        <v>4</v>
      </c>
      <c r="AV26" t="s">
        <v>404</v>
      </c>
      <c r="AW26">
        <v>262</v>
      </c>
      <c r="AX26">
        <v>58.7595419847</v>
      </c>
      <c r="AY26">
        <v>700</v>
      </c>
      <c r="AZ26">
        <v>41</v>
      </c>
      <c r="BA26">
        <v>479</v>
      </c>
      <c r="BB26">
        <v>29</v>
      </c>
      <c r="BC26">
        <v>1</v>
      </c>
      <c r="BD26">
        <v>1</v>
      </c>
      <c r="BE26">
        <v>27</v>
      </c>
      <c r="BF26">
        <v>7</v>
      </c>
      <c r="BG26">
        <v>104</v>
      </c>
      <c r="BH26">
        <v>45</v>
      </c>
      <c r="BJ26" t="s">
        <v>587</v>
      </c>
      <c r="BK26" t="s">
        <v>397</v>
      </c>
      <c r="BL26">
        <v>7214</v>
      </c>
      <c r="BM26">
        <v>1422</v>
      </c>
      <c r="BN26">
        <v>88.102162461899994</v>
      </c>
      <c r="BO26">
        <v>3238</v>
      </c>
      <c r="BP26">
        <v>1079</v>
      </c>
      <c r="BQ26">
        <v>121.1173563928</v>
      </c>
      <c r="BR26">
        <v>115.94346617239999</v>
      </c>
      <c r="BS26">
        <v>8341</v>
      </c>
      <c r="BT26">
        <v>2105</v>
      </c>
      <c r="BU26">
        <v>103.81872677139999</v>
      </c>
      <c r="BV26">
        <v>3827</v>
      </c>
      <c r="BW26">
        <v>1244</v>
      </c>
      <c r="BX26">
        <v>140.82440553960001</v>
      </c>
      <c r="BY26">
        <v>132.90353697750001</v>
      </c>
      <c r="CA26" t="s">
        <v>398</v>
      </c>
      <c r="CB26" t="s">
        <v>814</v>
      </c>
      <c r="CC26" t="s">
        <v>1019</v>
      </c>
      <c r="CD26">
        <v>8885</v>
      </c>
      <c r="CE26">
        <v>2000</v>
      </c>
      <c r="CF26">
        <v>95.566572875600002</v>
      </c>
      <c r="CG26">
        <v>3523</v>
      </c>
      <c r="CH26">
        <v>1224</v>
      </c>
      <c r="CI26">
        <v>128.56968492760001</v>
      </c>
      <c r="CJ26">
        <v>127.4754901961</v>
      </c>
      <c r="CL26" t="s">
        <v>398</v>
      </c>
      <c r="CM26" t="s">
        <v>789</v>
      </c>
      <c r="CN26" t="s">
        <v>798</v>
      </c>
      <c r="CO26">
        <v>1008</v>
      </c>
      <c r="CP26">
        <v>76</v>
      </c>
      <c r="CQ26">
        <v>62.487103174600001</v>
      </c>
      <c r="CR26">
        <v>639</v>
      </c>
      <c r="CS26">
        <v>213</v>
      </c>
      <c r="CT26">
        <v>61.690140845099997</v>
      </c>
      <c r="CU26">
        <v>59.131455399099998</v>
      </c>
      <c r="CW26" t="s">
        <v>398</v>
      </c>
      <c r="CX26" t="s">
        <v>802</v>
      </c>
      <c r="CY26" t="s">
        <v>811</v>
      </c>
      <c r="CZ26">
        <v>263</v>
      </c>
      <c r="DA26">
        <v>30</v>
      </c>
      <c r="DB26">
        <v>69.422053231899994</v>
      </c>
      <c r="DC26">
        <v>55</v>
      </c>
      <c r="DD26">
        <v>23</v>
      </c>
      <c r="DE26">
        <v>133.54545454550001</v>
      </c>
      <c r="DF26">
        <v>130.73913043479999</v>
      </c>
      <c r="DH26" t="s">
        <v>398</v>
      </c>
      <c r="DI26" t="s">
        <v>776</v>
      </c>
      <c r="DJ26" t="s">
        <v>785</v>
      </c>
      <c r="DK26">
        <v>158</v>
      </c>
      <c r="DL26">
        <v>25</v>
      </c>
      <c r="DM26">
        <v>78.417721518999997</v>
      </c>
      <c r="DN26">
        <v>45</v>
      </c>
      <c r="DO26">
        <v>15</v>
      </c>
      <c r="DP26">
        <v>135.31111111109999</v>
      </c>
      <c r="DQ26">
        <v>139.4</v>
      </c>
    </row>
    <row r="27" spans="2:121" x14ac:dyDescent="0.2">
      <c r="B27" t="s">
        <v>99</v>
      </c>
      <c r="C27">
        <v>135802</v>
      </c>
      <c r="D27">
        <v>60990</v>
      </c>
      <c r="F27" t="s">
        <v>58</v>
      </c>
      <c r="G27">
        <v>772</v>
      </c>
      <c r="H27">
        <v>168.07512953369999</v>
      </c>
      <c r="I27">
        <v>812</v>
      </c>
      <c r="J27">
        <v>202</v>
      </c>
      <c r="K27">
        <v>897</v>
      </c>
      <c r="L27">
        <v>412</v>
      </c>
      <c r="M27">
        <v>226</v>
      </c>
      <c r="N27">
        <v>73</v>
      </c>
      <c r="O27">
        <v>723</v>
      </c>
      <c r="P27">
        <v>373</v>
      </c>
      <c r="Q27">
        <v>303</v>
      </c>
      <c r="R27">
        <v>135</v>
      </c>
      <c r="T27" t="s">
        <v>376</v>
      </c>
      <c r="U27">
        <v>75119</v>
      </c>
      <c r="V27">
        <v>410.11150308179998</v>
      </c>
      <c r="W27">
        <v>74634</v>
      </c>
      <c r="X27">
        <v>16821</v>
      </c>
      <c r="Y27">
        <v>106286</v>
      </c>
      <c r="Z27">
        <v>69291</v>
      </c>
      <c r="AA27">
        <v>28310</v>
      </c>
      <c r="AB27">
        <v>19602</v>
      </c>
      <c r="AC27">
        <v>31986</v>
      </c>
      <c r="AD27">
        <v>23288</v>
      </c>
      <c r="AE27">
        <v>7585</v>
      </c>
      <c r="AF27">
        <v>115</v>
      </c>
      <c r="AH27" t="s">
        <v>396</v>
      </c>
      <c r="AI27">
        <v>5294</v>
      </c>
      <c r="AJ27">
        <v>370.87929731769998</v>
      </c>
      <c r="AK27">
        <v>4593</v>
      </c>
      <c r="AL27">
        <v>1083</v>
      </c>
      <c r="AM27">
        <v>7793</v>
      </c>
      <c r="AN27">
        <v>4995</v>
      </c>
      <c r="AO27">
        <v>1375</v>
      </c>
      <c r="AP27">
        <v>977</v>
      </c>
      <c r="AQ27">
        <v>2381</v>
      </c>
      <c r="AR27">
        <v>1430</v>
      </c>
      <c r="AS27">
        <v>294</v>
      </c>
      <c r="AT27">
        <v>147</v>
      </c>
      <c r="AV27" t="s">
        <v>410</v>
      </c>
      <c r="AW27">
        <v>70</v>
      </c>
      <c r="AX27">
        <v>44.557142857099997</v>
      </c>
      <c r="AY27">
        <v>249</v>
      </c>
      <c r="AZ27">
        <v>9</v>
      </c>
      <c r="BA27">
        <v>130</v>
      </c>
      <c r="BB27">
        <v>11</v>
      </c>
      <c r="BC27">
        <v>3</v>
      </c>
      <c r="BD27">
        <v>3</v>
      </c>
      <c r="BE27">
        <v>19</v>
      </c>
      <c r="BF27">
        <v>12</v>
      </c>
      <c r="BG27">
        <v>218</v>
      </c>
      <c r="BH27">
        <v>33</v>
      </c>
      <c r="BJ27" t="s">
        <v>646</v>
      </c>
      <c r="BK27" t="s">
        <v>397</v>
      </c>
      <c r="BL27">
        <v>2960</v>
      </c>
      <c r="BM27">
        <v>596</v>
      </c>
      <c r="BN27">
        <v>87.807432432400006</v>
      </c>
      <c r="BO27">
        <v>1022</v>
      </c>
      <c r="BP27">
        <v>340</v>
      </c>
      <c r="BQ27">
        <v>144.71722113499999</v>
      </c>
      <c r="BR27">
        <v>139.91764705879999</v>
      </c>
      <c r="BS27">
        <v>1996</v>
      </c>
      <c r="BT27">
        <v>561</v>
      </c>
      <c r="BU27">
        <v>98.256012024</v>
      </c>
      <c r="BV27">
        <v>835</v>
      </c>
      <c r="BW27">
        <v>259</v>
      </c>
      <c r="BX27">
        <v>156.44191616769999</v>
      </c>
      <c r="BY27">
        <v>153.2316602317</v>
      </c>
      <c r="CA27" t="s">
        <v>427</v>
      </c>
      <c r="CB27" t="s">
        <v>814</v>
      </c>
      <c r="CC27" t="s">
        <v>1020</v>
      </c>
      <c r="CD27">
        <v>893</v>
      </c>
      <c r="CE27">
        <v>157</v>
      </c>
      <c r="CF27">
        <v>78.437849944000007</v>
      </c>
      <c r="CG27">
        <v>447</v>
      </c>
      <c r="CH27">
        <v>155</v>
      </c>
      <c r="CI27">
        <v>111.1096196868</v>
      </c>
      <c r="CJ27">
        <v>106.1419354839</v>
      </c>
      <c r="CL27" t="s">
        <v>427</v>
      </c>
      <c r="CM27" t="s">
        <v>789</v>
      </c>
      <c r="CN27" t="s">
        <v>799</v>
      </c>
      <c r="CO27">
        <v>49</v>
      </c>
      <c r="CP27">
        <v>4</v>
      </c>
      <c r="CQ27">
        <v>62.367346938799997</v>
      </c>
      <c r="CR27">
        <v>54</v>
      </c>
      <c r="CS27">
        <v>16</v>
      </c>
      <c r="CT27">
        <v>65.629629629600004</v>
      </c>
      <c r="CU27">
        <v>65.375</v>
      </c>
      <c r="CW27" t="s">
        <v>427</v>
      </c>
      <c r="CX27" t="s">
        <v>802</v>
      </c>
      <c r="CY27" t="s">
        <v>812</v>
      </c>
      <c r="CZ27">
        <v>16</v>
      </c>
      <c r="DA27">
        <v>3</v>
      </c>
      <c r="DB27">
        <v>69.5625</v>
      </c>
      <c r="DC27">
        <v>1</v>
      </c>
      <c r="DD27">
        <v>0</v>
      </c>
      <c r="DE27">
        <v>247</v>
      </c>
      <c r="DF27">
        <v>0</v>
      </c>
      <c r="DH27" t="s">
        <v>427</v>
      </c>
      <c r="DI27" t="s">
        <v>776</v>
      </c>
      <c r="DJ27" t="s">
        <v>786</v>
      </c>
      <c r="DK27">
        <v>17</v>
      </c>
      <c r="DL27">
        <v>4</v>
      </c>
      <c r="DM27">
        <v>93.235294117600006</v>
      </c>
      <c r="DN27">
        <v>3</v>
      </c>
      <c r="DO27">
        <v>1</v>
      </c>
      <c r="DP27">
        <v>118</v>
      </c>
      <c r="DQ27">
        <v>137</v>
      </c>
    </row>
    <row r="28" spans="2:121" x14ac:dyDescent="0.2">
      <c r="B28" t="s">
        <v>112</v>
      </c>
      <c r="C28">
        <v>35255</v>
      </c>
      <c r="D28">
        <v>11360</v>
      </c>
      <c r="F28" t="s">
        <v>72</v>
      </c>
      <c r="G28">
        <v>14689</v>
      </c>
      <c r="H28">
        <v>473.47824902989998</v>
      </c>
      <c r="I28">
        <v>12700</v>
      </c>
      <c r="J28">
        <v>2187</v>
      </c>
      <c r="K28">
        <v>16613</v>
      </c>
      <c r="L28">
        <v>11946</v>
      </c>
      <c r="M28">
        <v>6539</v>
      </c>
      <c r="N28">
        <v>5159</v>
      </c>
      <c r="O28">
        <v>4619</v>
      </c>
      <c r="P28">
        <v>3773</v>
      </c>
      <c r="Q28">
        <v>7</v>
      </c>
      <c r="R28">
        <v>9</v>
      </c>
      <c r="T28" t="s">
        <v>8</v>
      </c>
      <c r="U28">
        <v>4407</v>
      </c>
      <c r="V28">
        <v>394.92035398230001</v>
      </c>
      <c r="W28">
        <v>3916</v>
      </c>
      <c r="X28">
        <v>1579</v>
      </c>
      <c r="Y28">
        <v>5683</v>
      </c>
      <c r="Z28">
        <v>3981</v>
      </c>
      <c r="AA28">
        <v>876</v>
      </c>
      <c r="AB28">
        <v>526</v>
      </c>
      <c r="AC28">
        <v>1322</v>
      </c>
      <c r="AD28">
        <v>811</v>
      </c>
      <c r="AE28">
        <v>362</v>
      </c>
      <c r="AF28">
        <v>130</v>
      </c>
      <c r="AH28" t="s">
        <v>404</v>
      </c>
      <c r="AI28">
        <v>5849</v>
      </c>
      <c r="AJ28">
        <v>282.4623012481</v>
      </c>
      <c r="AK28">
        <v>6391</v>
      </c>
      <c r="AL28">
        <v>945</v>
      </c>
      <c r="AM28">
        <v>8739</v>
      </c>
      <c r="AN28">
        <v>5333</v>
      </c>
      <c r="AO28">
        <v>2436</v>
      </c>
      <c r="AP28">
        <v>1864</v>
      </c>
      <c r="AQ28">
        <v>6815</v>
      </c>
      <c r="AR28">
        <v>4759</v>
      </c>
      <c r="AS28">
        <v>555</v>
      </c>
      <c r="AT28">
        <v>95</v>
      </c>
      <c r="AV28" t="s">
        <v>388</v>
      </c>
      <c r="AW28">
        <v>1225</v>
      </c>
      <c r="AX28">
        <v>117.73469387759999</v>
      </c>
      <c r="AY28">
        <v>1403</v>
      </c>
      <c r="AZ28">
        <v>361</v>
      </c>
      <c r="BA28">
        <v>1702</v>
      </c>
      <c r="BB28">
        <v>595</v>
      </c>
      <c r="BC28">
        <v>54</v>
      </c>
      <c r="BD28">
        <v>51</v>
      </c>
      <c r="BE28">
        <v>87</v>
      </c>
      <c r="BF28">
        <v>34</v>
      </c>
      <c r="BG28">
        <v>148</v>
      </c>
      <c r="BH28">
        <v>458</v>
      </c>
      <c r="BJ28" t="s">
        <v>540</v>
      </c>
      <c r="BK28" t="s">
        <v>376</v>
      </c>
      <c r="BL28">
        <v>4825</v>
      </c>
      <c r="BM28">
        <v>1045</v>
      </c>
      <c r="BN28">
        <v>94.258031088099997</v>
      </c>
      <c r="BO28">
        <v>1977</v>
      </c>
      <c r="BP28">
        <v>603</v>
      </c>
      <c r="BQ28">
        <v>144.63631765299999</v>
      </c>
      <c r="BR28">
        <v>145.38474295189999</v>
      </c>
      <c r="BS28">
        <v>2592</v>
      </c>
      <c r="BT28">
        <v>522</v>
      </c>
      <c r="BU28">
        <v>84.894675925900003</v>
      </c>
      <c r="BV28">
        <v>1199</v>
      </c>
      <c r="BW28">
        <v>385</v>
      </c>
      <c r="BX28">
        <v>130.85321100920001</v>
      </c>
      <c r="BY28">
        <v>134.01818181819999</v>
      </c>
      <c r="CA28" t="s">
        <v>403</v>
      </c>
      <c r="CB28" t="s">
        <v>814</v>
      </c>
      <c r="CC28" t="s">
        <v>1021</v>
      </c>
      <c r="CD28">
        <v>4036</v>
      </c>
      <c r="CE28">
        <v>704</v>
      </c>
      <c r="CF28">
        <v>83.197968285399995</v>
      </c>
      <c r="CG28">
        <v>1516</v>
      </c>
      <c r="CH28">
        <v>533</v>
      </c>
      <c r="CI28">
        <v>118.3687335092</v>
      </c>
      <c r="CJ28">
        <v>120.2983114447</v>
      </c>
      <c r="CL28" t="s">
        <v>403</v>
      </c>
      <c r="CM28" t="s">
        <v>789</v>
      </c>
      <c r="CN28" t="s">
        <v>800</v>
      </c>
      <c r="CO28">
        <v>329</v>
      </c>
      <c r="CP28">
        <v>21</v>
      </c>
      <c r="CQ28">
        <v>53.802431610900001</v>
      </c>
      <c r="CR28">
        <v>243</v>
      </c>
      <c r="CS28">
        <v>74</v>
      </c>
      <c r="CT28">
        <v>51.781893004099999</v>
      </c>
      <c r="CU28">
        <v>49.405405405400003</v>
      </c>
      <c r="CW28" t="s">
        <v>403</v>
      </c>
      <c r="CX28" t="s">
        <v>802</v>
      </c>
      <c r="CY28" t="s">
        <v>813</v>
      </c>
      <c r="CZ28">
        <v>97</v>
      </c>
      <c r="DA28">
        <v>15</v>
      </c>
      <c r="DB28">
        <v>71.443298969099999</v>
      </c>
      <c r="DC28">
        <v>27</v>
      </c>
      <c r="DD28">
        <v>7</v>
      </c>
      <c r="DE28">
        <v>125.4814814815</v>
      </c>
      <c r="DF28">
        <v>119.2857142857</v>
      </c>
      <c r="DH28" t="s">
        <v>403</v>
      </c>
      <c r="DI28" t="s">
        <v>776</v>
      </c>
      <c r="DJ28" t="s">
        <v>787</v>
      </c>
      <c r="DK28">
        <v>46</v>
      </c>
      <c r="DL28">
        <v>9</v>
      </c>
      <c r="DM28">
        <v>79.413043478299997</v>
      </c>
      <c r="DN28">
        <v>22</v>
      </c>
      <c r="DO28">
        <v>9</v>
      </c>
      <c r="DP28">
        <v>118.5</v>
      </c>
      <c r="DQ28">
        <v>122.2222222222</v>
      </c>
    </row>
    <row r="29" spans="2:121" x14ac:dyDescent="0.2">
      <c r="B29" t="s">
        <v>20</v>
      </c>
      <c r="C29">
        <v>296</v>
      </c>
      <c r="D29">
        <v>181</v>
      </c>
      <c r="F29" t="s">
        <v>44</v>
      </c>
      <c r="G29">
        <v>1184</v>
      </c>
      <c r="H29">
        <v>132.88006756760001</v>
      </c>
      <c r="I29">
        <v>2162</v>
      </c>
      <c r="J29">
        <v>385</v>
      </c>
      <c r="K29">
        <v>1985</v>
      </c>
      <c r="L29">
        <v>818</v>
      </c>
      <c r="M29">
        <v>382</v>
      </c>
      <c r="N29">
        <v>135</v>
      </c>
      <c r="O29">
        <v>1117</v>
      </c>
      <c r="P29">
        <v>938</v>
      </c>
      <c r="Q29">
        <v>0</v>
      </c>
      <c r="R29">
        <v>8</v>
      </c>
      <c r="T29" t="s">
        <v>411</v>
      </c>
      <c r="U29">
        <v>68872</v>
      </c>
      <c r="V29">
        <v>376.11723196650001</v>
      </c>
      <c r="W29">
        <v>61284</v>
      </c>
      <c r="X29">
        <v>12346</v>
      </c>
      <c r="Y29">
        <v>99514</v>
      </c>
      <c r="Z29">
        <v>64036</v>
      </c>
      <c r="AA29">
        <v>22333</v>
      </c>
      <c r="AB29">
        <v>15287</v>
      </c>
      <c r="AC29">
        <v>25026</v>
      </c>
      <c r="AD29">
        <v>16487</v>
      </c>
      <c r="AE29">
        <v>90</v>
      </c>
      <c r="AF29">
        <v>547</v>
      </c>
      <c r="AH29" t="s">
        <v>425</v>
      </c>
      <c r="AI29">
        <v>925</v>
      </c>
      <c r="AJ29">
        <v>257.89297297299998</v>
      </c>
      <c r="AK29">
        <v>770</v>
      </c>
      <c r="AL29">
        <v>87</v>
      </c>
      <c r="AM29">
        <v>1616</v>
      </c>
      <c r="AN29">
        <v>731</v>
      </c>
      <c r="AO29">
        <v>482</v>
      </c>
      <c r="AP29">
        <v>228</v>
      </c>
      <c r="AQ29">
        <v>232</v>
      </c>
      <c r="AR29">
        <v>94</v>
      </c>
      <c r="AS29">
        <v>2</v>
      </c>
      <c r="AT29">
        <v>4</v>
      </c>
      <c r="AV29" t="s">
        <v>425</v>
      </c>
      <c r="AW29">
        <v>21</v>
      </c>
      <c r="AX29">
        <v>49.380952381</v>
      </c>
      <c r="AY29">
        <v>77</v>
      </c>
      <c r="AZ29">
        <v>4</v>
      </c>
      <c r="BA29">
        <v>40</v>
      </c>
      <c r="BB29">
        <v>3</v>
      </c>
      <c r="BC29">
        <v>0</v>
      </c>
      <c r="BE29">
        <v>2</v>
      </c>
      <c r="BF29">
        <v>1</v>
      </c>
      <c r="BG29">
        <v>80</v>
      </c>
      <c r="BH29">
        <v>9</v>
      </c>
      <c r="BJ29" t="s">
        <v>519</v>
      </c>
      <c r="BK29" t="s">
        <v>376</v>
      </c>
      <c r="BL29">
        <v>3548</v>
      </c>
      <c r="BM29">
        <v>891</v>
      </c>
      <c r="BN29">
        <v>97.501972942500004</v>
      </c>
      <c r="BO29">
        <v>1464</v>
      </c>
      <c r="BP29">
        <v>487</v>
      </c>
      <c r="BQ29">
        <v>120.8155737705</v>
      </c>
      <c r="BR29">
        <v>117.022587269</v>
      </c>
      <c r="BS29">
        <v>3126</v>
      </c>
      <c r="BT29">
        <v>629</v>
      </c>
      <c r="BU29">
        <v>86.377799104299996</v>
      </c>
      <c r="BV29">
        <v>1341</v>
      </c>
      <c r="BW29">
        <v>446</v>
      </c>
      <c r="BX29">
        <v>111.63683818050001</v>
      </c>
      <c r="BY29">
        <v>108.5582959641</v>
      </c>
      <c r="CA29" t="s">
        <v>397</v>
      </c>
      <c r="CB29" t="s">
        <v>814</v>
      </c>
      <c r="CD29">
        <v>52975</v>
      </c>
      <c r="CE29">
        <v>10493</v>
      </c>
      <c r="CF29">
        <v>88.500254837200004</v>
      </c>
      <c r="CG29">
        <v>21122</v>
      </c>
      <c r="CH29">
        <v>6920</v>
      </c>
      <c r="CI29">
        <v>128.67294763749999</v>
      </c>
      <c r="CJ29">
        <v>127.4011560694</v>
      </c>
      <c r="CL29" t="s">
        <v>397</v>
      </c>
      <c r="CM29" t="s">
        <v>789</v>
      </c>
      <c r="CO29">
        <v>4932</v>
      </c>
      <c r="CP29">
        <v>358</v>
      </c>
      <c r="CQ29">
        <v>61.481346309800003</v>
      </c>
      <c r="CR29">
        <v>3553</v>
      </c>
      <c r="CS29">
        <v>1102</v>
      </c>
      <c r="CT29">
        <v>63.827188291600002</v>
      </c>
      <c r="CU29">
        <v>66.463702359300001</v>
      </c>
      <c r="CW29" t="s">
        <v>397</v>
      </c>
      <c r="CX29" t="s">
        <v>802</v>
      </c>
      <c r="CZ29">
        <v>1410</v>
      </c>
      <c r="DA29">
        <v>179</v>
      </c>
      <c r="DB29">
        <v>70.785106382999999</v>
      </c>
      <c r="DC29">
        <v>292</v>
      </c>
      <c r="DD29">
        <v>107</v>
      </c>
      <c r="DE29">
        <v>128.30136986299999</v>
      </c>
      <c r="DF29">
        <v>130.9439252336</v>
      </c>
      <c r="DH29" t="s">
        <v>397</v>
      </c>
      <c r="DI29" t="s">
        <v>776</v>
      </c>
      <c r="DK29">
        <v>1144</v>
      </c>
      <c r="DL29">
        <v>145</v>
      </c>
      <c r="DM29">
        <v>72.194930069899996</v>
      </c>
      <c r="DN29">
        <v>311</v>
      </c>
      <c r="DO29">
        <v>121</v>
      </c>
      <c r="DP29">
        <v>123.46302250799999</v>
      </c>
      <c r="DQ29">
        <v>126.2561983471</v>
      </c>
    </row>
    <row r="30" spans="2:121" x14ac:dyDescent="0.2">
      <c r="B30" t="s">
        <v>22</v>
      </c>
      <c r="C30">
        <v>208518</v>
      </c>
      <c r="D30">
        <v>39052</v>
      </c>
      <c r="F30" t="s">
        <v>48</v>
      </c>
      <c r="G30">
        <v>1770</v>
      </c>
      <c r="H30">
        <v>253.4073446328</v>
      </c>
      <c r="I30">
        <v>2261</v>
      </c>
      <c r="J30">
        <v>523</v>
      </c>
      <c r="K30">
        <v>2257</v>
      </c>
      <c r="L30">
        <v>1471</v>
      </c>
      <c r="M30">
        <v>502</v>
      </c>
      <c r="N30">
        <v>309</v>
      </c>
      <c r="O30">
        <v>150</v>
      </c>
      <c r="P30">
        <v>76</v>
      </c>
      <c r="Q30">
        <v>0</v>
      </c>
      <c r="R30">
        <v>0</v>
      </c>
      <c r="T30" t="s">
        <v>387</v>
      </c>
      <c r="U30">
        <v>80749</v>
      </c>
      <c r="V30">
        <v>362.20676417049998</v>
      </c>
      <c r="W30">
        <v>79604</v>
      </c>
      <c r="X30">
        <v>17715</v>
      </c>
      <c r="Y30">
        <v>115799</v>
      </c>
      <c r="Z30">
        <v>75040</v>
      </c>
      <c r="AA30">
        <v>27405</v>
      </c>
      <c r="AB30">
        <v>18578</v>
      </c>
      <c r="AC30">
        <v>35588</v>
      </c>
      <c r="AD30">
        <v>21495</v>
      </c>
      <c r="AE30">
        <v>4893</v>
      </c>
      <c r="AF30">
        <v>1050</v>
      </c>
      <c r="AH30" t="s">
        <v>407</v>
      </c>
      <c r="AI30">
        <v>1375</v>
      </c>
      <c r="AJ30">
        <v>215.60218181819999</v>
      </c>
      <c r="AK30">
        <v>2124</v>
      </c>
      <c r="AL30">
        <v>260</v>
      </c>
      <c r="AM30">
        <v>2331</v>
      </c>
      <c r="AN30">
        <v>999</v>
      </c>
      <c r="AO30">
        <v>822</v>
      </c>
      <c r="AP30">
        <v>545</v>
      </c>
      <c r="AQ30">
        <v>454</v>
      </c>
      <c r="AR30">
        <v>185</v>
      </c>
      <c r="AS30">
        <v>1</v>
      </c>
      <c r="AT30">
        <v>11</v>
      </c>
      <c r="AV30" t="s">
        <v>391</v>
      </c>
      <c r="AW30">
        <v>271</v>
      </c>
      <c r="AX30">
        <v>52.129151291500001</v>
      </c>
      <c r="AY30">
        <v>783</v>
      </c>
      <c r="AZ30">
        <v>42</v>
      </c>
      <c r="BA30">
        <v>480</v>
      </c>
      <c r="BB30">
        <v>45</v>
      </c>
      <c r="BC30">
        <v>3</v>
      </c>
      <c r="BD30">
        <v>3</v>
      </c>
      <c r="BE30">
        <v>45</v>
      </c>
      <c r="BF30">
        <v>13</v>
      </c>
      <c r="BG30">
        <v>104</v>
      </c>
      <c r="BH30">
        <v>54</v>
      </c>
      <c r="BJ30" t="s">
        <v>527</v>
      </c>
      <c r="BK30" t="s">
        <v>376</v>
      </c>
      <c r="BL30">
        <v>3978</v>
      </c>
      <c r="BM30">
        <v>870</v>
      </c>
      <c r="BN30">
        <v>92.524132730000005</v>
      </c>
      <c r="BO30">
        <v>1584</v>
      </c>
      <c r="BP30">
        <v>529</v>
      </c>
      <c r="BQ30">
        <v>156.4381313131</v>
      </c>
      <c r="BR30">
        <v>146.96975425330001</v>
      </c>
      <c r="BS30">
        <v>2954</v>
      </c>
      <c r="BT30">
        <v>561</v>
      </c>
      <c r="BU30">
        <v>81.414353419099996</v>
      </c>
      <c r="BV30">
        <v>1293</v>
      </c>
      <c r="BW30">
        <v>391</v>
      </c>
      <c r="BX30">
        <v>149.25058004639999</v>
      </c>
      <c r="BY30">
        <v>142.7084398977</v>
      </c>
      <c r="CA30" t="s">
        <v>380</v>
      </c>
      <c r="CB30" t="s">
        <v>863</v>
      </c>
      <c r="CC30" t="s">
        <v>987</v>
      </c>
      <c r="CD30">
        <v>1851</v>
      </c>
      <c r="CE30">
        <v>309</v>
      </c>
      <c r="CF30">
        <v>80.513776337099998</v>
      </c>
      <c r="CG30">
        <v>890</v>
      </c>
      <c r="CH30">
        <v>272</v>
      </c>
      <c r="CI30">
        <v>105.63707865169999</v>
      </c>
      <c r="CJ30">
        <v>104.0257352941</v>
      </c>
      <c r="CL30" t="s">
        <v>380</v>
      </c>
      <c r="CM30" t="s">
        <v>832</v>
      </c>
      <c r="CN30" t="s">
        <v>831</v>
      </c>
      <c r="CO30">
        <v>150</v>
      </c>
      <c r="CP30">
        <v>18</v>
      </c>
      <c r="CQ30">
        <v>75.14</v>
      </c>
      <c r="CR30">
        <v>98</v>
      </c>
      <c r="CS30">
        <v>31</v>
      </c>
      <c r="CT30">
        <v>79.346938775500007</v>
      </c>
      <c r="CU30">
        <v>68.032258064499999</v>
      </c>
      <c r="CW30" t="s">
        <v>380</v>
      </c>
      <c r="CX30" t="s">
        <v>848</v>
      </c>
      <c r="CY30" t="s">
        <v>847</v>
      </c>
      <c r="CZ30">
        <v>65</v>
      </c>
      <c r="DA30">
        <v>12</v>
      </c>
      <c r="DB30">
        <v>78.215384615399998</v>
      </c>
      <c r="DC30">
        <v>10</v>
      </c>
      <c r="DD30">
        <v>2</v>
      </c>
      <c r="DE30">
        <v>109.4</v>
      </c>
      <c r="DF30">
        <v>105</v>
      </c>
      <c r="DH30" t="s">
        <v>380</v>
      </c>
      <c r="DI30" t="s">
        <v>816</v>
      </c>
      <c r="DJ30" t="s">
        <v>815</v>
      </c>
      <c r="DK30">
        <v>70</v>
      </c>
      <c r="DL30">
        <v>17</v>
      </c>
      <c r="DM30">
        <v>85.271428571399994</v>
      </c>
      <c r="DN30">
        <v>9</v>
      </c>
      <c r="DO30">
        <v>3</v>
      </c>
      <c r="DP30">
        <v>127.2222222222</v>
      </c>
      <c r="DQ30">
        <v>136</v>
      </c>
    </row>
    <row r="31" spans="2:121" x14ac:dyDescent="0.2">
      <c r="B31" t="s">
        <v>120</v>
      </c>
      <c r="C31">
        <v>7328</v>
      </c>
      <c r="D31">
        <v>1155</v>
      </c>
      <c r="F31" t="s">
        <v>68</v>
      </c>
      <c r="G31">
        <v>4526</v>
      </c>
      <c r="H31">
        <v>493.97613787009999</v>
      </c>
      <c r="I31">
        <v>5334</v>
      </c>
      <c r="J31">
        <v>1585</v>
      </c>
      <c r="K31">
        <v>6084</v>
      </c>
      <c r="L31">
        <v>4787</v>
      </c>
      <c r="M31">
        <v>697</v>
      </c>
      <c r="N31">
        <v>357</v>
      </c>
      <c r="O31">
        <v>1020</v>
      </c>
      <c r="P31">
        <v>750</v>
      </c>
      <c r="Q31">
        <v>0</v>
      </c>
      <c r="R31">
        <v>1</v>
      </c>
      <c r="T31" t="s">
        <v>468</v>
      </c>
      <c r="U31">
        <v>338686</v>
      </c>
      <c r="V31">
        <v>382.67506480930001</v>
      </c>
      <c r="W31">
        <v>343044</v>
      </c>
      <c r="X31">
        <v>73518</v>
      </c>
      <c r="Y31">
        <v>490818</v>
      </c>
      <c r="Z31">
        <v>309983</v>
      </c>
      <c r="AA31">
        <v>110282</v>
      </c>
      <c r="AB31">
        <v>72754</v>
      </c>
      <c r="AC31">
        <v>136252</v>
      </c>
      <c r="AD31">
        <v>85312</v>
      </c>
      <c r="AE31">
        <v>16980</v>
      </c>
      <c r="AF31">
        <v>3984</v>
      </c>
      <c r="AH31" t="s">
        <v>420</v>
      </c>
      <c r="AI31">
        <v>4221</v>
      </c>
      <c r="AJ31">
        <v>459.88343994309997</v>
      </c>
      <c r="AK31">
        <v>3858</v>
      </c>
      <c r="AL31">
        <v>844</v>
      </c>
      <c r="AM31">
        <v>5502</v>
      </c>
      <c r="AN31">
        <v>3606</v>
      </c>
      <c r="AO31">
        <v>832</v>
      </c>
      <c r="AP31">
        <v>476</v>
      </c>
      <c r="AQ31">
        <v>1580</v>
      </c>
      <c r="AR31">
        <v>969</v>
      </c>
      <c r="AS31">
        <v>5</v>
      </c>
      <c r="AT31">
        <v>113</v>
      </c>
      <c r="AV31" t="s">
        <v>422</v>
      </c>
      <c r="AW31">
        <v>105</v>
      </c>
      <c r="AX31">
        <v>97.542857142900004</v>
      </c>
      <c r="AY31">
        <v>131</v>
      </c>
      <c r="AZ31">
        <v>38</v>
      </c>
      <c r="BA31">
        <v>145</v>
      </c>
      <c r="BB31">
        <v>40</v>
      </c>
      <c r="BC31">
        <v>2</v>
      </c>
      <c r="BD31">
        <v>2</v>
      </c>
      <c r="BE31">
        <v>7</v>
      </c>
      <c r="BF31">
        <v>2</v>
      </c>
      <c r="BG31">
        <v>13</v>
      </c>
      <c r="BH31">
        <v>36</v>
      </c>
      <c r="BJ31" t="s">
        <v>529</v>
      </c>
      <c r="BK31" t="s">
        <v>376</v>
      </c>
      <c r="BL31">
        <v>1823</v>
      </c>
      <c r="BM31">
        <v>304</v>
      </c>
      <c r="BN31">
        <v>80.393856280899996</v>
      </c>
      <c r="BO31">
        <v>866</v>
      </c>
      <c r="BP31">
        <v>266</v>
      </c>
      <c r="BQ31">
        <v>108.8556581986</v>
      </c>
      <c r="BR31">
        <v>104.4060150376</v>
      </c>
      <c r="BS31">
        <v>3265</v>
      </c>
      <c r="BT31">
        <v>680</v>
      </c>
      <c r="BU31">
        <v>90.774885145499994</v>
      </c>
      <c r="BV31">
        <v>1159</v>
      </c>
      <c r="BW31">
        <v>378</v>
      </c>
      <c r="BX31">
        <v>130.32959447799999</v>
      </c>
      <c r="BY31">
        <v>130.5238095238</v>
      </c>
      <c r="CA31" t="s">
        <v>430</v>
      </c>
      <c r="CB31" t="s">
        <v>863</v>
      </c>
      <c r="CC31" t="s">
        <v>988</v>
      </c>
      <c r="CD31">
        <v>895</v>
      </c>
      <c r="CE31">
        <v>223</v>
      </c>
      <c r="CF31">
        <v>107.974301676</v>
      </c>
      <c r="CG31">
        <v>366</v>
      </c>
      <c r="CH31">
        <v>136</v>
      </c>
      <c r="CI31">
        <v>143.2158469945</v>
      </c>
      <c r="CJ31">
        <v>145.5367647059</v>
      </c>
      <c r="CL31" t="s">
        <v>430</v>
      </c>
      <c r="CM31" t="s">
        <v>832</v>
      </c>
      <c r="CN31" t="s">
        <v>833</v>
      </c>
      <c r="CO31">
        <v>56</v>
      </c>
      <c r="CP31">
        <v>6</v>
      </c>
      <c r="CQ31">
        <v>82.785714285699996</v>
      </c>
      <c r="CR31">
        <v>31</v>
      </c>
      <c r="CS31">
        <v>14</v>
      </c>
      <c r="CT31">
        <v>65.258064516100006</v>
      </c>
      <c r="CU31">
        <v>57</v>
      </c>
      <c r="CW31" t="s">
        <v>430</v>
      </c>
      <c r="CX31" t="s">
        <v>848</v>
      </c>
      <c r="CY31" t="s">
        <v>849</v>
      </c>
      <c r="CZ31">
        <v>17</v>
      </c>
      <c r="DA31">
        <v>2</v>
      </c>
      <c r="DB31">
        <v>71</v>
      </c>
      <c r="DC31">
        <v>8</v>
      </c>
      <c r="DD31">
        <v>4</v>
      </c>
      <c r="DE31">
        <v>149.5</v>
      </c>
      <c r="DF31">
        <v>149.5</v>
      </c>
      <c r="DH31" t="s">
        <v>430</v>
      </c>
      <c r="DI31" t="s">
        <v>816</v>
      </c>
      <c r="DJ31" t="s">
        <v>817</v>
      </c>
      <c r="DK31">
        <v>34</v>
      </c>
      <c r="DL31">
        <v>7</v>
      </c>
      <c r="DM31">
        <v>84.5</v>
      </c>
      <c r="DN31">
        <v>1</v>
      </c>
      <c r="DO31">
        <v>1</v>
      </c>
      <c r="DP31">
        <v>223</v>
      </c>
      <c r="DQ31">
        <v>223</v>
      </c>
    </row>
    <row r="32" spans="2:121" x14ac:dyDescent="0.2">
      <c r="B32" t="s">
        <v>128</v>
      </c>
      <c r="C32">
        <v>456</v>
      </c>
      <c r="D32">
        <v>19</v>
      </c>
      <c r="F32" t="s">
        <v>76</v>
      </c>
      <c r="G32">
        <v>12698</v>
      </c>
      <c r="H32">
        <v>403.09781067879999</v>
      </c>
      <c r="I32">
        <v>7699</v>
      </c>
      <c r="J32">
        <v>1286</v>
      </c>
      <c r="K32">
        <v>17714</v>
      </c>
      <c r="L32">
        <v>12634</v>
      </c>
      <c r="M32">
        <v>5097</v>
      </c>
      <c r="N32">
        <v>3542</v>
      </c>
      <c r="O32">
        <v>4341</v>
      </c>
      <c r="P32">
        <v>3841</v>
      </c>
      <c r="Q32">
        <v>4</v>
      </c>
      <c r="R32">
        <v>142</v>
      </c>
      <c r="AH32" t="s">
        <v>422</v>
      </c>
      <c r="AI32">
        <v>1658</v>
      </c>
      <c r="AJ32">
        <v>382.7364294331</v>
      </c>
      <c r="AK32">
        <v>1315</v>
      </c>
      <c r="AL32">
        <v>308</v>
      </c>
      <c r="AM32">
        <v>2335</v>
      </c>
      <c r="AN32">
        <v>1446</v>
      </c>
      <c r="AO32">
        <v>603</v>
      </c>
      <c r="AP32">
        <v>481</v>
      </c>
      <c r="AQ32">
        <v>156</v>
      </c>
      <c r="AR32">
        <v>101</v>
      </c>
      <c r="AS32">
        <v>148</v>
      </c>
      <c r="AT32">
        <v>2</v>
      </c>
      <c r="AV32" t="s">
        <v>412</v>
      </c>
      <c r="AW32">
        <v>45</v>
      </c>
      <c r="AX32">
        <v>48.688888888900003</v>
      </c>
      <c r="AY32">
        <v>145</v>
      </c>
      <c r="BA32">
        <v>70</v>
      </c>
      <c r="BB32">
        <v>4</v>
      </c>
      <c r="BC32">
        <v>0</v>
      </c>
      <c r="BE32">
        <v>3</v>
      </c>
      <c r="BF32">
        <v>1</v>
      </c>
      <c r="BG32">
        <v>164</v>
      </c>
      <c r="BH32">
        <v>13</v>
      </c>
      <c r="BJ32" t="s">
        <v>544</v>
      </c>
      <c r="BK32" t="s">
        <v>376</v>
      </c>
      <c r="BL32">
        <v>2585</v>
      </c>
      <c r="BM32">
        <v>330</v>
      </c>
      <c r="BN32">
        <v>75.122630560900006</v>
      </c>
      <c r="BO32">
        <v>1093</v>
      </c>
      <c r="BP32">
        <v>349</v>
      </c>
      <c r="BQ32">
        <v>112.94693504120001</v>
      </c>
      <c r="BR32">
        <v>105.0573065903</v>
      </c>
      <c r="BS32">
        <v>5967</v>
      </c>
      <c r="BT32">
        <v>947</v>
      </c>
      <c r="BU32">
        <v>90.364504776299995</v>
      </c>
      <c r="BV32">
        <v>2232</v>
      </c>
      <c r="BW32">
        <v>781</v>
      </c>
      <c r="BX32">
        <v>135.19892473120001</v>
      </c>
      <c r="BY32">
        <v>124.6069142125</v>
      </c>
      <c r="CA32" t="s">
        <v>421</v>
      </c>
      <c r="CB32" t="s">
        <v>863</v>
      </c>
      <c r="CC32" t="s">
        <v>989</v>
      </c>
      <c r="CD32">
        <v>418</v>
      </c>
      <c r="CE32">
        <v>87</v>
      </c>
      <c r="CF32">
        <v>95.734449760800004</v>
      </c>
      <c r="CG32">
        <v>172</v>
      </c>
      <c r="CH32">
        <v>42</v>
      </c>
      <c r="CI32">
        <v>157.26744186050001</v>
      </c>
      <c r="CJ32">
        <v>143.92857142860001</v>
      </c>
      <c r="CL32" t="s">
        <v>421</v>
      </c>
      <c r="CM32" t="s">
        <v>832</v>
      </c>
      <c r="CN32" t="s">
        <v>834</v>
      </c>
      <c r="CO32">
        <v>61</v>
      </c>
      <c r="CP32">
        <v>3</v>
      </c>
      <c r="CQ32">
        <v>66.0819672131</v>
      </c>
      <c r="CR32">
        <v>39</v>
      </c>
      <c r="CS32">
        <v>6</v>
      </c>
      <c r="CT32">
        <v>81.743589743599998</v>
      </c>
      <c r="CU32">
        <v>93</v>
      </c>
      <c r="CW32" t="s">
        <v>421</v>
      </c>
      <c r="CX32" t="s">
        <v>848</v>
      </c>
      <c r="CY32" t="s">
        <v>850</v>
      </c>
      <c r="CZ32">
        <v>22</v>
      </c>
      <c r="DA32">
        <v>5</v>
      </c>
      <c r="DB32">
        <v>76.818181818200003</v>
      </c>
      <c r="DC32">
        <v>3</v>
      </c>
      <c r="DD32">
        <v>2</v>
      </c>
      <c r="DE32">
        <v>139.3333333333</v>
      </c>
      <c r="DF32">
        <v>138</v>
      </c>
      <c r="DH32" t="s">
        <v>421</v>
      </c>
      <c r="DI32" t="s">
        <v>816</v>
      </c>
      <c r="DJ32" t="s">
        <v>818</v>
      </c>
      <c r="DK32">
        <v>33</v>
      </c>
      <c r="DL32">
        <v>5</v>
      </c>
      <c r="DM32">
        <v>79.515151515200003</v>
      </c>
      <c r="DN32">
        <v>3</v>
      </c>
      <c r="DO32">
        <v>1</v>
      </c>
      <c r="DP32">
        <v>149.6666666667</v>
      </c>
      <c r="DQ32">
        <v>136</v>
      </c>
    </row>
    <row r="33" spans="2:121" x14ac:dyDescent="0.2">
      <c r="B33" t="s">
        <v>96</v>
      </c>
      <c r="C33">
        <v>157</v>
      </c>
      <c r="D33">
        <v>131</v>
      </c>
      <c r="F33" t="s">
        <v>70</v>
      </c>
      <c r="G33">
        <v>1365</v>
      </c>
      <c r="H33">
        <v>235.1091575092</v>
      </c>
      <c r="I33">
        <v>2481</v>
      </c>
      <c r="J33">
        <v>331</v>
      </c>
      <c r="K33">
        <v>4322</v>
      </c>
      <c r="L33">
        <v>1253</v>
      </c>
      <c r="M33">
        <v>3334</v>
      </c>
      <c r="N33">
        <v>2345</v>
      </c>
      <c r="O33">
        <v>319</v>
      </c>
      <c r="P33">
        <v>112</v>
      </c>
      <c r="Q33">
        <v>0</v>
      </c>
      <c r="R33">
        <v>0</v>
      </c>
      <c r="AH33" t="s">
        <v>381</v>
      </c>
      <c r="AI33">
        <v>2674</v>
      </c>
      <c r="AJ33">
        <v>294.23223634999999</v>
      </c>
      <c r="AK33">
        <v>4028</v>
      </c>
      <c r="AL33">
        <v>985</v>
      </c>
      <c r="AM33">
        <v>4274</v>
      </c>
      <c r="AN33">
        <v>2107</v>
      </c>
      <c r="AO33">
        <v>1202</v>
      </c>
      <c r="AP33">
        <v>767</v>
      </c>
      <c r="AQ33">
        <v>2020</v>
      </c>
      <c r="AR33">
        <v>1321</v>
      </c>
      <c r="AS33">
        <v>629</v>
      </c>
      <c r="AT33">
        <v>3</v>
      </c>
      <c r="AV33" t="s">
        <v>433</v>
      </c>
      <c r="AW33">
        <v>115</v>
      </c>
      <c r="AX33">
        <v>61.556521739099999</v>
      </c>
      <c r="AY33">
        <v>460</v>
      </c>
      <c r="AZ33">
        <v>17</v>
      </c>
      <c r="BA33">
        <v>196</v>
      </c>
      <c r="BB33">
        <v>18</v>
      </c>
      <c r="BC33">
        <v>3</v>
      </c>
      <c r="BD33">
        <v>3</v>
      </c>
      <c r="BE33">
        <v>14</v>
      </c>
      <c r="BF33">
        <v>4</v>
      </c>
      <c r="BG33">
        <v>247</v>
      </c>
      <c r="BH33">
        <v>39</v>
      </c>
      <c r="BJ33" t="s">
        <v>629</v>
      </c>
      <c r="BK33" t="s">
        <v>376</v>
      </c>
      <c r="BL33">
        <v>1321</v>
      </c>
      <c r="BM33">
        <v>285</v>
      </c>
      <c r="BN33">
        <v>90.571536714600001</v>
      </c>
      <c r="BO33">
        <v>452</v>
      </c>
      <c r="BP33">
        <v>150</v>
      </c>
      <c r="BQ33">
        <v>130.546460177</v>
      </c>
      <c r="BR33">
        <v>129.2733333333</v>
      </c>
      <c r="BS33">
        <v>1366</v>
      </c>
      <c r="BT33">
        <v>300</v>
      </c>
      <c r="BU33">
        <v>92.676427525600005</v>
      </c>
      <c r="BV33">
        <v>452</v>
      </c>
      <c r="BW33">
        <v>149</v>
      </c>
      <c r="BX33">
        <v>144.4048672566</v>
      </c>
      <c r="BY33">
        <v>131.93959731539999</v>
      </c>
      <c r="CA33" t="s">
        <v>423</v>
      </c>
      <c r="CB33" t="s">
        <v>863</v>
      </c>
      <c r="CC33" t="s">
        <v>990</v>
      </c>
      <c r="CD33">
        <v>1264</v>
      </c>
      <c r="CE33">
        <v>182</v>
      </c>
      <c r="CF33">
        <v>70.524525316500004</v>
      </c>
      <c r="CG33">
        <v>708</v>
      </c>
      <c r="CH33">
        <v>188</v>
      </c>
      <c r="CI33">
        <v>104.5480225989</v>
      </c>
      <c r="CJ33">
        <v>105.05851063830001</v>
      </c>
      <c r="CL33" t="s">
        <v>423</v>
      </c>
      <c r="CM33" t="s">
        <v>832</v>
      </c>
      <c r="CN33" t="s">
        <v>835</v>
      </c>
      <c r="CO33">
        <v>90</v>
      </c>
      <c r="CP33">
        <v>9</v>
      </c>
      <c r="CQ33">
        <v>65.033333333300007</v>
      </c>
      <c r="CR33">
        <v>65</v>
      </c>
      <c r="CS33">
        <v>24</v>
      </c>
      <c r="CT33">
        <v>66.369230769200001</v>
      </c>
      <c r="CU33">
        <v>74.416666666699996</v>
      </c>
      <c r="CW33" t="s">
        <v>423</v>
      </c>
      <c r="CX33" t="s">
        <v>848</v>
      </c>
      <c r="CY33" t="s">
        <v>851</v>
      </c>
      <c r="CZ33">
        <v>30</v>
      </c>
      <c r="DA33">
        <v>5</v>
      </c>
      <c r="DB33">
        <v>63.133333333300001</v>
      </c>
      <c r="DC33">
        <v>4</v>
      </c>
      <c r="DD33">
        <v>0</v>
      </c>
      <c r="DE33">
        <v>147.5</v>
      </c>
      <c r="DF33">
        <v>0</v>
      </c>
      <c r="DH33" t="s">
        <v>423</v>
      </c>
      <c r="DI33" t="s">
        <v>816</v>
      </c>
      <c r="DJ33" t="s">
        <v>819</v>
      </c>
      <c r="DK33">
        <v>20</v>
      </c>
      <c r="DL33">
        <v>5</v>
      </c>
      <c r="DM33">
        <v>86.95</v>
      </c>
      <c r="DN33">
        <v>6</v>
      </c>
      <c r="DO33">
        <v>4</v>
      </c>
      <c r="DP33">
        <v>150.3333333333</v>
      </c>
      <c r="DQ33">
        <v>152.5</v>
      </c>
    </row>
    <row r="34" spans="2:121" x14ac:dyDescent="0.2">
      <c r="B34" t="s">
        <v>92</v>
      </c>
      <c r="C34">
        <v>3</v>
      </c>
      <c r="D34">
        <v>2</v>
      </c>
      <c r="F34" t="s">
        <v>40</v>
      </c>
      <c r="G34">
        <v>6333</v>
      </c>
      <c r="H34">
        <v>510.04658139899999</v>
      </c>
      <c r="I34">
        <v>6982</v>
      </c>
      <c r="J34">
        <v>1832</v>
      </c>
      <c r="K34">
        <v>7420</v>
      </c>
      <c r="L34">
        <v>5796</v>
      </c>
      <c r="M34">
        <v>1491</v>
      </c>
      <c r="N34">
        <v>1232</v>
      </c>
      <c r="O34">
        <v>1724</v>
      </c>
      <c r="P34">
        <v>1216</v>
      </c>
      <c r="Q34">
        <v>0</v>
      </c>
      <c r="R34">
        <v>204</v>
      </c>
      <c r="AH34" t="s">
        <v>412</v>
      </c>
      <c r="AI34">
        <v>1632</v>
      </c>
      <c r="AJ34">
        <v>221.2267156863</v>
      </c>
      <c r="AK34">
        <v>2974</v>
      </c>
      <c r="AL34">
        <v>725</v>
      </c>
      <c r="AM34">
        <v>2526</v>
      </c>
      <c r="AN34">
        <v>1096</v>
      </c>
      <c r="AO34">
        <v>465</v>
      </c>
      <c r="AP34">
        <v>180</v>
      </c>
      <c r="AQ34">
        <v>656</v>
      </c>
      <c r="AR34">
        <v>287</v>
      </c>
      <c r="AS34">
        <v>4</v>
      </c>
      <c r="AT34">
        <v>10</v>
      </c>
      <c r="AV34" t="s">
        <v>402</v>
      </c>
      <c r="AW34">
        <v>390</v>
      </c>
      <c r="AX34">
        <v>55.117948717899999</v>
      </c>
      <c r="AY34">
        <v>1122</v>
      </c>
      <c r="AZ34">
        <v>72</v>
      </c>
      <c r="BA34">
        <v>587</v>
      </c>
      <c r="BB34">
        <v>34</v>
      </c>
      <c r="BC34">
        <v>2</v>
      </c>
      <c r="BD34">
        <v>2</v>
      </c>
      <c r="BE34">
        <v>40</v>
      </c>
      <c r="BF34">
        <v>8</v>
      </c>
      <c r="BG34">
        <v>106</v>
      </c>
      <c r="BH34">
        <v>75</v>
      </c>
      <c r="BJ34" t="s">
        <v>525</v>
      </c>
      <c r="BK34" t="s">
        <v>376</v>
      </c>
      <c r="BL34">
        <v>4911</v>
      </c>
      <c r="BM34">
        <v>1072</v>
      </c>
      <c r="BN34">
        <v>94.224597841600001</v>
      </c>
      <c r="BO34">
        <v>1696</v>
      </c>
      <c r="BP34">
        <v>549</v>
      </c>
      <c r="BQ34">
        <v>137.85377358490001</v>
      </c>
      <c r="BR34">
        <v>136.74316939889999</v>
      </c>
      <c r="BS34">
        <v>3947</v>
      </c>
      <c r="BT34">
        <v>876</v>
      </c>
      <c r="BU34">
        <v>87.702812262500004</v>
      </c>
      <c r="BV34">
        <v>1468</v>
      </c>
      <c r="BW34">
        <v>466</v>
      </c>
      <c r="BX34">
        <v>127.6873297003</v>
      </c>
      <c r="BY34">
        <v>127.160944206</v>
      </c>
      <c r="CA34" t="s">
        <v>383</v>
      </c>
      <c r="CB34" t="s">
        <v>863</v>
      </c>
      <c r="CC34" t="s">
        <v>991</v>
      </c>
      <c r="CD34">
        <v>5430</v>
      </c>
      <c r="CE34">
        <v>1137</v>
      </c>
      <c r="CF34">
        <v>93.355801104999998</v>
      </c>
      <c r="CG34">
        <v>2270</v>
      </c>
      <c r="CH34">
        <v>675</v>
      </c>
      <c r="CI34">
        <v>137.83392070479999</v>
      </c>
      <c r="CJ34">
        <v>137.7614814815</v>
      </c>
      <c r="CL34" t="s">
        <v>383</v>
      </c>
      <c r="CM34" t="s">
        <v>832</v>
      </c>
      <c r="CN34" t="s">
        <v>836</v>
      </c>
      <c r="CO34">
        <v>384</v>
      </c>
      <c r="CP34">
        <v>33</v>
      </c>
      <c r="CQ34">
        <v>71.466145833300004</v>
      </c>
      <c r="CR34">
        <v>191</v>
      </c>
      <c r="CS34">
        <v>57</v>
      </c>
      <c r="CT34">
        <v>79.706806282700001</v>
      </c>
      <c r="CU34">
        <v>87.9122807018</v>
      </c>
      <c r="CW34" t="s">
        <v>383</v>
      </c>
      <c r="CX34" t="s">
        <v>848</v>
      </c>
      <c r="CY34" t="s">
        <v>852</v>
      </c>
      <c r="CZ34">
        <v>262</v>
      </c>
      <c r="DA34">
        <v>45</v>
      </c>
      <c r="DB34">
        <v>81.3320610687</v>
      </c>
      <c r="DC34">
        <v>54</v>
      </c>
      <c r="DD34">
        <v>16</v>
      </c>
      <c r="DE34">
        <v>134.14814814810001</v>
      </c>
      <c r="DF34">
        <v>135.75</v>
      </c>
      <c r="DH34" t="s">
        <v>383</v>
      </c>
      <c r="DI34" t="s">
        <v>816</v>
      </c>
      <c r="DJ34" t="s">
        <v>820</v>
      </c>
      <c r="DK34">
        <v>389</v>
      </c>
      <c r="DL34">
        <v>82</v>
      </c>
      <c r="DM34">
        <v>78.794344472999995</v>
      </c>
      <c r="DN34">
        <v>47</v>
      </c>
      <c r="DO34">
        <v>15</v>
      </c>
      <c r="DP34">
        <v>139.74468085109999</v>
      </c>
      <c r="DQ34">
        <v>140.46666666670001</v>
      </c>
    </row>
    <row r="35" spans="2:121" x14ac:dyDescent="0.2">
      <c r="B35" t="s">
        <v>105</v>
      </c>
      <c r="C35">
        <v>684</v>
      </c>
      <c r="D35">
        <v>606</v>
      </c>
      <c r="F35" t="s">
        <v>74</v>
      </c>
      <c r="G35">
        <v>7224</v>
      </c>
      <c r="H35">
        <v>332.73408084160002</v>
      </c>
      <c r="I35">
        <v>12566</v>
      </c>
      <c r="J35">
        <v>1849</v>
      </c>
      <c r="K35">
        <v>16658</v>
      </c>
      <c r="L35">
        <v>7722</v>
      </c>
      <c r="M35">
        <v>3721</v>
      </c>
      <c r="N35">
        <v>1559</v>
      </c>
      <c r="O35">
        <v>2004</v>
      </c>
      <c r="P35">
        <v>1436</v>
      </c>
      <c r="Q35">
        <v>0</v>
      </c>
      <c r="R35">
        <v>61</v>
      </c>
      <c r="AH35" t="s">
        <v>63</v>
      </c>
      <c r="AI35">
        <v>6688</v>
      </c>
      <c r="AJ35">
        <v>274.24491626790001</v>
      </c>
      <c r="AK35">
        <v>9211</v>
      </c>
      <c r="AL35">
        <v>2047</v>
      </c>
      <c r="AM35">
        <v>9865</v>
      </c>
      <c r="AN35">
        <v>5728</v>
      </c>
      <c r="AO35">
        <v>3384</v>
      </c>
      <c r="AP35">
        <v>2320</v>
      </c>
      <c r="AQ35">
        <v>1877</v>
      </c>
      <c r="AR35">
        <v>1023</v>
      </c>
      <c r="AS35">
        <v>1352</v>
      </c>
      <c r="AT35">
        <v>7</v>
      </c>
      <c r="AV35" t="s">
        <v>379</v>
      </c>
      <c r="AW35">
        <v>77</v>
      </c>
      <c r="AX35">
        <v>92.038961039</v>
      </c>
      <c r="AY35">
        <v>140</v>
      </c>
      <c r="AZ35">
        <v>29</v>
      </c>
      <c r="BA35">
        <v>123</v>
      </c>
      <c r="BB35">
        <v>35</v>
      </c>
      <c r="BC35">
        <v>5</v>
      </c>
      <c r="BD35">
        <v>5</v>
      </c>
      <c r="BE35">
        <v>13</v>
      </c>
      <c r="BF35">
        <v>1</v>
      </c>
      <c r="BG35">
        <v>14</v>
      </c>
      <c r="BH35">
        <v>31</v>
      </c>
      <c r="BJ35" t="s">
        <v>531</v>
      </c>
      <c r="BK35" t="s">
        <v>376</v>
      </c>
      <c r="BL35">
        <v>2710</v>
      </c>
      <c r="BM35">
        <v>550</v>
      </c>
      <c r="BN35">
        <v>86.316974169700003</v>
      </c>
      <c r="BO35">
        <v>1107</v>
      </c>
      <c r="BP35">
        <v>354</v>
      </c>
      <c r="BQ35">
        <v>139.3342366757</v>
      </c>
      <c r="BR35">
        <v>142.72316384179999</v>
      </c>
      <c r="BS35">
        <v>2225</v>
      </c>
      <c r="BT35">
        <v>348</v>
      </c>
      <c r="BU35">
        <v>78.039550561799999</v>
      </c>
      <c r="BV35">
        <v>935</v>
      </c>
      <c r="BW35">
        <v>282</v>
      </c>
      <c r="BX35">
        <v>134.41069518719999</v>
      </c>
      <c r="BY35">
        <v>138.75177304959999</v>
      </c>
      <c r="CA35" t="s">
        <v>378</v>
      </c>
      <c r="CB35" t="s">
        <v>863</v>
      </c>
      <c r="CC35" t="s">
        <v>992</v>
      </c>
      <c r="CD35">
        <v>4339</v>
      </c>
      <c r="CE35">
        <v>1061</v>
      </c>
      <c r="CF35">
        <v>96.348928324499994</v>
      </c>
      <c r="CG35">
        <v>1746</v>
      </c>
      <c r="CH35">
        <v>559</v>
      </c>
      <c r="CI35">
        <v>120.186139748</v>
      </c>
      <c r="CJ35">
        <v>119.4257602862</v>
      </c>
      <c r="CL35" t="s">
        <v>378</v>
      </c>
      <c r="CM35" t="s">
        <v>832</v>
      </c>
      <c r="CN35" t="s">
        <v>837</v>
      </c>
      <c r="CO35">
        <v>358</v>
      </c>
      <c r="CP35">
        <v>33</v>
      </c>
      <c r="CQ35">
        <v>68.050279329600002</v>
      </c>
      <c r="CR35">
        <v>218</v>
      </c>
      <c r="CS35">
        <v>67</v>
      </c>
      <c r="CT35">
        <v>77.385321100900001</v>
      </c>
      <c r="CU35">
        <v>68.089552238799996</v>
      </c>
      <c r="CW35" t="s">
        <v>378</v>
      </c>
      <c r="CX35" t="s">
        <v>848</v>
      </c>
      <c r="CY35" t="s">
        <v>853</v>
      </c>
      <c r="CZ35">
        <v>97</v>
      </c>
      <c r="DA35">
        <v>23</v>
      </c>
      <c r="DB35">
        <v>81.711340206200006</v>
      </c>
      <c r="DC35">
        <v>25</v>
      </c>
      <c r="DD35">
        <v>15</v>
      </c>
      <c r="DE35">
        <v>135.88</v>
      </c>
      <c r="DF35">
        <v>143.80000000000001</v>
      </c>
      <c r="DH35" t="s">
        <v>378</v>
      </c>
      <c r="DI35" t="s">
        <v>816</v>
      </c>
      <c r="DJ35" t="s">
        <v>821</v>
      </c>
      <c r="DK35">
        <v>58</v>
      </c>
      <c r="DL35">
        <v>12</v>
      </c>
      <c r="DM35">
        <v>88.758620689699995</v>
      </c>
      <c r="DN35">
        <v>10</v>
      </c>
      <c r="DO35">
        <v>8</v>
      </c>
      <c r="DP35">
        <v>135.5</v>
      </c>
      <c r="DQ35">
        <v>137.75</v>
      </c>
    </row>
    <row r="36" spans="2:121" x14ac:dyDescent="0.2">
      <c r="B36" t="s">
        <v>98</v>
      </c>
      <c r="C36">
        <v>446</v>
      </c>
      <c r="D36">
        <v>307</v>
      </c>
      <c r="F36" t="s">
        <v>85</v>
      </c>
      <c r="G36">
        <v>669</v>
      </c>
      <c r="H36">
        <v>379.11360239160001</v>
      </c>
      <c r="I36">
        <v>770</v>
      </c>
      <c r="J36">
        <v>180</v>
      </c>
      <c r="K36">
        <v>726</v>
      </c>
      <c r="L36">
        <v>570</v>
      </c>
      <c r="M36">
        <v>41</v>
      </c>
      <c r="N36">
        <v>1</v>
      </c>
      <c r="O36">
        <v>132</v>
      </c>
      <c r="P36">
        <v>95</v>
      </c>
      <c r="Q36">
        <v>0</v>
      </c>
      <c r="R36">
        <v>0</v>
      </c>
      <c r="T36" t="s">
        <v>653</v>
      </c>
      <c r="U36" t="s">
        <v>312</v>
      </c>
      <c r="V36" t="s">
        <v>139</v>
      </c>
      <c r="W36" t="s">
        <v>220</v>
      </c>
      <c r="X36" t="s">
        <v>466</v>
      </c>
      <c r="Y36" t="s">
        <v>222</v>
      </c>
      <c r="Z36" t="s">
        <v>223</v>
      </c>
      <c r="AA36" t="s">
        <v>224</v>
      </c>
      <c r="AB36" t="s">
        <v>467</v>
      </c>
      <c r="AC36" t="s">
        <v>226</v>
      </c>
      <c r="AD36" t="s">
        <v>227</v>
      </c>
      <c r="AE36" t="s">
        <v>228</v>
      </c>
      <c r="AF36" t="s">
        <v>229</v>
      </c>
      <c r="AH36" t="s">
        <v>389</v>
      </c>
      <c r="AI36">
        <v>16271</v>
      </c>
      <c r="AJ36">
        <v>326.7113269006</v>
      </c>
      <c r="AK36">
        <v>18640</v>
      </c>
      <c r="AL36">
        <v>4504</v>
      </c>
      <c r="AM36">
        <v>22715</v>
      </c>
      <c r="AN36">
        <v>14237</v>
      </c>
      <c r="AO36">
        <v>5701</v>
      </c>
      <c r="AP36">
        <v>3573</v>
      </c>
      <c r="AQ36">
        <v>4944</v>
      </c>
      <c r="AR36">
        <v>3367</v>
      </c>
      <c r="AS36">
        <v>1067</v>
      </c>
      <c r="AT36">
        <v>35</v>
      </c>
      <c r="AV36" t="s">
        <v>390</v>
      </c>
      <c r="AW36">
        <v>870</v>
      </c>
      <c r="AX36">
        <v>109.5494252874</v>
      </c>
      <c r="AY36">
        <v>888</v>
      </c>
      <c r="AZ36">
        <v>237</v>
      </c>
      <c r="BA36">
        <v>1210</v>
      </c>
      <c r="BB36">
        <v>387</v>
      </c>
      <c r="BC36">
        <v>15</v>
      </c>
      <c r="BD36">
        <v>13</v>
      </c>
      <c r="BE36">
        <v>54</v>
      </c>
      <c r="BF36">
        <v>20</v>
      </c>
      <c r="BG36">
        <v>125</v>
      </c>
      <c r="BH36">
        <v>268</v>
      </c>
      <c r="BJ36" t="s">
        <v>376</v>
      </c>
      <c r="BK36" t="s">
        <v>376</v>
      </c>
      <c r="BL36">
        <v>73282</v>
      </c>
      <c r="BM36">
        <v>16333</v>
      </c>
      <c r="BN36">
        <v>95.381225949099999</v>
      </c>
      <c r="BO36">
        <v>28169</v>
      </c>
      <c r="BP36">
        <v>9071</v>
      </c>
      <c r="BQ36">
        <v>137.0118215059</v>
      </c>
      <c r="BR36">
        <v>136.01807959429999</v>
      </c>
      <c r="BS36">
        <v>71677</v>
      </c>
      <c r="BT36">
        <v>15448</v>
      </c>
      <c r="BU36">
        <v>92.911408122500006</v>
      </c>
      <c r="BV36">
        <v>27875</v>
      </c>
      <c r="BW36">
        <v>8928</v>
      </c>
      <c r="BX36">
        <v>135.92832286999999</v>
      </c>
      <c r="BY36">
        <v>134.76332885299999</v>
      </c>
      <c r="CA36" t="s">
        <v>422</v>
      </c>
      <c r="CB36" t="s">
        <v>863</v>
      </c>
      <c r="CC36" t="s">
        <v>993</v>
      </c>
      <c r="CD36">
        <v>1390</v>
      </c>
      <c r="CE36">
        <v>308</v>
      </c>
      <c r="CF36">
        <v>92.004316546799998</v>
      </c>
      <c r="CG36">
        <v>464</v>
      </c>
      <c r="CH36">
        <v>153</v>
      </c>
      <c r="CI36">
        <v>131.6681034483</v>
      </c>
      <c r="CJ36">
        <v>129.2810457516</v>
      </c>
      <c r="CL36" t="s">
        <v>422</v>
      </c>
      <c r="CM36" t="s">
        <v>832</v>
      </c>
      <c r="CN36" t="s">
        <v>838</v>
      </c>
      <c r="CO36">
        <v>78</v>
      </c>
      <c r="CP36">
        <v>14</v>
      </c>
      <c r="CQ36">
        <v>75.641025640999999</v>
      </c>
      <c r="CR36">
        <v>55</v>
      </c>
      <c r="CS36">
        <v>16</v>
      </c>
      <c r="CT36">
        <v>80.981818181799994</v>
      </c>
      <c r="CU36">
        <v>89.4375</v>
      </c>
      <c r="CW36" t="s">
        <v>422</v>
      </c>
      <c r="CX36" t="s">
        <v>848</v>
      </c>
      <c r="CY36" t="s">
        <v>854</v>
      </c>
      <c r="CZ36">
        <v>29</v>
      </c>
      <c r="DA36">
        <v>3</v>
      </c>
      <c r="DB36">
        <v>69.068965517199999</v>
      </c>
      <c r="DC36">
        <v>3</v>
      </c>
      <c r="DD36">
        <v>3</v>
      </c>
      <c r="DE36">
        <v>131.6666666667</v>
      </c>
      <c r="DF36">
        <v>131.6666666667</v>
      </c>
      <c r="DH36" t="s">
        <v>422</v>
      </c>
      <c r="DI36" t="s">
        <v>816</v>
      </c>
      <c r="DJ36" t="s">
        <v>822</v>
      </c>
      <c r="DK36">
        <v>22</v>
      </c>
      <c r="DL36">
        <v>2</v>
      </c>
      <c r="DM36">
        <v>60.863636363600001</v>
      </c>
      <c r="DN36">
        <v>6</v>
      </c>
      <c r="DO36">
        <v>2</v>
      </c>
      <c r="DP36">
        <v>167.6666666667</v>
      </c>
      <c r="DQ36">
        <v>99</v>
      </c>
    </row>
    <row r="37" spans="2:121" x14ac:dyDescent="0.2">
      <c r="B37" t="s">
        <v>121</v>
      </c>
      <c r="C37">
        <v>3411</v>
      </c>
      <c r="D37">
        <v>1324</v>
      </c>
      <c r="F37" t="s">
        <v>50</v>
      </c>
      <c r="G37">
        <v>2173</v>
      </c>
      <c r="H37">
        <v>239.8831109066</v>
      </c>
      <c r="I37">
        <v>2389</v>
      </c>
      <c r="J37">
        <v>324</v>
      </c>
      <c r="K37">
        <v>3447</v>
      </c>
      <c r="L37">
        <v>2057</v>
      </c>
      <c r="M37">
        <v>485</v>
      </c>
      <c r="N37">
        <v>118</v>
      </c>
      <c r="O37">
        <v>1021</v>
      </c>
      <c r="P37">
        <v>738</v>
      </c>
      <c r="Q37">
        <v>1</v>
      </c>
      <c r="R37">
        <v>12</v>
      </c>
      <c r="T37" t="s">
        <v>397</v>
      </c>
      <c r="U37">
        <v>2089</v>
      </c>
      <c r="V37">
        <v>59.969363331700002</v>
      </c>
      <c r="W37">
        <v>6175</v>
      </c>
      <c r="X37">
        <v>375</v>
      </c>
      <c r="Y37">
        <v>3468</v>
      </c>
      <c r="Z37">
        <v>237</v>
      </c>
      <c r="AA37">
        <v>25</v>
      </c>
      <c r="AB37">
        <v>15</v>
      </c>
      <c r="AC37">
        <v>231</v>
      </c>
      <c r="AD37">
        <v>69</v>
      </c>
      <c r="AE37">
        <v>1572</v>
      </c>
      <c r="AF37">
        <v>534</v>
      </c>
      <c r="AH37" t="s">
        <v>426</v>
      </c>
      <c r="AI37">
        <v>222</v>
      </c>
      <c r="AJ37">
        <v>253.54054054049999</v>
      </c>
      <c r="AK37">
        <v>623</v>
      </c>
      <c r="AL37">
        <v>108</v>
      </c>
      <c r="AM37">
        <v>421</v>
      </c>
      <c r="AN37">
        <v>155</v>
      </c>
      <c r="AO37">
        <v>111</v>
      </c>
      <c r="AP37">
        <v>41</v>
      </c>
      <c r="AQ37">
        <v>128</v>
      </c>
      <c r="AR37">
        <v>55</v>
      </c>
      <c r="AS37">
        <v>0</v>
      </c>
      <c r="AT37">
        <v>0</v>
      </c>
      <c r="AV37" t="s">
        <v>398</v>
      </c>
      <c r="AW37">
        <v>461</v>
      </c>
      <c r="AX37">
        <v>71.774403470699994</v>
      </c>
      <c r="AY37">
        <v>1335</v>
      </c>
      <c r="AZ37">
        <v>88</v>
      </c>
      <c r="BA37">
        <v>772</v>
      </c>
      <c r="BB37">
        <v>72</v>
      </c>
      <c r="BC37">
        <v>14</v>
      </c>
      <c r="BD37">
        <v>7</v>
      </c>
      <c r="BE37">
        <v>50</v>
      </c>
      <c r="BF37">
        <v>13</v>
      </c>
      <c r="BG37">
        <v>124</v>
      </c>
      <c r="BH37">
        <v>98</v>
      </c>
      <c r="BJ37" t="s">
        <v>533</v>
      </c>
      <c r="BK37" t="s">
        <v>376</v>
      </c>
      <c r="BL37">
        <v>7426</v>
      </c>
      <c r="BM37">
        <v>2316</v>
      </c>
      <c r="BN37">
        <v>121.3637220576</v>
      </c>
      <c r="BO37">
        <v>3005</v>
      </c>
      <c r="BP37">
        <v>941</v>
      </c>
      <c r="BQ37">
        <v>159.73444259569999</v>
      </c>
      <c r="BR37">
        <v>150.51115834219999</v>
      </c>
      <c r="BS37">
        <v>7640</v>
      </c>
      <c r="BT37">
        <v>2378</v>
      </c>
      <c r="BU37">
        <v>121.0552356021</v>
      </c>
      <c r="BV37">
        <v>3101</v>
      </c>
      <c r="BW37">
        <v>997</v>
      </c>
      <c r="BX37">
        <v>159.3247339568</v>
      </c>
      <c r="BY37">
        <v>149.64493480440001</v>
      </c>
      <c r="CA37" t="s">
        <v>381</v>
      </c>
      <c r="CB37" t="s">
        <v>863</v>
      </c>
      <c r="CC37" t="s">
        <v>994</v>
      </c>
      <c r="CD37">
        <v>4013</v>
      </c>
      <c r="CE37">
        <v>963</v>
      </c>
      <c r="CF37">
        <v>97.613755295299995</v>
      </c>
      <c r="CG37">
        <v>1670</v>
      </c>
      <c r="CH37">
        <v>549</v>
      </c>
      <c r="CI37">
        <v>140.63473053889999</v>
      </c>
      <c r="CJ37">
        <v>140.47358834240001</v>
      </c>
      <c r="CL37" t="s">
        <v>381</v>
      </c>
      <c r="CM37" t="s">
        <v>832</v>
      </c>
      <c r="CN37" t="s">
        <v>839</v>
      </c>
      <c r="CO37">
        <v>358</v>
      </c>
      <c r="CP37">
        <v>37</v>
      </c>
      <c r="CQ37">
        <v>74.055865921800006</v>
      </c>
      <c r="CR37">
        <v>251</v>
      </c>
      <c r="CS37">
        <v>74</v>
      </c>
      <c r="CT37">
        <v>74.521912350600005</v>
      </c>
      <c r="CU37">
        <v>75.256756756800002</v>
      </c>
      <c r="CW37" t="s">
        <v>381</v>
      </c>
      <c r="CX37" t="s">
        <v>848</v>
      </c>
      <c r="CY37" t="s">
        <v>855</v>
      </c>
      <c r="CZ37">
        <v>114</v>
      </c>
      <c r="DA37">
        <v>18</v>
      </c>
      <c r="DB37">
        <v>75.789473684200004</v>
      </c>
      <c r="DC37">
        <v>15</v>
      </c>
      <c r="DD37">
        <v>4</v>
      </c>
      <c r="DE37">
        <v>142.3333333333</v>
      </c>
      <c r="DF37">
        <v>150</v>
      </c>
      <c r="DH37" t="s">
        <v>381</v>
      </c>
      <c r="DI37" t="s">
        <v>816</v>
      </c>
      <c r="DJ37" t="s">
        <v>823</v>
      </c>
      <c r="DK37">
        <v>91</v>
      </c>
      <c r="DL37">
        <v>19</v>
      </c>
      <c r="DM37">
        <v>78.065934065899995</v>
      </c>
      <c r="DN37">
        <v>16</v>
      </c>
      <c r="DO37">
        <v>8</v>
      </c>
      <c r="DP37">
        <v>123.4375</v>
      </c>
      <c r="DQ37">
        <v>139.875</v>
      </c>
    </row>
    <row r="38" spans="2:121" x14ac:dyDescent="0.2">
      <c r="B38" t="s">
        <v>102</v>
      </c>
      <c r="C38">
        <v>16032</v>
      </c>
      <c r="D38">
        <v>1993</v>
      </c>
      <c r="F38" t="s">
        <v>55</v>
      </c>
      <c r="G38">
        <v>7610</v>
      </c>
      <c r="H38">
        <v>378.36136662289999</v>
      </c>
      <c r="I38">
        <v>9292</v>
      </c>
      <c r="J38">
        <v>2124</v>
      </c>
      <c r="K38">
        <v>9193</v>
      </c>
      <c r="L38">
        <v>6146</v>
      </c>
      <c r="M38">
        <v>1184</v>
      </c>
      <c r="N38">
        <v>746</v>
      </c>
      <c r="O38">
        <v>4329</v>
      </c>
      <c r="P38">
        <v>3319</v>
      </c>
      <c r="Q38">
        <v>2</v>
      </c>
      <c r="R38">
        <v>29</v>
      </c>
      <c r="T38" t="s">
        <v>387</v>
      </c>
      <c r="U38">
        <v>6316</v>
      </c>
      <c r="V38">
        <v>105.84832172260001</v>
      </c>
      <c r="W38">
        <v>8008</v>
      </c>
      <c r="X38">
        <v>1599</v>
      </c>
      <c r="Y38">
        <v>9212</v>
      </c>
      <c r="Z38">
        <v>2732</v>
      </c>
      <c r="AA38">
        <v>185</v>
      </c>
      <c r="AB38">
        <v>172</v>
      </c>
      <c r="AC38">
        <v>483</v>
      </c>
      <c r="AD38">
        <v>166</v>
      </c>
      <c r="AE38">
        <v>952</v>
      </c>
      <c r="AF38">
        <v>1782</v>
      </c>
      <c r="AH38" t="s">
        <v>398</v>
      </c>
      <c r="AI38">
        <v>9079</v>
      </c>
      <c r="AJ38">
        <v>533.6988655138</v>
      </c>
      <c r="AK38">
        <v>9208</v>
      </c>
      <c r="AL38">
        <v>2045</v>
      </c>
      <c r="AM38">
        <v>13324</v>
      </c>
      <c r="AN38">
        <v>8796</v>
      </c>
      <c r="AO38">
        <v>1832</v>
      </c>
      <c r="AP38">
        <v>1116</v>
      </c>
      <c r="AQ38">
        <v>4832</v>
      </c>
      <c r="AR38">
        <v>2136</v>
      </c>
      <c r="AS38">
        <v>618</v>
      </c>
      <c r="AT38">
        <v>333</v>
      </c>
      <c r="AV38" t="s">
        <v>403</v>
      </c>
      <c r="AW38">
        <v>162</v>
      </c>
      <c r="AX38">
        <v>56.154320987699997</v>
      </c>
      <c r="AY38">
        <v>404</v>
      </c>
      <c r="AZ38">
        <v>18</v>
      </c>
      <c r="BA38">
        <v>296</v>
      </c>
      <c r="BB38">
        <v>11</v>
      </c>
      <c r="BC38">
        <v>1</v>
      </c>
      <c r="BE38">
        <v>27</v>
      </c>
      <c r="BF38">
        <v>7</v>
      </c>
      <c r="BG38">
        <v>54</v>
      </c>
      <c r="BH38">
        <v>30</v>
      </c>
      <c r="BJ38" t="s">
        <v>536</v>
      </c>
      <c r="BK38" t="s">
        <v>376</v>
      </c>
      <c r="BL38">
        <v>5134</v>
      </c>
      <c r="BM38">
        <v>1577</v>
      </c>
      <c r="BN38">
        <v>112.31262173739999</v>
      </c>
      <c r="BO38">
        <v>1531</v>
      </c>
      <c r="BP38">
        <v>510</v>
      </c>
      <c r="BQ38">
        <v>167.46962769429999</v>
      </c>
      <c r="BR38">
        <v>161.0960784314</v>
      </c>
      <c r="BS38">
        <v>4054</v>
      </c>
      <c r="BT38">
        <v>1482</v>
      </c>
      <c r="BU38">
        <v>128.9412925506</v>
      </c>
      <c r="BV38">
        <v>1307</v>
      </c>
      <c r="BW38">
        <v>404</v>
      </c>
      <c r="BX38">
        <v>192.62203519510001</v>
      </c>
      <c r="BY38">
        <v>185.10396039599999</v>
      </c>
      <c r="CA38" t="s">
        <v>63</v>
      </c>
      <c r="CB38" t="s">
        <v>863</v>
      </c>
      <c r="CC38" t="s">
        <v>525</v>
      </c>
      <c r="CD38">
        <v>8853</v>
      </c>
      <c r="CE38">
        <v>1927</v>
      </c>
      <c r="CF38">
        <v>93.421777928400004</v>
      </c>
      <c r="CG38">
        <v>3408</v>
      </c>
      <c r="CH38">
        <v>1107</v>
      </c>
      <c r="CI38">
        <v>140.66167840380001</v>
      </c>
      <c r="CJ38">
        <v>134.5790424571</v>
      </c>
      <c r="CL38" t="s">
        <v>63</v>
      </c>
      <c r="CM38" t="s">
        <v>832</v>
      </c>
      <c r="CN38" t="s">
        <v>840</v>
      </c>
      <c r="CO38">
        <v>1041</v>
      </c>
      <c r="CP38">
        <v>100</v>
      </c>
      <c r="CQ38">
        <v>66.6522574448</v>
      </c>
      <c r="CR38">
        <v>567</v>
      </c>
      <c r="CS38">
        <v>179</v>
      </c>
      <c r="CT38">
        <v>77.895943562599996</v>
      </c>
      <c r="CU38">
        <v>79.055865921800006</v>
      </c>
      <c r="CW38" t="s">
        <v>63</v>
      </c>
      <c r="CX38" t="s">
        <v>848</v>
      </c>
      <c r="CY38" t="s">
        <v>856</v>
      </c>
      <c r="CZ38">
        <v>269</v>
      </c>
      <c r="DA38">
        <v>40</v>
      </c>
      <c r="DB38">
        <v>71.654275092899994</v>
      </c>
      <c r="DC38">
        <v>52</v>
      </c>
      <c r="DD38">
        <v>21</v>
      </c>
      <c r="DE38">
        <v>114.0961538462</v>
      </c>
      <c r="DF38">
        <v>108.1428571429</v>
      </c>
      <c r="DH38" t="s">
        <v>63</v>
      </c>
      <c r="DI38" t="s">
        <v>816</v>
      </c>
      <c r="DJ38" t="s">
        <v>824</v>
      </c>
      <c r="DK38">
        <v>167</v>
      </c>
      <c r="DL38">
        <v>30</v>
      </c>
      <c r="DM38">
        <v>80.467065868299997</v>
      </c>
      <c r="DN38">
        <v>34</v>
      </c>
      <c r="DO38">
        <v>12</v>
      </c>
      <c r="DP38">
        <v>145.20588235290001</v>
      </c>
      <c r="DQ38">
        <v>125.0833333333</v>
      </c>
    </row>
    <row r="39" spans="2:121" x14ac:dyDescent="0.2">
      <c r="B39" t="s">
        <v>130</v>
      </c>
      <c r="C39">
        <v>331</v>
      </c>
      <c r="D39">
        <v>145</v>
      </c>
      <c r="F39" t="s">
        <v>63</v>
      </c>
      <c r="G39">
        <v>3889</v>
      </c>
      <c r="H39">
        <v>277.29056312680001</v>
      </c>
      <c r="I39">
        <v>4682</v>
      </c>
      <c r="J39">
        <v>1061</v>
      </c>
      <c r="K39">
        <v>5477</v>
      </c>
      <c r="L39">
        <v>3548</v>
      </c>
      <c r="M39">
        <v>2915</v>
      </c>
      <c r="N39">
        <v>2363</v>
      </c>
      <c r="O39">
        <v>377</v>
      </c>
      <c r="P39">
        <v>212</v>
      </c>
      <c r="Q39">
        <v>0</v>
      </c>
      <c r="R39">
        <v>1</v>
      </c>
      <c r="T39" t="s">
        <v>376</v>
      </c>
      <c r="U39">
        <v>6555</v>
      </c>
      <c r="V39">
        <v>112.1710144928</v>
      </c>
      <c r="W39">
        <v>9138</v>
      </c>
      <c r="X39">
        <v>2200</v>
      </c>
      <c r="Y39">
        <v>9400</v>
      </c>
      <c r="Z39">
        <v>3198</v>
      </c>
      <c r="AA39">
        <v>371</v>
      </c>
      <c r="AB39">
        <v>356</v>
      </c>
      <c r="AC39">
        <v>495</v>
      </c>
      <c r="AD39">
        <v>187</v>
      </c>
      <c r="AE39">
        <v>970</v>
      </c>
      <c r="AF39">
        <v>2328</v>
      </c>
      <c r="AH39" t="s">
        <v>419</v>
      </c>
      <c r="AI39">
        <v>3460</v>
      </c>
      <c r="AJ39">
        <v>499.33670520229998</v>
      </c>
      <c r="AK39">
        <v>6625</v>
      </c>
      <c r="AL39">
        <v>1046</v>
      </c>
      <c r="AM39">
        <v>5972</v>
      </c>
      <c r="AN39">
        <v>3326</v>
      </c>
      <c r="AO39">
        <v>1549</v>
      </c>
      <c r="AP39">
        <v>619</v>
      </c>
      <c r="AQ39">
        <v>1656</v>
      </c>
      <c r="AR39">
        <v>604</v>
      </c>
      <c r="AS39">
        <v>7</v>
      </c>
      <c r="AT39">
        <v>64</v>
      </c>
      <c r="AV39" t="s">
        <v>421</v>
      </c>
      <c r="AW39">
        <v>47</v>
      </c>
      <c r="AX39">
        <v>109.7234042553</v>
      </c>
      <c r="AY39">
        <v>66</v>
      </c>
      <c r="AZ39">
        <v>9</v>
      </c>
      <c r="BA39">
        <v>62</v>
      </c>
      <c r="BB39">
        <v>24</v>
      </c>
      <c r="BC39">
        <v>4</v>
      </c>
      <c r="BD39">
        <v>4</v>
      </c>
      <c r="BE39">
        <v>3</v>
      </c>
      <c r="BF39">
        <v>1</v>
      </c>
      <c r="BG39">
        <v>15</v>
      </c>
      <c r="BH39">
        <v>15</v>
      </c>
      <c r="BJ39" t="s">
        <v>521</v>
      </c>
      <c r="BK39" t="s">
        <v>376</v>
      </c>
      <c r="BL39">
        <v>2676</v>
      </c>
      <c r="BM39">
        <v>335</v>
      </c>
      <c r="BN39">
        <v>68.415545590400001</v>
      </c>
      <c r="BO39">
        <v>2356</v>
      </c>
      <c r="BP39">
        <v>636</v>
      </c>
      <c r="BQ39">
        <v>49.519949066199999</v>
      </c>
      <c r="BR39">
        <v>52.334905660399997</v>
      </c>
      <c r="BS39">
        <v>4154</v>
      </c>
      <c r="BT39">
        <v>970</v>
      </c>
      <c r="BU39">
        <v>95.401059219999993</v>
      </c>
      <c r="BV39">
        <v>2882</v>
      </c>
      <c r="BW39">
        <v>822</v>
      </c>
      <c r="BX39">
        <v>80.063150589900005</v>
      </c>
      <c r="BY39">
        <v>85.200729926999998</v>
      </c>
      <c r="CA39" t="s">
        <v>389</v>
      </c>
      <c r="CB39" t="s">
        <v>863</v>
      </c>
      <c r="CC39" t="s">
        <v>995</v>
      </c>
      <c r="CD39">
        <v>17361</v>
      </c>
      <c r="CE39">
        <v>4178</v>
      </c>
      <c r="CF39">
        <v>98.979263867300006</v>
      </c>
      <c r="CG39">
        <v>6088</v>
      </c>
      <c r="CH39">
        <v>2074</v>
      </c>
      <c r="CI39">
        <v>148.69678055189999</v>
      </c>
      <c r="CJ39">
        <v>144.8915139826</v>
      </c>
      <c r="CL39" t="s">
        <v>389</v>
      </c>
      <c r="CM39" t="s">
        <v>832</v>
      </c>
      <c r="CN39" t="s">
        <v>841</v>
      </c>
      <c r="CO39">
        <v>889</v>
      </c>
      <c r="CP39">
        <v>109</v>
      </c>
      <c r="CQ39">
        <v>70.830146231699999</v>
      </c>
      <c r="CR39">
        <v>561</v>
      </c>
      <c r="CS39">
        <v>184</v>
      </c>
      <c r="CT39">
        <v>80.973262032099996</v>
      </c>
      <c r="CU39">
        <v>78.396739130399993</v>
      </c>
      <c r="CW39" t="s">
        <v>389</v>
      </c>
      <c r="CX39" t="s">
        <v>848</v>
      </c>
      <c r="CY39" t="s">
        <v>857</v>
      </c>
      <c r="CZ39">
        <v>662</v>
      </c>
      <c r="DA39">
        <v>117</v>
      </c>
      <c r="DB39">
        <v>78.4592145015</v>
      </c>
      <c r="DC39">
        <v>119</v>
      </c>
      <c r="DD39">
        <v>52</v>
      </c>
      <c r="DE39">
        <v>144.66386554619999</v>
      </c>
      <c r="DF39">
        <v>146.25</v>
      </c>
      <c r="DH39" t="s">
        <v>389</v>
      </c>
      <c r="DI39" t="s">
        <v>816</v>
      </c>
      <c r="DJ39" t="s">
        <v>825</v>
      </c>
      <c r="DK39">
        <v>1337</v>
      </c>
      <c r="DL39">
        <v>235</v>
      </c>
      <c r="DM39">
        <v>77.1989528796</v>
      </c>
      <c r="DN39">
        <v>195</v>
      </c>
      <c r="DO39">
        <v>78</v>
      </c>
      <c r="DP39">
        <v>137.3487179487</v>
      </c>
      <c r="DQ39">
        <v>137.11538461539999</v>
      </c>
    </row>
    <row r="40" spans="2:121" x14ac:dyDescent="0.2">
      <c r="B40" t="s">
        <v>111</v>
      </c>
      <c r="C40">
        <v>7060</v>
      </c>
      <c r="D40">
        <v>5484</v>
      </c>
      <c r="F40" t="s">
        <v>52</v>
      </c>
      <c r="G40">
        <v>4510</v>
      </c>
      <c r="H40">
        <v>358.14057649670002</v>
      </c>
      <c r="I40">
        <v>4267</v>
      </c>
      <c r="J40">
        <v>1049</v>
      </c>
      <c r="K40">
        <v>6745</v>
      </c>
      <c r="L40">
        <v>4168</v>
      </c>
      <c r="M40">
        <v>2087</v>
      </c>
      <c r="N40">
        <v>1610</v>
      </c>
      <c r="O40">
        <v>2093</v>
      </c>
      <c r="P40">
        <v>1317</v>
      </c>
      <c r="Q40">
        <v>36</v>
      </c>
      <c r="R40">
        <v>172</v>
      </c>
      <c r="T40" t="s">
        <v>8</v>
      </c>
      <c r="U40">
        <v>135</v>
      </c>
      <c r="V40">
        <v>111.28148148149999</v>
      </c>
      <c r="W40">
        <v>187</v>
      </c>
      <c r="X40">
        <v>69</v>
      </c>
      <c r="Y40">
        <v>285</v>
      </c>
      <c r="Z40">
        <v>148</v>
      </c>
      <c r="AA40">
        <v>15</v>
      </c>
      <c r="AB40">
        <v>12</v>
      </c>
      <c r="AC40">
        <v>16</v>
      </c>
      <c r="AD40">
        <v>10</v>
      </c>
      <c r="AE40">
        <v>45</v>
      </c>
      <c r="AF40">
        <v>13</v>
      </c>
      <c r="AH40" t="s">
        <v>416</v>
      </c>
      <c r="AI40">
        <v>8600</v>
      </c>
      <c r="AJ40">
        <v>409.2676744186</v>
      </c>
      <c r="AK40">
        <v>4778</v>
      </c>
      <c r="AL40">
        <v>1219</v>
      </c>
      <c r="AM40">
        <v>11948</v>
      </c>
      <c r="AN40">
        <v>8200</v>
      </c>
      <c r="AO40">
        <v>3393</v>
      </c>
      <c r="AP40">
        <v>2717</v>
      </c>
      <c r="AQ40">
        <v>2153</v>
      </c>
      <c r="AR40">
        <v>931</v>
      </c>
      <c r="AS40">
        <v>5</v>
      </c>
      <c r="AT40">
        <v>70</v>
      </c>
      <c r="AV40" t="s">
        <v>63</v>
      </c>
      <c r="AW40">
        <v>1166</v>
      </c>
      <c r="AX40">
        <v>109.4133790738</v>
      </c>
      <c r="AY40">
        <v>1993</v>
      </c>
      <c r="AZ40">
        <v>490</v>
      </c>
      <c r="BA40">
        <v>1717</v>
      </c>
      <c r="BB40">
        <v>601</v>
      </c>
      <c r="BC40">
        <v>43</v>
      </c>
      <c r="BD40">
        <v>41</v>
      </c>
      <c r="BE40">
        <v>84</v>
      </c>
      <c r="BF40">
        <v>36</v>
      </c>
      <c r="BG40">
        <v>138</v>
      </c>
      <c r="BH40">
        <v>358</v>
      </c>
      <c r="BJ40" t="s">
        <v>542</v>
      </c>
      <c r="BK40" t="s">
        <v>376</v>
      </c>
      <c r="BL40">
        <v>11436</v>
      </c>
      <c r="BM40">
        <v>1978</v>
      </c>
      <c r="BN40">
        <v>86.369097586600006</v>
      </c>
      <c r="BO40">
        <v>3744</v>
      </c>
      <c r="BP40">
        <v>1196</v>
      </c>
      <c r="BQ40">
        <v>144.51575854699999</v>
      </c>
      <c r="BR40">
        <v>150.96906354519999</v>
      </c>
      <c r="BS40">
        <v>12072</v>
      </c>
      <c r="BT40">
        <v>2022</v>
      </c>
      <c r="BU40">
        <v>84.191517561300003</v>
      </c>
      <c r="BV40">
        <v>3943</v>
      </c>
      <c r="BW40">
        <v>1243</v>
      </c>
      <c r="BX40">
        <v>138.50114126299999</v>
      </c>
      <c r="BY40">
        <v>145.0370072405</v>
      </c>
      <c r="CA40" t="s">
        <v>382</v>
      </c>
      <c r="CB40" t="s">
        <v>863</v>
      </c>
      <c r="CC40" t="s">
        <v>996</v>
      </c>
      <c r="CD40">
        <v>9223</v>
      </c>
      <c r="CE40">
        <v>2650</v>
      </c>
      <c r="CF40">
        <v>110.7821749973</v>
      </c>
      <c r="CG40">
        <v>3619</v>
      </c>
      <c r="CH40">
        <v>1156</v>
      </c>
      <c r="CI40">
        <v>151.82785299810001</v>
      </c>
      <c r="CJ40">
        <v>142.4411764706</v>
      </c>
      <c r="CL40" t="s">
        <v>382</v>
      </c>
      <c r="CM40" t="s">
        <v>832</v>
      </c>
      <c r="CN40" t="s">
        <v>842</v>
      </c>
      <c r="CO40">
        <v>1187</v>
      </c>
      <c r="CP40">
        <v>112</v>
      </c>
      <c r="CQ40">
        <v>65.241786015200006</v>
      </c>
      <c r="CR40">
        <v>675</v>
      </c>
      <c r="CS40">
        <v>215</v>
      </c>
      <c r="CT40">
        <v>83.380740740700006</v>
      </c>
      <c r="CU40">
        <v>81.041860465100001</v>
      </c>
      <c r="CW40" t="s">
        <v>382</v>
      </c>
      <c r="CX40" t="s">
        <v>848</v>
      </c>
      <c r="CY40" t="s">
        <v>858</v>
      </c>
      <c r="CZ40">
        <v>209</v>
      </c>
      <c r="DA40">
        <v>38</v>
      </c>
      <c r="DB40">
        <v>78.578947368399994</v>
      </c>
      <c r="DC40">
        <v>48</v>
      </c>
      <c r="DD40">
        <v>19</v>
      </c>
      <c r="DE40">
        <v>129.0833333333</v>
      </c>
      <c r="DF40">
        <v>123.4736842105</v>
      </c>
      <c r="DH40" t="s">
        <v>382</v>
      </c>
      <c r="DI40" t="s">
        <v>816</v>
      </c>
      <c r="DJ40" t="s">
        <v>826</v>
      </c>
      <c r="DK40">
        <v>129</v>
      </c>
      <c r="DL40">
        <v>23</v>
      </c>
      <c r="DM40">
        <v>90.821705426400001</v>
      </c>
      <c r="DN40">
        <v>43</v>
      </c>
      <c r="DO40">
        <v>14</v>
      </c>
      <c r="DP40">
        <v>119.90697674419999</v>
      </c>
      <c r="DQ40">
        <v>121.5</v>
      </c>
    </row>
    <row r="41" spans="2:121" x14ac:dyDescent="0.2">
      <c r="B41" t="s">
        <v>119</v>
      </c>
      <c r="C41">
        <v>15534</v>
      </c>
      <c r="D41">
        <v>3922</v>
      </c>
      <c r="F41" t="s">
        <v>25</v>
      </c>
      <c r="G41">
        <v>13743</v>
      </c>
      <c r="H41">
        <v>347.15724368769997</v>
      </c>
      <c r="I41">
        <v>18120</v>
      </c>
      <c r="J41">
        <v>3934</v>
      </c>
      <c r="K41">
        <v>18930</v>
      </c>
      <c r="L41">
        <v>13072</v>
      </c>
      <c r="M41">
        <v>5637</v>
      </c>
      <c r="N41">
        <v>3952</v>
      </c>
      <c r="O41">
        <v>10913</v>
      </c>
      <c r="P41">
        <v>7759</v>
      </c>
      <c r="Q41">
        <v>62</v>
      </c>
      <c r="R41">
        <v>6</v>
      </c>
      <c r="T41" t="s">
        <v>392</v>
      </c>
      <c r="U41">
        <v>1196</v>
      </c>
      <c r="V41">
        <v>53.501672240799998</v>
      </c>
      <c r="W41">
        <v>3323</v>
      </c>
      <c r="X41">
        <v>120</v>
      </c>
      <c r="Y41">
        <v>2058</v>
      </c>
      <c r="Z41">
        <v>152</v>
      </c>
      <c r="AA41">
        <v>25</v>
      </c>
      <c r="AB41">
        <v>21</v>
      </c>
      <c r="AC41">
        <v>161</v>
      </c>
      <c r="AD41">
        <v>63</v>
      </c>
      <c r="AE41">
        <v>2001</v>
      </c>
      <c r="AF41">
        <v>440</v>
      </c>
      <c r="AH41" t="s">
        <v>8</v>
      </c>
      <c r="AI41">
        <v>4407</v>
      </c>
      <c r="AJ41">
        <v>394.92035398230001</v>
      </c>
      <c r="AK41">
        <v>3916</v>
      </c>
      <c r="AL41">
        <v>1579</v>
      </c>
      <c r="AM41">
        <v>5683</v>
      </c>
      <c r="AN41">
        <v>3981</v>
      </c>
      <c r="AO41">
        <v>876</v>
      </c>
      <c r="AP41">
        <v>526</v>
      </c>
      <c r="AQ41">
        <v>1322</v>
      </c>
      <c r="AR41">
        <v>811</v>
      </c>
      <c r="AS41">
        <v>362</v>
      </c>
      <c r="AT41">
        <v>130</v>
      </c>
      <c r="AV41" t="s">
        <v>417</v>
      </c>
      <c r="AW41">
        <v>472</v>
      </c>
      <c r="AX41">
        <v>50.764830508499998</v>
      </c>
      <c r="AY41">
        <v>1445</v>
      </c>
      <c r="AZ41">
        <v>41</v>
      </c>
      <c r="BA41">
        <v>859</v>
      </c>
      <c r="BB41">
        <v>62</v>
      </c>
      <c r="BC41">
        <v>10</v>
      </c>
      <c r="BD41">
        <v>8</v>
      </c>
      <c r="BE41">
        <v>47</v>
      </c>
      <c r="BF41">
        <v>26</v>
      </c>
      <c r="BG41">
        <v>957</v>
      </c>
      <c r="BH41">
        <v>203</v>
      </c>
      <c r="BJ41" t="s">
        <v>634</v>
      </c>
      <c r="BK41" t="s">
        <v>376</v>
      </c>
      <c r="BL41">
        <v>1222</v>
      </c>
      <c r="BM41">
        <v>163</v>
      </c>
      <c r="BN41">
        <v>68.358428805200006</v>
      </c>
      <c r="BO41">
        <v>696</v>
      </c>
      <c r="BP41">
        <v>190</v>
      </c>
      <c r="BQ41">
        <v>106.8117816092</v>
      </c>
      <c r="BR41">
        <v>102.7894736842</v>
      </c>
      <c r="BS41">
        <v>6330</v>
      </c>
      <c r="BT41">
        <v>1147</v>
      </c>
      <c r="BU41">
        <v>84.789731437599997</v>
      </c>
      <c r="BV41">
        <v>2221</v>
      </c>
      <c r="BW41">
        <v>674</v>
      </c>
      <c r="BX41">
        <v>132.09680324179999</v>
      </c>
      <c r="BY41">
        <v>131.4451038576</v>
      </c>
      <c r="CA41" t="s">
        <v>379</v>
      </c>
      <c r="CB41" t="s">
        <v>863</v>
      </c>
      <c r="CC41" t="s">
        <v>997</v>
      </c>
      <c r="CD41">
        <v>982</v>
      </c>
      <c r="CE41">
        <v>158</v>
      </c>
      <c r="CF41">
        <v>81.074338085500003</v>
      </c>
      <c r="CG41">
        <v>388</v>
      </c>
      <c r="CH41">
        <v>100</v>
      </c>
      <c r="CI41">
        <v>108.9845360825</v>
      </c>
      <c r="CJ41">
        <v>114.87</v>
      </c>
      <c r="CL41" t="s">
        <v>379</v>
      </c>
      <c r="CM41" t="s">
        <v>832</v>
      </c>
      <c r="CN41" t="s">
        <v>843</v>
      </c>
      <c r="CO41">
        <v>92</v>
      </c>
      <c r="CP41">
        <v>9</v>
      </c>
      <c r="CQ41">
        <v>80.576086956500006</v>
      </c>
      <c r="CR41">
        <v>63</v>
      </c>
      <c r="CS41">
        <v>26</v>
      </c>
      <c r="CT41">
        <v>80.380952381</v>
      </c>
      <c r="CU41">
        <v>71.192307692300005</v>
      </c>
      <c r="CW41" t="s">
        <v>379</v>
      </c>
      <c r="CX41" t="s">
        <v>848</v>
      </c>
      <c r="CY41" t="s">
        <v>859</v>
      </c>
      <c r="CZ41">
        <v>11</v>
      </c>
      <c r="DA41">
        <v>2</v>
      </c>
      <c r="DB41">
        <v>101.36363636359999</v>
      </c>
      <c r="DC41">
        <v>3</v>
      </c>
      <c r="DD41">
        <v>1</v>
      </c>
      <c r="DE41">
        <v>173.3333333333</v>
      </c>
      <c r="DF41">
        <v>157</v>
      </c>
      <c r="DH41" t="s">
        <v>379</v>
      </c>
      <c r="DI41" t="s">
        <v>816</v>
      </c>
      <c r="DJ41" t="s">
        <v>827</v>
      </c>
      <c r="DK41">
        <v>13</v>
      </c>
      <c r="DL41">
        <v>2</v>
      </c>
      <c r="DM41">
        <v>74.615384615400004</v>
      </c>
      <c r="DN41">
        <v>2</v>
      </c>
      <c r="DO41">
        <v>0</v>
      </c>
      <c r="DP41">
        <v>99.5</v>
      </c>
      <c r="DQ41">
        <v>0</v>
      </c>
    </row>
    <row r="42" spans="2:121" x14ac:dyDescent="0.2">
      <c r="B42" t="s">
        <v>118</v>
      </c>
      <c r="C42">
        <v>7836</v>
      </c>
      <c r="D42">
        <v>285</v>
      </c>
      <c r="F42" t="s">
        <v>78</v>
      </c>
      <c r="G42">
        <v>4945</v>
      </c>
      <c r="H42">
        <v>262.77249747219997</v>
      </c>
      <c r="I42">
        <v>6051</v>
      </c>
      <c r="J42">
        <v>839</v>
      </c>
      <c r="K42">
        <v>7160</v>
      </c>
      <c r="L42">
        <v>4687</v>
      </c>
      <c r="M42">
        <v>2467</v>
      </c>
      <c r="N42">
        <v>1972</v>
      </c>
      <c r="O42">
        <v>5438</v>
      </c>
      <c r="P42">
        <v>4643</v>
      </c>
      <c r="Q42">
        <v>0</v>
      </c>
      <c r="R42">
        <v>84</v>
      </c>
      <c r="T42" t="s">
        <v>411</v>
      </c>
      <c r="U42">
        <v>948</v>
      </c>
      <c r="V42">
        <v>51.206751054900003</v>
      </c>
      <c r="W42">
        <v>3724</v>
      </c>
      <c r="X42">
        <v>130</v>
      </c>
      <c r="Y42">
        <v>1641</v>
      </c>
      <c r="Z42">
        <v>97</v>
      </c>
      <c r="AA42">
        <v>15</v>
      </c>
      <c r="AB42">
        <v>15</v>
      </c>
      <c r="AC42">
        <v>110</v>
      </c>
      <c r="AD42">
        <v>50</v>
      </c>
      <c r="AE42">
        <v>2065</v>
      </c>
      <c r="AF42">
        <v>393</v>
      </c>
      <c r="AH42" t="s">
        <v>382</v>
      </c>
      <c r="AI42">
        <v>8624</v>
      </c>
      <c r="AJ42">
        <v>424.3307050093</v>
      </c>
      <c r="AK42">
        <v>9366</v>
      </c>
      <c r="AL42">
        <v>2644</v>
      </c>
      <c r="AM42">
        <v>12913</v>
      </c>
      <c r="AN42">
        <v>8926</v>
      </c>
      <c r="AO42">
        <v>1686</v>
      </c>
      <c r="AP42">
        <v>878</v>
      </c>
      <c r="AQ42">
        <v>5805</v>
      </c>
      <c r="AR42">
        <v>4657</v>
      </c>
      <c r="AS42">
        <v>1257</v>
      </c>
      <c r="AT42">
        <v>8</v>
      </c>
      <c r="AV42" t="s">
        <v>418</v>
      </c>
      <c r="AW42">
        <v>133</v>
      </c>
      <c r="AX42">
        <v>57.541353383500002</v>
      </c>
      <c r="AY42">
        <v>274</v>
      </c>
      <c r="AZ42">
        <v>25</v>
      </c>
      <c r="BA42">
        <v>214</v>
      </c>
      <c r="BB42">
        <v>24</v>
      </c>
      <c r="BC42">
        <v>5</v>
      </c>
      <c r="BD42">
        <v>4</v>
      </c>
      <c r="BE42">
        <v>21</v>
      </c>
      <c r="BF42">
        <v>7</v>
      </c>
      <c r="BG42">
        <v>66</v>
      </c>
      <c r="BH42">
        <v>28</v>
      </c>
      <c r="BJ42" t="s">
        <v>636</v>
      </c>
      <c r="BK42" t="s">
        <v>376</v>
      </c>
      <c r="BL42">
        <v>465</v>
      </c>
      <c r="BM42">
        <v>83</v>
      </c>
      <c r="BN42">
        <v>84.8344086022</v>
      </c>
      <c r="BO42">
        <v>84</v>
      </c>
      <c r="BP42">
        <v>27</v>
      </c>
      <c r="BQ42">
        <v>138.4166666667</v>
      </c>
      <c r="BR42">
        <v>188.6666666667</v>
      </c>
      <c r="BS42">
        <v>720</v>
      </c>
      <c r="BT42">
        <v>304</v>
      </c>
      <c r="BU42">
        <v>114.1083333333</v>
      </c>
      <c r="BV42">
        <v>202</v>
      </c>
      <c r="BW42">
        <v>66</v>
      </c>
      <c r="BX42">
        <v>172.3316831683</v>
      </c>
      <c r="BY42">
        <v>209.30303030300001</v>
      </c>
      <c r="CA42" t="s">
        <v>424</v>
      </c>
      <c r="CB42" t="s">
        <v>863</v>
      </c>
      <c r="CC42" t="s">
        <v>998</v>
      </c>
      <c r="CD42">
        <v>449</v>
      </c>
      <c r="CE42">
        <v>89</v>
      </c>
      <c r="CF42">
        <v>87.828507795099995</v>
      </c>
      <c r="CG42">
        <v>112</v>
      </c>
      <c r="CH42">
        <v>33</v>
      </c>
      <c r="CI42">
        <v>134.375</v>
      </c>
      <c r="CJ42">
        <v>165.93939393939999</v>
      </c>
      <c r="CL42" t="s">
        <v>424</v>
      </c>
      <c r="CM42" t="s">
        <v>832</v>
      </c>
      <c r="CN42" t="s">
        <v>844</v>
      </c>
      <c r="CO42">
        <v>31</v>
      </c>
      <c r="CP42">
        <v>6</v>
      </c>
      <c r="CQ42">
        <v>69.096774193499996</v>
      </c>
      <c r="CR42">
        <v>15</v>
      </c>
      <c r="CS42">
        <v>3</v>
      </c>
      <c r="CT42">
        <v>68.599999999999994</v>
      </c>
      <c r="CU42">
        <v>73.333333333300004</v>
      </c>
      <c r="CW42" t="s">
        <v>424</v>
      </c>
      <c r="CX42" t="s">
        <v>848</v>
      </c>
      <c r="CY42" t="s">
        <v>860</v>
      </c>
      <c r="CZ42">
        <v>6</v>
      </c>
      <c r="DA42">
        <v>0</v>
      </c>
      <c r="DB42">
        <v>83.166666666699996</v>
      </c>
      <c r="DC42">
        <v>1</v>
      </c>
      <c r="DD42">
        <v>1</v>
      </c>
      <c r="DE42">
        <v>76</v>
      </c>
      <c r="DF42">
        <v>76</v>
      </c>
      <c r="DH42" t="s">
        <v>424</v>
      </c>
      <c r="DI42" t="s">
        <v>816</v>
      </c>
      <c r="DJ42" t="s">
        <v>828</v>
      </c>
      <c r="DK42">
        <v>6</v>
      </c>
      <c r="DL42">
        <v>0</v>
      </c>
      <c r="DM42">
        <v>54.166666666700003</v>
      </c>
      <c r="DN42">
        <v>4</v>
      </c>
      <c r="DO42">
        <v>2</v>
      </c>
      <c r="DP42">
        <v>84.25</v>
      </c>
      <c r="DQ42">
        <v>119</v>
      </c>
    </row>
    <row r="43" spans="2:121" x14ac:dyDescent="0.2">
      <c r="B43" t="s">
        <v>133</v>
      </c>
      <c r="C43">
        <v>63788</v>
      </c>
      <c r="D43">
        <v>57671</v>
      </c>
      <c r="F43" t="s">
        <v>35</v>
      </c>
      <c r="G43">
        <v>1963</v>
      </c>
      <c r="H43">
        <v>437.0397350993</v>
      </c>
      <c r="I43">
        <v>1112</v>
      </c>
      <c r="J43">
        <v>198</v>
      </c>
      <c r="K43">
        <v>2643</v>
      </c>
      <c r="L43">
        <v>1804</v>
      </c>
      <c r="M43">
        <v>1838</v>
      </c>
      <c r="N43">
        <v>1712</v>
      </c>
      <c r="O43">
        <v>300</v>
      </c>
      <c r="P43">
        <v>110</v>
      </c>
      <c r="Q43">
        <v>0</v>
      </c>
      <c r="R43">
        <v>2</v>
      </c>
      <c r="AH43" t="s">
        <v>434</v>
      </c>
      <c r="AI43">
        <v>3066</v>
      </c>
      <c r="AJ43">
        <v>367.85257664710002</v>
      </c>
      <c r="AK43">
        <v>3362</v>
      </c>
      <c r="AL43">
        <v>762</v>
      </c>
      <c r="AM43">
        <v>5251</v>
      </c>
      <c r="AN43">
        <v>3631</v>
      </c>
      <c r="AO43">
        <v>838</v>
      </c>
      <c r="AP43">
        <v>655</v>
      </c>
      <c r="AQ43">
        <v>1268</v>
      </c>
      <c r="AR43">
        <v>775</v>
      </c>
      <c r="AS43">
        <v>298</v>
      </c>
      <c r="AT43">
        <v>1</v>
      </c>
      <c r="AV43" t="s">
        <v>423</v>
      </c>
      <c r="AW43">
        <v>103</v>
      </c>
      <c r="AX43">
        <v>124.0776699029</v>
      </c>
      <c r="AY43">
        <v>114</v>
      </c>
      <c r="AZ43">
        <v>27</v>
      </c>
      <c r="BA43">
        <v>151</v>
      </c>
      <c r="BB43">
        <v>55</v>
      </c>
      <c r="BC43">
        <v>4</v>
      </c>
      <c r="BD43">
        <v>3</v>
      </c>
      <c r="BE43">
        <v>7</v>
      </c>
      <c r="BF43">
        <v>2</v>
      </c>
      <c r="BG43">
        <v>31</v>
      </c>
      <c r="BH43">
        <v>28</v>
      </c>
      <c r="BJ43" t="s">
        <v>650</v>
      </c>
      <c r="BK43" t="s">
        <v>376</v>
      </c>
      <c r="BL43">
        <v>786</v>
      </c>
      <c r="BM43">
        <v>180</v>
      </c>
      <c r="BN43">
        <v>102.6603053435</v>
      </c>
      <c r="BO43">
        <v>308</v>
      </c>
      <c r="BP43">
        <v>114</v>
      </c>
      <c r="BQ43">
        <v>140.0746753247</v>
      </c>
      <c r="BR43">
        <v>137.8333333333</v>
      </c>
      <c r="BS43">
        <v>471</v>
      </c>
      <c r="BT43">
        <v>64</v>
      </c>
      <c r="BU43">
        <v>78.509554140099993</v>
      </c>
      <c r="BV43">
        <v>159</v>
      </c>
      <c r="BW43">
        <v>42</v>
      </c>
      <c r="BX43">
        <v>112.98742138359999</v>
      </c>
      <c r="BY43">
        <v>119.1666666667</v>
      </c>
      <c r="CA43" t="s">
        <v>385</v>
      </c>
      <c r="CB43" t="s">
        <v>863</v>
      </c>
      <c r="CC43" t="s">
        <v>999</v>
      </c>
      <c r="CD43">
        <v>11204</v>
      </c>
      <c r="CE43">
        <v>2100</v>
      </c>
      <c r="CF43">
        <v>88.852463405899996</v>
      </c>
      <c r="CG43">
        <v>4019</v>
      </c>
      <c r="CH43">
        <v>1278</v>
      </c>
      <c r="CI43">
        <v>139.65140582230001</v>
      </c>
      <c r="CJ43">
        <v>142.2042253521</v>
      </c>
      <c r="CL43" t="s">
        <v>385</v>
      </c>
      <c r="CM43" t="s">
        <v>832</v>
      </c>
      <c r="CN43" t="s">
        <v>845</v>
      </c>
      <c r="CO43">
        <v>622</v>
      </c>
      <c r="CP43">
        <v>80</v>
      </c>
      <c r="CQ43">
        <v>75.273311897100001</v>
      </c>
      <c r="CR43">
        <v>367</v>
      </c>
      <c r="CS43">
        <v>116</v>
      </c>
      <c r="CT43">
        <v>89.340599455000003</v>
      </c>
      <c r="CU43">
        <v>95.051724137899996</v>
      </c>
      <c r="CW43" t="s">
        <v>385</v>
      </c>
      <c r="CX43" t="s">
        <v>848</v>
      </c>
      <c r="CY43" t="s">
        <v>861</v>
      </c>
      <c r="CZ43">
        <v>691</v>
      </c>
      <c r="DA43">
        <v>152</v>
      </c>
      <c r="DB43">
        <v>82.978292330000002</v>
      </c>
      <c r="DC43">
        <v>121</v>
      </c>
      <c r="DD43">
        <v>38</v>
      </c>
      <c r="DE43">
        <v>165.47107438020001</v>
      </c>
      <c r="DF43">
        <v>161.42105263159999</v>
      </c>
      <c r="DH43" t="s">
        <v>385</v>
      </c>
      <c r="DI43" t="s">
        <v>816</v>
      </c>
      <c r="DJ43" t="s">
        <v>829</v>
      </c>
      <c r="DK43">
        <v>1263</v>
      </c>
      <c r="DL43">
        <v>252</v>
      </c>
      <c r="DM43">
        <v>79.552652414899995</v>
      </c>
      <c r="DN43">
        <v>191</v>
      </c>
      <c r="DO43">
        <v>69</v>
      </c>
      <c r="DP43">
        <v>148.5183246073</v>
      </c>
      <c r="DQ43">
        <v>149.79710144929999</v>
      </c>
    </row>
    <row r="44" spans="2:121" x14ac:dyDescent="0.2">
      <c r="B44" t="s">
        <v>132</v>
      </c>
      <c r="C44">
        <v>9474</v>
      </c>
      <c r="D44">
        <v>7005</v>
      </c>
      <c r="F44" t="s">
        <v>69</v>
      </c>
      <c r="G44">
        <v>7740</v>
      </c>
      <c r="H44">
        <v>411.23410852709998</v>
      </c>
      <c r="I44">
        <v>4492</v>
      </c>
      <c r="J44">
        <v>1204</v>
      </c>
      <c r="K44">
        <v>9832</v>
      </c>
      <c r="L44">
        <v>7322</v>
      </c>
      <c r="M44">
        <v>3469</v>
      </c>
      <c r="N44">
        <v>2902</v>
      </c>
      <c r="O44">
        <v>1643</v>
      </c>
      <c r="P44">
        <v>806</v>
      </c>
      <c r="Q44">
        <v>0</v>
      </c>
      <c r="R44">
        <v>68</v>
      </c>
      <c r="AH44" t="s">
        <v>379</v>
      </c>
      <c r="AI44">
        <v>448</v>
      </c>
      <c r="AJ44">
        <v>236.609375</v>
      </c>
      <c r="AK44">
        <v>958</v>
      </c>
      <c r="AL44">
        <v>165</v>
      </c>
      <c r="AM44">
        <v>909</v>
      </c>
      <c r="AN44">
        <v>335</v>
      </c>
      <c r="AO44">
        <v>315</v>
      </c>
      <c r="AP44">
        <v>224</v>
      </c>
      <c r="AQ44">
        <v>145</v>
      </c>
      <c r="AR44">
        <v>63</v>
      </c>
      <c r="AS44">
        <v>174</v>
      </c>
      <c r="AT44">
        <v>2</v>
      </c>
      <c r="AV44" t="s">
        <v>401</v>
      </c>
      <c r="AW44">
        <v>300</v>
      </c>
      <c r="AX44">
        <v>63.7866666667</v>
      </c>
      <c r="AY44">
        <v>932</v>
      </c>
      <c r="AZ44">
        <v>69</v>
      </c>
      <c r="BA44">
        <v>469</v>
      </c>
      <c r="BB44">
        <v>39</v>
      </c>
      <c r="BC44">
        <v>3</v>
      </c>
      <c r="BD44">
        <v>1</v>
      </c>
      <c r="BE44">
        <v>44</v>
      </c>
      <c r="BF44">
        <v>17</v>
      </c>
      <c r="BG44">
        <v>93</v>
      </c>
      <c r="BH44">
        <v>133</v>
      </c>
      <c r="BJ44" t="s">
        <v>550</v>
      </c>
      <c r="BK44" t="s">
        <v>376</v>
      </c>
      <c r="BL44">
        <v>18436</v>
      </c>
      <c r="BM44">
        <v>4354</v>
      </c>
      <c r="BN44">
        <v>98.261716207399999</v>
      </c>
      <c r="BO44">
        <v>6206</v>
      </c>
      <c r="BP44">
        <v>2170</v>
      </c>
      <c r="BQ44">
        <v>154.82645826620001</v>
      </c>
      <c r="BR44">
        <v>149.31843317970001</v>
      </c>
      <c r="BS44">
        <v>10794</v>
      </c>
      <c r="BT44">
        <v>2218</v>
      </c>
      <c r="BU44">
        <v>86.248471373000001</v>
      </c>
      <c r="BV44">
        <v>3981</v>
      </c>
      <c r="BW44">
        <v>1402</v>
      </c>
      <c r="BX44">
        <v>148.047977895</v>
      </c>
      <c r="BY44">
        <v>143.32881597720001</v>
      </c>
      <c r="CA44" t="s">
        <v>386</v>
      </c>
      <c r="CB44" t="s">
        <v>863</v>
      </c>
      <c r="CC44" t="s">
        <v>1000</v>
      </c>
      <c r="CD44">
        <v>2612</v>
      </c>
      <c r="CE44">
        <v>363</v>
      </c>
      <c r="CF44">
        <v>78.924961715199998</v>
      </c>
      <c r="CG44">
        <v>1111</v>
      </c>
      <c r="CH44">
        <v>362</v>
      </c>
      <c r="CI44">
        <v>116.20612061209999</v>
      </c>
      <c r="CJ44">
        <v>111.8149171271</v>
      </c>
      <c r="CL44" t="s">
        <v>386</v>
      </c>
      <c r="CM44" t="s">
        <v>832</v>
      </c>
      <c r="CN44" t="s">
        <v>846</v>
      </c>
      <c r="CO44">
        <v>191</v>
      </c>
      <c r="CP44">
        <v>20</v>
      </c>
      <c r="CQ44">
        <v>79.905759162300001</v>
      </c>
      <c r="CR44">
        <v>126</v>
      </c>
      <c r="CS44">
        <v>34</v>
      </c>
      <c r="CT44">
        <v>80.246031746</v>
      </c>
      <c r="CU44">
        <v>77.647058823500004</v>
      </c>
      <c r="CW44" t="s">
        <v>386</v>
      </c>
      <c r="CX44" t="s">
        <v>848</v>
      </c>
      <c r="CY44" t="s">
        <v>862</v>
      </c>
      <c r="CZ44">
        <v>24</v>
      </c>
      <c r="DA44">
        <v>3</v>
      </c>
      <c r="DB44">
        <v>76.625</v>
      </c>
      <c r="DC44">
        <v>4</v>
      </c>
      <c r="DD44">
        <v>0</v>
      </c>
      <c r="DE44">
        <v>152.75</v>
      </c>
      <c r="DF44">
        <v>0</v>
      </c>
      <c r="DH44" t="s">
        <v>386</v>
      </c>
      <c r="DI44" t="s">
        <v>816</v>
      </c>
      <c r="DJ44" t="s">
        <v>830</v>
      </c>
      <c r="DK44">
        <v>29</v>
      </c>
      <c r="DL44">
        <v>10</v>
      </c>
      <c r="DM44">
        <v>99.758620689699995</v>
      </c>
      <c r="DN44">
        <v>1</v>
      </c>
      <c r="DO44">
        <v>0</v>
      </c>
      <c r="DP44">
        <v>148</v>
      </c>
      <c r="DQ44">
        <v>0</v>
      </c>
    </row>
    <row r="45" spans="2:121" x14ac:dyDescent="0.2">
      <c r="B45" t="s">
        <v>106</v>
      </c>
      <c r="C45">
        <v>192</v>
      </c>
      <c r="D45">
        <v>187</v>
      </c>
      <c r="F45" t="s">
        <v>66</v>
      </c>
      <c r="G45">
        <v>6174</v>
      </c>
      <c r="H45">
        <v>381.20748299320002</v>
      </c>
      <c r="I45">
        <v>10682</v>
      </c>
      <c r="J45">
        <v>2858</v>
      </c>
      <c r="K45">
        <v>9343</v>
      </c>
      <c r="L45">
        <v>6423</v>
      </c>
      <c r="M45">
        <v>1967</v>
      </c>
      <c r="N45">
        <v>387</v>
      </c>
      <c r="O45">
        <v>6954</v>
      </c>
      <c r="P45">
        <v>6159</v>
      </c>
      <c r="Q45">
        <v>11229</v>
      </c>
      <c r="R45">
        <v>0</v>
      </c>
      <c r="AH45" t="s">
        <v>390</v>
      </c>
      <c r="AI45">
        <v>10960</v>
      </c>
      <c r="AJ45">
        <v>352.191879562</v>
      </c>
      <c r="AK45">
        <v>9917</v>
      </c>
      <c r="AL45">
        <v>2431</v>
      </c>
      <c r="AM45">
        <v>15544</v>
      </c>
      <c r="AN45">
        <v>10831</v>
      </c>
      <c r="AO45">
        <v>2901</v>
      </c>
      <c r="AP45">
        <v>1915</v>
      </c>
      <c r="AQ45">
        <v>2848</v>
      </c>
      <c r="AR45">
        <v>1691</v>
      </c>
      <c r="AS45">
        <v>528</v>
      </c>
      <c r="AT45">
        <v>59</v>
      </c>
      <c r="AV45" t="s">
        <v>428</v>
      </c>
      <c r="AW45">
        <v>9</v>
      </c>
      <c r="AX45">
        <v>28.555555555600002</v>
      </c>
      <c r="AY45">
        <v>23</v>
      </c>
      <c r="BA45">
        <v>16</v>
      </c>
      <c r="BB45">
        <v>1</v>
      </c>
      <c r="BC45">
        <v>0</v>
      </c>
      <c r="BE45">
        <v>0</v>
      </c>
      <c r="BG45">
        <v>54</v>
      </c>
      <c r="BH45">
        <v>3</v>
      </c>
      <c r="BJ45" t="s">
        <v>8</v>
      </c>
      <c r="BK45" t="s">
        <v>8</v>
      </c>
      <c r="BL45">
        <v>287</v>
      </c>
      <c r="BM45">
        <v>245</v>
      </c>
      <c r="BN45">
        <v>197.9233449477</v>
      </c>
      <c r="BO45">
        <v>216</v>
      </c>
      <c r="BP45">
        <v>67</v>
      </c>
      <c r="BQ45">
        <v>197.4537037037</v>
      </c>
      <c r="BR45">
        <v>185.95522388059999</v>
      </c>
      <c r="BS45">
        <v>24</v>
      </c>
      <c r="BT45">
        <v>9</v>
      </c>
      <c r="BU45">
        <v>132.7083333333</v>
      </c>
      <c r="BV45">
        <v>5</v>
      </c>
      <c r="BW45">
        <v>4</v>
      </c>
      <c r="BX45">
        <v>143</v>
      </c>
      <c r="BY45">
        <v>153.75</v>
      </c>
      <c r="CA45" t="s">
        <v>376</v>
      </c>
      <c r="CB45" t="s">
        <v>863</v>
      </c>
      <c r="CD45">
        <v>70284</v>
      </c>
      <c r="CE45">
        <v>15735</v>
      </c>
      <c r="CF45">
        <v>95.431520687499997</v>
      </c>
      <c r="CG45">
        <v>27031</v>
      </c>
      <c r="CH45">
        <v>8684</v>
      </c>
      <c r="CI45">
        <v>138.65532166770001</v>
      </c>
      <c r="CJ45">
        <v>136.32600184250001</v>
      </c>
      <c r="CL45" t="s">
        <v>376</v>
      </c>
      <c r="CM45" t="s">
        <v>832</v>
      </c>
      <c r="CO45">
        <v>5588</v>
      </c>
      <c r="CP45">
        <v>589</v>
      </c>
      <c r="CQ45">
        <v>70.050107372900001</v>
      </c>
      <c r="CR45">
        <v>3322</v>
      </c>
      <c r="CS45">
        <v>1046</v>
      </c>
      <c r="CT45">
        <v>80.5</v>
      </c>
      <c r="CU45">
        <v>79.886233269599998</v>
      </c>
      <c r="CW45" t="s">
        <v>376</v>
      </c>
      <c r="CX45" t="s">
        <v>848</v>
      </c>
      <c r="CZ45">
        <v>2508</v>
      </c>
      <c r="DA45">
        <v>465</v>
      </c>
      <c r="DB45">
        <v>79.019936204100006</v>
      </c>
      <c r="DC45">
        <v>470</v>
      </c>
      <c r="DD45">
        <v>178</v>
      </c>
      <c r="DE45">
        <v>142.64255319150001</v>
      </c>
      <c r="DF45">
        <v>140.43258426969999</v>
      </c>
      <c r="DH45" t="s">
        <v>376</v>
      </c>
      <c r="DI45" t="s">
        <v>816</v>
      </c>
      <c r="DK45">
        <v>3661</v>
      </c>
      <c r="DL45">
        <v>701</v>
      </c>
      <c r="DM45">
        <v>79.344168260000004</v>
      </c>
      <c r="DN45">
        <v>568</v>
      </c>
      <c r="DO45">
        <v>217</v>
      </c>
      <c r="DP45">
        <v>140.05281690140001</v>
      </c>
      <c r="DQ45">
        <v>139.9723502304</v>
      </c>
    </row>
    <row r="46" spans="2:121" x14ac:dyDescent="0.2">
      <c r="B46" t="s">
        <v>114</v>
      </c>
      <c r="C46">
        <v>544</v>
      </c>
      <c r="D46">
        <v>469</v>
      </c>
      <c r="F46" t="s">
        <v>84</v>
      </c>
      <c r="G46">
        <v>1546</v>
      </c>
      <c r="H46">
        <v>168.41655886160001</v>
      </c>
      <c r="I46">
        <v>3007</v>
      </c>
      <c r="J46">
        <v>589</v>
      </c>
      <c r="K46">
        <v>2401</v>
      </c>
      <c r="L46">
        <v>1068</v>
      </c>
      <c r="M46">
        <v>667</v>
      </c>
      <c r="N46">
        <v>221</v>
      </c>
      <c r="O46">
        <v>173</v>
      </c>
      <c r="P46">
        <v>83</v>
      </c>
      <c r="Q46">
        <v>0</v>
      </c>
      <c r="R46">
        <v>11</v>
      </c>
      <c r="AH46" t="s">
        <v>427</v>
      </c>
      <c r="AI46">
        <v>403</v>
      </c>
      <c r="AJ46">
        <v>245.7047146402</v>
      </c>
      <c r="AK46">
        <v>881</v>
      </c>
      <c r="AL46">
        <v>166</v>
      </c>
      <c r="AM46">
        <v>917</v>
      </c>
      <c r="AN46">
        <v>273</v>
      </c>
      <c r="AO46">
        <v>353</v>
      </c>
      <c r="AP46">
        <v>161</v>
      </c>
      <c r="AQ46">
        <v>116</v>
      </c>
      <c r="AR46">
        <v>58</v>
      </c>
      <c r="AS46">
        <v>1</v>
      </c>
      <c r="AT46">
        <v>1</v>
      </c>
      <c r="AV46" t="s">
        <v>396</v>
      </c>
      <c r="AW46">
        <v>132</v>
      </c>
      <c r="AX46">
        <v>66.954545454500007</v>
      </c>
      <c r="AY46">
        <v>306</v>
      </c>
      <c r="AZ46">
        <v>11</v>
      </c>
      <c r="BA46">
        <v>224</v>
      </c>
      <c r="BB46">
        <v>24</v>
      </c>
      <c r="BC46">
        <v>3</v>
      </c>
      <c r="BD46">
        <v>3</v>
      </c>
      <c r="BE46">
        <v>32</v>
      </c>
      <c r="BF46">
        <v>4</v>
      </c>
      <c r="BG46">
        <v>71</v>
      </c>
      <c r="BH46">
        <v>29</v>
      </c>
      <c r="BJ46" t="s">
        <v>693</v>
      </c>
      <c r="BK46" t="s">
        <v>8</v>
      </c>
      <c r="BL46">
        <v>287</v>
      </c>
      <c r="BM46">
        <v>245</v>
      </c>
      <c r="BN46">
        <v>197.9233449477</v>
      </c>
      <c r="BO46">
        <v>216</v>
      </c>
      <c r="BP46">
        <v>67</v>
      </c>
      <c r="BQ46">
        <v>197.4537037037</v>
      </c>
      <c r="BR46">
        <v>185.95522388059999</v>
      </c>
      <c r="BS46">
        <v>24</v>
      </c>
      <c r="BT46">
        <v>9</v>
      </c>
      <c r="BU46">
        <v>132.7083333333</v>
      </c>
      <c r="BV46">
        <v>5</v>
      </c>
      <c r="BW46">
        <v>4</v>
      </c>
      <c r="BX46">
        <v>143</v>
      </c>
      <c r="BY46">
        <v>153.75</v>
      </c>
      <c r="CA46" t="s">
        <v>8</v>
      </c>
      <c r="CB46" t="s">
        <v>693</v>
      </c>
      <c r="CC46" t="s">
        <v>693</v>
      </c>
      <c r="CD46">
        <v>3525</v>
      </c>
      <c r="CE46">
        <v>1342</v>
      </c>
      <c r="CF46">
        <v>132.9926241135</v>
      </c>
      <c r="CG46">
        <v>1157</v>
      </c>
      <c r="CH46">
        <v>361</v>
      </c>
      <c r="CI46">
        <v>191.3171996543</v>
      </c>
      <c r="CJ46">
        <v>183.62326869809999</v>
      </c>
      <c r="CL46" t="s">
        <v>8</v>
      </c>
      <c r="CM46" t="s">
        <v>865</v>
      </c>
      <c r="CN46" t="s">
        <v>865</v>
      </c>
      <c r="CO46">
        <v>176</v>
      </c>
      <c r="CP46">
        <v>26</v>
      </c>
      <c r="CQ46">
        <v>77.255681818200003</v>
      </c>
      <c r="CR46">
        <v>122</v>
      </c>
      <c r="CS46">
        <v>46</v>
      </c>
      <c r="CT46">
        <v>91.4180327869</v>
      </c>
      <c r="CU46">
        <v>100.847826087</v>
      </c>
      <c r="CW46" t="s">
        <v>8</v>
      </c>
      <c r="CX46" t="s">
        <v>866</v>
      </c>
      <c r="CY46" t="s">
        <v>866</v>
      </c>
      <c r="CZ46">
        <v>31</v>
      </c>
      <c r="DA46">
        <v>4</v>
      </c>
      <c r="DB46">
        <v>81.548387096799999</v>
      </c>
      <c r="DC46">
        <v>7</v>
      </c>
      <c r="DD46">
        <v>2</v>
      </c>
      <c r="DE46">
        <v>141.57142857139999</v>
      </c>
      <c r="DF46">
        <v>156.5</v>
      </c>
      <c r="DH46" t="s">
        <v>8</v>
      </c>
      <c r="DI46" t="s">
        <v>864</v>
      </c>
      <c r="DJ46" t="s">
        <v>864</v>
      </c>
      <c r="DK46">
        <v>64</v>
      </c>
      <c r="DL46">
        <v>8</v>
      </c>
      <c r="DM46">
        <v>70.34375</v>
      </c>
      <c r="DN46">
        <v>16</v>
      </c>
      <c r="DO46">
        <v>7</v>
      </c>
      <c r="DP46">
        <v>104.8125</v>
      </c>
      <c r="DQ46">
        <v>87.571428571400006</v>
      </c>
    </row>
    <row r="47" spans="2:121" x14ac:dyDescent="0.2">
      <c r="B47" t="s">
        <v>21</v>
      </c>
      <c r="C47">
        <v>42203</v>
      </c>
      <c r="D47">
        <v>12051</v>
      </c>
      <c r="F47" t="s">
        <v>81</v>
      </c>
      <c r="G47">
        <v>1457</v>
      </c>
      <c r="H47">
        <v>245.54632807140001</v>
      </c>
      <c r="I47">
        <v>1066</v>
      </c>
      <c r="J47">
        <v>158</v>
      </c>
      <c r="K47">
        <v>2191</v>
      </c>
      <c r="L47">
        <v>1272</v>
      </c>
      <c r="M47">
        <v>1482</v>
      </c>
      <c r="N47">
        <v>850</v>
      </c>
      <c r="O47">
        <v>679</v>
      </c>
      <c r="P47">
        <v>619</v>
      </c>
      <c r="Q47">
        <v>1</v>
      </c>
      <c r="R47">
        <v>0</v>
      </c>
      <c r="AH47" t="s">
        <v>391</v>
      </c>
      <c r="AI47">
        <v>6986</v>
      </c>
      <c r="AJ47">
        <v>285.09719438880001</v>
      </c>
      <c r="AK47">
        <v>9672</v>
      </c>
      <c r="AL47">
        <v>2020</v>
      </c>
      <c r="AM47">
        <v>11820</v>
      </c>
      <c r="AN47">
        <v>6024</v>
      </c>
      <c r="AO47">
        <v>3125</v>
      </c>
      <c r="AP47">
        <v>2164</v>
      </c>
      <c r="AQ47">
        <v>1948</v>
      </c>
      <c r="AR47">
        <v>1145</v>
      </c>
      <c r="AS47">
        <v>514</v>
      </c>
      <c r="AT47">
        <v>232</v>
      </c>
      <c r="AV47" t="s">
        <v>430</v>
      </c>
      <c r="AW47">
        <v>54</v>
      </c>
      <c r="AX47">
        <v>127.1111111111</v>
      </c>
      <c r="AY47">
        <v>96</v>
      </c>
      <c r="AZ47">
        <v>16</v>
      </c>
      <c r="BA47">
        <v>79</v>
      </c>
      <c r="BB47">
        <v>35</v>
      </c>
      <c r="BC47">
        <v>5</v>
      </c>
      <c r="BD47">
        <v>4</v>
      </c>
      <c r="BE47">
        <v>7</v>
      </c>
      <c r="BF47">
        <v>3</v>
      </c>
      <c r="BG47">
        <v>8</v>
      </c>
      <c r="BH47">
        <v>27</v>
      </c>
      <c r="BJ47" t="s">
        <v>593</v>
      </c>
      <c r="BK47" t="s">
        <v>411</v>
      </c>
      <c r="BL47">
        <v>3373</v>
      </c>
      <c r="BM47">
        <v>676</v>
      </c>
      <c r="BN47">
        <v>91.515861251100006</v>
      </c>
      <c r="BO47">
        <v>978</v>
      </c>
      <c r="BP47">
        <v>364</v>
      </c>
      <c r="BQ47">
        <v>147.12474437629999</v>
      </c>
      <c r="BR47">
        <v>141.7554945055</v>
      </c>
      <c r="BS47">
        <v>2616</v>
      </c>
      <c r="BT47">
        <v>532</v>
      </c>
      <c r="BU47">
        <v>91.485856269099997</v>
      </c>
      <c r="BV47">
        <v>888</v>
      </c>
      <c r="BW47">
        <v>312</v>
      </c>
      <c r="BX47">
        <v>145.67342342340001</v>
      </c>
      <c r="BY47">
        <v>144.36538461539999</v>
      </c>
      <c r="CA47" t="s">
        <v>8</v>
      </c>
      <c r="CB47" t="s">
        <v>693</v>
      </c>
      <c r="CC47" t="s">
        <v>693</v>
      </c>
      <c r="CD47">
        <v>3525</v>
      </c>
      <c r="CE47">
        <v>1342</v>
      </c>
      <c r="CF47">
        <v>132.9926241135</v>
      </c>
      <c r="CG47">
        <v>1157</v>
      </c>
      <c r="CH47">
        <v>361</v>
      </c>
      <c r="CI47">
        <v>191.3171996543</v>
      </c>
      <c r="CJ47">
        <v>183.62326869809999</v>
      </c>
      <c r="CL47" t="s">
        <v>8</v>
      </c>
      <c r="CM47" t="s">
        <v>865</v>
      </c>
      <c r="CN47" t="s">
        <v>865</v>
      </c>
      <c r="CO47">
        <v>176</v>
      </c>
      <c r="CP47">
        <v>26</v>
      </c>
      <c r="CQ47">
        <v>77.255681818200003</v>
      </c>
      <c r="CR47">
        <v>122</v>
      </c>
      <c r="CS47">
        <v>46</v>
      </c>
      <c r="CT47">
        <v>91.4180327869</v>
      </c>
      <c r="CU47">
        <v>100.847826087</v>
      </c>
      <c r="CW47" t="s">
        <v>8</v>
      </c>
      <c r="CX47" t="s">
        <v>866</v>
      </c>
      <c r="CY47" t="s">
        <v>866</v>
      </c>
      <c r="CZ47">
        <v>31</v>
      </c>
      <c r="DA47">
        <v>4</v>
      </c>
      <c r="DB47">
        <v>81.548387096799999</v>
      </c>
      <c r="DC47">
        <v>7</v>
      </c>
      <c r="DD47">
        <v>2</v>
      </c>
      <c r="DE47">
        <v>141.57142857139999</v>
      </c>
      <c r="DF47">
        <v>156.5</v>
      </c>
      <c r="DH47" t="s">
        <v>8</v>
      </c>
      <c r="DI47" t="s">
        <v>864</v>
      </c>
      <c r="DJ47" t="s">
        <v>864</v>
      </c>
      <c r="DK47">
        <v>64</v>
      </c>
      <c r="DL47">
        <v>8</v>
      </c>
      <c r="DM47">
        <v>70.34375</v>
      </c>
      <c r="DN47">
        <v>16</v>
      </c>
      <c r="DO47">
        <v>7</v>
      </c>
      <c r="DP47">
        <v>104.8125</v>
      </c>
      <c r="DQ47">
        <v>87.571428571400006</v>
      </c>
    </row>
    <row r="48" spans="2:121" x14ac:dyDescent="0.2">
      <c r="B48" t="s">
        <v>107</v>
      </c>
      <c r="C48">
        <v>19089</v>
      </c>
      <c r="D48">
        <v>14048</v>
      </c>
      <c r="F48" t="s">
        <v>437</v>
      </c>
      <c r="G48">
        <v>35257</v>
      </c>
      <c r="H48">
        <v>513.64341832829996</v>
      </c>
      <c r="I48">
        <v>1518</v>
      </c>
      <c r="J48">
        <v>543</v>
      </c>
      <c r="K48">
        <v>35764</v>
      </c>
      <c r="L48">
        <v>34392</v>
      </c>
      <c r="M48">
        <v>289</v>
      </c>
      <c r="N48">
        <v>140</v>
      </c>
      <c r="O48">
        <v>1233</v>
      </c>
      <c r="P48">
        <v>1103</v>
      </c>
      <c r="Q48">
        <v>0</v>
      </c>
      <c r="R48">
        <v>0</v>
      </c>
      <c r="AH48" t="s">
        <v>417</v>
      </c>
      <c r="AI48">
        <v>31838</v>
      </c>
      <c r="AJ48">
        <v>346.56065079460001</v>
      </c>
      <c r="AK48">
        <v>36806</v>
      </c>
      <c r="AL48">
        <v>7884</v>
      </c>
      <c r="AM48">
        <v>44367</v>
      </c>
      <c r="AN48">
        <v>26795</v>
      </c>
      <c r="AO48">
        <v>7906</v>
      </c>
      <c r="AP48">
        <v>4051</v>
      </c>
      <c r="AQ48">
        <v>10173</v>
      </c>
      <c r="AR48">
        <v>5294</v>
      </c>
      <c r="AS48">
        <v>32</v>
      </c>
      <c r="AT48">
        <v>409</v>
      </c>
      <c r="AV48" t="s">
        <v>426</v>
      </c>
      <c r="AW48">
        <v>15</v>
      </c>
      <c r="AX48">
        <v>48.866666666699999</v>
      </c>
      <c r="AY48">
        <v>32</v>
      </c>
      <c r="AZ48">
        <v>1</v>
      </c>
      <c r="BA48">
        <v>24</v>
      </c>
      <c r="BB48">
        <v>2</v>
      </c>
      <c r="BC48">
        <v>0</v>
      </c>
      <c r="BE48">
        <v>0</v>
      </c>
      <c r="BG48">
        <v>52</v>
      </c>
      <c r="BH48">
        <v>8</v>
      </c>
      <c r="BJ48" t="s">
        <v>652</v>
      </c>
      <c r="BK48" t="s">
        <v>411</v>
      </c>
      <c r="BL48">
        <v>1227</v>
      </c>
      <c r="BM48">
        <v>208</v>
      </c>
      <c r="BN48">
        <v>82.497147514299996</v>
      </c>
      <c r="BO48">
        <v>235</v>
      </c>
      <c r="BP48">
        <v>112</v>
      </c>
      <c r="BQ48">
        <v>133.60425531909999</v>
      </c>
      <c r="BR48">
        <v>138.21428571429999</v>
      </c>
      <c r="BS48">
        <v>1292</v>
      </c>
      <c r="BT48">
        <v>238</v>
      </c>
      <c r="BU48">
        <v>85.859907120700001</v>
      </c>
      <c r="BV48">
        <v>284</v>
      </c>
      <c r="BW48">
        <v>137</v>
      </c>
      <c r="BX48">
        <v>141.2042253521</v>
      </c>
      <c r="BY48">
        <v>139.8832116788</v>
      </c>
      <c r="CA48" t="s">
        <v>8</v>
      </c>
      <c r="CB48" t="s">
        <v>693</v>
      </c>
      <c r="CC48" t="s">
        <v>693</v>
      </c>
      <c r="CD48">
        <v>3525</v>
      </c>
      <c r="CE48">
        <v>1342</v>
      </c>
      <c r="CF48">
        <v>132.9926241135</v>
      </c>
      <c r="CG48">
        <v>1157</v>
      </c>
      <c r="CH48">
        <v>361</v>
      </c>
      <c r="CI48">
        <v>191.3171996543</v>
      </c>
      <c r="CJ48">
        <v>183.62326869809999</v>
      </c>
      <c r="CL48" t="s">
        <v>8</v>
      </c>
      <c r="CM48" t="s">
        <v>865</v>
      </c>
      <c r="CN48" t="s">
        <v>865</v>
      </c>
      <c r="CO48">
        <v>176</v>
      </c>
      <c r="CP48">
        <v>26</v>
      </c>
      <c r="CQ48">
        <v>77.255681818200003</v>
      </c>
      <c r="CR48">
        <v>122</v>
      </c>
      <c r="CS48">
        <v>46</v>
      </c>
      <c r="CT48">
        <v>91.4180327869</v>
      </c>
      <c r="CU48">
        <v>100.847826087</v>
      </c>
      <c r="CW48" t="s">
        <v>8</v>
      </c>
      <c r="CX48" t="s">
        <v>866</v>
      </c>
      <c r="CY48" t="s">
        <v>866</v>
      </c>
      <c r="CZ48">
        <v>31</v>
      </c>
      <c r="DA48">
        <v>4</v>
      </c>
      <c r="DB48">
        <v>81.548387096799999</v>
      </c>
      <c r="DC48">
        <v>7</v>
      </c>
      <c r="DD48">
        <v>2</v>
      </c>
      <c r="DE48">
        <v>141.57142857139999</v>
      </c>
      <c r="DF48">
        <v>156.5</v>
      </c>
      <c r="DH48" t="s">
        <v>8</v>
      </c>
      <c r="DI48" t="s">
        <v>864</v>
      </c>
      <c r="DJ48" t="s">
        <v>864</v>
      </c>
      <c r="DK48">
        <v>64</v>
      </c>
      <c r="DL48">
        <v>8</v>
      </c>
      <c r="DM48">
        <v>70.34375</v>
      </c>
      <c r="DN48">
        <v>16</v>
      </c>
      <c r="DO48">
        <v>7</v>
      </c>
      <c r="DP48">
        <v>104.8125</v>
      </c>
      <c r="DQ48">
        <v>87.571428571400006</v>
      </c>
    </row>
    <row r="49" spans="2:121" x14ac:dyDescent="0.2">
      <c r="B49" t="s">
        <v>123</v>
      </c>
      <c r="C49">
        <v>3903</v>
      </c>
      <c r="D49">
        <v>936</v>
      </c>
      <c r="F49" t="s">
        <v>51</v>
      </c>
      <c r="G49">
        <v>9093</v>
      </c>
      <c r="H49">
        <v>496.50478389969999</v>
      </c>
      <c r="I49">
        <v>4946</v>
      </c>
      <c r="J49">
        <v>792</v>
      </c>
      <c r="K49">
        <v>14615</v>
      </c>
      <c r="L49">
        <v>8486</v>
      </c>
      <c r="M49">
        <v>1364</v>
      </c>
      <c r="N49">
        <v>912</v>
      </c>
      <c r="O49">
        <v>1568</v>
      </c>
      <c r="P49">
        <v>1312</v>
      </c>
      <c r="Q49">
        <v>1</v>
      </c>
      <c r="R49">
        <v>195</v>
      </c>
      <c r="AH49" t="s">
        <v>413</v>
      </c>
      <c r="AI49">
        <v>2036</v>
      </c>
      <c r="AJ49">
        <v>329.05255402749998</v>
      </c>
      <c r="AK49">
        <v>1954</v>
      </c>
      <c r="AL49">
        <v>377</v>
      </c>
      <c r="AM49">
        <v>2889</v>
      </c>
      <c r="AN49">
        <v>1751</v>
      </c>
      <c r="AO49">
        <v>655</v>
      </c>
      <c r="AP49">
        <v>418</v>
      </c>
      <c r="AQ49">
        <v>261</v>
      </c>
      <c r="AR49">
        <v>96</v>
      </c>
      <c r="AS49">
        <v>1</v>
      </c>
      <c r="AT49">
        <v>2</v>
      </c>
      <c r="AV49" t="s">
        <v>385</v>
      </c>
      <c r="AW49">
        <v>729</v>
      </c>
      <c r="AX49">
        <v>119.74485596709999</v>
      </c>
      <c r="AY49">
        <v>766</v>
      </c>
      <c r="AZ49">
        <v>205</v>
      </c>
      <c r="BA49">
        <v>1009</v>
      </c>
      <c r="BB49">
        <v>353</v>
      </c>
      <c r="BC49">
        <v>150</v>
      </c>
      <c r="BD49">
        <v>148</v>
      </c>
      <c r="BE49">
        <v>51</v>
      </c>
      <c r="BF49">
        <v>25</v>
      </c>
      <c r="BG49">
        <v>119</v>
      </c>
      <c r="BH49">
        <v>304</v>
      </c>
      <c r="BJ49" t="s">
        <v>608</v>
      </c>
      <c r="BK49" t="s">
        <v>411</v>
      </c>
      <c r="BL49">
        <v>1334</v>
      </c>
      <c r="BM49">
        <v>280</v>
      </c>
      <c r="BN49">
        <v>85.967766116899995</v>
      </c>
      <c r="BO49">
        <v>701</v>
      </c>
      <c r="BP49">
        <v>217</v>
      </c>
      <c r="BQ49">
        <v>122.1740370899</v>
      </c>
      <c r="BR49">
        <v>126.2534562212</v>
      </c>
      <c r="BS49">
        <v>1534</v>
      </c>
      <c r="BT49">
        <v>376</v>
      </c>
      <c r="BU49">
        <v>97.358539765299994</v>
      </c>
      <c r="BV49">
        <v>766</v>
      </c>
      <c r="BW49">
        <v>241</v>
      </c>
      <c r="BX49">
        <v>134.2624020888</v>
      </c>
      <c r="BY49">
        <v>140.63900414939999</v>
      </c>
      <c r="CA49" t="s">
        <v>8</v>
      </c>
      <c r="CB49" t="s">
        <v>693</v>
      </c>
      <c r="CD49">
        <v>3525</v>
      </c>
      <c r="CE49">
        <v>1342</v>
      </c>
      <c r="CF49">
        <v>132.9926241135</v>
      </c>
      <c r="CG49">
        <v>1157</v>
      </c>
      <c r="CH49">
        <v>361</v>
      </c>
      <c r="CI49">
        <v>191.3171996543</v>
      </c>
      <c r="CJ49">
        <v>183.62326869809999</v>
      </c>
      <c r="CL49" t="s">
        <v>8</v>
      </c>
      <c r="CM49" t="s">
        <v>865</v>
      </c>
      <c r="CO49">
        <v>176</v>
      </c>
      <c r="CP49">
        <v>26</v>
      </c>
      <c r="CQ49">
        <v>77.255681818200003</v>
      </c>
      <c r="CR49">
        <v>122</v>
      </c>
      <c r="CS49">
        <v>46</v>
      </c>
      <c r="CT49">
        <v>91.4180327869</v>
      </c>
      <c r="CU49">
        <v>100.847826087</v>
      </c>
      <c r="CW49" t="s">
        <v>8</v>
      </c>
      <c r="CX49" t="s">
        <v>866</v>
      </c>
      <c r="CZ49">
        <v>31</v>
      </c>
      <c r="DA49">
        <v>4</v>
      </c>
      <c r="DB49">
        <v>81.548387096799999</v>
      </c>
      <c r="DC49">
        <v>7</v>
      </c>
      <c r="DD49">
        <v>2</v>
      </c>
      <c r="DE49">
        <v>141.57142857139999</v>
      </c>
      <c r="DF49">
        <v>156.5</v>
      </c>
      <c r="DH49" t="s">
        <v>8</v>
      </c>
      <c r="DI49" t="s">
        <v>864</v>
      </c>
      <c r="DK49">
        <v>64</v>
      </c>
      <c r="DL49">
        <v>8</v>
      </c>
      <c r="DM49">
        <v>70.34375</v>
      </c>
      <c r="DN49">
        <v>16</v>
      </c>
      <c r="DO49">
        <v>7</v>
      </c>
      <c r="DP49">
        <v>104.8125</v>
      </c>
      <c r="DQ49">
        <v>87.571428571400006</v>
      </c>
    </row>
    <row r="50" spans="2:121" x14ac:dyDescent="0.2">
      <c r="B50" t="s">
        <v>104</v>
      </c>
      <c r="C50">
        <v>216872</v>
      </c>
      <c r="D50">
        <v>150744</v>
      </c>
      <c r="F50" t="s">
        <v>43</v>
      </c>
      <c r="G50">
        <v>6779</v>
      </c>
      <c r="H50">
        <v>393.41908836110002</v>
      </c>
      <c r="I50">
        <v>7681</v>
      </c>
      <c r="J50">
        <v>2227</v>
      </c>
      <c r="K50">
        <v>8843</v>
      </c>
      <c r="L50">
        <v>6514</v>
      </c>
      <c r="M50">
        <v>2352</v>
      </c>
      <c r="N50">
        <v>1720</v>
      </c>
      <c r="O50">
        <v>1089</v>
      </c>
      <c r="P50">
        <v>363</v>
      </c>
      <c r="Q50">
        <v>0</v>
      </c>
      <c r="R50">
        <v>59</v>
      </c>
      <c r="AH50" t="s">
        <v>424</v>
      </c>
      <c r="AI50">
        <v>571</v>
      </c>
      <c r="AJ50">
        <v>413.1891418564</v>
      </c>
      <c r="AK50">
        <v>469</v>
      </c>
      <c r="AL50">
        <v>92</v>
      </c>
      <c r="AM50">
        <v>900</v>
      </c>
      <c r="AN50">
        <v>562</v>
      </c>
      <c r="AO50">
        <v>189</v>
      </c>
      <c r="AP50">
        <v>122</v>
      </c>
      <c r="AQ50">
        <v>103</v>
      </c>
      <c r="AR50">
        <v>66</v>
      </c>
      <c r="AS50">
        <v>64</v>
      </c>
      <c r="AT50">
        <v>2</v>
      </c>
      <c r="AV50" t="s">
        <v>380</v>
      </c>
      <c r="AW50">
        <v>172</v>
      </c>
      <c r="AX50">
        <v>111.8546511628</v>
      </c>
      <c r="AY50">
        <v>297</v>
      </c>
      <c r="AZ50">
        <v>85</v>
      </c>
      <c r="BA50">
        <v>249</v>
      </c>
      <c r="BB50">
        <v>95</v>
      </c>
      <c r="BC50">
        <v>5</v>
      </c>
      <c r="BD50">
        <v>5</v>
      </c>
      <c r="BE50">
        <v>21</v>
      </c>
      <c r="BF50">
        <v>7</v>
      </c>
      <c r="BG50">
        <v>25</v>
      </c>
      <c r="BH50">
        <v>75</v>
      </c>
      <c r="BJ50" t="s">
        <v>648</v>
      </c>
      <c r="BK50" t="s">
        <v>411</v>
      </c>
      <c r="BL50">
        <v>2151</v>
      </c>
      <c r="BM50">
        <v>509</v>
      </c>
      <c r="BN50">
        <v>99.134821013500002</v>
      </c>
      <c r="BO50">
        <v>948</v>
      </c>
      <c r="BP50">
        <v>313</v>
      </c>
      <c r="BQ50">
        <v>149.9208860759</v>
      </c>
      <c r="BR50">
        <v>144.9968051118</v>
      </c>
      <c r="BS50">
        <v>2103</v>
      </c>
      <c r="BT50">
        <v>335</v>
      </c>
      <c r="BU50">
        <v>77.889205896299998</v>
      </c>
      <c r="BV50">
        <v>671</v>
      </c>
      <c r="BW50">
        <v>257</v>
      </c>
      <c r="BX50">
        <v>147.58569299550001</v>
      </c>
      <c r="BY50">
        <v>140.8871595331</v>
      </c>
      <c r="CA50" t="s">
        <v>431</v>
      </c>
      <c r="CB50" t="s">
        <v>897</v>
      </c>
      <c r="CC50" t="s">
        <v>1022</v>
      </c>
      <c r="CD50">
        <v>1210</v>
      </c>
      <c r="CE50">
        <v>202</v>
      </c>
      <c r="CF50">
        <v>80.064462809899993</v>
      </c>
      <c r="CG50">
        <v>379</v>
      </c>
      <c r="CH50">
        <v>146</v>
      </c>
      <c r="CI50">
        <v>89.559366754600006</v>
      </c>
      <c r="CJ50">
        <v>105.1780821918</v>
      </c>
      <c r="CL50" t="s">
        <v>431</v>
      </c>
      <c r="CM50" t="s">
        <v>878</v>
      </c>
      <c r="CN50" t="s">
        <v>877</v>
      </c>
      <c r="CO50">
        <v>21</v>
      </c>
      <c r="CP50">
        <v>3</v>
      </c>
      <c r="CQ50">
        <v>79.142857142899999</v>
      </c>
      <c r="CR50">
        <v>16</v>
      </c>
      <c r="CS50">
        <v>4</v>
      </c>
      <c r="CT50">
        <v>86.875</v>
      </c>
      <c r="CU50">
        <v>96.25</v>
      </c>
      <c r="CW50" t="s">
        <v>431</v>
      </c>
      <c r="CX50" t="s">
        <v>888</v>
      </c>
      <c r="CY50" t="s">
        <v>887</v>
      </c>
      <c r="CZ50">
        <v>21</v>
      </c>
      <c r="DA50">
        <v>2</v>
      </c>
      <c r="DB50">
        <v>64.095238095200003</v>
      </c>
      <c r="DC50">
        <v>4</v>
      </c>
      <c r="DD50">
        <v>1</v>
      </c>
      <c r="DE50">
        <v>101.5</v>
      </c>
      <c r="DF50">
        <v>145</v>
      </c>
      <c r="DH50" t="s">
        <v>431</v>
      </c>
      <c r="DI50" t="s">
        <v>868</v>
      </c>
      <c r="DJ50" t="s">
        <v>867</v>
      </c>
      <c r="DK50">
        <v>51</v>
      </c>
      <c r="DL50">
        <v>6</v>
      </c>
      <c r="DM50">
        <v>77.039215686299997</v>
      </c>
      <c r="DN50">
        <v>11</v>
      </c>
      <c r="DO50">
        <v>5</v>
      </c>
      <c r="DP50">
        <v>117</v>
      </c>
      <c r="DQ50">
        <v>118.6</v>
      </c>
    </row>
    <row r="51" spans="2:121" x14ac:dyDescent="0.2">
      <c r="B51" t="s">
        <v>131</v>
      </c>
      <c r="C51">
        <v>24585</v>
      </c>
      <c r="D51">
        <v>4588</v>
      </c>
      <c r="F51" t="s">
        <v>79</v>
      </c>
      <c r="G51">
        <v>2015</v>
      </c>
      <c r="H51">
        <v>168.42382133999999</v>
      </c>
      <c r="I51">
        <v>9652</v>
      </c>
      <c r="J51">
        <v>1726</v>
      </c>
      <c r="K51">
        <v>11388</v>
      </c>
      <c r="L51">
        <v>1916</v>
      </c>
      <c r="M51">
        <v>1318</v>
      </c>
      <c r="N51">
        <v>312</v>
      </c>
      <c r="O51">
        <v>959</v>
      </c>
      <c r="P51">
        <v>628</v>
      </c>
      <c r="Q51">
        <v>27</v>
      </c>
      <c r="R51">
        <v>0</v>
      </c>
      <c r="AH51" t="s">
        <v>385</v>
      </c>
      <c r="AI51">
        <v>17870</v>
      </c>
      <c r="AJ51">
        <v>488.1010072748</v>
      </c>
      <c r="AK51">
        <v>13111</v>
      </c>
      <c r="AL51">
        <v>2446</v>
      </c>
      <c r="AM51">
        <v>22478</v>
      </c>
      <c r="AN51">
        <v>15950</v>
      </c>
      <c r="AO51">
        <v>7328</v>
      </c>
      <c r="AP51">
        <v>5595</v>
      </c>
      <c r="AQ51">
        <v>6016</v>
      </c>
      <c r="AR51">
        <v>4300</v>
      </c>
      <c r="AS51">
        <v>815</v>
      </c>
      <c r="AT51">
        <v>20</v>
      </c>
      <c r="AV51" t="s">
        <v>413</v>
      </c>
      <c r="AW51">
        <v>33</v>
      </c>
      <c r="AX51">
        <v>49.939393939399999</v>
      </c>
      <c r="AY51">
        <v>202</v>
      </c>
      <c r="AZ51">
        <v>6</v>
      </c>
      <c r="BA51">
        <v>51</v>
      </c>
      <c r="BB51">
        <v>1</v>
      </c>
      <c r="BC51">
        <v>0</v>
      </c>
      <c r="BE51">
        <v>4</v>
      </c>
      <c r="BF51">
        <v>3</v>
      </c>
      <c r="BG51">
        <v>94</v>
      </c>
      <c r="BH51">
        <v>14</v>
      </c>
      <c r="BJ51" t="s">
        <v>600</v>
      </c>
      <c r="BK51" t="s">
        <v>411</v>
      </c>
      <c r="BL51">
        <v>8993</v>
      </c>
      <c r="BM51">
        <v>2084</v>
      </c>
      <c r="BN51">
        <v>95.265651061900002</v>
      </c>
      <c r="BO51">
        <v>3976</v>
      </c>
      <c r="BP51">
        <v>1267</v>
      </c>
      <c r="BQ51">
        <v>142.70850100600001</v>
      </c>
      <c r="BR51">
        <v>139.52407261249999</v>
      </c>
      <c r="BS51">
        <v>7216</v>
      </c>
      <c r="BT51">
        <v>1059</v>
      </c>
      <c r="BU51">
        <v>76.050027716200006</v>
      </c>
      <c r="BV51">
        <v>3111</v>
      </c>
      <c r="BW51">
        <v>1007</v>
      </c>
      <c r="BX51">
        <v>118.7039537126</v>
      </c>
      <c r="BY51">
        <v>116.6375372393</v>
      </c>
      <c r="CA51" t="s">
        <v>433</v>
      </c>
      <c r="CB51" t="s">
        <v>897</v>
      </c>
      <c r="CC51" t="s">
        <v>1023</v>
      </c>
      <c r="CD51">
        <v>5987</v>
      </c>
      <c r="CE51">
        <v>1177</v>
      </c>
      <c r="CF51">
        <v>96.339402037699998</v>
      </c>
      <c r="CG51">
        <v>2279</v>
      </c>
      <c r="CH51">
        <v>672</v>
      </c>
      <c r="CI51">
        <v>136.0574813515</v>
      </c>
      <c r="CJ51">
        <v>138.15029761900001</v>
      </c>
      <c r="CL51" t="s">
        <v>433</v>
      </c>
      <c r="CM51" t="s">
        <v>878</v>
      </c>
      <c r="CN51" t="s">
        <v>879</v>
      </c>
      <c r="CO51">
        <v>466</v>
      </c>
      <c r="CP51">
        <v>25</v>
      </c>
      <c r="CQ51">
        <v>58.244635193100002</v>
      </c>
      <c r="CR51">
        <v>431</v>
      </c>
      <c r="CS51">
        <v>116</v>
      </c>
      <c r="CT51">
        <v>65.011600928099995</v>
      </c>
      <c r="CU51">
        <v>69.663793103399996</v>
      </c>
      <c r="CW51" t="s">
        <v>433</v>
      </c>
      <c r="CX51" t="s">
        <v>888</v>
      </c>
      <c r="CY51" t="s">
        <v>889</v>
      </c>
      <c r="CZ51">
        <v>209</v>
      </c>
      <c r="DA51">
        <v>35</v>
      </c>
      <c r="DB51">
        <v>76.138755980900001</v>
      </c>
      <c r="DC51">
        <v>56</v>
      </c>
      <c r="DD51">
        <v>18</v>
      </c>
      <c r="DE51">
        <v>133.53571428570001</v>
      </c>
      <c r="DF51">
        <v>138.1111111111</v>
      </c>
      <c r="DH51" t="s">
        <v>433</v>
      </c>
      <c r="DI51" t="s">
        <v>868</v>
      </c>
      <c r="DJ51" t="s">
        <v>869</v>
      </c>
      <c r="DK51">
        <v>138</v>
      </c>
      <c r="DL51">
        <v>28</v>
      </c>
      <c r="DM51">
        <v>77.260869565199997</v>
      </c>
      <c r="DN51">
        <v>45</v>
      </c>
      <c r="DO51">
        <v>17</v>
      </c>
      <c r="DP51">
        <v>125.3111111111</v>
      </c>
      <c r="DQ51">
        <v>124.6470588235</v>
      </c>
    </row>
    <row r="52" spans="2:121" x14ac:dyDescent="0.2">
      <c r="B52" t="s">
        <v>126</v>
      </c>
      <c r="C52">
        <v>527</v>
      </c>
      <c r="D52">
        <v>523</v>
      </c>
      <c r="F52" t="s">
        <v>56</v>
      </c>
      <c r="G52">
        <v>7718</v>
      </c>
      <c r="H52">
        <v>506.51075408140002</v>
      </c>
      <c r="I52">
        <v>4650</v>
      </c>
      <c r="J52">
        <v>1178</v>
      </c>
      <c r="K52">
        <v>12846</v>
      </c>
      <c r="L52">
        <v>8294</v>
      </c>
      <c r="M52">
        <v>3161</v>
      </c>
      <c r="N52">
        <v>2783</v>
      </c>
      <c r="O52">
        <v>684</v>
      </c>
      <c r="P52">
        <v>359</v>
      </c>
      <c r="Q52">
        <v>67</v>
      </c>
      <c r="R52">
        <v>227</v>
      </c>
      <c r="AH52" t="s">
        <v>83</v>
      </c>
      <c r="AI52">
        <v>13095</v>
      </c>
      <c r="AJ52">
        <v>403.9434135166</v>
      </c>
      <c r="AK52">
        <v>6824</v>
      </c>
      <c r="AL52">
        <v>1266</v>
      </c>
      <c r="AM52">
        <v>19457</v>
      </c>
      <c r="AN52">
        <v>12956</v>
      </c>
      <c r="AO52">
        <v>4101</v>
      </c>
      <c r="AP52">
        <v>3064</v>
      </c>
      <c r="AQ52">
        <v>4979</v>
      </c>
      <c r="AR52">
        <v>3876</v>
      </c>
      <c r="AS52">
        <v>14</v>
      </c>
      <c r="AT52">
        <v>136</v>
      </c>
      <c r="AV52" t="s">
        <v>399</v>
      </c>
      <c r="AW52">
        <v>210</v>
      </c>
      <c r="AX52">
        <v>63.647619047600003</v>
      </c>
      <c r="AY52">
        <v>637</v>
      </c>
      <c r="AZ52">
        <v>55</v>
      </c>
      <c r="BA52">
        <v>361</v>
      </c>
      <c r="BB52">
        <v>34</v>
      </c>
      <c r="BC52">
        <v>2</v>
      </c>
      <c r="BD52">
        <v>2</v>
      </c>
      <c r="BE52">
        <v>26</v>
      </c>
      <c r="BF52">
        <v>13</v>
      </c>
      <c r="BG52">
        <v>51</v>
      </c>
      <c r="BH52">
        <v>67</v>
      </c>
      <c r="BJ52" t="s">
        <v>622</v>
      </c>
      <c r="BK52" t="s">
        <v>411</v>
      </c>
      <c r="BL52">
        <v>746</v>
      </c>
      <c r="BM52">
        <v>196</v>
      </c>
      <c r="BN52">
        <v>106.5013404826</v>
      </c>
      <c r="BO52">
        <v>377</v>
      </c>
      <c r="BP52">
        <v>96</v>
      </c>
      <c r="BQ52">
        <v>138.6445623342</v>
      </c>
      <c r="BR52">
        <v>127.4583333333</v>
      </c>
      <c r="BS52">
        <v>2118</v>
      </c>
      <c r="BT52">
        <v>671</v>
      </c>
      <c r="BU52">
        <v>119.08120868739999</v>
      </c>
      <c r="BV52">
        <v>748</v>
      </c>
      <c r="BW52">
        <v>203</v>
      </c>
      <c r="BX52">
        <v>200.5909090909</v>
      </c>
      <c r="BY52">
        <v>193.70443349749999</v>
      </c>
      <c r="CA52" t="s">
        <v>414</v>
      </c>
      <c r="CB52" t="s">
        <v>897</v>
      </c>
      <c r="CC52" t="s">
        <v>1024</v>
      </c>
      <c r="CD52">
        <v>29592</v>
      </c>
      <c r="CE52">
        <v>5856</v>
      </c>
      <c r="CF52">
        <v>90.758042714200002</v>
      </c>
      <c r="CG52">
        <v>11437</v>
      </c>
      <c r="CH52">
        <v>3661</v>
      </c>
      <c r="CI52">
        <v>142.9492874005</v>
      </c>
      <c r="CJ52">
        <v>139.9385413821</v>
      </c>
      <c r="CL52" t="s">
        <v>414</v>
      </c>
      <c r="CM52" t="s">
        <v>878</v>
      </c>
      <c r="CN52" t="s">
        <v>880</v>
      </c>
      <c r="CO52">
        <v>2112</v>
      </c>
      <c r="CP52">
        <v>145</v>
      </c>
      <c r="CQ52">
        <v>60.062026515200003</v>
      </c>
      <c r="CR52">
        <v>1867</v>
      </c>
      <c r="CS52">
        <v>539</v>
      </c>
      <c r="CT52">
        <v>60.228709159099999</v>
      </c>
      <c r="CU52">
        <v>60.215213358100002</v>
      </c>
      <c r="CW52" t="s">
        <v>414</v>
      </c>
      <c r="CX52" t="s">
        <v>888</v>
      </c>
      <c r="CY52" t="s">
        <v>890</v>
      </c>
      <c r="CZ52">
        <v>1489</v>
      </c>
      <c r="DA52">
        <v>190</v>
      </c>
      <c r="DB52">
        <v>73.365345869699993</v>
      </c>
      <c r="DC52">
        <v>361</v>
      </c>
      <c r="DD52">
        <v>111</v>
      </c>
      <c r="DE52">
        <v>120.8891966759</v>
      </c>
      <c r="DF52">
        <v>128.67567567570001</v>
      </c>
      <c r="DH52" t="s">
        <v>414</v>
      </c>
      <c r="DI52" t="s">
        <v>868</v>
      </c>
      <c r="DJ52" t="s">
        <v>870</v>
      </c>
      <c r="DK52">
        <v>836</v>
      </c>
      <c r="DL52">
        <v>100</v>
      </c>
      <c r="DM52">
        <v>73.924641148299997</v>
      </c>
      <c r="DN52">
        <v>209</v>
      </c>
      <c r="DO52">
        <v>80</v>
      </c>
      <c r="DP52">
        <v>114.07177033489999</v>
      </c>
      <c r="DQ52">
        <v>112.5125</v>
      </c>
    </row>
    <row r="53" spans="2:121" x14ac:dyDescent="0.2">
      <c r="B53" t="s">
        <v>109</v>
      </c>
      <c r="C53">
        <v>1323</v>
      </c>
      <c r="D53">
        <v>154</v>
      </c>
      <c r="F53" t="s">
        <v>45</v>
      </c>
      <c r="G53">
        <v>3577</v>
      </c>
      <c r="H53">
        <v>252.05703103159999</v>
      </c>
      <c r="I53">
        <v>7288</v>
      </c>
      <c r="J53">
        <v>1758</v>
      </c>
      <c r="K53">
        <v>7479</v>
      </c>
      <c r="L53">
        <v>3450</v>
      </c>
      <c r="M53">
        <v>1652</v>
      </c>
      <c r="N53">
        <v>838</v>
      </c>
      <c r="O53">
        <v>770</v>
      </c>
      <c r="P53">
        <v>386</v>
      </c>
      <c r="Q53">
        <v>0</v>
      </c>
      <c r="R53">
        <v>200</v>
      </c>
      <c r="AH53" t="s">
        <v>386</v>
      </c>
      <c r="AI53">
        <v>2226</v>
      </c>
      <c r="AJ53">
        <v>271.92902066490001</v>
      </c>
      <c r="AK53">
        <v>2568</v>
      </c>
      <c r="AL53">
        <v>389</v>
      </c>
      <c r="AM53">
        <v>3702</v>
      </c>
      <c r="AN53">
        <v>2129</v>
      </c>
      <c r="AO53">
        <v>428</v>
      </c>
      <c r="AP53">
        <v>196</v>
      </c>
      <c r="AQ53">
        <v>1188</v>
      </c>
      <c r="AR53">
        <v>773</v>
      </c>
      <c r="AS53">
        <v>302</v>
      </c>
      <c r="AT53">
        <v>16</v>
      </c>
      <c r="AV53" t="s">
        <v>431</v>
      </c>
      <c r="AW53">
        <v>9</v>
      </c>
      <c r="AX53">
        <v>51.777777777799997</v>
      </c>
      <c r="AY53">
        <v>11</v>
      </c>
      <c r="BA53">
        <v>13</v>
      </c>
      <c r="BC53">
        <v>0</v>
      </c>
      <c r="BE53">
        <v>1</v>
      </c>
      <c r="BG53">
        <v>12</v>
      </c>
      <c r="BH53">
        <v>1</v>
      </c>
      <c r="BJ53" t="s">
        <v>598</v>
      </c>
      <c r="BK53" t="s">
        <v>411</v>
      </c>
      <c r="BL53">
        <v>10977</v>
      </c>
      <c r="BM53">
        <v>2297</v>
      </c>
      <c r="BN53">
        <v>94.816343263199997</v>
      </c>
      <c r="BO53">
        <v>3714</v>
      </c>
      <c r="BP53">
        <v>1120</v>
      </c>
      <c r="BQ53">
        <v>153.92837910610001</v>
      </c>
      <c r="BR53">
        <v>153.55446428569999</v>
      </c>
      <c r="BS53">
        <v>7399</v>
      </c>
      <c r="BT53">
        <v>1083</v>
      </c>
      <c r="BU53">
        <v>84.454520881199997</v>
      </c>
      <c r="BV53">
        <v>2329</v>
      </c>
      <c r="BW53">
        <v>731</v>
      </c>
      <c r="BX53">
        <v>130.57106054100001</v>
      </c>
      <c r="BY53">
        <v>133.69904240770001</v>
      </c>
      <c r="CA53" t="s">
        <v>435</v>
      </c>
      <c r="CB53" t="s">
        <v>897</v>
      </c>
      <c r="CC53" t="s">
        <v>1025</v>
      </c>
      <c r="CD53">
        <v>2021</v>
      </c>
      <c r="CE53">
        <v>370</v>
      </c>
      <c r="CF53">
        <v>83.592775853500001</v>
      </c>
      <c r="CG53">
        <v>912</v>
      </c>
      <c r="CH53">
        <v>297</v>
      </c>
      <c r="CI53">
        <v>125.00328947369999</v>
      </c>
      <c r="CJ53">
        <v>127.9090909091</v>
      </c>
      <c r="CL53" t="s">
        <v>435</v>
      </c>
      <c r="CM53" t="s">
        <v>878</v>
      </c>
      <c r="CN53" t="s">
        <v>881</v>
      </c>
      <c r="CO53">
        <v>67</v>
      </c>
      <c r="CP53">
        <v>3</v>
      </c>
      <c r="CQ53">
        <v>57.373134328399999</v>
      </c>
      <c r="CR53">
        <v>56</v>
      </c>
      <c r="CS53">
        <v>17</v>
      </c>
      <c r="CT53">
        <v>66.089285714300004</v>
      </c>
      <c r="CU53">
        <v>61.411764705899998</v>
      </c>
      <c r="CW53" t="s">
        <v>435</v>
      </c>
      <c r="CX53" t="s">
        <v>888</v>
      </c>
      <c r="CY53" t="s">
        <v>891</v>
      </c>
      <c r="CZ53">
        <v>33</v>
      </c>
      <c r="DA53">
        <v>6</v>
      </c>
      <c r="DB53">
        <v>70.787878787899999</v>
      </c>
      <c r="DC53">
        <v>10</v>
      </c>
      <c r="DD53">
        <v>6</v>
      </c>
      <c r="DE53">
        <v>137.1</v>
      </c>
      <c r="DF53">
        <v>136.6666666667</v>
      </c>
      <c r="DH53" t="s">
        <v>435</v>
      </c>
      <c r="DI53" t="s">
        <v>868</v>
      </c>
      <c r="DJ53" t="s">
        <v>871</v>
      </c>
      <c r="DK53">
        <v>94</v>
      </c>
      <c r="DL53">
        <v>5</v>
      </c>
      <c r="DM53">
        <v>60.712765957400002</v>
      </c>
      <c r="DN53">
        <v>19</v>
      </c>
      <c r="DO53">
        <v>8</v>
      </c>
      <c r="DP53">
        <v>107.5263157895</v>
      </c>
      <c r="DQ53">
        <v>110.25</v>
      </c>
    </row>
    <row r="54" spans="2:121" x14ac:dyDescent="0.2">
      <c r="F54" t="s">
        <v>75</v>
      </c>
      <c r="G54">
        <v>2808</v>
      </c>
      <c r="H54">
        <v>379.22970085470001</v>
      </c>
      <c r="I54">
        <v>3312</v>
      </c>
      <c r="J54">
        <v>750</v>
      </c>
      <c r="K54">
        <v>4121</v>
      </c>
      <c r="L54">
        <v>3195</v>
      </c>
      <c r="M54">
        <v>820</v>
      </c>
      <c r="N54">
        <v>614</v>
      </c>
      <c r="O54">
        <v>895</v>
      </c>
      <c r="P54">
        <v>600</v>
      </c>
      <c r="Q54">
        <v>0</v>
      </c>
      <c r="R54">
        <v>1</v>
      </c>
      <c r="AH54" t="s">
        <v>403</v>
      </c>
      <c r="AI54">
        <v>4238</v>
      </c>
      <c r="AJ54">
        <v>275.82751297779998</v>
      </c>
      <c r="AK54">
        <v>4063</v>
      </c>
      <c r="AL54">
        <v>736</v>
      </c>
      <c r="AM54">
        <v>6591</v>
      </c>
      <c r="AN54">
        <v>3473</v>
      </c>
      <c r="AO54">
        <v>661</v>
      </c>
      <c r="AP54">
        <v>331</v>
      </c>
      <c r="AQ54">
        <v>808</v>
      </c>
      <c r="AR54">
        <v>408</v>
      </c>
      <c r="AS54">
        <v>347</v>
      </c>
      <c r="AT54">
        <v>6</v>
      </c>
      <c r="AV54" t="s">
        <v>408</v>
      </c>
      <c r="AW54">
        <v>87</v>
      </c>
      <c r="AX54">
        <v>39.540229885099997</v>
      </c>
      <c r="AY54">
        <v>349</v>
      </c>
      <c r="AZ54">
        <v>11</v>
      </c>
      <c r="BA54">
        <v>135</v>
      </c>
      <c r="BB54">
        <v>4</v>
      </c>
      <c r="BC54">
        <v>1</v>
      </c>
      <c r="BD54">
        <v>1</v>
      </c>
      <c r="BE54">
        <v>5</v>
      </c>
      <c r="BF54">
        <v>2</v>
      </c>
      <c r="BG54">
        <v>445</v>
      </c>
      <c r="BH54">
        <v>27</v>
      </c>
      <c r="BJ54" t="s">
        <v>411</v>
      </c>
      <c r="BK54" t="s">
        <v>411</v>
      </c>
      <c r="BL54">
        <v>59786</v>
      </c>
      <c r="BM54">
        <v>12143</v>
      </c>
      <c r="BN54">
        <v>91.239019168400006</v>
      </c>
      <c r="BO54">
        <v>27355</v>
      </c>
      <c r="BP54">
        <v>8778</v>
      </c>
      <c r="BQ54">
        <v>124.7347834034</v>
      </c>
      <c r="BR54">
        <v>123.62998405099999</v>
      </c>
      <c r="BS54">
        <v>58049</v>
      </c>
      <c r="BT54">
        <v>11061</v>
      </c>
      <c r="BU54">
        <v>87.764319798800003</v>
      </c>
      <c r="BV54">
        <v>26162</v>
      </c>
      <c r="BW54">
        <v>8477</v>
      </c>
      <c r="BX54">
        <v>120.40822567079999</v>
      </c>
      <c r="BY54">
        <v>119.9417246667</v>
      </c>
      <c r="CA54" t="s">
        <v>415</v>
      </c>
      <c r="CB54" t="s">
        <v>897</v>
      </c>
      <c r="CC54" t="s">
        <v>1026</v>
      </c>
      <c r="CD54">
        <v>1380</v>
      </c>
      <c r="CE54">
        <v>283</v>
      </c>
      <c r="CF54">
        <v>86.505072463800005</v>
      </c>
      <c r="CG54">
        <v>752</v>
      </c>
      <c r="CH54">
        <v>232</v>
      </c>
      <c r="CI54">
        <v>120.13164893619999</v>
      </c>
      <c r="CJ54">
        <v>122.9568965517</v>
      </c>
      <c r="CL54" t="s">
        <v>415</v>
      </c>
      <c r="CM54" t="s">
        <v>878</v>
      </c>
      <c r="CN54" t="s">
        <v>882</v>
      </c>
      <c r="CO54">
        <v>137</v>
      </c>
      <c r="CP54">
        <v>8</v>
      </c>
      <c r="CQ54">
        <v>48.532846715300003</v>
      </c>
      <c r="CR54">
        <v>78</v>
      </c>
      <c r="CS54">
        <v>25</v>
      </c>
      <c r="CT54">
        <v>51.397435897400001</v>
      </c>
      <c r="CU54">
        <v>63.12</v>
      </c>
      <c r="CW54" t="s">
        <v>415</v>
      </c>
      <c r="CX54" t="s">
        <v>888</v>
      </c>
      <c r="CY54" t="s">
        <v>892</v>
      </c>
      <c r="CZ54">
        <v>46</v>
      </c>
      <c r="DA54">
        <v>5</v>
      </c>
      <c r="DB54">
        <v>69.760869565199997</v>
      </c>
      <c r="DC54">
        <v>7</v>
      </c>
      <c r="DD54">
        <v>2</v>
      </c>
      <c r="DE54">
        <v>128.57142857139999</v>
      </c>
      <c r="DF54">
        <v>165</v>
      </c>
      <c r="DH54" t="s">
        <v>415</v>
      </c>
      <c r="DI54" t="s">
        <v>868</v>
      </c>
      <c r="DJ54" t="s">
        <v>872</v>
      </c>
      <c r="DK54">
        <v>53</v>
      </c>
      <c r="DL54">
        <v>3</v>
      </c>
      <c r="DM54">
        <v>66.735849056600003</v>
      </c>
      <c r="DN54">
        <v>14</v>
      </c>
      <c r="DO54">
        <v>5</v>
      </c>
      <c r="DP54">
        <v>125</v>
      </c>
      <c r="DQ54">
        <v>117.8</v>
      </c>
    </row>
    <row r="55" spans="2:121" x14ac:dyDescent="0.2">
      <c r="F55" t="s">
        <v>53</v>
      </c>
      <c r="G55">
        <v>2523</v>
      </c>
      <c r="H55">
        <v>142.2275069362</v>
      </c>
      <c r="I55">
        <v>2057</v>
      </c>
      <c r="J55">
        <v>239</v>
      </c>
      <c r="K55">
        <v>4435</v>
      </c>
      <c r="L55">
        <v>1275</v>
      </c>
      <c r="M55">
        <v>1015</v>
      </c>
      <c r="N55">
        <v>482</v>
      </c>
      <c r="O55">
        <v>389</v>
      </c>
      <c r="P55">
        <v>192</v>
      </c>
      <c r="Q55">
        <v>1</v>
      </c>
      <c r="R55">
        <v>13</v>
      </c>
      <c r="AH55" t="s">
        <v>428</v>
      </c>
      <c r="AI55">
        <v>547</v>
      </c>
      <c r="AJ55">
        <v>308.6435100548</v>
      </c>
      <c r="AK55">
        <v>908</v>
      </c>
      <c r="AL55">
        <v>175</v>
      </c>
      <c r="AM55">
        <v>979</v>
      </c>
      <c r="AN55">
        <v>472</v>
      </c>
      <c r="AO55">
        <v>156</v>
      </c>
      <c r="AP55">
        <v>83</v>
      </c>
      <c r="AQ55">
        <v>187</v>
      </c>
      <c r="AR55">
        <v>72</v>
      </c>
      <c r="AS55">
        <v>4</v>
      </c>
      <c r="AT55">
        <v>5</v>
      </c>
      <c r="AV55" t="s">
        <v>386</v>
      </c>
      <c r="AW55">
        <v>244</v>
      </c>
      <c r="AX55">
        <v>116.9918032787</v>
      </c>
      <c r="AY55">
        <v>229</v>
      </c>
      <c r="AZ55">
        <v>51</v>
      </c>
      <c r="BA55">
        <v>318</v>
      </c>
      <c r="BB55">
        <v>112</v>
      </c>
      <c r="BC55">
        <v>7</v>
      </c>
      <c r="BD55">
        <v>7</v>
      </c>
      <c r="BE55">
        <v>11</v>
      </c>
      <c r="BF55">
        <v>4</v>
      </c>
      <c r="BG55">
        <v>37</v>
      </c>
      <c r="BH55">
        <v>71</v>
      </c>
      <c r="BJ55" t="s">
        <v>602</v>
      </c>
      <c r="BK55" t="s">
        <v>411</v>
      </c>
      <c r="BL55">
        <v>4615</v>
      </c>
      <c r="BM55">
        <v>1025</v>
      </c>
      <c r="BN55">
        <v>100.7148429036</v>
      </c>
      <c r="BO55">
        <v>1868</v>
      </c>
      <c r="BP55">
        <v>524</v>
      </c>
      <c r="BQ55">
        <v>137.6697002141</v>
      </c>
      <c r="BR55">
        <v>137.3320610687</v>
      </c>
      <c r="BS55">
        <v>6798</v>
      </c>
      <c r="BT55">
        <v>1852</v>
      </c>
      <c r="BU55">
        <v>106.6122388938</v>
      </c>
      <c r="BV55">
        <v>2774</v>
      </c>
      <c r="BW55">
        <v>812</v>
      </c>
      <c r="BX55">
        <v>149.26604181690001</v>
      </c>
      <c r="BY55">
        <v>147.9100985222</v>
      </c>
      <c r="CA55" t="s">
        <v>420</v>
      </c>
      <c r="CB55" t="s">
        <v>897</v>
      </c>
      <c r="CC55" t="s">
        <v>1027</v>
      </c>
      <c r="CD55">
        <v>3634</v>
      </c>
      <c r="CE55">
        <v>819</v>
      </c>
      <c r="CF55">
        <v>94.076774903699999</v>
      </c>
      <c r="CG55">
        <v>1589</v>
      </c>
      <c r="CH55">
        <v>499</v>
      </c>
      <c r="CI55">
        <v>160.13782252990001</v>
      </c>
      <c r="CJ55">
        <v>163.85971943889999</v>
      </c>
      <c r="CL55" t="s">
        <v>420</v>
      </c>
      <c r="CM55" t="s">
        <v>878</v>
      </c>
      <c r="CN55" t="s">
        <v>883</v>
      </c>
      <c r="CO55">
        <v>229</v>
      </c>
      <c r="CP55">
        <v>9</v>
      </c>
      <c r="CQ55">
        <v>56.524017467199997</v>
      </c>
      <c r="CR55">
        <v>195</v>
      </c>
      <c r="CS55">
        <v>54</v>
      </c>
      <c r="CT55">
        <v>57.241025641</v>
      </c>
      <c r="CU55">
        <v>60.629629629599997</v>
      </c>
      <c r="CW55" t="s">
        <v>420</v>
      </c>
      <c r="CX55" t="s">
        <v>888</v>
      </c>
      <c r="CY55" t="s">
        <v>893</v>
      </c>
      <c r="CZ55">
        <v>105</v>
      </c>
      <c r="DA55">
        <v>12</v>
      </c>
      <c r="DB55">
        <v>68.152380952399994</v>
      </c>
      <c r="DC55">
        <v>29</v>
      </c>
      <c r="DD55">
        <v>14</v>
      </c>
      <c r="DE55">
        <v>148.37931034479999</v>
      </c>
      <c r="DF55">
        <v>163.1428571429</v>
      </c>
      <c r="DH55" t="s">
        <v>420</v>
      </c>
      <c r="DI55" t="s">
        <v>868</v>
      </c>
      <c r="DJ55" t="s">
        <v>873</v>
      </c>
      <c r="DK55">
        <v>99</v>
      </c>
      <c r="DL55">
        <v>12</v>
      </c>
      <c r="DM55">
        <v>69.989898989899999</v>
      </c>
      <c r="DN55">
        <v>31</v>
      </c>
      <c r="DO55">
        <v>17</v>
      </c>
      <c r="DP55">
        <v>128.61290322580001</v>
      </c>
      <c r="DQ55">
        <v>120</v>
      </c>
    </row>
    <row r="56" spans="2:121" x14ac:dyDescent="0.2">
      <c r="F56" t="s">
        <v>67</v>
      </c>
      <c r="G56">
        <v>4729</v>
      </c>
      <c r="H56">
        <v>254.76696976100001</v>
      </c>
      <c r="I56">
        <v>4375</v>
      </c>
      <c r="J56">
        <v>986</v>
      </c>
      <c r="K56">
        <v>5762</v>
      </c>
      <c r="L56">
        <v>3322</v>
      </c>
      <c r="M56">
        <v>990</v>
      </c>
      <c r="N56">
        <v>203</v>
      </c>
      <c r="O56">
        <v>2259</v>
      </c>
      <c r="P56">
        <v>1873</v>
      </c>
      <c r="Q56">
        <v>2</v>
      </c>
      <c r="R56">
        <v>67</v>
      </c>
      <c r="BJ56" t="s">
        <v>610</v>
      </c>
      <c r="BK56" t="s">
        <v>411</v>
      </c>
      <c r="BL56">
        <v>4758</v>
      </c>
      <c r="BM56">
        <v>1208</v>
      </c>
      <c r="BN56">
        <v>102.9461958806</v>
      </c>
      <c r="BO56">
        <v>1979</v>
      </c>
      <c r="BP56">
        <v>643</v>
      </c>
      <c r="BQ56">
        <v>144.82465891859999</v>
      </c>
      <c r="BR56">
        <v>136.58164852260001</v>
      </c>
      <c r="BS56">
        <v>4760</v>
      </c>
      <c r="BT56">
        <v>1089</v>
      </c>
      <c r="BU56">
        <v>99.484453781499994</v>
      </c>
      <c r="BV56">
        <v>2023</v>
      </c>
      <c r="BW56">
        <v>658</v>
      </c>
      <c r="BX56">
        <v>138.45526445869999</v>
      </c>
      <c r="BY56">
        <v>131.0334346505</v>
      </c>
      <c r="CA56" t="s">
        <v>412</v>
      </c>
      <c r="CB56" t="s">
        <v>897</v>
      </c>
      <c r="CC56" t="s">
        <v>1028</v>
      </c>
      <c r="CD56">
        <v>2926</v>
      </c>
      <c r="CE56">
        <v>697</v>
      </c>
      <c r="CF56">
        <v>100.24504442929999</v>
      </c>
      <c r="CG56">
        <v>994</v>
      </c>
      <c r="CH56">
        <v>351</v>
      </c>
      <c r="CI56">
        <v>147.20724346079999</v>
      </c>
      <c r="CJ56">
        <v>140.5726495726</v>
      </c>
      <c r="CL56" t="s">
        <v>412</v>
      </c>
      <c r="CM56" t="s">
        <v>878</v>
      </c>
      <c r="CN56" t="s">
        <v>884</v>
      </c>
      <c r="CO56">
        <v>169</v>
      </c>
      <c r="CP56">
        <v>10</v>
      </c>
      <c r="CQ56">
        <v>51.124260354999997</v>
      </c>
      <c r="CR56">
        <v>138</v>
      </c>
      <c r="CS56">
        <v>35</v>
      </c>
      <c r="CT56">
        <v>66.297101449300001</v>
      </c>
      <c r="CU56">
        <v>63.657142857099998</v>
      </c>
      <c r="CW56" t="s">
        <v>412</v>
      </c>
      <c r="CX56" t="s">
        <v>888</v>
      </c>
      <c r="CY56" t="s">
        <v>894</v>
      </c>
      <c r="CZ56">
        <v>55</v>
      </c>
      <c r="DA56">
        <v>13</v>
      </c>
      <c r="DB56">
        <v>91.836363636399994</v>
      </c>
      <c r="DC56">
        <v>21</v>
      </c>
      <c r="DD56">
        <v>5</v>
      </c>
      <c r="DE56">
        <v>165.57142857139999</v>
      </c>
      <c r="DF56">
        <v>130.4</v>
      </c>
      <c r="DH56" t="s">
        <v>412</v>
      </c>
      <c r="DI56" t="s">
        <v>868</v>
      </c>
      <c r="DJ56" t="s">
        <v>874</v>
      </c>
      <c r="DK56">
        <v>76</v>
      </c>
      <c r="DL56">
        <v>11</v>
      </c>
      <c r="DM56">
        <v>70.671052631600006</v>
      </c>
      <c r="DN56">
        <v>13</v>
      </c>
      <c r="DO56">
        <v>5</v>
      </c>
      <c r="DP56">
        <v>152</v>
      </c>
      <c r="DQ56">
        <v>159.4</v>
      </c>
    </row>
    <row r="57" spans="2:121" x14ac:dyDescent="0.2">
      <c r="F57" t="s">
        <v>65</v>
      </c>
      <c r="G57">
        <v>10071</v>
      </c>
      <c r="H57">
        <v>393.0836063946</v>
      </c>
      <c r="I57">
        <v>11130</v>
      </c>
      <c r="J57">
        <v>2299</v>
      </c>
      <c r="K57">
        <v>13381</v>
      </c>
      <c r="L57">
        <v>10117</v>
      </c>
      <c r="M57">
        <v>5069</v>
      </c>
      <c r="N57">
        <v>4485</v>
      </c>
      <c r="O57">
        <v>2014</v>
      </c>
      <c r="P57">
        <v>1571</v>
      </c>
      <c r="Q57">
        <v>0</v>
      </c>
      <c r="R57">
        <v>28</v>
      </c>
      <c r="BJ57" t="s">
        <v>618</v>
      </c>
      <c r="BK57" t="s">
        <v>411</v>
      </c>
      <c r="BL57">
        <v>3488</v>
      </c>
      <c r="BM57">
        <v>761</v>
      </c>
      <c r="BN57">
        <v>94.276949541299999</v>
      </c>
      <c r="BO57">
        <v>1443</v>
      </c>
      <c r="BP57">
        <v>447</v>
      </c>
      <c r="BQ57">
        <v>165.57311157309999</v>
      </c>
      <c r="BR57">
        <v>167.1946308725</v>
      </c>
      <c r="BS57">
        <v>2762</v>
      </c>
      <c r="BT57">
        <v>349</v>
      </c>
      <c r="BU57">
        <v>73.906227371499995</v>
      </c>
      <c r="BV57">
        <v>1037</v>
      </c>
      <c r="BW57">
        <v>336</v>
      </c>
      <c r="BX57">
        <v>143.5650916104</v>
      </c>
      <c r="BY57">
        <v>142.12797619049999</v>
      </c>
      <c r="CA57" t="s">
        <v>416</v>
      </c>
      <c r="CB57" t="s">
        <v>897</v>
      </c>
      <c r="CC57" t="s">
        <v>1029</v>
      </c>
      <c r="CD57">
        <v>4808</v>
      </c>
      <c r="CE57">
        <v>1191</v>
      </c>
      <c r="CF57">
        <v>102.2834858569</v>
      </c>
      <c r="CG57">
        <v>1989</v>
      </c>
      <c r="CH57">
        <v>657</v>
      </c>
      <c r="CI57">
        <v>142.59627953750001</v>
      </c>
      <c r="CJ57">
        <v>134.18569254190001</v>
      </c>
      <c r="CL57" t="s">
        <v>416</v>
      </c>
      <c r="CM57" t="s">
        <v>878</v>
      </c>
      <c r="CN57" t="s">
        <v>885</v>
      </c>
      <c r="CO57">
        <v>305</v>
      </c>
      <c r="CP57">
        <v>24</v>
      </c>
      <c r="CQ57">
        <v>66.413114754099993</v>
      </c>
      <c r="CR57">
        <v>290</v>
      </c>
      <c r="CS57">
        <v>84</v>
      </c>
      <c r="CT57">
        <v>66.389655172399998</v>
      </c>
      <c r="CU57">
        <v>70.083333333300004</v>
      </c>
      <c r="CW57" t="s">
        <v>416</v>
      </c>
      <c r="CX57" t="s">
        <v>888</v>
      </c>
      <c r="CY57" t="s">
        <v>895</v>
      </c>
      <c r="CZ57">
        <v>117</v>
      </c>
      <c r="DA57">
        <v>19</v>
      </c>
      <c r="DB57">
        <v>80.2136752137</v>
      </c>
      <c r="DC57">
        <v>23</v>
      </c>
      <c r="DD57">
        <v>9</v>
      </c>
      <c r="DE57">
        <v>115.652173913</v>
      </c>
      <c r="DF57">
        <v>123.55555555559999</v>
      </c>
      <c r="DH57" t="s">
        <v>416</v>
      </c>
      <c r="DI57" t="s">
        <v>868</v>
      </c>
      <c r="DJ57" t="s">
        <v>875</v>
      </c>
      <c r="DK57">
        <v>48</v>
      </c>
      <c r="DL57">
        <v>5</v>
      </c>
      <c r="DM57">
        <v>70.770833333300004</v>
      </c>
      <c r="DN57">
        <v>12</v>
      </c>
      <c r="DO57">
        <v>8</v>
      </c>
      <c r="DP57">
        <v>112.1666666667</v>
      </c>
      <c r="DQ57">
        <v>110.5</v>
      </c>
    </row>
    <row r="58" spans="2:121" x14ac:dyDescent="0.2">
      <c r="F58" t="s">
        <v>57</v>
      </c>
      <c r="G58">
        <v>1591</v>
      </c>
      <c r="H58">
        <v>381.50785669390001</v>
      </c>
      <c r="I58">
        <v>1174</v>
      </c>
      <c r="J58">
        <v>272</v>
      </c>
      <c r="K58">
        <v>2005</v>
      </c>
      <c r="L58">
        <v>1360</v>
      </c>
      <c r="M58">
        <v>502</v>
      </c>
      <c r="N58">
        <v>403</v>
      </c>
      <c r="O58">
        <v>74</v>
      </c>
      <c r="P58">
        <v>63</v>
      </c>
      <c r="Q58">
        <v>0</v>
      </c>
      <c r="R58">
        <v>1</v>
      </c>
      <c r="BJ58" t="s">
        <v>631</v>
      </c>
      <c r="BK58" t="s">
        <v>411</v>
      </c>
      <c r="BL58">
        <v>10483</v>
      </c>
      <c r="BM58">
        <v>1634</v>
      </c>
      <c r="BN58">
        <v>81.849756748999994</v>
      </c>
      <c r="BO58">
        <v>3620</v>
      </c>
      <c r="BP58">
        <v>1249</v>
      </c>
      <c r="BQ58">
        <v>138.09889502760001</v>
      </c>
      <c r="BR58">
        <v>134.98078462769999</v>
      </c>
      <c r="BS58">
        <v>10916</v>
      </c>
      <c r="BT58">
        <v>1995</v>
      </c>
      <c r="BU58">
        <v>86.521802858200004</v>
      </c>
      <c r="BV58">
        <v>4008</v>
      </c>
      <c r="BW58">
        <v>1318</v>
      </c>
      <c r="BX58">
        <v>148.53517964069999</v>
      </c>
      <c r="BY58">
        <v>144.25796661609999</v>
      </c>
      <c r="CA58" t="s">
        <v>83</v>
      </c>
      <c r="CB58" t="s">
        <v>897</v>
      </c>
      <c r="CC58" t="s">
        <v>1030</v>
      </c>
      <c r="CD58">
        <v>6155</v>
      </c>
      <c r="CE58">
        <v>1198</v>
      </c>
      <c r="CF58">
        <v>88.351746547499999</v>
      </c>
      <c r="CG58">
        <v>3464</v>
      </c>
      <c r="CH58">
        <v>1247</v>
      </c>
      <c r="CI58">
        <v>118.7609699769</v>
      </c>
      <c r="CJ58">
        <v>116.43063352039999</v>
      </c>
      <c r="CL58" t="s">
        <v>83</v>
      </c>
      <c r="CM58" t="s">
        <v>878</v>
      </c>
      <c r="CN58" t="s">
        <v>886</v>
      </c>
      <c r="CO58">
        <v>565</v>
      </c>
      <c r="CP58">
        <v>35</v>
      </c>
      <c r="CQ58">
        <v>56.828318584100003</v>
      </c>
      <c r="CR58">
        <v>409</v>
      </c>
      <c r="CS58">
        <v>123</v>
      </c>
      <c r="CT58">
        <v>64.787286063600007</v>
      </c>
      <c r="CU58">
        <v>71.024390243900001</v>
      </c>
      <c r="CW58" t="s">
        <v>83</v>
      </c>
      <c r="CX58" t="s">
        <v>888</v>
      </c>
      <c r="CY58" t="s">
        <v>896</v>
      </c>
      <c r="CZ58">
        <v>340</v>
      </c>
      <c r="DA58">
        <v>26</v>
      </c>
      <c r="DB58">
        <v>65.955882352900005</v>
      </c>
      <c r="DC58">
        <v>60</v>
      </c>
      <c r="DD58">
        <v>25</v>
      </c>
      <c r="DE58">
        <v>119.1333333333</v>
      </c>
      <c r="DF58">
        <v>131.84</v>
      </c>
      <c r="DH58" t="s">
        <v>83</v>
      </c>
      <c r="DI58" t="s">
        <v>868</v>
      </c>
      <c r="DJ58" t="s">
        <v>876</v>
      </c>
      <c r="DK58">
        <v>540</v>
      </c>
      <c r="DL58">
        <v>61</v>
      </c>
      <c r="DM58">
        <v>68.766666666700004</v>
      </c>
      <c r="DN58">
        <v>130</v>
      </c>
      <c r="DO58">
        <v>42</v>
      </c>
      <c r="DP58">
        <v>112.1384615385</v>
      </c>
      <c r="DQ58">
        <v>111.9761904762</v>
      </c>
    </row>
    <row r="59" spans="2:121" x14ac:dyDescent="0.2">
      <c r="F59" t="s">
        <v>49</v>
      </c>
      <c r="G59">
        <v>13048</v>
      </c>
      <c r="H59">
        <v>338.88327713059999</v>
      </c>
      <c r="I59">
        <v>16180</v>
      </c>
      <c r="J59">
        <v>4119</v>
      </c>
      <c r="K59">
        <v>16917</v>
      </c>
      <c r="L59">
        <v>11843</v>
      </c>
      <c r="M59">
        <v>2520</v>
      </c>
      <c r="N59">
        <v>1428</v>
      </c>
      <c r="O59">
        <v>2837</v>
      </c>
      <c r="P59">
        <v>2163</v>
      </c>
      <c r="Q59">
        <v>1</v>
      </c>
      <c r="R59">
        <v>227</v>
      </c>
      <c r="BJ59" t="s">
        <v>604</v>
      </c>
      <c r="BK59" t="s">
        <v>411</v>
      </c>
      <c r="BL59">
        <v>7641</v>
      </c>
      <c r="BM59">
        <v>1265</v>
      </c>
      <c r="BN59">
        <v>78.331370239500004</v>
      </c>
      <c r="BO59">
        <v>7516</v>
      </c>
      <c r="BP59">
        <v>2426</v>
      </c>
      <c r="BQ59">
        <v>71.192522618400005</v>
      </c>
      <c r="BR59">
        <v>74.715169002500005</v>
      </c>
      <c r="BS59">
        <v>8535</v>
      </c>
      <c r="BT59">
        <v>1482</v>
      </c>
      <c r="BU59">
        <v>77.1478617458</v>
      </c>
      <c r="BV59">
        <v>7523</v>
      </c>
      <c r="BW59">
        <v>2465</v>
      </c>
      <c r="BX59">
        <v>68.721254818600002</v>
      </c>
      <c r="BY59">
        <v>74.530628803200003</v>
      </c>
      <c r="CA59" t="s">
        <v>411</v>
      </c>
      <c r="CB59" t="s">
        <v>897</v>
      </c>
      <c r="CD59">
        <v>57713</v>
      </c>
      <c r="CE59">
        <v>11793</v>
      </c>
      <c r="CF59">
        <v>92.153726196899996</v>
      </c>
      <c r="CG59">
        <v>23795</v>
      </c>
      <c r="CH59">
        <v>7762</v>
      </c>
      <c r="CI59">
        <v>137.8048329481</v>
      </c>
      <c r="CJ59">
        <v>135.46495748519999</v>
      </c>
      <c r="CL59" t="s">
        <v>411</v>
      </c>
      <c r="CM59" t="s">
        <v>878</v>
      </c>
      <c r="CO59">
        <v>4071</v>
      </c>
      <c r="CP59">
        <v>262</v>
      </c>
      <c r="CQ59">
        <v>58.977155490100003</v>
      </c>
      <c r="CR59">
        <v>3480</v>
      </c>
      <c r="CS59">
        <v>997</v>
      </c>
      <c r="CT59">
        <v>61.962356321800002</v>
      </c>
      <c r="CU59">
        <v>63.860581745200001</v>
      </c>
      <c r="CW59" t="s">
        <v>411</v>
      </c>
      <c r="CX59" t="s">
        <v>888</v>
      </c>
      <c r="CZ59">
        <v>2415</v>
      </c>
      <c r="DA59">
        <v>308</v>
      </c>
      <c r="DB59">
        <v>72.9035196687</v>
      </c>
      <c r="DC59">
        <v>571</v>
      </c>
      <c r="DD59">
        <v>191</v>
      </c>
      <c r="DE59">
        <v>125.01576182140001</v>
      </c>
      <c r="DF59">
        <v>133.02617801049999</v>
      </c>
      <c r="DH59" t="s">
        <v>411</v>
      </c>
      <c r="DI59" t="s">
        <v>868</v>
      </c>
      <c r="DK59">
        <v>1935</v>
      </c>
      <c r="DL59">
        <v>231</v>
      </c>
      <c r="DM59">
        <v>71.559173126600001</v>
      </c>
      <c r="DN59">
        <v>484</v>
      </c>
      <c r="DO59">
        <v>187</v>
      </c>
      <c r="DP59">
        <v>116.6260330579</v>
      </c>
      <c r="DQ59">
        <v>115.550802139</v>
      </c>
    </row>
    <row r="60" spans="2:121" x14ac:dyDescent="0.2">
      <c r="F60" t="s">
        <v>141</v>
      </c>
      <c r="G60">
        <v>545</v>
      </c>
      <c r="H60">
        <v>417.80733944949998</v>
      </c>
      <c r="I60">
        <v>467</v>
      </c>
      <c r="J60">
        <v>82</v>
      </c>
      <c r="K60">
        <v>668</v>
      </c>
      <c r="L60">
        <v>522</v>
      </c>
      <c r="M60">
        <v>96</v>
      </c>
      <c r="N60">
        <v>43</v>
      </c>
      <c r="O60">
        <v>73</v>
      </c>
      <c r="P60">
        <v>57</v>
      </c>
      <c r="Q60">
        <v>0</v>
      </c>
      <c r="R60">
        <v>2</v>
      </c>
      <c r="BJ60" t="s">
        <v>546</v>
      </c>
      <c r="BK60" t="s">
        <v>387</v>
      </c>
      <c r="BL60">
        <v>17622</v>
      </c>
      <c r="BM60">
        <v>3839</v>
      </c>
      <c r="BN60">
        <v>93.867835659999997</v>
      </c>
      <c r="BO60">
        <v>5396</v>
      </c>
      <c r="BP60">
        <v>1776</v>
      </c>
      <c r="BQ60">
        <v>153.61304670129999</v>
      </c>
      <c r="BR60">
        <v>147.5523648649</v>
      </c>
      <c r="BS60">
        <v>14376</v>
      </c>
      <c r="BT60">
        <v>2464</v>
      </c>
      <c r="BU60">
        <v>81.286240957199993</v>
      </c>
      <c r="BV60">
        <v>4082</v>
      </c>
      <c r="BW60">
        <v>1311</v>
      </c>
      <c r="BX60">
        <v>149.8027927487</v>
      </c>
      <c r="BY60">
        <v>149.39206712430001</v>
      </c>
      <c r="CA60" t="s">
        <v>395</v>
      </c>
      <c r="CB60" t="s">
        <v>922</v>
      </c>
      <c r="CC60" t="s">
        <v>1031</v>
      </c>
      <c r="CD60">
        <v>7886</v>
      </c>
      <c r="CE60">
        <v>1403</v>
      </c>
      <c r="CF60">
        <v>84.903373066200004</v>
      </c>
      <c r="CG60">
        <v>3138</v>
      </c>
      <c r="CH60">
        <v>965</v>
      </c>
      <c r="CI60">
        <v>134.1698534098</v>
      </c>
      <c r="CJ60">
        <v>139.20518134720001</v>
      </c>
      <c r="CL60" t="s">
        <v>395</v>
      </c>
      <c r="CM60" t="s">
        <v>907</v>
      </c>
      <c r="CN60" t="s">
        <v>906</v>
      </c>
      <c r="CO60">
        <v>745</v>
      </c>
      <c r="CP60">
        <v>52</v>
      </c>
      <c r="CQ60">
        <v>57.889932885900002</v>
      </c>
      <c r="CR60">
        <v>511</v>
      </c>
      <c r="CS60">
        <v>165</v>
      </c>
      <c r="CT60">
        <v>60.755381604699998</v>
      </c>
      <c r="CU60">
        <v>59.090909090899999</v>
      </c>
      <c r="CW60" t="s">
        <v>395</v>
      </c>
      <c r="CX60" t="s">
        <v>915</v>
      </c>
      <c r="CY60" t="s">
        <v>914</v>
      </c>
      <c r="CZ60">
        <v>198</v>
      </c>
      <c r="DA60">
        <v>23</v>
      </c>
      <c r="DB60">
        <v>72.681818181799997</v>
      </c>
      <c r="DC60">
        <v>29</v>
      </c>
      <c r="DD60">
        <v>7</v>
      </c>
      <c r="DE60">
        <v>141.62068965520001</v>
      </c>
      <c r="DF60">
        <v>134</v>
      </c>
      <c r="DH60" t="s">
        <v>395</v>
      </c>
      <c r="DI60" t="s">
        <v>899</v>
      </c>
      <c r="DJ60" t="s">
        <v>898</v>
      </c>
      <c r="DK60">
        <v>216</v>
      </c>
      <c r="DL60">
        <v>50</v>
      </c>
      <c r="DM60">
        <v>84.513888888899999</v>
      </c>
      <c r="DN60">
        <v>39</v>
      </c>
      <c r="DO60">
        <v>14</v>
      </c>
      <c r="DP60">
        <v>144.28205128210001</v>
      </c>
      <c r="DQ60">
        <v>127.7142857143</v>
      </c>
    </row>
    <row r="61" spans="2:121" x14ac:dyDescent="0.2">
      <c r="F61" t="s">
        <v>59</v>
      </c>
      <c r="G61">
        <v>4443</v>
      </c>
      <c r="H61">
        <v>184.85752869679999</v>
      </c>
      <c r="I61">
        <v>6413</v>
      </c>
      <c r="J61">
        <v>1055</v>
      </c>
      <c r="K61">
        <v>6526</v>
      </c>
      <c r="L61">
        <v>2828</v>
      </c>
      <c r="M61">
        <v>781</v>
      </c>
      <c r="N61">
        <v>283</v>
      </c>
      <c r="O61">
        <v>514</v>
      </c>
      <c r="P61">
        <v>229</v>
      </c>
      <c r="Q61">
        <v>5186</v>
      </c>
      <c r="R61">
        <v>0</v>
      </c>
      <c r="BJ61" t="s">
        <v>554</v>
      </c>
      <c r="BK61" t="s">
        <v>387</v>
      </c>
      <c r="BL61">
        <v>8953</v>
      </c>
      <c r="BM61">
        <v>2268</v>
      </c>
      <c r="BN61">
        <v>99.704009829100002</v>
      </c>
      <c r="BO61">
        <v>3175</v>
      </c>
      <c r="BP61">
        <v>1210</v>
      </c>
      <c r="BQ61">
        <v>135.64787401570001</v>
      </c>
      <c r="BR61">
        <v>130.40495867769999</v>
      </c>
      <c r="BS61">
        <v>9084</v>
      </c>
      <c r="BT61">
        <v>2173</v>
      </c>
      <c r="BU61">
        <v>98.855239982399993</v>
      </c>
      <c r="BV61">
        <v>3160</v>
      </c>
      <c r="BW61">
        <v>1226</v>
      </c>
      <c r="BX61">
        <v>135.80664556959999</v>
      </c>
      <c r="BY61">
        <v>128.66068515500001</v>
      </c>
      <c r="CA61" t="s">
        <v>432</v>
      </c>
      <c r="CB61" t="s">
        <v>922</v>
      </c>
      <c r="CC61" t="s">
        <v>1032</v>
      </c>
      <c r="CD61">
        <v>23159</v>
      </c>
      <c r="CE61">
        <v>5893</v>
      </c>
      <c r="CF61">
        <v>103.17595751109999</v>
      </c>
      <c r="CG61">
        <v>8773</v>
      </c>
      <c r="CH61">
        <v>3182</v>
      </c>
      <c r="CI61">
        <v>149.36897298529999</v>
      </c>
      <c r="CJ61">
        <v>144.4173475801</v>
      </c>
      <c r="CL61" t="s">
        <v>432</v>
      </c>
      <c r="CM61" t="s">
        <v>907</v>
      </c>
      <c r="CN61" t="s">
        <v>908</v>
      </c>
      <c r="CO61">
        <v>1829</v>
      </c>
      <c r="CP61">
        <v>166</v>
      </c>
      <c r="CQ61">
        <v>68.086932750100004</v>
      </c>
      <c r="CR61">
        <v>1160</v>
      </c>
      <c r="CS61">
        <v>375</v>
      </c>
      <c r="CT61">
        <v>75.128448275899999</v>
      </c>
      <c r="CU61">
        <v>71.594666666699993</v>
      </c>
      <c r="CW61" t="s">
        <v>432</v>
      </c>
      <c r="CX61" t="s">
        <v>915</v>
      </c>
      <c r="CY61" t="s">
        <v>916</v>
      </c>
      <c r="CZ61">
        <v>870</v>
      </c>
      <c r="DA61">
        <v>154</v>
      </c>
      <c r="DB61">
        <v>78.731034482799998</v>
      </c>
      <c r="DC61">
        <v>159</v>
      </c>
      <c r="DD61">
        <v>54</v>
      </c>
      <c r="DE61">
        <v>147.57861635219999</v>
      </c>
      <c r="DF61">
        <v>159.962962963</v>
      </c>
      <c r="DH61" t="s">
        <v>432</v>
      </c>
      <c r="DI61" t="s">
        <v>899</v>
      </c>
      <c r="DJ61" t="s">
        <v>900</v>
      </c>
      <c r="DK61">
        <v>1084</v>
      </c>
      <c r="DL61">
        <v>216</v>
      </c>
      <c r="DM61">
        <v>79.503690036899997</v>
      </c>
      <c r="DN61">
        <v>231</v>
      </c>
      <c r="DO61">
        <v>70</v>
      </c>
      <c r="DP61">
        <v>135.92640692640001</v>
      </c>
      <c r="DQ61">
        <v>128.78571428570001</v>
      </c>
    </row>
    <row r="62" spans="2:121" x14ac:dyDescent="0.2">
      <c r="BJ62" t="s">
        <v>570</v>
      </c>
      <c r="BK62" t="s">
        <v>387</v>
      </c>
      <c r="BL62">
        <v>4883</v>
      </c>
      <c r="BM62">
        <v>1097</v>
      </c>
      <c r="BN62">
        <v>105.6299406103</v>
      </c>
      <c r="BO62">
        <v>1881</v>
      </c>
      <c r="BP62">
        <v>655</v>
      </c>
      <c r="BQ62">
        <v>155.4130781499</v>
      </c>
      <c r="BR62">
        <v>150.12213740460001</v>
      </c>
      <c r="BS62">
        <v>7134</v>
      </c>
      <c r="BT62">
        <v>2690</v>
      </c>
      <c r="BU62">
        <v>144.8067003084</v>
      </c>
      <c r="BV62">
        <v>2321</v>
      </c>
      <c r="BW62">
        <v>772</v>
      </c>
      <c r="BX62">
        <v>170.65962947009999</v>
      </c>
      <c r="BY62">
        <v>163.31476683939999</v>
      </c>
      <c r="CA62" t="s">
        <v>388</v>
      </c>
      <c r="CB62" t="s">
        <v>922</v>
      </c>
      <c r="CC62" t="s">
        <v>1033</v>
      </c>
      <c r="CD62">
        <v>18245</v>
      </c>
      <c r="CE62">
        <v>3855</v>
      </c>
      <c r="CF62">
        <v>92.339928747599998</v>
      </c>
      <c r="CG62">
        <v>5978</v>
      </c>
      <c r="CH62">
        <v>1954</v>
      </c>
      <c r="CI62">
        <v>143.787387086</v>
      </c>
      <c r="CJ62">
        <v>139.60798362329999</v>
      </c>
      <c r="CL62" t="s">
        <v>388</v>
      </c>
      <c r="CM62" t="s">
        <v>907</v>
      </c>
      <c r="CN62" t="s">
        <v>909</v>
      </c>
      <c r="CO62">
        <v>911</v>
      </c>
      <c r="CP62">
        <v>102</v>
      </c>
      <c r="CQ62">
        <v>75.083424807900002</v>
      </c>
      <c r="CR62">
        <v>593</v>
      </c>
      <c r="CS62">
        <v>188</v>
      </c>
      <c r="CT62">
        <v>79.853288364199997</v>
      </c>
      <c r="CU62">
        <v>75.223404255299997</v>
      </c>
      <c r="CW62" t="s">
        <v>388</v>
      </c>
      <c r="CX62" t="s">
        <v>915</v>
      </c>
      <c r="CY62" t="s">
        <v>917</v>
      </c>
      <c r="CZ62">
        <v>495</v>
      </c>
      <c r="DA62">
        <v>99</v>
      </c>
      <c r="DB62">
        <v>80.559595959600003</v>
      </c>
      <c r="DC62">
        <v>98</v>
      </c>
      <c r="DD62">
        <v>44</v>
      </c>
      <c r="DE62">
        <v>154.62244897959999</v>
      </c>
      <c r="DF62">
        <v>151.0227272727</v>
      </c>
      <c r="DH62" t="s">
        <v>388</v>
      </c>
      <c r="DI62" t="s">
        <v>899</v>
      </c>
      <c r="DJ62" t="s">
        <v>901</v>
      </c>
      <c r="DK62">
        <v>570</v>
      </c>
      <c r="DL62">
        <v>115</v>
      </c>
      <c r="DM62">
        <v>81.531578947400007</v>
      </c>
      <c r="DN62">
        <v>127</v>
      </c>
      <c r="DO62">
        <v>47</v>
      </c>
      <c r="DP62">
        <v>137.0551181102</v>
      </c>
      <c r="DQ62">
        <v>140.2340425532</v>
      </c>
    </row>
    <row r="63" spans="2:121" x14ac:dyDescent="0.2">
      <c r="BJ63" t="s">
        <v>560</v>
      </c>
      <c r="BK63" t="s">
        <v>387</v>
      </c>
      <c r="BL63">
        <v>7685</v>
      </c>
      <c r="BM63">
        <v>1297</v>
      </c>
      <c r="BN63">
        <v>84.095901106100001</v>
      </c>
      <c r="BO63">
        <v>2965</v>
      </c>
      <c r="BP63">
        <v>890</v>
      </c>
      <c r="BQ63">
        <v>136.95548060709999</v>
      </c>
      <c r="BR63">
        <v>141.6146067416</v>
      </c>
      <c r="BS63">
        <v>6971</v>
      </c>
      <c r="BT63">
        <v>1143</v>
      </c>
      <c r="BU63">
        <v>77.959690144899994</v>
      </c>
      <c r="BV63">
        <v>2740</v>
      </c>
      <c r="BW63">
        <v>756</v>
      </c>
      <c r="BX63">
        <v>134.88467153280001</v>
      </c>
      <c r="BY63">
        <v>142.07936507939999</v>
      </c>
      <c r="CA63" t="s">
        <v>400</v>
      </c>
      <c r="CB63" t="s">
        <v>922</v>
      </c>
      <c r="CC63" t="s">
        <v>1034</v>
      </c>
      <c r="CD63">
        <v>4446</v>
      </c>
      <c r="CE63">
        <v>816</v>
      </c>
      <c r="CF63">
        <v>93.968286099899998</v>
      </c>
      <c r="CG63">
        <v>1929</v>
      </c>
      <c r="CH63">
        <v>658</v>
      </c>
      <c r="CI63">
        <v>135.47848626230001</v>
      </c>
      <c r="CJ63">
        <v>131.83890577509999</v>
      </c>
      <c r="CL63" t="s">
        <v>400</v>
      </c>
      <c r="CM63" t="s">
        <v>907</v>
      </c>
      <c r="CN63" t="s">
        <v>910</v>
      </c>
      <c r="CO63">
        <v>445</v>
      </c>
      <c r="CP63">
        <v>33</v>
      </c>
      <c r="CQ63">
        <v>64.948314606699995</v>
      </c>
      <c r="CR63">
        <v>274</v>
      </c>
      <c r="CS63">
        <v>81</v>
      </c>
      <c r="CT63">
        <v>68.788321167899994</v>
      </c>
      <c r="CU63">
        <v>67.629629629600004</v>
      </c>
      <c r="CW63" t="s">
        <v>400</v>
      </c>
      <c r="CX63" t="s">
        <v>915</v>
      </c>
      <c r="CY63" t="s">
        <v>918</v>
      </c>
      <c r="CZ63">
        <v>115</v>
      </c>
      <c r="DA63">
        <v>15</v>
      </c>
      <c r="DB63">
        <v>71.043478260900002</v>
      </c>
      <c r="DC63">
        <v>23</v>
      </c>
      <c r="DD63">
        <v>6</v>
      </c>
      <c r="DE63">
        <v>141.17391304349999</v>
      </c>
      <c r="DF63">
        <v>154.6666666667</v>
      </c>
      <c r="DH63" t="s">
        <v>400</v>
      </c>
      <c r="DI63" t="s">
        <v>899</v>
      </c>
      <c r="DJ63" t="s">
        <v>902</v>
      </c>
      <c r="DK63">
        <v>180</v>
      </c>
      <c r="DL63">
        <v>23</v>
      </c>
      <c r="DM63">
        <v>69.238888888899993</v>
      </c>
      <c r="DN63">
        <v>30</v>
      </c>
      <c r="DO63">
        <v>4</v>
      </c>
      <c r="DP63">
        <v>138.80000000000001</v>
      </c>
      <c r="DQ63">
        <v>136</v>
      </c>
    </row>
    <row r="64" spans="2:121" x14ac:dyDescent="0.2">
      <c r="BJ64" t="s">
        <v>556</v>
      </c>
      <c r="BK64" t="s">
        <v>387</v>
      </c>
      <c r="BL64">
        <v>9649</v>
      </c>
      <c r="BM64">
        <v>1835</v>
      </c>
      <c r="BN64">
        <v>86.266867032899995</v>
      </c>
      <c r="BO64">
        <v>3709</v>
      </c>
      <c r="BP64">
        <v>1318</v>
      </c>
      <c r="BQ64">
        <v>130.95982744680001</v>
      </c>
      <c r="BR64">
        <v>130.69878603949999</v>
      </c>
      <c r="BS64">
        <v>10025</v>
      </c>
      <c r="BT64">
        <v>1979</v>
      </c>
      <c r="BU64">
        <v>90.629925186999998</v>
      </c>
      <c r="BV64">
        <v>4069</v>
      </c>
      <c r="BW64">
        <v>1450</v>
      </c>
      <c r="BX64">
        <v>141.8095355124</v>
      </c>
      <c r="BY64">
        <v>137.05310344829999</v>
      </c>
      <c r="CA64" t="s">
        <v>434</v>
      </c>
      <c r="CB64" t="s">
        <v>922</v>
      </c>
      <c r="CC64" t="s">
        <v>1035</v>
      </c>
      <c r="CD64">
        <v>3329</v>
      </c>
      <c r="CE64">
        <v>763</v>
      </c>
      <c r="CF64">
        <v>100.1598077501</v>
      </c>
      <c r="CG64">
        <v>893</v>
      </c>
      <c r="CH64">
        <v>259</v>
      </c>
      <c r="CI64">
        <v>155.2340425532</v>
      </c>
      <c r="CJ64">
        <v>149.3822393822</v>
      </c>
      <c r="CL64" t="s">
        <v>434</v>
      </c>
      <c r="CM64" t="s">
        <v>907</v>
      </c>
      <c r="CN64" t="s">
        <v>911</v>
      </c>
      <c r="CO64">
        <v>339</v>
      </c>
      <c r="CP64">
        <v>42</v>
      </c>
      <c r="CQ64">
        <v>67.861356932199996</v>
      </c>
      <c r="CR64">
        <v>231</v>
      </c>
      <c r="CS64">
        <v>58</v>
      </c>
      <c r="CT64">
        <v>83.701298701300004</v>
      </c>
      <c r="CU64">
        <v>65.775862068999999</v>
      </c>
      <c r="CW64" t="s">
        <v>434</v>
      </c>
      <c r="CX64" t="s">
        <v>915</v>
      </c>
      <c r="CY64" t="s">
        <v>919</v>
      </c>
      <c r="CZ64">
        <v>19</v>
      </c>
      <c r="DA64">
        <v>2</v>
      </c>
      <c r="DB64">
        <v>65.421052631600006</v>
      </c>
      <c r="DC64">
        <v>1</v>
      </c>
      <c r="DD64">
        <v>1</v>
      </c>
      <c r="DE64">
        <v>248</v>
      </c>
      <c r="DF64">
        <v>248</v>
      </c>
      <c r="DH64" t="s">
        <v>434</v>
      </c>
      <c r="DI64" t="s">
        <v>899</v>
      </c>
      <c r="DJ64" t="s">
        <v>903</v>
      </c>
      <c r="DK64">
        <v>18</v>
      </c>
      <c r="DL64">
        <v>3</v>
      </c>
      <c r="DM64">
        <v>74.666666666699996</v>
      </c>
      <c r="DN64">
        <v>4</v>
      </c>
      <c r="DO64">
        <v>1</v>
      </c>
      <c r="DP64">
        <v>101</v>
      </c>
      <c r="DQ64">
        <v>40</v>
      </c>
    </row>
    <row r="65" spans="62:121" x14ac:dyDescent="0.2">
      <c r="BJ65" t="s">
        <v>620</v>
      </c>
      <c r="BK65" t="s">
        <v>387</v>
      </c>
      <c r="BL65">
        <v>3350</v>
      </c>
      <c r="BM65">
        <v>777</v>
      </c>
      <c r="BN65">
        <v>99.658805970100005</v>
      </c>
      <c r="BO65">
        <v>880</v>
      </c>
      <c r="BP65">
        <v>247</v>
      </c>
      <c r="BQ65">
        <v>156.89090909090001</v>
      </c>
      <c r="BR65">
        <v>148.29554655870001</v>
      </c>
      <c r="BS65">
        <v>3453</v>
      </c>
      <c r="BT65">
        <v>912</v>
      </c>
      <c r="BU65">
        <v>110.42253113229999</v>
      </c>
      <c r="BV65">
        <v>975</v>
      </c>
      <c r="BW65">
        <v>260</v>
      </c>
      <c r="BX65">
        <v>178.0758974359</v>
      </c>
      <c r="BY65">
        <v>163.2115384615</v>
      </c>
      <c r="CA65" t="s">
        <v>390</v>
      </c>
      <c r="CB65" t="s">
        <v>922</v>
      </c>
      <c r="CC65" t="s">
        <v>1036</v>
      </c>
      <c r="CD65">
        <v>9391</v>
      </c>
      <c r="CE65">
        <v>2289</v>
      </c>
      <c r="CF65">
        <v>98.729954211500001</v>
      </c>
      <c r="CG65">
        <v>3447</v>
      </c>
      <c r="CH65">
        <v>1271</v>
      </c>
      <c r="CI65">
        <v>134.04351610099999</v>
      </c>
      <c r="CJ65">
        <v>131.0157356412</v>
      </c>
      <c r="CL65" t="s">
        <v>390</v>
      </c>
      <c r="CM65" t="s">
        <v>907</v>
      </c>
      <c r="CN65" t="s">
        <v>912</v>
      </c>
      <c r="CO65">
        <v>596</v>
      </c>
      <c r="CP65">
        <v>56</v>
      </c>
      <c r="CQ65">
        <v>70.5184563758</v>
      </c>
      <c r="CR65">
        <v>368</v>
      </c>
      <c r="CS65">
        <v>105</v>
      </c>
      <c r="CT65">
        <v>79.619565217399995</v>
      </c>
      <c r="CU65">
        <v>75.609523809500004</v>
      </c>
      <c r="CW65" t="s">
        <v>390</v>
      </c>
      <c r="CX65" t="s">
        <v>915</v>
      </c>
      <c r="CY65" t="s">
        <v>920</v>
      </c>
      <c r="CZ65">
        <v>292</v>
      </c>
      <c r="DA65">
        <v>69</v>
      </c>
      <c r="DB65">
        <v>89.684931506799998</v>
      </c>
      <c r="DC65">
        <v>43</v>
      </c>
      <c r="DD65">
        <v>12</v>
      </c>
      <c r="DE65">
        <v>143.13953488370001</v>
      </c>
      <c r="DF65">
        <v>134.1666666667</v>
      </c>
      <c r="DH65" t="s">
        <v>390</v>
      </c>
      <c r="DI65" t="s">
        <v>899</v>
      </c>
      <c r="DJ65" t="s">
        <v>904</v>
      </c>
      <c r="DK65">
        <v>297</v>
      </c>
      <c r="DL65">
        <v>48</v>
      </c>
      <c r="DM65">
        <v>77.198653198700001</v>
      </c>
      <c r="DN65">
        <v>53</v>
      </c>
      <c r="DO65">
        <v>22</v>
      </c>
      <c r="DP65">
        <v>134.60377358490001</v>
      </c>
      <c r="DQ65">
        <v>138.3181818182</v>
      </c>
    </row>
    <row r="66" spans="62:121" x14ac:dyDescent="0.2">
      <c r="BJ66" t="s">
        <v>387</v>
      </c>
      <c r="BK66" t="s">
        <v>387</v>
      </c>
      <c r="BL66">
        <v>74135</v>
      </c>
      <c r="BM66">
        <v>16807</v>
      </c>
      <c r="BN66">
        <v>96.509206177899998</v>
      </c>
      <c r="BO66">
        <v>25921</v>
      </c>
      <c r="BP66">
        <v>8973</v>
      </c>
      <c r="BQ66">
        <v>146.55557270169999</v>
      </c>
      <c r="BR66">
        <v>141.8039674579</v>
      </c>
      <c r="BS66">
        <v>70602</v>
      </c>
      <c r="BT66">
        <v>15086</v>
      </c>
      <c r="BU66">
        <v>94.943528511899999</v>
      </c>
      <c r="BV66">
        <v>24246</v>
      </c>
      <c r="BW66">
        <v>8293</v>
      </c>
      <c r="BX66">
        <v>145.42266765650001</v>
      </c>
      <c r="BY66">
        <v>140.43193054380001</v>
      </c>
      <c r="CA66" t="s">
        <v>391</v>
      </c>
      <c r="CB66" t="s">
        <v>922</v>
      </c>
      <c r="CC66" t="s">
        <v>1037</v>
      </c>
      <c r="CD66">
        <v>9579</v>
      </c>
      <c r="CE66">
        <v>1877</v>
      </c>
      <c r="CF66">
        <v>87.428750391500003</v>
      </c>
      <c r="CG66">
        <v>3791</v>
      </c>
      <c r="CH66">
        <v>1327</v>
      </c>
      <c r="CI66">
        <v>127.7077288314</v>
      </c>
      <c r="CJ66">
        <v>126.40919366990001</v>
      </c>
      <c r="CL66" t="s">
        <v>391</v>
      </c>
      <c r="CM66" t="s">
        <v>907</v>
      </c>
      <c r="CN66" t="s">
        <v>913</v>
      </c>
      <c r="CO66">
        <v>763</v>
      </c>
      <c r="CP66">
        <v>60</v>
      </c>
      <c r="CQ66">
        <v>59.783748361699999</v>
      </c>
      <c r="CR66">
        <v>476</v>
      </c>
      <c r="CS66">
        <v>150</v>
      </c>
      <c r="CT66">
        <v>58.044117647100002</v>
      </c>
      <c r="CU66">
        <v>58.093333333300002</v>
      </c>
      <c r="CW66" t="s">
        <v>391</v>
      </c>
      <c r="CX66" t="s">
        <v>915</v>
      </c>
      <c r="CY66" t="s">
        <v>921</v>
      </c>
      <c r="CZ66">
        <v>237</v>
      </c>
      <c r="DA66">
        <v>37</v>
      </c>
      <c r="DB66">
        <v>76.447257383999997</v>
      </c>
      <c r="DC66">
        <v>53</v>
      </c>
      <c r="DD66">
        <v>14</v>
      </c>
      <c r="DE66">
        <v>137.73584905659999</v>
      </c>
      <c r="DF66">
        <v>132.92857142860001</v>
      </c>
      <c r="DH66" t="s">
        <v>391</v>
      </c>
      <c r="DI66" t="s">
        <v>899</v>
      </c>
      <c r="DJ66" t="s">
        <v>905</v>
      </c>
      <c r="DK66">
        <v>469</v>
      </c>
      <c r="DL66">
        <v>84</v>
      </c>
      <c r="DM66">
        <v>76.511727078899995</v>
      </c>
      <c r="DN66">
        <v>89</v>
      </c>
      <c r="DO66">
        <v>37</v>
      </c>
      <c r="DP66">
        <v>145.60674157299999</v>
      </c>
      <c r="DQ66">
        <v>147.32432432429999</v>
      </c>
    </row>
    <row r="67" spans="62:121" x14ac:dyDescent="0.2">
      <c r="BJ67" t="s">
        <v>548</v>
      </c>
      <c r="BK67" t="s">
        <v>387</v>
      </c>
      <c r="BL67">
        <v>21993</v>
      </c>
      <c r="BM67">
        <v>5694</v>
      </c>
      <c r="BN67">
        <v>103.6514800164</v>
      </c>
      <c r="BO67">
        <v>7915</v>
      </c>
      <c r="BP67">
        <v>2877</v>
      </c>
      <c r="BQ67">
        <v>153.77005685410001</v>
      </c>
      <c r="BR67">
        <v>145.7445255474</v>
      </c>
      <c r="BS67">
        <v>19559</v>
      </c>
      <c r="BT67">
        <v>3725</v>
      </c>
      <c r="BU67">
        <v>90.509177360799995</v>
      </c>
      <c r="BV67">
        <v>6899</v>
      </c>
      <c r="BW67">
        <v>2518</v>
      </c>
      <c r="BX67">
        <v>140.4467314103</v>
      </c>
      <c r="BY67">
        <v>133.58141382049999</v>
      </c>
      <c r="CA67" t="s">
        <v>387</v>
      </c>
      <c r="CB67" t="s">
        <v>922</v>
      </c>
      <c r="CD67">
        <v>76035</v>
      </c>
      <c r="CE67">
        <v>16896</v>
      </c>
      <c r="CF67">
        <v>95.477214440699996</v>
      </c>
      <c r="CG67">
        <v>27949</v>
      </c>
      <c r="CH67">
        <v>9616</v>
      </c>
      <c r="CI67">
        <v>140.86908297260001</v>
      </c>
      <c r="CJ67">
        <v>137.93354825290001</v>
      </c>
      <c r="CL67" t="s">
        <v>387</v>
      </c>
      <c r="CM67" t="s">
        <v>907</v>
      </c>
      <c r="CO67">
        <v>5628</v>
      </c>
      <c r="CP67">
        <v>511</v>
      </c>
      <c r="CQ67">
        <v>66.739694385199996</v>
      </c>
      <c r="CR67">
        <v>3613</v>
      </c>
      <c r="CS67">
        <v>1122</v>
      </c>
      <c r="CT67">
        <v>72.145031829499999</v>
      </c>
      <c r="CU67">
        <v>68.347593582900004</v>
      </c>
      <c r="CW67" t="s">
        <v>387</v>
      </c>
      <c r="CX67" t="s">
        <v>915</v>
      </c>
      <c r="CZ67">
        <v>2226</v>
      </c>
      <c r="DA67">
        <v>399</v>
      </c>
      <c r="DB67">
        <v>79.282569631599998</v>
      </c>
      <c r="DC67">
        <v>406</v>
      </c>
      <c r="DD67">
        <v>138</v>
      </c>
      <c r="DE67">
        <v>146.9827586207</v>
      </c>
      <c r="DF67">
        <v>151.21739130430001</v>
      </c>
      <c r="DH67" t="s">
        <v>387</v>
      </c>
      <c r="DI67" t="s">
        <v>899</v>
      </c>
      <c r="DK67">
        <v>2834</v>
      </c>
      <c r="DL67">
        <v>539</v>
      </c>
      <c r="DM67">
        <v>78.874029640100005</v>
      </c>
      <c r="DN67">
        <v>573</v>
      </c>
      <c r="DO67">
        <v>195</v>
      </c>
      <c r="DP67">
        <v>138.03315881329999</v>
      </c>
      <c r="DQ67">
        <v>135.7538461538</v>
      </c>
    </row>
    <row r="68" spans="62:121" x14ac:dyDescent="0.2">
      <c r="BJ68" t="s">
        <v>314</v>
      </c>
      <c r="BK68" t="s">
        <v>702</v>
      </c>
      <c r="BL68">
        <v>9706</v>
      </c>
      <c r="BM68">
        <v>1438</v>
      </c>
      <c r="BN68">
        <v>73.691943128000005</v>
      </c>
      <c r="BO68">
        <v>2048</v>
      </c>
      <c r="BP68">
        <v>736</v>
      </c>
      <c r="BQ68">
        <v>125.03369140629999</v>
      </c>
      <c r="BR68">
        <v>125.1059782609</v>
      </c>
      <c r="BS68">
        <v>655</v>
      </c>
      <c r="BT68">
        <v>90</v>
      </c>
      <c r="BU68">
        <v>66.8320610687</v>
      </c>
      <c r="BV68">
        <v>185</v>
      </c>
      <c r="BW68">
        <v>65</v>
      </c>
      <c r="BX68">
        <v>90.637837837800006</v>
      </c>
      <c r="BY68">
        <v>112.2</v>
      </c>
      <c r="CA68" t="s">
        <v>705</v>
      </c>
      <c r="CD68">
        <v>373198</v>
      </c>
      <c r="CE68">
        <v>75463</v>
      </c>
      <c r="CF68">
        <v>90.457783803799998</v>
      </c>
      <c r="CG68">
        <v>149640</v>
      </c>
      <c r="CH68">
        <v>48775</v>
      </c>
      <c r="CI68">
        <v>128.6788024592</v>
      </c>
      <c r="CJ68">
        <v>127.22814966679999</v>
      </c>
      <c r="CL68" t="s">
        <v>705</v>
      </c>
      <c r="CO68">
        <v>373198</v>
      </c>
      <c r="CP68">
        <v>75463</v>
      </c>
      <c r="CQ68">
        <v>90.457783803799998</v>
      </c>
      <c r="CR68">
        <v>149640</v>
      </c>
      <c r="CS68">
        <v>48775</v>
      </c>
      <c r="CT68">
        <v>128.6788024592</v>
      </c>
      <c r="CU68">
        <v>127.22814966679999</v>
      </c>
      <c r="CW68" t="s">
        <v>705</v>
      </c>
      <c r="CZ68">
        <v>373198</v>
      </c>
      <c r="DA68">
        <v>75463</v>
      </c>
      <c r="DB68">
        <v>90.457783803799998</v>
      </c>
      <c r="DC68">
        <v>149640</v>
      </c>
      <c r="DD68">
        <v>48775</v>
      </c>
      <c r="DE68">
        <v>128.6788024592</v>
      </c>
      <c r="DF68">
        <v>127.22814966679999</v>
      </c>
      <c r="DH68" t="s">
        <v>705</v>
      </c>
      <c r="DK68">
        <v>373198</v>
      </c>
      <c r="DL68">
        <v>75463</v>
      </c>
      <c r="DM68">
        <v>90.457783803799998</v>
      </c>
      <c r="DN68">
        <v>149640</v>
      </c>
      <c r="DO68">
        <v>48775</v>
      </c>
      <c r="DP68">
        <v>128.6788024592</v>
      </c>
      <c r="DQ68">
        <v>127.22814966679999</v>
      </c>
    </row>
    <row r="69" spans="62:121" x14ac:dyDescent="0.2">
      <c r="BJ69" t="s">
        <v>217</v>
      </c>
      <c r="BK69" t="s">
        <v>702</v>
      </c>
      <c r="BL69">
        <v>73</v>
      </c>
      <c r="BM69">
        <v>8</v>
      </c>
      <c r="BN69">
        <v>73.506849315099998</v>
      </c>
      <c r="BO69">
        <v>18</v>
      </c>
      <c r="BP69">
        <v>6</v>
      </c>
      <c r="BQ69">
        <v>164.1666666667</v>
      </c>
      <c r="BR69">
        <v>82.166666666699996</v>
      </c>
      <c r="BS69">
        <v>4299</v>
      </c>
      <c r="BT69">
        <v>334</v>
      </c>
      <c r="BU69">
        <v>66.861363107700001</v>
      </c>
      <c r="BV69">
        <v>1183</v>
      </c>
      <c r="BW69">
        <v>431</v>
      </c>
      <c r="BX69">
        <v>115.100591716</v>
      </c>
      <c r="BY69">
        <v>113.5707656613</v>
      </c>
    </row>
    <row r="70" spans="62:121" x14ac:dyDescent="0.2">
      <c r="BJ70" t="s">
        <v>702</v>
      </c>
      <c r="BK70" t="s">
        <v>702</v>
      </c>
      <c r="BL70">
        <v>11811</v>
      </c>
      <c r="BM70">
        <v>1849</v>
      </c>
      <c r="BN70">
        <v>75.277876555800006</v>
      </c>
      <c r="BO70">
        <v>2528</v>
      </c>
      <c r="BP70">
        <v>952</v>
      </c>
      <c r="BQ70">
        <v>128.66455696200001</v>
      </c>
      <c r="BR70">
        <v>128.09663865549999</v>
      </c>
      <c r="BS70">
        <v>11811</v>
      </c>
      <c r="BT70">
        <v>1849</v>
      </c>
      <c r="BU70">
        <v>75.277876555800006</v>
      </c>
      <c r="BV70">
        <v>2528</v>
      </c>
      <c r="BW70">
        <v>952</v>
      </c>
      <c r="BX70">
        <v>128.66455696200001</v>
      </c>
      <c r="BY70">
        <v>128.09663865549999</v>
      </c>
    </row>
    <row r="71" spans="62:121" x14ac:dyDescent="0.2">
      <c r="BJ71" t="s">
        <v>219</v>
      </c>
      <c r="BK71" t="s">
        <v>702</v>
      </c>
      <c r="BL71">
        <v>2032</v>
      </c>
      <c r="BM71">
        <v>403</v>
      </c>
      <c r="BN71">
        <v>82.916830708700004</v>
      </c>
      <c r="BO71">
        <v>462</v>
      </c>
      <c r="BP71">
        <v>210</v>
      </c>
      <c r="BQ71">
        <v>143.37662337660001</v>
      </c>
      <c r="BR71">
        <v>139.89047619050001</v>
      </c>
      <c r="BS71">
        <v>6857</v>
      </c>
      <c r="BT71">
        <v>1425</v>
      </c>
      <c r="BU71">
        <v>81.361382528799993</v>
      </c>
      <c r="BV71">
        <v>1160</v>
      </c>
      <c r="BW71">
        <v>456</v>
      </c>
      <c r="BX71">
        <v>148.5620689655</v>
      </c>
      <c r="BY71">
        <v>144.09210526320001</v>
      </c>
    </row>
    <row r="72" spans="62:121" x14ac:dyDescent="0.2">
      <c r="BJ72" t="s">
        <v>215</v>
      </c>
      <c r="BK72" t="s">
        <v>703</v>
      </c>
      <c r="BL72">
        <v>7019</v>
      </c>
      <c r="BM72">
        <v>486</v>
      </c>
      <c r="BN72">
        <v>61.279242057300003</v>
      </c>
      <c r="BO72">
        <v>4569</v>
      </c>
      <c r="BP72">
        <v>1451</v>
      </c>
      <c r="BQ72">
        <v>63.476909608200003</v>
      </c>
      <c r="BR72">
        <v>64.959338387299994</v>
      </c>
      <c r="BS72">
        <v>7017</v>
      </c>
      <c r="BT72">
        <v>477</v>
      </c>
      <c r="BU72">
        <v>60.9933019809</v>
      </c>
      <c r="BV72">
        <v>4592</v>
      </c>
      <c r="BW72">
        <v>1458</v>
      </c>
      <c r="BX72">
        <v>63.852134146300003</v>
      </c>
      <c r="BY72">
        <v>65.068587105600002</v>
      </c>
    </row>
    <row r="73" spans="62:121" x14ac:dyDescent="0.2">
      <c r="BJ73" t="s">
        <v>230</v>
      </c>
      <c r="BK73" t="s">
        <v>703</v>
      </c>
      <c r="BL73">
        <v>588</v>
      </c>
      <c r="BM73">
        <v>261</v>
      </c>
      <c r="BN73">
        <v>165.13945578229999</v>
      </c>
      <c r="BO73">
        <v>629</v>
      </c>
      <c r="BP73">
        <v>201</v>
      </c>
      <c r="BQ73">
        <v>53.022257551700001</v>
      </c>
      <c r="BR73">
        <v>52.477611940300001</v>
      </c>
      <c r="BS73">
        <v>534</v>
      </c>
      <c r="BT73">
        <v>269</v>
      </c>
      <c r="BU73">
        <v>181.7228464419</v>
      </c>
      <c r="BV73">
        <v>522</v>
      </c>
      <c r="BW73">
        <v>170</v>
      </c>
      <c r="BX73">
        <v>38.729885057499999</v>
      </c>
      <c r="BY73">
        <v>41.317647058799999</v>
      </c>
    </row>
    <row r="74" spans="62:121" x14ac:dyDescent="0.2">
      <c r="BJ74" t="s">
        <v>216</v>
      </c>
      <c r="BK74" t="s">
        <v>703</v>
      </c>
      <c r="BL74">
        <v>8843</v>
      </c>
      <c r="BM74">
        <v>812</v>
      </c>
      <c r="BN74">
        <v>65.893814316399997</v>
      </c>
      <c r="BO74">
        <v>5250</v>
      </c>
      <c r="BP74">
        <v>1674</v>
      </c>
      <c r="BQ74">
        <v>80.195809523799994</v>
      </c>
      <c r="BR74">
        <v>77.890681003599994</v>
      </c>
      <c r="BS74">
        <v>8876</v>
      </c>
      <c r="BT74">
        <v>824</v>
      </c>
      <c r="BU74">
        <v>66.057683641300002</v>
      </c>
      <c r="BV74">
        <v>5287</v>
      </c>
      <c r="BW74">
        <v>1682</v>
      </c>
      <c r="BX74">
        <v>80.649328541700001</v>
      </c>
      <c r="BY74">
        <v>78.181926278199995</v>
      </c>
    </row>
    <row r="75" spans="62:121" x14ac:dyDescent="0.2">
      <c r="BJ75" t="s">
        <v>218</v>
      </c>
      <c r="BK75" t="s">
        <v>703</v>
      </c>
      <c r="BL75">
        <v>7799</v>
      </c>
      <c r="BM75">
        <v>467</v>
      </c>
      <c r="BN75">
        <v>55.858186947</v>
      </c>
      <c r="BO75">
        <v>6635</v>
      </c>
      <c r="BP75">
        <v>1891</v>
      </c>
      <c r="BQ75">
        <v>63.573926149199998</v>
      </c>
      <c r="BR75">
        <v>65.505023796900005</v>
      </c>
      <c r="BS75">
        <v>7822</v>
      </c>
      <c r="BT75">
        <v>456</v>
      </c>
      <c r="BU75">
        <v>55.510099718699998</v>
      </c>
      <c r="BV75">
        <v>6682</v>
      </c>
      <c r="BW75">
        <v>1907</v>
      </c>
      <c r="BX75">
        <v>63.813079916200003</v>
      </c>
      <c r="BY75">
        <v>65.897745149399995</v>
      </c>
    </row>
    <row r="76" spans="62:121" x14ac:dyDescent="0.2">
      <c r="BJ76" t="s">
        <v>703</v>
      </c>
      <c r="BK76" t="s">
        <v>703</v>
      </c>
      <c r="BL76">
        <v>24249</v>
      </c>
      <c r="BM76">
        <v>2026</v>
      </c>
      <c r="BN76">
        <v>63.736978844500001</v>
      </c>
      <c r="BO76">
        <v>17083</v>
      </c>
      <c r="BP76">
        <v>5217</v>
      </c>
      <c r="BQ76">
        <v>68.267751565899999</v>
      </c>
      <c r="BR76">
        <v>68.825570251100004</v>
      </c>
      <c r="BS76">
        <v>24249</v>
      </c>
      <c r="BT76">
        <v>2026</v>
      </c>
      <c r="BU76">
        <v>63.736978844500001</v>
      </c>
      <c r="BV76">
        <v>17083</v>
      </c>
      <c r="BW76">
        <v>5217</v>
      </c>
      <c r="BX76">
        <v>68.267751565899999</v>
      </c>
      <c r="BY76">
        <v>68.825570251100004</v>
      </c>
    </row>
    <row r="77" spans="62:121" x14ac:dyDescent="0.2">
      <c r="BJ77" t="s">
        <v>313</v>
      </c>
      <c r="BK77" t="s">
        <v>704</v>
      </c>
      <c r="BL77">
        <v>6886</v>
      </c>
      <c r="BM77">
        <v>1118</v>
      </c>
      <c r="BN77">
        <v>75.291606157399997</v>
      </c>
      <c r="BO77">
        <v>1210</v>
      </c>
      <c r="BP77">
        <v>393</v>
      </c>
      <c r="BQ77">
        <v>137.17438016529999</v>
      </c>
      <c r="BR77">
        <v>136.96183206110001</v>
      </c>
      <c r="BS77">
        <v>536</v>
      </c>
      <c r="BT77">
        <v>70</v>
      </c>
      <c r="BU77">
        <v>61.789179104500001</v>
      </c>
      <c r="BV77">
        <v>59</v>
      </c>
      <c r="BW77">
        <v>26</v>
      </c>
      <c r="BX77">
        <v>107.7966101695</v>
      </c>
      <c r="BY77">
        <v>104.9230769231</v>
      </c>
    </row>
    <row r="78" spans="62:121" x14ac:dyDescent="0.2">
      <c r="BJ78" t="s">
        <v>963</v>
      </c>
      <c r="BK78" t="s">
        <v>704</v>
      </c>
      <c r="BL78">
        <v>1847</v>
      </c>
      <c r="BM78">
        <v>177</v>
      </c>
      <c r="BN78">
        <v>71.022198159200002</v>
      </c>
      <c r="BO78">
        <v>544</v>
      </c>
      <c r="BP78">
        <v>174</v>
      </c>
      <c r="BQ78">
        <v>116.7113970588</v>
      </c>
      <c r="BR78">
        <v>125.7988505747</v>
      </c>
      <c r="BS78">
        <v>4606</v>
      </c>
      <c r="BT78">
        <v>474</v>
      </c>
      <c r="BU78">
        <v>69.357794181499997</v>
      </c>
      <c r="BV78">
        <v>1114</v>
      </c>
      <c r="BW78">
        <v>346</v>
      </c>
      <c r="BX78">
        <v>118.2091561939</v>
      </c>
      <c r="BY78">
        <v>125.7601156069</v>
      </c>
    </row>
    <row r="79" spans="62:121" x14ac:dyDescent="0.2">
      <c r="BJ79" t="s">
        <v>704</v>
      </c>
      <c r="BK79" t="s">
        <v>704</v>
      </c>
      <c r="BL79">
        <v>10558</v>
      </c>
      <c r="BM79">
        <v>1634</v>
      </c>
      <c r="BN79">
        <v>75.202121613900005</v>
      </c>
      <c r="BO79">
        <v>2147</v>
      </c>
      <c r="BP79">
        <v>749</v>
      </c>
      <c r="BQ79">
        <v>134.65533302279999</v>
      </c>
      <c r="BR79">
        <v>137.7543391188</v>
      </c>
      <c r="BS79">
        <v>10558</v>
      </c>
      <c r="BT79">
        <v>1634</v>
      </c>
      <c r="BU79">
        <v>75.202121613900005</v>
      </c>
      <c r="BV79">
        <v>2147</v>
      </c>
      <c r="BW79">
        <v>749</v>
      </c>
      <c r="BX79">
        <v>134.65533302279999</v>
      </c>
      <c r="BY79">
        <v>137.7543391188</v>
      </c>
    </row>
    <row r="80" spans="62:121" x14ac:dyDescent="0.2">
      <c r="BJ80" t="s">
        <v>964</v>
      </c>
      <c r="BK80" t="s">
        <v>704</v>
      </c>
      <c r="BL80">
        <v>1825</v>
      </c>
      <c r="BM80">
        <v>339</v>
      </c>
      <c r="BN80">
        <v>79.094794520500002</v>
      </c>
      <c r="BO80">
        <v>393</v>
      </c>
      <c r="BP80">
        <v>182</v>
      </c>
      <c r="BQ80">
        <v>151.737913486</v>
      </c>
      <c r="BR80">
        <v>150.8956043956</v>
      </c>
      <c r="BS80">
        <v>5416</v>
      </c>
      <c r="BT80">
        <v>1090</v>
      </c>
      <c r="BU80">
        <v>81.499815361900005</v>
      </c>
      <c r="BV80">
        <v>974</v>
      </c>
      <c r="BW80">
        <v>377</v>
      </c>
      <c r="BX80">
        <v>155.09240246409999</v>
      </c>
      <c r="BY80">
        <v>151.0265251989</v>
      </c>
    </row>
    <row r="81" spans="62:77" x14ac:dyDescent="0.2">
      <c r="BJ81" t="s">
        <v>705</v>
      </c>
      <c r="BL81">
        <v>373198</v>
      </c>
      <c r="BM81">
        <v>75463</v>
      </c>
      <c r="BN81" s="153">
        <v>90.457783803799998</v>
      </c>
      <c r="BO81">
        <v>149640</v>
      </c>
      <c r="BP81">
        <v>48775</v>
      </c>
      <c r="BQ81">
        <v>128.6788024592</v>
      </c>
      <c r="BR81">
        <v>127.22814966679999</v>
      </c>
      <c r="BS81">
        <v>373198</v>
      </c>
      <c r="BT81">
        <v>75463</v>
      </c>
      <c r="BU81">
        <v>90.457783803799998</v>
      </c>
      <c r="BV81">
        <v>149640</v>
      </c>
      <c r="BW81">
        <v>48775</v>
      </c>
      <c r="BX81">
        <v>128.6788024592</v>
      </c>
      <c r="BY81">
        <v>127.22814966679999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373198</CP_Inventory>
    <Fiscal_Year xmlns="c9744be7-b815-40bc-84fa-afc9c406d9bc">2016</Fiscal_Year>
    <CP_Backlog xmlns="c9744be7-b815-40bc-84fa-afc9c406d9bc">75436</CP_Backlog>
    <Creation_date xmlns="c9744be7-b815-40bc-84fa-afc9c406d9bc">2015-11-16T00:00:00-05:00</Creation_date>
    <Data_date xmlns="c9744be7-b815-40bc-84fa-afc9c406d9bc">2015-11-14T00:00:00-05:00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c9744be7-b815-40bc-84fa-afc9c406d9bc"/>
    <ds:schemaRef ds:uri="fef9c9dc-374b-4157-9e06-089f148416e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16,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2015-11-16T14:43:32Z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