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0" yWindow="-15" windowWidth="12600" windowHeight="7575"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(TA)'!$A$1:$P$45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D39" i="35" l="1"/>
  <c r="C39" i="35"/>
  <c r="D38" i="35"/>
  <c r="C38" i="35"/>
  <c r="E38" i="35" l="1"/>
  <c r="E39" i="35"/>
  <c r="K34" i="46"/>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O12" i="35" l="1"/>
  <c r="C12" i="35"/>
  <c r="N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N18" i="35"/>
  <c r="N17" i="35"/>
  <c r="O11" i="35"/>
  <c r="O10" i="35"/>
  <c r="O9" i="35"/>
  <c r="O8" i="35"/>
  <c r="M12" i="35"/>
  <c r="M11" i="35"/>
  <c r="M10" i="35"/>
  <c r="M9" i="35"/>
  <c r="M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M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I12" i="35" l="1"/>
  <c r="H12" i="35"/>
  <c r="D35" i="35"/>
  <c r="C35" i="35"/>
  <c r="I26" i="35"/>
  <c r="H26" i="35"/>
  <c r="I25" i="35"/>
  <c r="H25" i="35"/>
  <c r="I24" i="35"/>
  <c r="H24" i="35"/>
  <c r="I23" i="35"/>
  <c r="H23" i="35"/>
  <c r="I21" i="35"/>
  <c r="H21" i="35"/>
  <c r="I20" i="35"/>
  <c r="H20" i="35"/>
  <c r="I19" i="35"/>
  <c r="H19" i="35"/>
  <c r="I17" i="35"/>
  <c r="H17" i="35"/>
  <c r="I16" i="35"/>
  <c r="H16" i="35"/>
  <c r="I15" i="35"/>
  <c r="H15" i="35"/>
  <c r="I14" i="35"/>
  <c r="H14" i="35"/>
  <c r="I13" i="35"/>
  <c r="H13" i="35"/>
  <c r="I10" i="35"/>
  <c r="H10" i="35"/>
  <c r="I9" i="35"/>
  <c r="H9" i="35"/>
  <c r="I8" i="35"/>
  <c r="H8" i="35"/>
  <c r="D44" i="35"/>
  <c r="C44" i="35"/>
  <c r="D43" i="35"/>
  <c r="C43" i="35"/>
  <c r="D42" i="35"/>
  <c r="C42" i="35"/>
  <c r="D41" i="35"/>
  <c r="C41" i="35"/>
  <c r="D40" i="35"/>
  <c r="C40" i="35"/>
  <c r="D37" i="35"/>
  <c r="C37" i="35"/>
  <c r="D34" i="35"/>
  <c r="C34" i="35"/>
  <c r="D33" i="35"/>
  <c r="C33" i="35"/>
  <c r="D32" i="35"/>
  <c r="C32" i="35"/>
  <c r="D31" i="35"/>
  <c r="C31" i="35"/>
  <c r="D29" i="35"/>
  <c r="C29" i="35"/>
  <c r="D28" i="35"/>
  <c r="C28" i="35"/>
  <c r="D27" i="35"/>
  <c r="C27" i="35"/>
  <c r="D26" i="35"/>
  <c r="C26" i="35"/>
  <c r="D25" i="35"/>
  <c r="C25" i="35"/>
  <c r="D24" i="35"/>
  <c r="C24" i="35"/>
  <c r="D23" i="35"/>
  <c r="C23" i="35"/>
  <c r="D21" i="35"/>
  <c r="C21" i="35"/>
  <c r="D20" i="35"/>
  <c r="C20" i="35"/>
  <c r="D19" i="35"/>
  <c r="C19" i="35"/>
  <c r="D18" i="35"/>
  <c r="C18" i="35"/>
  <c r="D17" i="35"/>
  <c r="C17" i="35"/>
  <c r="D16" i="35"/>
  <c r="C16" i="35"/>
  <c r="D15" i="35"/>
  <c r="C15" i="35"/>
  <c r="D13" i="35"/>
  <c r="C13" i="35"/>
  <c r="D12" i="35"/>
  <c r="E12" i="35" s="1"/>
  <c r="D10" i="35"/>
  <c r="C10" i="35"/>
  <c r="D9" i="35"/>
  <c r="C9" i="35"/>
  <c r="D8" i="35"/>
  <c r="C8" i="35"/>
  <c r="J14" i="35" l="1"/>
  <c r="J16" i="35"/>
  <c r="E34" i="35"/>
  <c r="E40" i="35"/>
  <c r="E42" i="35"/>
  <c r="J9" i="35"/>
  <c r="J20" i="35"/>
  <c r="J23" i="35"/>
  <c r="E21" i="35"/>
  <c r="J12" i="35"/>
  <c r="E13" i="35"/>
  <c r="E16" i="35"/>
  <c r="E18" i="35"/>
  <c r="E20" i="35"/>
  <c r="E23" i="35"/>
  <c r="E25" i="35"/>
  <c r="E27" i="35"/>
  <c r="E29" i="35"/>
  <c r="E32" i="35"/>
  <c r="E15" i="35"/>
  <c r="J25" i="35"/>
  <c r="E17" i="35"/>
  <c r="E19" i="35"/>
  <c r="E24" i="35"/>
  <c r="E26" i="35"/>
  <c r="E28" i="35"/>
  <c r="E31" i="35"/>
  <c r="E10" i="35"/>
  <c r="E8" i="35"/>
  <c r="E9" i="35"/>
  <c r="E35" i="35"/>
  <c r="E33" i="35"/>
  <c r="E44" i="35"/>
  <c r="J13" i="35"/>
  <c r="J15" i="35"/>
  <c r="J17" i="35"/>
  <c r="E37" i="35"/>
  <c r="E41" i="35"/>
  <c r="E43" i="35"/>
  <c r="J8" i="35"/>
  <c r="J10" i="35"/>
  <c r="J19" i="35"/>
  <c r="J21" i="35"/>
  <c r="J24" i="35"/>
  <c r="J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H22" i="35"/>
  <c r="J11" i="7"/>
  <c r="J15" i="7"/>
  <c r="I22" i="35"/>
  <c r="H7" i="35"/>
  <c r="C7" i="35"/>
  <c r="J13" i="7"/>
  <c r="C14" i="35"/>
  <c r="D14" i="35"/>
  <c r="H10" i="7"/>
  <c r="J16" i="7"/>
  <c r="H18" i="35"/>
  <c r="J14" i="7"/>
  <c r="D11" i="35"/>
  <c r="J12" i="7"/>
  <c r="C11" i="35"/>
  <c r="C30" i="35"/>
  <c r="D36" i="35"/>
  <c r="C36" i="35"/>
  <c r="C22" i="35"/>
  <c r="D30" i="35"/>
  <c r="I7" i="35"/>
  <c r="I18" i="35"/>
  <c r="J6" i="7"/>
  <c r="I10" i="7"/>
  <c r="I11" i="35"/>
  <c r="H5" i="7"/>
  <c r="D22" i="35"/>
  <c r="I5" i="7"/>
  <c r="H11" i="35"/>
  <c r="D7" i="35"/>
  <c r="E22" i="35" l="1"/>
  <c r="E30" i="35"/>
  <c r="E7" i="35"/>
  <c r="J22" i="35"/>
  <c r="J7" i="35"/>
  <c r="J18" i="35"/>
  <c r="J11" i="35"/>
  <c r="E36" i="35"/>
  <c r="E11" i="35"/>
  <c r="E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(minus EP 689),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<sst xmlns="http://schemas.openxmlformats.org/spreadsheetml/2006/main" count="4090" uniqueCount="1065">
  <si>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</si>
  <si>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</si>
  <si>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</si>
  <si>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</si>
  <si>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</si>
  <si>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</si>
  <si>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</si>
  <si>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</si>
  <si>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</si>
  <si>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</si>
  <si>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</si>
  <si>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</si>
  <si>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</si>
  <si>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</si>
  <si>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</si>
  <si>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</si>
  <si>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</si>
  <si>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</si>
  <si>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</si>
  <si>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</si>
  <si>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</si>
  <si>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</si>
  <si>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</si>
  <si>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</si>
  <si>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</si>
  <si>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</si>
  <si>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</si>
  <si>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</si>
  <si>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</si>
  <si>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</si>
  <si>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</si>
  <si>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</si>
  <si>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</si>
  <si>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</si>
  <si>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</si>
  <si>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</si>
  <si>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</si>
  <si>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</si>
  <si>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</si>
  <si>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</si>
  <si>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</si>
  <si>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</si>
  <si>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</si>
  <si>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</si>
  <si>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</si>
  <si>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</si>
  <si>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</si>
  <si>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</si>
  <si>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</si>
  <si>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</si>
  <si>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</si>
  <si>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</si>
  <si>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</si>
  <si>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</si>
  <si>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</si>
  <si>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</si>
  <si>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</si>
  <si>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</si>
  <si>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</si>
  <si>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</si>
  <si>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</si>
  <si>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</si>
  <si>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</si>
  <si>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</si>
  <si>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</si>
  <si>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</si>
  <si>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</si>
  <si>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</si>
  <si>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</si>
  <si>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</si>
  <si>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</si>
  <si>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</si>
  <si>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</si>
  <si>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</si>
  <si>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</si>
  <si>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</si>
  <si>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</si>
  <si>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</si>
  <si>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</si>
  <si>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</si>
  <si>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</si>
  <si>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</si>
  <si>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</si>
  <si>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</si>
  <si>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</si>
  <si>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</si>
  <si>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</si>
  <si>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</si>
  <si>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</si>
  <si>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</si>
  <si>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</si>
  <si>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</si>
  <si>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</si>
  <si>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</si>
  <si>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</si>
  <si>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</si>
  <si>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</si>
  <si>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</si>
  <si>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</si>
  <si>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</si>
  <si>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</si>
  <si>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</si>
  <si>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</si>
  <si>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</si>
  <si>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</si>
  <si>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</si>
  <si>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</si>
  <si>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</si>
  <si>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</si>
  <si>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</si>
  <si>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</si>
  <si>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</si>
  <si>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</si>
  <si>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</si>
  <si>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</si>
  <si>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</si>
  <si>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</si>
  <si>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</si>
  <si>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</si>
  <si>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</si>
  <si>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</si>
  <si>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</si>
  <si>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</si>
  <si>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</si>
  <si>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</si>
  <si>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</si>
  <si>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</si>
  <si>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</si>
  <si>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</si>
  <si>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</si>
  <si>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</si>
  <si>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</si>
  <si>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</si>
  <si>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</si>
  <si>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</si>
  <si>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</si>
  <si>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</si>
  <si>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</si>
  <si>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</si>
  <si>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</si>
  <si>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</si>
  <si>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</si>
  <si>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</si>
  <si>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</si>
  <si>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</si>
  <si>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</si>
  <si>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</si>
  <si>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</si>
  <si>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</si>
  <si>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</si>
  <si>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</si>
  <si>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</si>
  <si>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</si>
  <si>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</si>
  <si>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</si>
  <si>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</si>
  <si>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</si>
  <si>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</si>
  <si>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</si>
  <si>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</si>
  <si>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</si>
  <si>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</si>
  <si>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</si>
  <si>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</si>
  <si>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</si>
  <si>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</si>
  <si>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</si>
  <si>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</si>
  <si>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</si>
  <si>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</si>
  <si>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</si>
  <si>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</si>
  <si>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</si>
  <si>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</si>
  <si>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</si>
  <si>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</si>
  <si>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</si>
  <si>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</si>
  <si>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</si>
  <si>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</si>
  <si>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</si>
  <si>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</si>
  <si>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</si>
  <si>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</si>
  <si>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</si>
  <si>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</si>
  <si>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</si>
  <si>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</si>
  <si>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</si>
  <si>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</si>
  <si>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</si>
  <si>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</si>
  <si>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</si>
  <si>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</si>
  <si>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</si>
  <si>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</si>
  <si>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</si>
  <si>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</si>
  <si>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</si>
  <si>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</si>
  <si>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</si>
  <si>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</si>
  <si>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</si>
  <si>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</si>
  <si>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</si>
  <si>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</si>
  <si>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</si>
  <si>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</si>
  <si>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</si>
  <si>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</si>
  <si>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</si>
  <si>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</si>
  <si>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</si>
  <si>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</si>
  <si>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</si>
  <si>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</si>
  <si>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</si>
  <si>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</si>
  <si>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</si>
  <si>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</si>
  <si>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</si>
  <si>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</si>
  <si>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</si>
  <si>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</si>
  <si>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</si>
  <si>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</si>
  <si>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</si>
  <si>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</si>
  <si>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</si>
  <si>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</si>
  <si>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</si>
  <si>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</si>
  <si>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</si>
  <si>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</si>
  <si>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</si>
  <si>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</si>
  <si>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</si>
  <si>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</si>
  <si>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</si>
  <si>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</si>
  <si>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</si>
  <si>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</si>
  <si>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</si>
  <si>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</si>
  <si>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</si>
  <si>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</si>
  <si>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</si>
  <si>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</si>
  <si>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</si>
  <si>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</si>
  <si>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</si>
  <si>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</si>
  <si>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</si>
  <si>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</si>
  <si>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</si>
  <si>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</si>
  <si>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</si>
  <si>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</si>
  <si>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</si>
  <si>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</si>
  <si>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</si>
  <si>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</si>
  <si>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</si>
  <si>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</si>
  <si>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</si>
  <si>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</si>
  <si>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</si>
  <si>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</si>
  <si>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</si>
  <si>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</si>
  <si>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</si>
  <si>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</si>
  <si>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</si>
  <si>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</si>
  <si>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</si>
  <si>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</si>
  <si>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</si>
  <si>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</si>
  <si>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</si>
  <si>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</si>
  <si>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</si>
  <si>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</si>
  <si>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</si>
  <si>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</si>
  <si>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</si>
  <si>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</si>
  <si>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</si>
  <si>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</si>
  <si>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</si>
  <si>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</si>
  <si>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</si>
  <si>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</si>
  <si>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</si>
  <si>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</si>
  <si>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</si>
  <si>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</si>
  <si>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</si>
  <si>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</si>
  <si>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</si>
  <si>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</si>
  <si>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</si>
  <si>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</si>
  <si>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</si>
  <si>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</si>
  <si>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</si>
  <si>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</si>
  <si>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</si>
  <si>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</si>
  <si>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</si>
  <si>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</si>
  <si>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</si>
  <si>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</si>
  <si>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</si>
  <si>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</si>
  <si>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</si>
  <si>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</si>
  <si>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</si>
  <si>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</si>
  <si>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</si>
  <si>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</si>
  <si>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</si>
  <si>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</si>
  <si>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</si>
  <si>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</si>
  <si>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</si>
  <si>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</si>
  <si>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</si>
  <si>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</si>
  <si>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</si>
  <si>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</si>
  <si>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</si>
  <si>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</si>
  <si>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</si>
  <si>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</si>
  <si>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</si>
  <si>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</si>
  <si>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</si>
  <si>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</si>
  <si>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</si>
  <si>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</si>
  <si>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</si>
  <si>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</si>
  <si>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</si>
  <si>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</si>
  <si>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</si>
  <si>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</si>
  <si>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</si>
  <si>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</si>
  <si>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</si>
  <si>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</si>
  <si>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</si>
  <si>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</si>
  <si>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</si>
  <si>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</si>
  <si>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</si>
  <si>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</si>
  <si>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</si>
  <si>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</si>
  <si>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</si>
  <si>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</si>
  <si>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</si>
  <si>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</si>
  <si>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</si>
  <si>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</si>
  <si>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</si>
  <si>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</si>
  <si>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</si>
  <si>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</si>
  <si>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</si>
  <si>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</si>
  <si>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</si>
  <si>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</si>
  <si>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</si>
  <si>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</si>
  <si>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</si>
  <si>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</si>
  <si>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</si>
  <si>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</si>
  <si>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</si>
  <si>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</si>
  <si>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</si>
  <si>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</si>
  <si>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</si>
  <si>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</si>
  <si>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</si>
  <si>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</si>
  <si>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</si>
  <si>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</si>
  <si>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</si>
  <si>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</si>
  <si>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</si>
  <si>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</si>
  <si>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</si>
  <si>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</si>
  <si>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</si>
  <si>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</si>
  <si>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</si>
  <si>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</si>
  <si>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</si>
  <si>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</si>
  <si>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</si>
  <si>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</si>
  <si>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</si>
  <si>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</si>
  <si>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</si>
  <si>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</si>
  <si>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</si>
  <si>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</si>
  <si>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</si>
  <si>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</si>
  <si>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</si>
  <si>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</si>
  <si>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</si>
  <si>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</si>
  <si>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</si>
  <si>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</si>
  <si>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</si>
  <si>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</si>
  <si>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</si>
  <si>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</si>
  <si>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</si>
  <si>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</si>
  <si>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</si>
  <si>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</si>
  <si>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</si>
  <si>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</si>
  <si>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</si>
  <si>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</si>
  <si>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</si>
  <si>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</si>
  <si>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</si>
  <si>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</si>
  <si>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</si>
  <si>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</si>
  <si>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</si>
  <si>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</si>
  <si>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</si>
  <si>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</si>
  <si>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</si>
  <si>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</si>
  <si>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</si>
  <si>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</si>
  <si>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</si>
  <si>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</si>
  <si>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</si>
  <si>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</si>
  <si>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</si>
  <si>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</si>
  <si>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</si>
  <si>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</si>
  <si>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</si>
  <si>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</si>
  <si>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</si>
  <si>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</si>
  <si>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</si>
  <si>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</si>
  <si>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</si>
  <si>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</si>
  <si>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</si>
  <si>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</si>
  <si>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</si>
  <si>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</si>
  <si>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</si>
  <si>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</si>
  <si>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</si>
  <si>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</si>
  <si>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</si>
  <si>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</si>
  <si>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</si>
  <si>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</si>
  <si>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</si>
  <si>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</si>
  <si>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</si>
  <si>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</si>
  <si>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</si>
  <si>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</si>
  <si>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</si>
  <si>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</si>
  <si>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</si>
  <si>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</si>
  <si>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</si>
  <si>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</si>
  <si>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</si>
  <si>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</si>
  <si>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</si>
  <si>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</si>
  <si>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</si>
  <si>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</si>
  <si>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</si>
  <si>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</si>
  <si>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</si>
  <si>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</si>
  <si>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</si>
  <si>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</si>
  <si>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</si>
  <si>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</si>
  <si>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</si>
  <si>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</si>
  <si>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</si>
  <si>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</si>
  <si>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</si>
  <si>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</si>
  <si>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</si>
  <si>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</si>
  <si>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</si>
  <si>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</si>
  <si>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</si>
  <si>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</si>
  <si>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</si>
  <si>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</si>
  <si>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</si>
  <si>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</si>
  <si>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</si>
  <si>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</si>
  <si>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</si>
  <si>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</si>
  <si>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</si>
  <si>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</si>
  <si>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</si>
  <si>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</si>
  <si>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</si>
  <si>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</si>
  <si>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</si>
  <si>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</si>
  <si>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</si>
  <si>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</si>
  <si>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</si>
  <si>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</si>
  <si>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</si>
  <si>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</si>
  <si>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</si>
  <si>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</si>
  <si>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</si>
  <si>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</si>
  <si>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</si>
  <si>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</si>
  <si>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</si>
  <si>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</si>
  <si>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</si>
  <si>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</si>
  <si>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</si>
  <si>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</si>
  <si>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</si>
  <si>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</si>
  <si>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</si>
  <si>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</si>
  <si>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</si>
  <si>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</si>
  <si>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</si>
  <si>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</si>
  <si>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</si>
  <si>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</si>
  <si>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</si>
  <si>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</si>
  <si>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</si>
  <si>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</si>
  <si>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</si>
  <si>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</si>
  <si>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</si>
  <si>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</si>
  <si>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</si>
  <si>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</si>
  <si>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</si>
  <si>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</si>
  <si>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</si>
  <si>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</si>
  <si>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</si>
  <si>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</si>
  <si>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</si>
  <si>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</si>
  <si>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</si>
  <si>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</si>
  <si>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</si>
  <si>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</si>
  <si>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</si>
  <si>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</si>
  <si>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</si>
  <si>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</si>
  <si>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</si>
  <si>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</si>
  <si>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</si>
  <si>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</si>
  <si>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</si>
  <si>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</si>
  <si>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</si>
  <si>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</si>
  <si>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</si>
  <si>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</si>
  <si>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</si>
  <si>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</si>
  <si>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</si>
  <si>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</si>
  <si>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</si>
  <si>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</si>
  <si>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</si>
  <si>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</si>
  <si>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</si>
  <si>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</si>
  <si>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</si>
  <si>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</si>
  <si>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</si>
  <si>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</si>
  <si>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</si>
  <si>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</si>
  <si>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</si>
  <si>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</si>
  <si>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</si>
  <si>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</si>
  <si>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</si>
  <si>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</si>
  <si>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</si>
  <si>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</si>
  <si>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</si>
  <si>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</si>
  <si>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</si>
  <si>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</si>
  <si>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</si>
  <si>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</si>
  <si>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</si>
  <si>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</si>
  <si>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</si>
  <si>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</si>
  <si>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</si>
  <si>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</si>
  <si>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</si>
  <si>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</si>
  <si>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</si>
  <si>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</si>
  <si>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</si>
  <si>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</si>
  <si>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</si>
  <si>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</si>
  <si>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</si>
  <si>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</si>
  <si>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</si>
  <si>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</si>
  <si>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</si>
  <si>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</si>
  <si>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</si>
  <si>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</si>
  <si>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</si>
  <si>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</si>
  <si>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</si>
  <si>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</si>
  <si>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</si>
  <si>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</si>
  <si>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</si>
  <si>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</si>
  <si>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</si>
  <si>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</si>
  <si>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</si>
  <si>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</si>
  <si>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</si>
  <si>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</si>
  <si>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</si>
  <si>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</si>
  <si>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</si>
  <si>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</si>
  <si>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</si>
  <si>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</si>
  <si>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</si>
  <si>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</si>
  <si>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</si>
  <si>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</si>
  <si>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</si>
  <si>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</si>
  <si>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</si>
  <si>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</si>
  <si>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</si>
  <si>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</si>
  <si>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</si>
  <si>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</si>
  <si>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</si>
  <si>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</si>
  <si>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</si>
  <si>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</si>
  <si>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</si>
  <si>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</si>
  <si>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</si>
  <si>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</si>
  <si>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</si>
  <si>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</si>
  <si>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</si>
  <si>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</si>
  <si>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</si>
  <si>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</si>
  <si>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</si>
  <si>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</si>
  <si>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</si>
  <si>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</si>
  <si>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</si>
  <si>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</si>
  <si>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</si>
  <si>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</si>
  <si>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</si>
  <si>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</si>
  <si>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</si>
  <si>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</si>
  <si>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</si>
  <si>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</si>
  <si>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</si>
  <si>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</si>
  <si>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</si>
  <si>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</si>
  <si>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</si>
  <si>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</si>
  <si>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</si>
  <si>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</si>
  <si>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</si>
  <si>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</si>
  <si>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</si>
  <si>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</si>
  <si>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</si>
  <si>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</si>
  <si>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</si>
  <si>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</si>
  <si>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</si>
  <si>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</si>
  <si>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</si>
  <si>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</si>
  <si>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</si>
  <si>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</si>
  <si>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</si>
  <si>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</si>
  <si>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</si>
  <si>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</si>
  <si>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</si>
  <si>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</si>
  <si>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</si>
  <si>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</si>
  <si>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</si>
  <si>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</si>
  <si>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</si>
  <si>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</si>
  <si>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</si>
  <si>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</si>
  <si>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</si>
  <si>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</si>
  <si>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</si>
  <si>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</si>
  <si>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</si>
  <si>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</si>
  <si>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</si>
  <si>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</si>
  <si>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</si>
  <si>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</si>
  <si>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</si>
  <si>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</si>
  <si>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</si>
  <si>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</si>
  <si>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</si>
  <si>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</si>
  <si>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</si>
  <si>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</si>
  <si>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</si>
  <si>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</si>
  <si>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</si>
  <si>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</si>
  <si>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</si>
  <si>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</si>
  <si>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</si>
  <si>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</si>
  <si>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</si>
  <si>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</si>
  <si>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</si>
  <si>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</si>
  <si>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</si>
  <si>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</si>
  <si>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</si>
  <si>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</si>
  <si>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</si>
  <si>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</si>
  <si>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</si>
  <si>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</si>
  <si>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</si>
  <si>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</si>
  <si>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</si>
  <si>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</si>
  <si>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</si>
  <si>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</si>
  <si>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</si>
  <si>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</si>
  <si>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</si>
  <si>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</si>
  <si>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</si>
  <si>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</si>
  <si>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</si>
  <si>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</si>
  <si>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</si>
  <si>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</si>
  <si>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</si>
  <si>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</si>
  <si>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</si>
  <si>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</si>
  <si>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</si>
  <si>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</si>
  <si>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</si>
  <si>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</si>
  <si>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</si>
  <si>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</si>
  <si>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</si>
  <si>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</si>
  <si>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</si>
  <si>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</si>
  <si>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</si>
  <si>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</si>
  <si>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</si>
  <si>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</si>
  <si>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</si>
  <si>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</si>
  <si>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</si>
  <si>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</si>
  <si>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</si>
  <si>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</si>
  <si>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</si>
  <si>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</si>
  <si>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</si>
  <si>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</si>
  <si>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</si>
  <si>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</si>
  <si>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</si>
  <si>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</si>
  <si>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</si>
  <si>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</si>
  <si>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</si>
  <si>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</si>
  <si>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</si>
  <si>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</si>
  <si>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</si>
  <si>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</si>
  <si>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</si>
  <si>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</si>
  <si>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</si>
  <si>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</si>
  <si>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</si>
  <si>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</si>
  <si>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</si>
  <si>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</si>
  <si>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</si>
  <si>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</si>
  <si>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</si>
  <si>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</si>
  <si>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</si>
  <si>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</si>
  <si>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</si>
  <si>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</si>
  <si>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</si>
  <si>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</si>
  <si>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</si>
  <si>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</si>
  <si>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</si>
  <si>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</si>
  <si>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</si>
  <si>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</si>
  <si>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</si>
  <si>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</si>
  <si>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</si>
  <si>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</si>
  <si>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</si>
  <si>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</si>
  <si>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</si>
  <si>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</si>
  <si>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</si>
  <si>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</si>
  <si>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</si>
  <si>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</si>
  <si>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</si>
  <si>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</si>
  <si>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</si>
  <si>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</si>
  <si>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</si>
  <si>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</si>
  <si>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</si>
  <si>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</si>
  <si>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</si>
  <si>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</si>
  <si>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</si>
  <si>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</si>
  <si>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</si>
  <si>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</si>
  <si>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</si>
  <si>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</si>
  <si>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</si>
  <si>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</si>
  <si>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</si>
  <si>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</si>
  <si>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</si>
  <si>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</si>
  <si>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</si>
  <si>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</si>
  <si>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</si>
  <si>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</si>
  <si>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</si>
  <si>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</si>
  <si>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</si>
  <si>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</si>
  <si>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</si>
  <si>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</si>
  <si>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</si>
  <si>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</si>
  <si>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</si>
  <si>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</si>
  <si>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</si>
  <si>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</si>
  <si>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</si>
  <si>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</si>
  <si>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</si>
  <si>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</si>
  <si>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</si>
  <si>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</si>
  <si>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</si>
  <si>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</si>
  <si>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</si>
  <si>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</si>
  <si>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</si>
  <si>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</si>
  <si>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</si>
  <si>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</si>
  <si>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</si>
  <si>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</si>
  <si>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</si>
  <si>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</si>
  <si>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</si>
  <si>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</si>
  <si>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</si>
  <si>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</si>
  <si>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</si>
  <si>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</si>
  <si>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</si>
  <si>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</si>
  <si>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</si>
  <si>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</si>
  <si>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</si>
  <si>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</si>
  <si>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</si>
  <si>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</si>
  <si>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</si>
  <si>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</si>
  <si>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</si>
  <si>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</si>
  <si>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</si>
  <si>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</si>
  <si>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</si>
  <si>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</si>
  <si>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</si>
  <si>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</si>
  <si>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</si>
  <si>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</si>
  <si>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</si>
  <si>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</si>
  <si>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</si>
  <si>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</si>
  <si>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</si>
  <si>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</si>
  <si>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</si>
  <si>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</si>
  <si>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</si>
  <si>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</si>
  <si>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</si>
  <si>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</si>
  <si>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</si>
  <si>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</si>
  <si>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</si>
  <si>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</si>
  <si>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</si>
  <si>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</si>
  <si>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</si>
  <si>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</si>
  <si>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</si>
  <si>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</si>
  <si>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</si>
  <si>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</si>
  <si>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</si>
  <si>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</si>
  <si>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</si>
  <si>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</si>
  <si>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</si>
  <si>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</si>
  <si>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</si>
  <si>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</si>
  <si>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</si>
  <si>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</si>
  <si>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</si>
  <si>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</si>
  <si>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</si>
  <si>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</si>
  <si>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</si>
  <si>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</si>
  <si>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</si>
  <si>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</si>
  <si>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</si>
  <si>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</si>
  <si>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</si>
  <si>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</si>
  <si>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</si>
  <si>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</si>
  <si>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</si>
  <si>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</si>
  <si>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</si>
  <si>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</si>
  <si>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</si>
  <si>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</si>
  <si>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</si>
  <si>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</si>
  <si>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</si>
  <si>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</si>
  <si>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</si>
  <si>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</si>
  <si>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</si>
  <si>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</si>
  <si>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</si>
  <si>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</si>
  <si>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</si>
  <si>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</si>
  <si>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</si>
  <si>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</si>
  <si>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</si>
  <si>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</si>
  <si>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</si>
  <si>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</si>
  <si>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</si>
  <si>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</si>
  <si>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</si>
  <si>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</si>
  <si>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</si>
  <si>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</si>
  <si>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</si>
  <si>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</si>
  <si>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</si>
  <si>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</si>
  <si>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</si>
  <si>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</si>
  <si>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</si>
  <si>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</si>
  <si>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</si>
  <si>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</si>
  <si>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</si>
  <si>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</si>
  <si>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</si>
  <si>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</si>
  <si>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</si>
  <si>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</si>
  <si>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</si>
  <si>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</si>
  <si>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</si>
  <si>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</si>
  <si>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</si>
  <si>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</si>
  <si>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</si>
  <si>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</si>
  <si>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</si>
  <si>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</si>
  <si>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</si>
  <si>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</si>
  <si>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</si>
  <si>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</si>
  <si>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</si>
  <si>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</si>
  <si>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</si>
  <si>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EP 330 - Claim Folder Review</t>
  </si>
  <si>
    <t>EP 680 - Tracking of various special programs and reviews - excludes EP 689*</t>
  </si>
  <si>
    <t>EP 293 - COWC decisions prepared by an employee of the VSC</t>
  </si>
  <si>
    <t>EP 295 - VR&amp;E non-rating based eligibility determination</t>
  </si>
  <si>
    <t>295</t>
  </si>
  <si>
    <t>293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</si>
</sst>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51">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49" fontId="14" fillId="38" borderId="8"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22" fillId="41" borderId="28"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7" fillId="0" borderId="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7">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90" t="s">
        <v>302</v>
      </c>
      <c r="B1" s="291"/>
      <c r="C1" s="291"/>
      <c r="D1" s="291"/>
      <c r="E1" s="291"/>
      <c r="F1" s="291"/>
      <c r="G1" s="291"/>
      <c r="H1" s="291"/>
      <c r="I1" s="291"/>
      <c r="J1" s="291"/>
      <c r="K1" s="291"/>
      <c r="L1" s="291"/>
      <c r="M1" s="291"/>
      <c r="N1" s="291"/>
      <c r="O1" s="291"/>
      <c r="P1" s="292"/>
    </row>
    <row r="2" spans="1:16" ht="29.25" customHeight="1" x14ac:dyDescent="0.2">
      <c r="A2" s="284" t="s">
        <v>304</v>
      </c>
      <c r="B2" s="285"/>
      <c r="C2" s="285"/>
      <c r="D2" s="285"/>
      <c r="E2" s="285"/>
      <c r="F2" s="285"/>
      <c r="G2" s="285"/>
      <c r="H2" s="285"/>
      <c r="I2" s="285"/>
      <c r="J2" s="285"/>
      <c r="K2" s="285"/>
      <c r="L2" s="285"/>
      <c r="M2" s="285"/>
      <c r="N2" s="286"/>
      <c r="O2" s="293"/>
      <c r="P2" s="294"/>
    </row>
    <row r="3" spans="1:16" x14ac:dyDescent="0.2">
      <c r="A3" s="284"/>
      <c r="B3" s="285"/>
      <c r="C3" s="285"/>
      <c r="D3" s="285"/>
      <c r="E3" s="285"/>
      <c r="F3" s="285"/>
      <c r="G3" s="285"/>
      <c r="H3" s="285"/>
      <c r="I3" s="285"/>
      <c r="J3" s="285"/>
      <c r="K3" s="285"/>
      <c r="L3" s="285"/>
      <c r="M3" s="285"/>
      <c r="N3" s="286"/>
      <c r="O3" s="295"/>
      <c r="P3" s="296"/>
    </row>
    <row r="4" spans="1:16" x14ac:dyDescent="0.2">
      <c r="A4" s="284"/>
      <c r="B4" s="285"/>
      <c r="C4" s="285"/>
      <c r="D4" s="285"/>
      <c r="E4" s="285"/>
      <c r="F4" s="285"/>
      <c r="G4" s="285"/>
      <c r="H4" s="285"/>
      <c r="I4" s="285"/>
      <c r="J4" s="285"/>
      <c r="K4" s="285"/>
      <c r="L4" s="285"/>
      <c r="M4" s="285"/>
      <c r="N4" s="286"/>
      <c r="O4" s="295"/>
      <c r="P4" s="296"/>
    </row>
    <row r="5" spans="1:16" x14ac:dyDescent="0.2">
      <c r="A5" s="284"/>
      <c r="B5" s="285"/>
      <c r="C5" s="285"/>
      <c r="D5" s="285"/>
      <c r="E5" s="285"/>
      <c r="F5" s="285"/>
      <c r="G5" s="285"/>
      <c r="H5" s="285"/>
      <c r="I5" s="285"/>
      <c r="J5" s="285"/>
      <c r="K5" s="285"/>
      <c r="L5" s="285"/>
      <c r="M5" s="285"/>
      <c r="N5" s="286"/>
      <c r="O5" s="295"/>
      <c r="P5" s="296"/>
    </row>
    <row r="6" spans="1:16" x14ac:dyDescent="0.2">
      <c r="A6" s="284"/>
      <c r="B6" s="285"/>
      <c r="C6" s="285"/>
      <c r="D6" s="285"/>
      <c r="E6" s="285"/>
      <c r="F6" s="285"/>
      <c r="G6" s="285"/>
      <c r="H6" s="285"/>
      <c r="I6" s="285"/>
      <c r="J6" s="285"/>
      <c r="K6" s="285"/>
      <c r="L6" s="285"/>
      <c r="M6" s="285"/>
      <c r="N6" s="286"/>
      <c r="O6" s="295"/>
      <c r="P6" s="296"/>
    </row>
    <row r="7" spans="1:16" ht="18" customHeight="1" thickBot="1" x14ac:dyDescent="0.25">
      <c r="A7" s="287"/>
      <c r="B7" s="288"/>
      <c r="C7" s="288"/>
      <c r="D7" s="288"/>
      <c r="E7" s="288"/>
      <c r="F7" s="288"/>
      <c r="G7" s="288"/>
      <c r="H7" s="288"/>
      <c r="I7" s="288"/>
      <c r="J7" s="288"/>
      <c r="K7" s="288"/>
      <c r="L7" s="288"/>
      <c r="M7" s="288"/>
      <c r="N7" s="289"/>
      <c r="O7" s="297"/>
      <c r="P7" s="298"/>
    </row>
    <row r="8" spans="1:16" ht="18.75" thickBot="1" x14ac:dyDescent="0.25">
      <c r="A8" s="281" t="s">
        <v>300</v>
      </c>
      <c r="B8" s="282"/>
      <c r="C8" s="282"/>
      <c r="D8" s="282"/>
      <c r="E8" s="282"/>
      <c r="F8" s="282"/>
      <c r="G8" s="283"/>
      <c r="H8" s="281" t="s">
        <v>301</v>
      </c>
      <c r="I8" s="282"/>
      <c r="J8" s="282"/>
      <c r="K8" s="282"/>
      <c r="L8" s="282"/>
      <c r="M8" s="282"/>
      <c r="N8" s="282"/>
      <c r="O8" s="282"/>
      <c r="P8" s="283"/>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1049</v>
      </c>
      <c r="C2" t="s">
        <v>502</v>
      </c>
      <c r="D2" t="s">
        <v>918</v>
      </c>
      <c r="E2" t="s">
        <v>919</v>
      </c>
      <c r="F2" t="s">
        <v>920</v>
      </c>
      <c r="G2" t="s">
        <v>921</v>
      </c>
      <c r="H2" t="s">
        <v>923</v>
      </c>
      <c r="I2" t="s">
        <v>1043</v>
      </c>
      <c r="J2" t="s">
        <v>924</v>
      </c>
      <c r="K2" t="s">
        <v>925</v>
      </c>
      <c r="L2" t="s">
        <v>922</v>
      </c>
      <c r="M2" t="s">
        <v>927</v>
      </c>
      <c r="N2" t="s">
        <v>928</v>
      </c>
      <c r="O2" t="s">
        <v>929</v>
      </c>
      <c r="P2" t="s">
        <v>930</v>
      </c>
    </row>
    <row r="3" spans="2:16" x14ac:dyDescent="0.2">
      <c r="B3" t="s">
        <v>586</v>
      </c>
      <c r="C3" t="s">
        <v>404</v>
      </c>
      <c r="D3" s="18">
        <v>42341.621261574073</v>
      </c>
      <c r="E3" t="s">
        <v>166</v>
      </c>
      <c r="F3" s="19">
        <v>0.96727389651483064</v>
      </c>
      <c r="G3" s="19">
        <v>0.91449676823638049</v>
      </c>
      <c r="H3" s="19">
        <v>0.90926586461922898</v>
      </c>
      <c r="I3" s="19">
        <v>4.6145982587194039E-2</v>
      </c>
      <c r="J3" s="19">
        <v>0.91694425085075304</v>
      </c>
      <c r="K3" s="19">
        <v>4.6078283813111583E-2</v>
      </c>
      <c r="L3" s="19"/>
      <c r="M3" s="19"/>
      <c r="N3" s="19"/>
      <c r="O3" s="19"/>
      <c r="P3" s="19"/>
    </row>
    <row r="4" spans="2:16" x14ac:dyDescent="0.2">
      <c r="B4" t="s">
        <v>645</v>
      </c>
      <c r="C4" t="s">
        <v>404</v>
      </c>
      <c r="D4" s="18">
        <v>42341.621261574073</v>
      </c>
      <c r="E4" t="s">
        <v>191</v>
      </c>
      <c r="F4" s="19">
        <v>0.91310517328459062</v>
      </c>
      <c r="G4" s="19">
        <v>0.96180648619673004</v>
      </c>
      <c r="H4" s="19">
        <v>0.88228455712222498</v>
      </c>
      <c r="I4" s="19">
        <v>4.5097952605306017E-2</v>
      </c>
      <c r="J4" s="19">
        <v>0.93977887550630157</v>
      </c>
      <c r="K4" s="19">
        <v>4.2731754147026069E-2</v>
      </c>
      <c r="L4" s="19"/>
      <c r="M4" s="19"/>
      <c r="N4" s="19"/>
      <c r="O4" s="19"/>
      <c r="P4" s="19"/>
    </row>
    <row r="5" spans="2:16" x14ac:dyDescent="0.2">
      <c r="B5" t="s">
        <v>539</v>
      </c>
      <c r="C5" t="s">
        <v>380</v>
      </c>
      <c r="D5" s="18">
        <v>42341.621261574073</v>
      </c>
      <c r="E5" t="s">
        <v>148</v>
      </c>
      <c r="F5" s="19">
        <v>0.96260119423551715</v>
      </c>
      <c r="G5" s="19">
        <v>0.90817754207363377</v>
      </c>
      <c r="H5" s="19">
        <v>0.89893154864193836</v>
      </c>
      <c r="I5" s="19">
        <v>4.4668502819154202E-2</v>
      </c>
      <c r="J5" s="19">
        <v>0.85126584565164432</v>
      </c>
      <c r="K5" s="19">
        <v>5.1431881884430125E-2</v>
      </c>
      <c r="L5" s="19"/>
      <c r="M5" s="19"/>
      <c r="N5" s="19"/>
      <c r="O5" s="19"/>
      <c r="P5" s="19"/>
    </row>
    <row r="6" spans="2:16" x14ac:dyDescent="0.2">
      <c r="B6" t="s">
        <v>533</v>
      </c>
      <c r="C6" t="s">
        <v>369</v>
      </c>
      <c r="D6" s="18">
        <v>42341.621261574073</v>
      </c>
      <c r="E6" t="s">
        <v>146</v>
      </c>
      <c r="F6" s="19">
        <v>0.95020192985309282</v>
      </c>
      <c r="G6" s="19">
        <v>0.8032912069031346</v>
      </c>
      <c r="H6" s="19">
        <v>0.83704533653377067</v>
      </c>
      <c r="I6" s="19">
        <v>4.6605980709748994E-2</v>
      </c>
      <c r="J6" s="19">
        <v>0.86662322020532823</v>
      </c>
      <c r="K6" s="19">
        <v>4.9817097387363916E-2</v>
      </c>
      <c r="L6" s="19"/>
      <c r="M6" s="19"/>
      <c r="N6" s="19"/>
      <c r="O6" s="19"/>
      <c r="P6" s="19"/>
    </row>
    <row r="7" spans="2:16" x14ac:dyDescent="0.2">
      <c r="B7" t="s">
        <v>601</v>
      </c>
      <c r="C7" t="s">
        <v>404</v>
      </c>
      <c r="D7" s="18">
        <v>42341.621261574073</v>
      </c>
      <c r="E7" t="s">
        <v>172</v>
      </c>
      <c r="F7" s="19">
        <v>0.98372715242503561</v>
      </c>
      <c r="G7" s="19">
        <v>0.96208582292232481</v>
      </c>
      <c r="H7" s="19">
        <v>0.94031089247695743</v>
      </c>
      <c r="I7" s="19">
        <v>4.3216466165508012E-2</v>
      </c>
      <c r="J7" s="19">
        <v>0.96651936808937056</v>
      </c>
      <c r="K7" s="19">
        <v>2.7548582625716519E-2</v>
      </c>
      <c r="L7" s="19"/>
      <c r="M7" s="19"/>
      <c r="N7" s="19"/>
      <c r="O7" s="19"/>
      <c r="P7" s="19"/>
    </row>
    <row r="8" spans="2:16" x14ac:dyDescent="0.2">
      <c r="B8" t="s">
        <v>512</v>
      </c>
      <c r="C8" t="s">
        <v>369</v>
      </c>
      <c r="D8" s="18">
        <v>42341.621261574073</v>
      </c>
      <c r="E8" t="s">
        <v>139</v>
      </c>
      <c r="F8" s="19">
        <v>0.91706819540674567</v>
      </c>
      <c r="G8" s="19">
        <v>0.83029133029133018</v>
      </c>
      <c r="H8" s="19">
        <v>0.82793141316827235</v>
      </c>
      <c r="I8" s="19">
        <v>5.8542969046113245E-2</v>
      </c>
      <c r="J8" s="19">
        <v>0.91525336038029659</v>
      </c>
      <c r="K8" s="19">
        <v>5.5956485067688175E-2</v>
      </c>
      <c r="L8" s="19"/>
      <c r="M8" s="19"/>
      <c r="N8" s="19"/>
      <c r="O8" s="19"/>
      <c r="P8" s="19"/>
    </row>
    <row r="9" spans="2:16" x14ac:dyDescent="0.2">
      <c r="B9" t="s">
        <v>520</v>
      </c>
      <c r="C9" t="s">
        <v>369</v>
      </c>
      <c r="D9" s="18">
        <v>42341.621261574073</v>
      </c>
      <c r="E9" t="s">
        <v>142</v>
      </c>
      <c r="F9" s="19">
        <v>0.97656463248196534</v>
      </c>
      <c r="G9" s="19">
        <v>0.92374234960441859</v>
      </c>
      <c r="H9" s="19">
        <v>0.88581863935522454</v>
      </c>
      <c r="I9" s="19">
        <v>4.9569999406535815E-2</v>
      </c>
      <c r="J9" s="19">
        <v>0.87522193823655736</v>
      </c>
      <c r="K9" s="19">
        <v>4.7629350570120937E-2</v>
      </c>
      <c r="L9" s="19"/>
      <c r="M9" s="19"/>
      <c r="N9" s="19"/>
      <c r="O9" s="19"/>
      <c r="P9" s="19"/>
    </row>
    <row r="10" spans="2:16" x14ac:dyDescent="0.2">
      <c r="B10" t="s">
        <v>637</v>
      </c>
      <c r="C10" t="s">
        <v>385</v>
      </c>
      <c r="D10" s="18">
        <v>42341.621261574073</v>
      </c>
      <c r="E10" t="s">
        <v>673</v>
      </c>
      <c r="F10" s="19">
        <v>0.98099912563648517</v>
      </c>
      <c r="G10" s="19">
        <v>0.90357941834451894</v>
      </c>
      <c r="H10" s="19">
        <v>0.87341347517308554</v>
      </c>
      <c r="I10" s="19">
        <v>5.4188023038027493E-2</v>
      </c>
      <c r="J10" s="19">
        <v>0.88843479898393185</v>
      </c>
      <c r="K10" s="19">
        <v>5.6335779165297452E-2</v>
      </c>
      <c r="L10" s="19"/>
      <c r="M10" s="19"/>
      <c r="N10" s="19"/>
      <c r="O10" s="19"/>
      <c r="P10" s="19"/>
    </row>
    <row r="11" spans="2:16" x14ac:dyDescent="0.2">
      <c r="B11" t="s">
        <v>567</v>
      </c>
      <c r="C11" t="s">
        <v>390</v>
      </c>
      <c r="D11" s="18">
        <v>42341.621261574073</v>
      </c>
      <c r="E11" t="s">
        <v>158</v>
      </c>
      <c r="F11" s="19">
        <v>0.92083536242216379</v>
      </c>
      <c r="G11" s="19">
        <v>0.89256339309403776</v>
      </c>
      <c r="H11" s="19">
        <v>0.87215345710898828</v>
      </c>
      <c r="I11" s="19">
        <v>4.6825572445654086E-2</v>
      </c>
      <c r="J11" s="19">
        <v>0.86025857153224872</v>
      </c>
      <c r="K11" s="19">
        <v>5.0643152942156246E-2</v>
      </c>
      <c r="L11" s="253"/>
      <c r="M11" s="253"/>
      <c r="N11" s="253"/>
      <c r="O11" s="253"/>
      <c r="P11" s="253"/>
    </row>
    <row r="12" spans="2:16" x14ac:dyDescent="0.2">
      <c r="B12" t="s">
        <v>559</v>
      </c>
      <c r="C12" t="s">
        <v>390</v>
      </c>
      <c r="D12" s="18">
        <v>42341.621261574073</v>
      </c>
      <c r="E12" t="s">
        <v>155</v>
      </c>
      <c r="F12" s="19">
        <v>0.97646774206594622</v>
      </c>
      <c r="G12" s="19">
        <v>0.90227309372343245</v>
      </c>
      <c r="H12" s="19">
        <v>0.92990711594197739</v>
      </c>
      <c r="I12" s="19">
        <v>3.9587037021971486E-2</v>
      </c>
      <c r="J12" s="19">
        <v>0.87180172557354396</v>
      </c>
      <c r="K12" s="19">
        <v>6.0100135983290247E-2</v>
      </c>
      <c r="L12" s="19"/>
      <c r="M12" s="19"/>
      <c r="N12" s="19"/>
      <c r="O12" s="19"/>
      <c r="P12" s="19"/>
    </row>
    <row r="13" spans="2:16" x14ac:dyDescent="0.2">
      <c r="B13" t="s">
        <v>547</v>
      </c>
      <c r="C13" t="s">
        <v>380</v>
      </c>
      <c r="D13" s="18">
        <v>42341.621261574073</v>
      </c>
      <c r="E13" t="s">
        <v>151</v>
      </c>
      <c r="F13" s="19">
        <v>0.98524246991153308</v>
      </c>
      <c r="G13" s="19">
        <v>0.95756659374597863</v>
      </c>
      <c r="H13" s="19">
        <v>0.93849101986780581</v>
      </c>
      <c r="I13" s="19">
        <v>4.7384697890509531E-2</v>
      </c>
      <c r="J13" s="19">
        <v>0.92107141005092885</v>
      </c>
      <c r="K13" s="19">
        <v>5.2456606787567639E-2</v>
      </c>
      <c r="L13" s="19"/>
      <c r="M13" s="19"/>
      <c r="N13" s="19"/>
      <c r="O13" s="19"/>
      <c r="P13" s="19"/>
    </row>
    <row r="14" spans="2:16" x14ac:dyDescent="0.2">
      <c r="B14" t="s">
        <v>385</v>
      </c>
      <c r="C14" t="s">
        <v>385</v>
      </c>
      <c r="D14" s="18">
        <v>42341.621261574073</v>
      </c>
      <c r="E14" t="s">
        <v>664</v>
      </c>
      <c r="F14" s="19">
        <v>0.96698746128003521</v>
      </c>
      <c r="G14" s="19">
        <v>0.89862214160854759</v>
      </c>
      <c r="H14" s="19">
        <v>0.90657286935558179</v>
      </c>
      <c r="I14" s="19">
        <v>1.6897493879863036E-2</v>
      </c>
      <c r="J14" s="19">
        <v>0.93697006463492272</v>
      </c>
      <c r="K14" s="19">
        <v>1.5021123286070264E-2</v>
      </c>
      <c r="L14" s="19"/>
      <c r="M14" s="19"/>
      <c r="N14" s="19"/>
      <c r="O14" s="19"/>
      <c r="P14" s="19"/>
    </row>
    <row r="15" spans="2:16" x14ac:dyDescent="0.2">
      <c r="B15" t="s">
        <v>584</v>
      </c>
      <c r="C15" t="s">
        <v>385</v>
      </c>
      <c r="D15" s="18">
        <v>42341.621261574073</v>
      </c>
      <c r="E15" t="s">
        <v>165</v>
      </c>
      <c r="F15" s="19">
        <v>0.97118953439930578</v>
      </c>
      <c r="G15" s="19">
        <v>0.8738451886800559</v>
      </c>
      <c r="H15" s="19">
        <v>0.92607408691112714</v>
      </c>
      <c r="I15" s="19">
        <v>4.1775122944902779E-2</v>
      </c>
      <c r="J15" s="19">
        <v>0.91942421728307455</v>
      </c>
      <c r="K15" s="19">
        <v>4.3675473026956409E-2</v>
      </c>
      <c r="L15" s="19"/>
      <c r="M15" s="19"/>
      <c r="N15" s="19"/>
      <c r="O15" s="19"/>
      <c r="P15" s="19"/>
    </row>
    <row r="16" spans="2:16" x14ac:dyDescent="0.2">
      <c r="B16" t="s">
        <v>576</v>
      </c>
      <c r="C16" t="s">
        <v>390</v>
      </c>
      <c r="D16" s="18">
        <v>42341.621261574073</v>
      </c>
      <c r="E16" t="s">
        <v>162</v>
      </c>
      <c r="F16" s="19">
        <v>0.97354048526540859</v>
      </c>
      <c r="G16" s="19">
        <v>0.94822934232715017</v>
      </c>
      <c r="H16" s="19">
        <v>0.97715611052279394</v>
      </c>
      <c r="I16" s="19">
        <v>2.1313100023152245E-2</v>
      </c>
      <c r="J16" s="19">
        <v>0.9741930261066668</v>
      </c>
      <c r="K16" s="19">
        <v>2.2748581534967373E-2</v>
      </c>
      <c r="L16" s="253"/>
      <c r="M16" s="253"/>
      <c r="N16" s="253"/>
      <c r="O16" s="253"/>
      <c r="P16" s="253"/>
    </row>
    <row r="17" spans="2:16" x14ac:dyDescent="0.2">
      <c r="B17" t="s">
        <v>569</v>
      </c>
      <c r="C17" t="s">
        <v>390</v>
      </c>
      <c r="D17" s="18">
        <v>42341.621261574073</v>
      </c>
      <c r="E17" t="s">
        <v>159</v>
      </c>
      <c r="F17" s="19">
        <v>0.93739933747575988</v>
      </c>
      <c r="G17" s="19">
        <v>0.93272556121718142</v>
      </c>
      <c r="H17" s="19">
        <v>0.88932179289463631</v>
      </c>
      <c r="I17" s="19">
        <v>4.5930896554215436E-2</v>
      </c>
      <c r="J17" s="19">
        <v>0.90480435541563575</v>
      </c>
      <c r="K17" s="19">
        <v>4.8076736238614616E-2</v>
      </c>
      <c r="L17" s="19"/>
      <c r="M17" s="19"/>
      <c r="N17" s="19"/>
      <c r="O17" s="19"/>
      <c r="P17" s="19"/>
    </row>
    <row r="18" spans="2:16" x14ac:dyDescent="0.2">
      <c r="B18" t="s">
        <v>633</v>
      </c>
      <c r="C18" t="s">
        <v>390</v>
      </c>
      <c r="D18" s="18">
        <v>42341.621261574073</v>
      </c>
      <c r="E18" t="s">
        <v>186</v>
      </c>
      <c r="F18" s="19">
        <v>0.95281082219180968</v>
      </c>
      <c r="G18" s="19">
        <v>0.84969823584029713</v>
      </c>
      <c r="H18" s="19">
        <v>0.93174723772488588</v>
      </c>
      <c r="I18" s="19">
        <v>4.1675579626240238E-2</v>
      </c>
      <c r="J18" s="19">
        <v>0.96377932533457833</v>
      </c>
      <c r="K18" s="19">
        <v>3.1299983404975439E-2</v>
      </c>
      <c r="L18" s="19"/>
      <c r="M18" s="19"/>
      <c r="N18" s="19"/>
      <c r="O18" s="19"/>
      <c r="P18" s="19"/>
    </row>
    <row r="19" spans="2:16" x14ac:dyDescent="0.2">
      <c r="B19" t="s">
        <v>631</v>
      </c>
      <c r="C19" t="s">
        <v>385</v>
      </c>
      <c r="D19" s="18">
        <v>42341.621261574073</v>
      </c>
      <c r="E19" t="s">
        <v>185</v>
      </c>
      <c r="F19" s="19">
        <v>0.97932456531431133</v>
      </c>
      <c r="G19" s="19">
        <v>0.93172014729089947</v>
      </c>
      <c r="H19" s="19">
        <v>0.93962723314955776</v>
      </c>
      <c r="I19" s="19">
        <v>4.1484510665432808E-2</v>
      </c>
      <c r="J19" s="19">
        <v>0.94806752995432253</v>
      </c>
      <c r="K19" s="19">
        <v>3.3314937800349116E-2</v>
      </c>
      <c r="L19" s="19"/>
      <c r="M19" s="19"/>
      <c r="N19" s="19"/>
      <c r="O19" s="19"/>
      <c r="P19" s="19"/>
    </row>
    <row r="20" spans="2:16" x14ac:dyDescent="0.2">
      <c r="B20" t="s">
        <v>522</v>
      </c>
      <c r="C20" t="s">
        <v>369</v>
      </c>
      <c r="D20" s="18">
        <v>42341.621261574073</v>
      </c>
      <c r="E20" t="s">
        <v>143</v>
      </c>
      <c r="F20" s="19">
        <v>0.97054664400291391</v>
      </c>
      <c r="G20" s="19">
        <v>0.90484696915565077</v>
      </c>
      <c r="H20" s="19">
        <v>0.91229359862054049</v>
      </c>
      <c r="I20" s="19">
        <v>4.4833904578174925E-2</v>
      </c>
      <c r="J20" s="19">
        <v>0.96706286742266068</v>
      </c>
      <c r="K20" s="19">
        <v>3.3241064958263136E-2</v>
      </c>
      <c r="L20" s="19"/>
      <c r="M20" s="19"/>
      <c r="N20" s="19"/>
      <c r="O20" s="19"/>
      <c r="P20" s="19"/>
    </row>
    <row r="21" spans="2:16" x14ac:dyDescent="0.2">
      <c r="B21" t="s">
        <v>641</v>
      </c>
      <c r="C21" t="s">
        <v>404</v>
      </c>
      <c r="D21" s="18">
        <v>42341.621261574073</v>
      </c>
      <c r="E21" t="s">
        <v>189</v>
      </c>
      <c r="F21" s="19">
        <v>0.93583675473654038</v>
      </c>
      <c r="G21" s="19">
        <v>0.82773395656831239</v>
      </c>
      <c r="H21" s="19">
        <v>0.89124907201187842</v>
      </c>
      <c r="I21" s="19">
        <v>4.5166515469331259E-2</v>
      </c>
      <c r="J21" s="19">
        <v>0.95669069340638879</v>
      </c>
      <c r="K21" s="19">
        <v>3.3852756410987721E-2</v>
      </c>
      <c r="L21" s="19"/>
      <c r="M21" s="19"/>
      <c r="N21" s="19"/>
      <c r="O21" s="19"/>
      <c r="P21" s="19"/>
    </row>
    <row r="22" spans="2:16" x14ac:dyDescent="0.2">
      <c r="B22" t="s">
        <v>619</v>
      </c>
      <c r="C22" t="s">
        <v>385</v>
      </c>
      <c r="D22" s="18">
        <v>42341.621261574073</v>
      </c>
      <c r="E22" t="s">
        <v>180</v>
      </c>
      <c r="F22" s="19">
        <v>0.97220037883985289</v>
      </c>
      <c r="G22" s="19">
        <v>0.95418503386732612</v>
      </c>
      <c r="H22" s="19">
        <v>0.88844970317063909</v>
      </c>
      <c r="I22" s="19">
        <v>4.2108323717160799E-2</v>
      </c>
      <c r="J22" s="19">
        <v>0.92411966329199846</v>
      </c>
      <c r="K22" s="19">
        <v>4.0776848970982445E-2</v>
      </c>
      <c r="L22" s="19"/>
      <c r="M22" s="19"/>
      <c r="N22" s="19"/>
      <c r="O22" s="19"/>
      <c r="P22" s="19"/>
    </row>
    <row r="23" spans="2:16" x14ac:dyDescent="0.2">
      <c r="B23" t="s">
        <v>537</v>
      </c>
      <c r="C23" t="s">
        <v>369</v>
      </c>
      <c r="D23" s="18">
        <v>42341.621261574073</v>
      </c>
      <c r="E23" t="s">
        <v>147</v>
      </c>
      <c r="F23" s="19">
        <v>0.97282677228539993</v>
      </c>
      <c r="G23" s="19">
        <v>0.89002718974558159</v>
      </c>
      <c r="H23" s="19">
        <v>0.8966879945112981</v>
      </c>
      <c r="I23" s="19">
        <v>4.4971664608771104E-2</v>
      </c>
      <c r="J23" s="19">
        <v>0.90584974990550005</v>
      </c>
      <c r="K23" s="19">
        <v>4.8124312022041878E-2</v>
      </c>
      <c r="L23" s="19"/>
      <c r="M23" s="19"/>
      <c r="N23" s="19"/>
      <c r="O23" s="19"/>
      <c r="P23" s="19"/>
    </row>
    <row r="24" spans="2:16" x14ac:dyDescent="0.2">
      <c r="B24" t="s">
        <v>561</v>
      </c>
      <c r="C24" t="s">
        <v>390</v>
      </c>
      <c r="D24" s="18">
        <v>42341.621261574073</v>
      </c>
      <c r="E24" t="s">
        <v>156</v>
      </c>
      <c r="F24" s="19">
        <v>0.97274539918626879</v>
      </c>
      <c r="G24" s="19">
        <v>0.91151483841340919</v>
      </c>
      <c r="H24" s="19">
        <v>0.92559323732284904</v>
      </c>
      <c r="I24" s="19">
        <v>4.237343527799773E-2</v>
      </c>
      <c r="J24" s="19">
        <v>0.93456481918989875</v>
      </c>
      <c r="K24" s="19">
        <v>3.7661905037140925E-2</v>
      </c>
      <c r="L24" s="19"/>
      <c r="M24" s="19"/>
      <c r="N24" s="19"/>
      <c r="O24" s="19"/>
      <c r="P24" s="19"/>
    </row>
    <row r="25" spans="2:16" x14ac:dyDescent="0.2">
      <c r="B25" t="s">
        <v>555</v>
      </c>
      <c r="C25" t="s">
        <v>385</v>
      </c>
      <c r="D25" s="18">
        <v>42341.621261574073</v>
      </c>
      <c r="E25" t="s">
        <v>154</v>
      </c>
      <c r="F25" s="19">
        <v>0.97240238441327054</v>
      </c>
      <c r="G25" s="19">
        <v>0.90708963648679164</v>
      </c>
      <c r="H25" s="19">
        <v>0.90422448504209496</v>
      </c>
      <c r="I25" s="19">
        <v>4.0338744060947604E-2</v>
      </c>
      <c r="J25" s="19">
        <v>0.90327453383445955</v>
      </c>
      <c r="K25" s="19">
        <v>5.0433638561882078E-2</v>
      </c>
      <c r="L25" s="19"/>
      <c r="M25" s="19"/>
      <c r="N25" s="19"/>
      <c r="O25" s="19"/>
      <c r="P25" s="19"/>
    </row>
    <row r="26" spans="2:16" x14ac:dyDescent="0.2">
      <c r="B26" t="s">
        <v>578</v>
      </c>
      <c r="C26" t="s">
        <v>390</v>
      </c>
      <c r="D26" s="18">
        <v>42341.621261574073</v>
      </c>
      <c r="E26" t="s">
        <v>163</v>
      </c>
      <c r="F26" s="19">
        <v>0.98401556744735563</v>
      </c>
      <c r="G26" s="19">
        <v>0.92642716535433067</v>
      </c>
      <c r="H26" s="19">
        <v>0.96194782224187492</v>
      </c>
      <c r="I26" s="19">
        <v>3.4365901424945805E-2</v>
      </c>
      <c r="J26" s="19">
        <v>0.97465644109938854</v>
      </c>
      <c r="K26" s="19">
        <v>2.6720742387173785E-2</v>
      </c>
      <c r="L26" s="19"/>
      <c r="M26" s="19"/>
      <c r="N26" s="19"/>
      <c r="O26" s="19"/>
      <c r="P26" s="19"/>
    </row>
    <row r="27" spans="2:16" x14ac:dyDescent="0.2">
      <c r="B27" t="s">
        <v>607</v>
      </c>
      <c r="C27" t="s">
        <v>385</v>
      </c>
      <c r="D27" s="18">
        <v>42341.621261574073</v>
      </c>
      <c r="E27" t="s">
        <v>175</v>
      </c>
      <c r="F27" s="19">
        <v>0.9858230191654952</v>
      </c>
      <c r="G27" s="19">
        <v>0.93789892618457626</v>
      </c>
      <c r="H27" s="19">
        <v>0.90426767391073326</v>
      </c>
      <c r="I27" s="19">
        <v>4.9273886740432718E-2</v>
      </c>
      <c r="J27" s="19">
        <v>0.93419274619980475</v>
      </c>
      <c r="K27" s="19">
        <v>4.3094773278235222E-2</v>
      </c>
      <c r="L27" s="19"/>
      <c r="M27" s="19"/>
      <c r="N27" s="19"/>
      <c r="O27" s="19"/>
      <c r="P27" s="19"/>
    </row>
    <row r="28" spans="2:16" x14ac:dyDescent="0.2">
      <c r="B28" t="s">
        <v>593</v>
      </c>
      <c r="C28" t="s">
        <v>404</v>
      </c>
      <c r="D28" s="18">
        <v>42341.621261574073</v>
      </c>
      <c r="E28" t="s">
        <v>169</v>
      </c>
      <c r="F28" s="19">
        <v>0.97897465822683327</v>
      </c>
      <c r="G28" s="19">
        <v>0.95894795435569169</v>
      </c>
      <c r="H28" s="19">
        <v>0.89024766947293987</v>
      </c>
      <c r="I28" s="19">
        <v>4.4027778661129918E-2</v>
      </c>
      <c r="J28" s="19">
        <v>0.8884110423279562</v>
      </c>
      <c r="K28" s="19">
        <v>4.8184377302464297E-2</v>
      </c>
      <c r="L28" s="19"/>
      <c r="M28" s="19"/>
      <c r="N28" s="19"/>
      <c r="O28" s="19"/>
      <c r="P28" s="19"/>
    </row>
    <row r="29" spans="2:16" x14ac:dyDescent="0.2">
      <c r="B29" t="s">
        <v>563</v>
      </c>
      <c r="C29" t="s">
        <v>380</v>
      </c>
      <c r="D29" s="18">
        <v>42341.621261574073</v>
      </c>
      <c r="E29" t="s">
        <v>157</v>
      </c>
      <c r="F29" s="19">
        <v>0.98312349719225589</v>
      </c>
      <c r="G29" s="19">
        <v>0.95219803125824209</v>
      </c>
      <c r="H29" s="19">
        <v>0.91770290699512347</v>
      </c>
      <c r="I29" s="19">
        <v>4.4093669900638302E-2</v>
      </c>
      <c r="J29" s="19">
        <v>0.89313178642578916</v>
      </c>
      <c r="K29" s="19">
        <v>5.040841213678391E-2</v>
      </c>
      <c r="L29" s="19"/>
      <c r="M29" s="19"/>
      <c r="N29" s="19"/>
      <c r="O29" s="19"/>
      <c r="P29" s="19"/>
    </row>
    <row r="30" spans="2:16" x14ac:dyDescent="0.2">
      <c r="B30" t="s">
        <v>622</v>
      </c>
      <c r="C30" t="s">
        <v>369</v>
      </c>
      <c r="D30" s="18">
        <v>42341.621261574073</v>
      </c>
      <c r="E30" t="s">
        <v>181</v>
      </c>
      <c r="F30" s="19">
        <v>0.97598645352175517</v>
      </c>
      <c r="G30" s="19">
        <v>0.96205179282868525</v>
      </c>
      <c r="H30" s="19">
        <v>0.91863578374431909</v>
      </c>
      <c r="I30" s="19">
        <v>3.9118647441663656E-2</v>
      </c>
      <c r="J30" s="19">
        <v>0.9200361352064137</v>
      </c>
      <c r="K30" s="19">
        <v>4.5700383985787379E-2</v>
      </c>
      <c r="L30" s="19"/>
      <c r="M30" s="19"/>
      <c r="N30" s="19"/>
      <c r="O30" s="19"/>
      <c r="P30" s="19"/>
    </row>
    <row r="31" spans="2:16" x14ac:dyDescent="0.2">
      <c r="B31" t="s">
        <v>615</v>
      </c>
      <c r="C31" t="s">
        <v>404</v>
      </c>
      <c r="D31" s="18">
        <v>42341.621261574073</v>
      </c>
      <c r="E31" t="s">
        <v>179</v>
      </c>
      <c r="F31" s="19">
        <v>0.95370319603320297</v>
      </c>
      <c r="G31" s="19">
        <v>0.8408588435374148</v>
      </c>
      <c r="H31" s="19">
        <v>0.92299565469536649</v>
      </c>
      <c r="I31" s="19">
        <v>4.5092708955785883E-2</v>
      </c>
      <c r="J31" s="19">
        <v>0.96876750700280112</v>
      </c>
      <c r="K31" s="19">
        <v>2.6766846514651946E-2</v>
      </c>
      <c r="L31" s="19"/>
      <c r="M31" s="19"/>
      <c r="N31" s="19"/>
      <c r="O31" s="19"/>
      <c r="P31" s="19"/>
    </row>
    <row r="32" spans="2:16" x14ac:dyDescent="0.2">
      <c r="B32" t="s">
        <v>390</v>
      </c>
      <c r="C32" t="s">
        <v>390</v>
      </c>
      <c r="D32" s="18">
        <v>42341.621261574073</v>
      </c>
      <c r="E32" t="s">
        <v>663</v>
      </c>
      <c r="F32" s="19">
        <v>0.96684039723875392</v>
      </c>
      <c r="G32" s="19">
        <v>0.92655215029785398</v>
      </c>
      <c r="H32" s="19">
        <v>0.92980415122527094</v>
      </c>
      <c r="I32" s="19">
        <v>1.2872051473967758E-2</v>
      </c>
      <c r="J32" s="19">
        <v>0.90113622110876546</v>
      </c>
      <c r="K32" s="19">
        <v>2.1161209570782803E-2</v>
      </c>
      <c r="L32" s="19"/>
      <c r="M32" s="19"/>
      <c r="N32" s="19"/>
      <c r="O32" s="19"/>
      <c r="P32" s="19"/>
    </row>
    <row r="33" spans="2:16" x14ac:dyDescent="0.2">
      <c r="B33" t="s">
        <v>212</v>
      </c>
      <c r="C33" t="s">
        <v>390</v>
      </c>
      <c r="D33" s="18">
        <v>42341.621261574073</v>
      </c>
      <c r="E33" t="s">
        <v>160</v>
      </c>
      <c r="F33" s="19">
        <v>0.98941997448788155</v>
      </c>
      <c r="G33" s="19">
        <v>0.95849126034958598</v>
      </c>
      <c r="H33" s="19">
        <v>0.9642080027710368</v>
      </c>
      <c r="I33" s="19">
        <v>3.6162795803033491E-2</v>
      </c>
      <c r="J33" s="19">
        <v>0.91316948469313397</v>
      </c>
      <c r="K33" s="19">
        <v>5.1261296489590012E-2</v>
      </c>
      <c r="L33" s="19">
        <v>0.96253269998623159</v>
      </c>
      <c r="M33" s="19">
        <v>0.94221226803333591</v>
      </c>
      <c r="N33" s="19">
        <v>3.6706185296664702E-2</v>
      </c>
      <c r="O33" s="19">
        <v>0.97672108188542173</v>
      </c>
      <c r="P33" s="19">
        <v>2.2376663278575463E-2</v>
      </c>
    </row>
    <row r="34" spans="2:16" x14ac:dyDescent="0.2">
      <c r="B34" t="s">
        <v>571</v>
      </c>
      <c r="C34" t="s">
        <v>390</v>
      </c>
      <c r="D34" s="18">
        <v>42341.621261574073</v>
      </c>
      <c r="E34" t="s">
        <v>160</v>
      </c>
      <c r="F34" s="19">
        <v>0.98941997448788155</v>
      </c>
      <c r="G34" s="19">
        <v>0.95849126034958598</v>
      </c>
      <c r="H34" s="19">
        <v>0.9642080027710368</v>
      </c>
      <c r="I34" s="19">
        <v>3.6162795803033491E-2</v>
      </c>
      <c r="J34" s="19">
        <v>0.91316948469313397</v>
      </c>
      <c r="K34" s="19">
        <v>5.1261296489590012E-2</v>
      </c>
      <c r="L34" s="19">
        <v>0.96253269998623159</v>
      </c>
      <c r="M34" s="19">
        <v>0.94221226803333591</v>
      </c>
      <c r="N34" s="19">
        <v>3.6706185296664702E-2</v>
      </c>
      <c r="O34" s="19">
        <v>0.97672108188542173</v>
      </c>
      <c r="P34" s="19">
        <v>2.2376663278575463E-2</v>
      </c>
    </row>
    <row r="35" spans="2:16" x14ac:dyDescent="0.2">
      <c r="B35" t="s">
        <v>553</v>
      </c>
      <c r="C35" t="s">
        <v>380</v>
      </c>
      <c r="D35" s="18">
        <v>42341.621261574073</v>
      </c>
      <c r="E35" t="s">
        <v>153</v>
      </c>
      <c r="F35" s="19">
        <v>0.90782854310901029</v>
      </c>
      <c r="G35" s="19">
        <v>0.80980812725111617</v>
      </c>
      <c r="H35" s="19">
        <v>0.91282123763926148</v>
      </c>
      <c r="I35" s="19">
        <v>4.051625092545507E-2</v>
      </c>
      <c r="J35" s="19">
        <v>0.92812554962532301</v>
      </c>
      <c r="K35" s="19">
        <v>3.7330799043784356E-2</v>
      </c>
      <c r="L35" s="19"/>
      <c r="M35" s="19"/>
      <c r="N35" s="19"/>
      <c r="O35" s="19"/>
      <c r="P35" s="19"/>
    </row>
    <row r="36" spans="2:16" x14ac:dyDescent="0.2">
      <c r="B36" t="s">
        <v>609</v>
      </c>
      <c r="C36" t="s">
        <v>385</v>
      </c>
      <c r="D36" s="18">
        <v>42341.621261574073</v>
      </c>
      <c r="E36" t="s">
        <v>176</v>
      </c>
      <c r="F36" s="19">
        <v>0.94445953426324802</v>
      </c>
      <c r="G36" s="19">
        <v>0.85680867187242593</v>
      </c>
      <c r="H36" s="19">
        <v>0.9161284536311094</v>
      </c>
      <c r="I36" s="19">
        <v>4.7728729449518427E-2</v>
      </c>
      <c r="J36" s="19">
        <v>0.96342323682591147</v>
      </c>
      <c r="K36" s="19">
        <v>3.7391960789688101E-2</v>
      </c>
      <c r="L36" s="19"/>
      <c r="M36" s="19"/>
      <c r="N36" s="19"/>
      <c r="O36" s="19"/>
      <c r="P36" s="19"/>
    </row>
    <row r="37" spans="2:16" x14ac:dyDescent="0.2">
      <c r="B37" t="s">
        <v>549</v>
      </c>
      <c r="C37" t="s">
        <v>380</v>
      </c>
      <c r="D37" s="18">
        <v>42341.621261574073</v>
      </c>
      <c r="E37" t="s">
        <v>94</v>
      </c>
      <c r="F37" s="19">
        <v>0.99125197740692406</v>
      </c>
      <c r="G37" s="19">
        <v>1</v>
      </c>
      <c r="H37" s="19">
        <v>0.94692961359628025</v>
      </c>
      <c r="I37" s="19">
        <v>3.3698689816281518E-2</v>
      </c>
      <c r="J37" s="19">
        <v>0.94013512206913208</v>
      </c>
      <c r="K37" s="19">
        <v>3.6686146156928029E-2</v>
      </c>
      <c r="L37" s="19"/>
      <c r="M37" s="19"/>
      <c r="N37" s="19"/>
      <c r="O37" s="19"/>
      <c r="P37" s="19"/>
    </row>
    <row r="38" spans="2:16" x14ac:dyDescent="0.2">
      <c r="B38" t="s">
        <v>551</v>
      </c>
      <c r="C38" t="s">
        <v>385</v>
      </c>
      <c r="D38" s="18">
        <v>42341.621261574073</v>
      </c>
      <c r="E38" t="s">
        <v>152</v>
      </c>
      <c r="F38" s="19">
        <v>0.98741815019862156</v>
      </c>
      <c r="G38" s="19">
        <v>1</v>
      </c>
      <c r="H38" s="19">
        <v>0.92552007110479662</v>
      </c>
      <c r="I38" s="19">
        <v>4.0488050389170811E-2</v>
      </c>
      <c r="J38" s="19">
        <v>0.94136270421399226</v>
      </c>
      <c r="K38" s="19">
        <v>3.6028803011477845E-2</v>
      </c>
      <c r="L38" s="19"/>
      <c r="M38" s="19"/>
      <c r="N38" s="19"/>
      <c r="O38" s="19"/>
      <c r="P38" s="19"/>
    </row>
    <row r="39" spans="2:16" x14ac:dyDescent="0.2">
      <c r="B39" t="s">
        <v>518</v>
      </c>
      <c r="C39" t="s">
        <v>369</v>
      </c>
      <c r="D39" s="18">
        <v>42341.621261574073</v>
      </c>
      <c r="E39" t="s">
        <v>141</v>
      </c>
      <c r="F39" s="19">
        <v>0.95009146915606246</v>
      </c>
      <c r="G39" s="19">
        <v>0.85112592325707082</v>
      </c>
      <c r="H39" s="19">
        <v>0.89898706077767865</v>
      </c>
      <c r="I39" s="19">
        <v>4.752568567591986E-2</v>
      </c>
      <c r="J39" s="19">
        <v>0.92776992820595927</v>
      </c>
      <c r="K39" s="19">
        <v>4.0318412272002606E-2</v>
      </c>
      <c r="L39" s="19"/>
      <c r="M39" s="19"/>
      <c r="N39" s="19"/>
      <c r="O39" s="19"/>
      <c r="P39" s="19"/>
    </row>
    <row r="40" spans="2:16" x14ac:dyDescent="0.2">
      <c r="B40" t="s">
        <v>524</v>
      </c>
      <c r="C40" t="s">
        <v>369</v>
      </c>
      <c r="D40" s="18">
        <v>42341.621261574073</v>
      </c>
      <c r="E40" t="s">
        <v>144</v>
      </c>
      <c r="F40" s="19">
        <v>0.96757826723070706</v>
      </c>
      <c r="G40" s="19">
        <v>0.93652447089947088</v>
      </c>
      <c r="H40" s="19">
        <v>0.89573728179059775</v>
      </c>
      <c r="I40" s="19">
        <v>4.1087996608787376E-2</v>
      </c>
      <c r="J40" s="19">
        <v>0.87758619381468317</v>
      </c>
      <c r="K40" s="19">
        <v>4.8405400501336189E-2</v>
      </c>
      <c r="L40" s="19"/>
      <c r="M40" s="19"/>
      <c r="N40" s="19"/>
      <c r="O40" s="19"/>
      <c r="P40" s="19"/>
    </row>
    <row r="41" spans="2:16" x14ac:dyDescent="0.2">
      <c r="B41" t="s">
        <v>369</v>
      </c>
      <c r="C41" t="s">
        <v>369</v>
      </c>
      <c r="D41" s="18">
        <v>42341.621261574073</v>
      </c>
      <c r="E41" t="s">
        <v>662</v>
      </c>
      <c r="F41" s="19">
        <v>0.96509265269579259</v>
      </c>
      <c r="G41" s="19">
        <v>0.88915597034621041</v>
      </c>
      <c r="H41" s="19">
        <v>0.87230660699508245</v>
      </c>
      <c r="I41" s="19">
        <v>1.6710481666821906E-2</v>
      </c>
      <c r="J41" s="19">
        <v>0.89276885898611813</v>
      </c>
      <c r="K41" s="19">
        <v>1.6002069137405997E-2</v>
      </c>
      <c r="L41" s="19"/>
      <c r="M41" s="19"/>
      <c r="N41" s="19"/>
      <c r="O41" s="19"/>
      <c r="P41" s="19"/>
    </row>
    <row r="42" spans="2:16" x14ac:dyDescent="0.2">
      <c r="B42" t="s">
        <v>591</v>
      </c>
      <c r="C42" t="s">
        <v>404</v>
      </c>
      <c r="D42" s="18">
        <v>42341.621261574073</v>
      </c>
      <c r="E42" t="s">
        <v>168</v>
      </c>
      <c r="F42" s="19">
        <v>0.95872343265060767</v>
      </c>
      <c r="G42" s="19">
        <v>0.90430828465215085</v>
      </c>
      <c r="H42" s="19">
        <v>0.95367763284673945</v>
      </c>
      <c r="I42" s="19">
        <v>3.2845586498638751E-2</v>
      </c>
      <c r="J42" s="19">
        <v>0.90490862624473334</v>
      </c>
      <c r="K42" s="19">
        <v>4.9994731108768065E-2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42341.621261574073</v>
      </c>
      <c r="E44" t="s">
        <v>665</v>
      </c>
      <c r="F44" s="19">
        <v>0.9606735225859856</v>
      </c>
      <c r="G44" s="19">
        <v>0.89780811765067081</v>
      </c>
      <c r="H44" s="19">
        <v>0.90997626413136645</v>
      </c>
      <c r="I44" s="19">
        <v>1.5736762345191835E-2</v>
      </c>
      <c r="J44" s="19">
        <v>0.93320499240597188</v>
      </c>
      <c r="K44" s="19">
        <v>1.540544509893536E-2</v>
      </c>
      <c r="L44" s="19"/>
      <c r="M44" s="19"/>
      <c r="N44" s="19"/>
      <c r="O44" s="19"/>
      <c r="P44" s="19"/>
    </row>
    <row r="45" spans="2:16" x14ac:dyDescent="0.2">
      <c r="B45" t="s">
        <v>213</v>
      </c>
      <c r="C45" t="s">
        <v>369</v>
      </c>
      <c r="D45" s="18">
        <v>42341.621261574073</v>
      </c>
      <c r="E45" t="s">
        <v>102</v>
      </c>
      <c r="F45" s="19">
        <v>0.93158721710409353</v>
      </c>
      <c r="G45" s="19">
        <v>0.85729969251431404</v>
      </c>
      <c r="H45" s="19">
        <v>0.85304537237291767</v>
      </c>
      <c r="I45" s="19">
        <v>5.1664924235531796E-2</v>
      </c>
      <c r="J45" s="19">
        <v>0.89614431336532274</v>
      </c>
      <c r="K45" s="19">
        <v>5.0575399016445033E-2</v>
      </c>
      <c r="L45" s="19">
        <v>0.91336575930824593</v>
      </c>
      <c r="M45" s="19">
        <v>0.93702961093243231</v>
      </c>
      <c r="N45" s="19">
        <v>4.0278478343888792E-2</v>
      </c>
      <c r="O45" s="19">
        <v>0.92517387991315747</v>
      </c>
      <c r="P45" s="19">
        <v>4.8773435007311787E-2</v>
      </c>
    </row>
    <row r="46" spans="2:16" x14ac:dyDescent="0.2">
      <c r="B46" t="s">
        <v>526</v>
      </c>
      <c r="C46" t="s">
        <v>369</v>
      </c>
      <c r="D46" s="18">
        <v>42341.621261574073</v>
      </c>
      <c r="E46" t="s">
        <v>102</v>
      </c>
      <c r="F46" s="19">
        <v>0.93158721710409353</v>
      </c>
      <c r="G46" s="19">
        <v>0.85729969251431404</v>
      </c>
      <c r="H46" s="19">
        <v>0.85304537237291767</v>
      </c>
      <c r="I46" s="19">
        <v>5.1664924235531796E-2</v>
      </c>
      <c r="J46" s="19">
        <v>0.89614431336532274</v>
      </c>
      <c r="K46" s="19">
        <v>5.0575399016445033E-2</v>
      </c>
      <c r="L46" s="19">
        <v>0.91336575930824593</v>
      </c>
      <c r="M46" s="19">
        <v>0.93702961093243231</v>
      </c>
      <c r="N46" s="19">
        <v>4.0278478343888792E-2</v>
      </c>
      <c r="O46" s="19">
        <v>0.92517387991315747</v>
      </c>
      <c r="P46" s="19">
        <v>4.8773435007311787E-2</v>
      </c>
    </row>
    <row r="47" spans="2:16" x14ac:dyDescent="0.2">
      <c r="B47" t="s">
        <v>595</v>
      </c>
      <c r="C47" t="s">
        <v>404</v>
      </c>
      <c r="D47" s="18">
        <v>42341.621261574073</v>
      </c>
      <c r="E47" t="s">
        <v>170</v>
      </c>
      <c r="F47" s="19">
        <v>0.89835964000294066</v>
      </c>
      <c r="G47" s="19">
        <v>0.83413043478260851</v>
      </c>
      <c r="H47" s="19">
        <v>0.89795762305839988</v>
      </c>
      <c r="I47" s="19">
        <v>5.0200223164515737E-2</v>
      </c>
      <c r="J47" s="19">
        <v>0.93030450658106023</v>
      </c>
      <c r="K47" s="19">
        <v>4.2862979200929061E-2</v>
      </c>
      <c r="L47" s="19"/>
      <c r="M47" s="19"/>
      <c r="N47" s="19"/>
      <c r="O47" s="19"/>
      <c r="P47" s="19"/>
    </row>
    <row r="48" spans="2:16" x14ac:dyDescent="0.2">
      <c r="B48" t="s">
        <v>529</v>
      </c>
      <c r="C48" t="s">
        <v>369</v>
      </c>
      <c r="D48" s="18">
        <v>42341.621261574073</v>
      </c>
      <c r="E48" t="s">
        <v>145</v>
      </c>
      <c r="F48" s="19">
        <v>0.93728469047914409</v>
      </c>
      <c r="G48" s="19">
        <v>0.91372282608695632</v>
      </c>
      <c r="H48" s="19">
        <v>0.90225378361763986</v>
      </c>
      <c r="I48" s="19">
        <v>4.6078091657013973E-2</v>
      </c>
      <c r="J48" s="19">
        <v>0.90688082335323483</v>
      </c>
      <c r="K48" s="19">
        <v>5.8149289913883774E-2</v>
      </c>
      <c r="L48" s="19"/>
      <c r="M48" s="19"/>
      <c r="N48" s="19"/>
      <c r="O48" s="19"/>
      <c r="P48" s="19"/>
    </row>
    <row r="49" spans="2:16" x14ac:dyDescent="0.2">
      <c r="B49" t="s">
        <v>603</v>
      </c>
      <c r="C49" t="s">
        <v>404</v>
      </c>
      <c r="D49" s="18">
        <v>42341.621261574073</v>
      </c>
      <c r="E49" t="s">
        <v>173</v>
      </c>
      <c r="F49" s="19">
        <v>0.87545183269280857</v>
      </c>
      <c r="G49" s="19">
        <v>0.80649463225978524</v>
      </c>
      <c r="H49" s="19">
        <v>0.91344284854218638</v>
      </c>
      <c r="I49" s="19">
        <v>4.6259287447189192E-2</v>
      </c>
      <c r="J49" s="19">
        <v>0.93937304055244819</v>
      </c>
      <c r="K49" s="19">
        <v>4.0804785144557557E-2</v>
      </c>
      <c r="L49" s="19"/>
      <c r="M49" s="19"/>
      <c r="N49" s="19"/>
      <c r="O49" s="19"/>
      <c r="P49" s="19"/>
    </row>
    <row r="50" spans="2:16" x14ac:dyDescent="0.2">
      <c r="B50" t="s">
        <v>514</v>
      </c>
      <c r="C50" t="s">
        <v>369</v>
      </c>
      <c r="D50" s="18">
        <v>42341.621261574073</v>
      </c>
      <c r="E50" t="s">
        <v>140</v>
      </c>
      <c r="F50" s="19">
        <v>0.97911338991892494</v>
      </c>
      <c r="G50" s="19">
        <v>0.89053124542660622</v>
      </c>
      <c r="H50" s="19">
        <v>0.86018663386136851</v>
      </c>
      <c r="I50" s="19">
        <v>6.1464620544372295E-2</v>
      </c>
      <c r="J50" s="19">
        <v>0.96005313597115471</v>
      </c>
      <c r="K50" s="19">
        <v>3.2610188355958414E-2</v>
      </c>
      <c r="L50" s="19"/>
      <c r="M50" s="19"/>
      <c r="N50" s="19"/>
      <c r="O50" s="19"/>
      <c r="P50" s="19"/>
    </row>
    <row r="51" spans="2:16" x14ac:dyDescent="0.2">
      <c r="B51" t="s">
        <v>611</v>
      </c>
      <c r="C51" t="s">
        <v>404</v>
      </c>
      <c r="D51" s="18">
        <v>42341.621261574073</v>
      </c>
      <c r="E51" t="s">
        <v>177</v>
      </c>
      <c r="F51" s="19">
        <v>0.92944102133246653</v>
      </c>
      <c r="G51" s="19">
        <v>0.86590980763166203</v>
      </c>
      <c r="H51" s="19">
        <v>0.89392770068376382</v>
      </c>
      <c r="I51" s="19">
        <v>5.1498179183372204E-2</v>
      </c>
      <c r="J51" s="19">
        <v>0.96184654957153914</v>
      </c>
      <c r="K51" s="19">
        <v>2.7960302638344387E-2</v>
      </c>
      <c r="L51" s="19"/>
      <c r="M51" s="19"/>
      <c r="N51" s="19"/>
      <c r="O51" s="19"/>
      <c r="P51" s="19"/>
    </row>
    <row r="52" spans="2:16" x14ac:dyDescent="0.2">
      <c r="B52" t="s">
        <v>535</v>
      </c>
      <c r="C52" t="s">
        <v>369</v>
      </c>
      <c r="D52" s="18">
        <v>42341.621261574073</v>
      </c>
      <c r="E52" t="s">
        <v>106</v>
      </c>
      <c r="F52" s="19">
        <v>0.97291607013525128</v>
      </c>
      <c r="G52" s="19">
        <v>0.88675258821043745</v>
      </c>
      <c r="H52" s="19">
        <v>0.91133575615934925</v>
      </c>
      <c r="I52" s="19">
        <v>4.6944990940559352E-2</v>
      </c>
      <c r="J52" s="19">
        <v>0.90729634074541965</v>
      </c>
      <c r="K52" s="19">
        <v>4.4813108918778252E-2</v>
      </c>
      <c r="L52" s="19"/>
      <c r="M52" s="19"/>
      <c r="N52" s="19"/>
      <c r="O52" s="19"/>
      <c r="P52" s="19"/>
    </row>
    <row r="53" spans="2:16" x14ac:dyDescent="0.2">
      <c r="B53" t="s">
        <v>588</v>
      </c>
      <c r="C53" t="s">
        <v>385</v>
      </c>
      <c r="D53" s="18">
        <v>42341.621261574073</v>
      </c>
      <c r="E53" t="s">
        <v>167</v>
      </c>
      <c r="F53" s="19">
        <v>0.97898179731307011</v>
      </c>
      <c r="G53" s="19">
        <v>0.92264567058969016</v>
      </c>
      <c r="H53" s="19">
        <v>0.91106813531769393</v>
      </c>
      <c r="I53" s="19">
        <v>4.2454412225569914E-2</v>
      </c>
      <c r="J53" s="19">
        <v>0.95041237925756894</v>
      </c>
      <c r="K53" s="19">
        <v>3.32471095654207E-2</v>
      </c>
      <c r="L53" s="253"/>
      <c r="M53" s="253"/>
      <c r="N53" s="253"/>
      <c r="O53" s="253"/>
      <c r="P53" s="253"/>
    </row>
    <row r="54" spans="2:16" x14ac:dyDescent="0.2">
      <c r="B54" t="s">
        <v>624</v>
      </c>
      <c r="C54" t="s">
        <v>404</v>
      </c>
      <c r="D54" s="18">
        <v>42341.621261574073</v>
      </c>
      <c r="E54" t="s">
        <v>182</v>
      </c>
      <c r="F54" s="19">
        <v>0.98215936563206341</v>
      </c>
      <c r="G54" s="19">
        <v>0.88796480964410762</v>
      </c>
      <c r="H54" s="19">
        <v>0.8942016029939428</v>
      </c>
      <c r="I54" s="19">
        <v>4.1267341620044889E-2</v>
      </c>
      <c r="J54" s="19">
        <v>0.93630090910838193</v>
      </c>
      <c r="K54" s="19">
        <v>4.2252345196873618E-2</v>
      </c>
      <c r="L54" s="19"/>
      <c r="M54" s="19"/>
      <c r="N54" s="19"/>
      <c r="O54" s="19"/>
      <c r="P54" s="19"/>
    </row>
    <row r="55" spans="2:16" x14ac:dyDescent="0.2">
      <c r="B55" t="s">
        <v>613</v>
      </c>
      <c r="C55" t="s">
        <v>380</v>
      </c>
      <c r="D55" s="18">
        <v>42341.621261574073</v>
      </c>
      <c r="E55" t="s">
        <v>178</v>
      </c>
      <c r="F55" s="19">
        <v>0.94577280539001507</v>
      </c>
      <c r="G55" s="19">
        <v>0.91805247597930528</v>
      </c>
      <c r="H55" s="19">
        <v>0.87678924925245982</v>
      </c>
      <c r="I55" s="19">
        <v>4.8659170819396566E-2</v>
      </c>
      <c r="J55" s="19">
        <v>0.8763227054819519</v>
      </c>
      <c r="K55" s="19">
        <v>5.4941531152799428E-2</v>
      </c>
      <c r="L55" s="19"/>
      <c r="M55" s="19"/>
      <c r="N55" s="19"/>
      <c r="O55" s="19"/>
      <c r="P55" s="19"/>
    </row>
    <row r="56" spans="2:16" x14ac:dyDescent="0.2">
      <c r="B56" t="s">
        <v>597</v>
      </c>
      <c r="C56" t="s">
        <v>404</v>
      </c>
      <c r="D56" s="18">
        <v>42341.621261574073</v>
      </c>
      <c r="E56" t="s">
        <v>171</v>
      </c>
      <c r="F56" s="19">
        <v>0.96948861645316431</v>
      </c>
      <c r="G56" s="19">
        <v>0.93458435941837303</v>
      </c>
      <c r="H56" s="19">
        <v>0.91924964129951037</v>
      </c>
      <c r="I56" s="19">
        <v>3.9323704963684064E-2</v>
      </c>
      <c r="J56" s="19">
        <v>0.94758363086530517</v>
      </c>
      <c r="K56" s="19">
        <v>3.6159772089332305E-2</v>
      </c>
      <c r="L56" s="19"/>
      <c r="M56" s="19"/>
      <c r="N56" s="19"/>
      <c r="O56" s="19"/>
      <c r="P56" s="19"/>
    </row>
    <row r="57" spans="2:16" x14ac:dyDescent="0.2">
      <c r="B57" t="s">
        <v>635</v>
      </c>
      <c r="C57" t="s">
        <v>390</v>
      </c>
      <c r="D57" s="18">
        <v>42341.621261574073</v>
      </c>
      <c r="E57" t="s">
        <v>187</v>
      </c>
      <c r="F57" s="19">
        <v>0.90680323854578038</v>
      </c>
      <c r="G57" s="19">
        <v>0.93943661971830972</v>
      </c>
      <c r="H57" s="19">
        <v>0.93983279607935633</v>
      </c>
      <c r="I57" s="19">
        <v>3.8676660893616557E-2</v>
      </c>
      <c r="J57" s="19">
        <v>0.94049733292989512</v>
      </c>
      <c r="K57" s="19">
        <v>3.5551590144124887E-2</v>
      </c>
      <c r="L57" s="19"/>
      <c r="M57" s="19"/>
      <c r="N57" s="19"/>
      <c r="O57" s="19"/>
      <c r="P57" s="19"/>
    </row>
    <row r="58" spans="2:16" x14ac:dyDescent="0.2">
      <c r="B58" t="s">
        <v>380</v>
      </c>
      <c r="C58" t="s">
        <v>380</v>
      </c>
      <c r="D58" s="18">
        <v>42341.621261574073</v>
      </c>
      <c r="E58" t="s">
        <v>661</v>
      </c>
      <c r="F58" s="19">
        <v>0.9540171679183187</v>
      </c>
      <c r="G58" s="19">
        <v>0.89905561983626436</v>
      </c>
      <c r="H58" s="19">
        <v>0.9032550768384604</v>
      </c>
      <c r="I58" s="19">
        <v>2.0701683468708723E-2</v>
      </c>
      <c r="J58" s="19">
        <v>0.88843535928602924</v>
      </c>
      <c r="K58" s="19">
        <v>2.6726023570885004E-2</v>
      </c>
      <c r="L58" s="19"/>
      <c r="M58" s="19"/>
      <c r="N58" s="19"/>
      <c r="O58" s="19"/>
      <c r="P58" s="19"/>
    </row>
    <row r="59" spans="2:16" x14ac:dyDescent="0.2">
      <c r="B59" t="s">
        <v>574</v>
      </c>
      <c r="C59" t="s">
        <v>390</v>
      </c>
      <c r="D59" s="18">
        <v>42341.621261574073</v>
      </c>
      <c r="E59" t="s">
        <v>161</v>
      </c>
      <c r="F59" s="19">
        <v>0.97819255219684886</v>
      </c>
      <c r="G59" s="19">
        <v>0.97728089080459768</v>
      </c>
      <c r="H59" s="19">
        <v>0.91517588950955475</v>
      </c>
      <c r="I59" s="19">
        <v>4.1713960140686838E-2</v>
      </c>
      <c r="J59" s="19">
        <v>0.86862734872176806</v>
      </c>
      <c r="K59" s="19">
        <v>5.4134496647627726E-2</v>
      </c>
      <c r="L59" s="19"/>
      <c r="M59" s="19"/>
      <c r="N59" s="19"/>
      <c r="O59" s="19"/>
      <c r="P59" s="19"/>
    </row>
    <row r="60" spans="2:16" x14ac:dyDescent="0.2">
      <c r="B60" t="s">
        <v>215</v>
      </c>
      <c r="C60" t="s">
        <v>390</v>
      </c>
      <c r="D60" s="18">
        <v>42341.621261574073</v>
      </c>
      <c r="E60" t="s">
        <v>164</v>
      </c>
      <c r="F60" s="19">
        <v>0.97006594274063507</v>
      </c>
      <c r="G60" s="19">
        <v>0.90994507993143747</v>
      </c>
      <c r="H60" s="19">
        <v>0.94086263511539581</v>
      </c>
      <c r="I60" s="19">
        <v>3.713222780548172E-2</v>
      </c>
      <c r="J60" s="19">
        <v>0.86939364410590736</v>
      </c>
      <c r="K60" s="19">
        <v>5.9429506614925388E-2</v>
      </c>
      <c r="L60" s="19">
        <v>1</v>
      </c>
      <c r="M60" s="19">
        <v>0.99181176584824771</v>
      </c>
      <c r="N60" s="19">
        <v>9.8227936471293725E-3</v>
      </c>
      <c r="O60" s="19">
        <v>0.98593055566785526</v>
      </c>
      <c r="P60" s="19">
        <v>1.7221858586439681E-2</v>
      </c>
    </row>
    <row r="61" spans="2:16" x14ac:dyDescent="0.2">
      <c r="B61" t="s">
        <v>580</v>
      </c>
      <c r="C61" t="s">
        <v>390</v>
      </c>
      <c r="D61" s="18">
        <v>42341.621261574073</v>
      </c>
      <c r="E61" t="s">
        <v>164</v>
      </c>
      <c r="F61" s="19">
        <v>0.97006594274063507</v>
      </c>
      <c r="G61" s="19">
        <v>0.90994507993143747</v>
      </c>
      <c r="H61" s="19">
        <v>0.94086263511539581</v>
      </c>
      <c r="I61" s="19">
        <v>3.713222780548172E-2</v>
      </c>
      <c r="J61" s="19">
        <v>0.86939364410590736</v>
      </c>
      <c r="K61" s="19">
        <v>5.9429506614925388E-2</v>
      </c>
      <c r="L61" s="19">
        <v>1</v>
      </c>
      <c r="M61" s="19">
        <v>0.99181176584824771</v>
      </c>
      <c r="N61" s="19">
        <v>9.8227936471293725E-3</v>
      </c>
      <c r="O61" s="19">
        <v>0.98593055566785526</v>
      </c>
      <c r="P61" s="19">
        <v>1.7221858586439681E-2</v>
      </c>
    </row>
    <row r="62" spans="2:16" x14ac:dyDescent="0.2">
      <c r="B62" t="s">
        <v>541</v>
      </c>
      <c r="C62" t="s">
        <v>380</v>
      </c>
      <c r="D62" s="18">
        <v>42341.621261574073</v>
      </c>
      <c r="E62" t="s">
        <v>149</v>
      </c>
      <c r="F62" s="19">
        <v>0.93489936808977059</v>
      </c>
      <c r="G62" s="19">
        <v>0.83178447433174907</v>
      </c>
      <c r="H62" s="19">
        <v>0.86434729278091471</v>
      </c>
      <c r="I62" s="19">
        <v>5.6185236006739386E-2</v>
      </c>
      <c r="J62" s="19">
        <v>0.86782728318292934</v>
      </c>
      <c r="K62" s="19">
        <v>5.8625818620356471E-2</v>
      </c>
      <c r="L62" s="19"/>
      <c r="M62" s="19"/>
      <c r="N62" s="19"/>
      <c r="O62" s="19"/>
      <c r="P62" s="19"/>
    </row>
    <row r="63" spans="2:16" x14ac:dyDescent="0.2">
      <c r="B63" t="s">
        <v>627</v>
      </c>
      <c r="C63" t="s">
        <v>369</v>
      </c>
      <c r="D63" s="18">
        <v>42341.621261574073</v>
      </c>
      <c r="E63" t="s">
        <v>183</v>
      </c>
      <c r="F63" s="19">
        <v>0.95440717080048665</v>
      </c>
      <c r="G63" s="19">
        <v>0.85704514363885087</v>
      </c>
      <c r="H63" s="19">
        <v>0.87950874020494285</v>
      </c>
      <c r="I63" s="19">
        <v>5.7898165484844173E-2</v>
      </c>
      <c r="J63" s="19">
        <v>0.96351773426110754</v>
      </c>
      <c r="K63" s="19">
        <v>3.6233483577180439E-2</v>
      </c>
      <c r="L63" s="19"/>
      <c r="M63" s="19"/>
      <c r="N63" s="19"/>
      <c r="O63" s="19"/>
      <c r="P63" s="19"/>
    </row>
    <row r="64" spans="2:16" x14ac:dyDescent="0.2">
      <c r="B64" t="s">
        <v>696</v>
      </c>
      <c r="C64" t="s">
        <v>6</v>
      </c>
      <c r="D64" s="18">
        <v>42341.621261574073</v>
      </c>
      <c r="E64" t="s">
        <v>437</v>
      </c>
      <c r="F64" s="19"/>
      <c r="G64" s="19"/>
      <c r="H64" s="19"/>
      <c r="I64" s="19"/>
      <c r="J64" s="19"/>
      <c r="K64" s="19"/>
      <c r="L64" s="19">
        <v>0.96188671939819681</v>
      </c>
      <c r="M64" s="19">
        <v>0.95934109688177616</v>
      </c>
      <c r="N64" s="19">
        <v>1.7480490378684124E-2</v>
      </c>
      <c r="O64" s="19">
        <v>0.96265060511142908</v>
      </c>
      <c r="P64" s="19">
        <v>1.9031103282115536E-2</v>
      </c>
    </row>
    <row r="65" spans="2:16" x14ac:dyDescent="0.2">
      <c r="B65" t="s">
        <v>698</v>
      </c>
      <c r="C65" t="s">
        <v>6</v>
      </c>
      <c r="D65" s="18">
        <v>42341.621261574073</v>
      </c>
      <c r="E65" t="s">
        <v>437</v>
      </c>
      <c r="F65" s="19">
        <v>0.96302893320757221</v>
      </c>
      <c r="G65" s="19">
        <v>0.9018949024373043</v>
      </c>
      <c r="H65" s="19">
        <v>0.90319910745629872</v>
      </c>
      <c r="I65" s="19">
        <v>7.5337381709705657E-3</v>
      </c>
      <c r="J65" s="19">
        <v>0.90822738940094705</v>
      </c>
      <c r="K65" s="19">
        <v>8.8258353019992335E-3</v>
      </c>
      <c r="L65" s="19">
        <v>0.96188671939819681</v>
      </c>
      <c r="M65" s="19">
        <v>0.95934109688177616</v>
      </c>
      <c r="N65" s="19">
        <v>1.7480490378684124E-2</v>
      </c>
      <c r="O65" s="19">
        <v>0.96265060511142908</v>
      </c>
      <c r="P65" s="19">
        <v>1.9031103282115536E-2</v>
      </c>
    </row>
    <row r="66" spans="2:16" x14ac:dyDescent="0.2">
      <c r="B66" t="s">
        <v>605</v>
      </c>
      <c r="C66" t="s">
        <v>385</v>
      </c>
      <c r="D66" s="18">
        <v>42341.621261574073</v>
      </c>
      <c r="E66" t="s">
        <v>174</v>
      </c>
      <c r="F66" s="19">
        <v>0.95924775468948109</v>
      </c>
      <c r="G66" s="19">
        <v>0.85106155019756746</v>
      </c>
      <c r="H66" s="19">
        <v>0.89826633490997398</v>
      </c>
      <c r="I66" s="19">
        <v>4.4537241132193588E-2</v>
      </c>
      <c r="J66" s="19">
        <v>0.919773499910022</v>
      </c>
      <c r="K66" s="19">
        <v>4.3880963658175461E-2</v>
      </c>
      <c r="L66" s="19"/>
      <c r="M66" s="19"/>
      <c r="N66" s="19"/>
      <c r="O66" s="19"/>
      <c r="P66" s="19"/>
    </row>
    <row r="67" spans="2:16" x14ac:dyDescent="0.2">
      <c r="B67" t="s">
        <v>670</v>
      </c>
      <c r="C67" t="s">
        <v>369</v>
      </c>
      <c r="D67" s="18">
        <v>42341.621261574073</v>
      </c>
      <c r="E67" t="s">
        <v>669</v>
      </c>
      <c r="F67" s="152">
        <v>0.87286176606564958</v>
      </c>
      <c r="G67" s="152">
        <v>0.75490196078431371</v>
      </c>
      <c r="H67" s="152">
        <v>0.90510797342192706</v>
      </c>
      <c r="I67" s="152">
        <v>0.11531707483160958</v>
      </c>
      <c r="J67" s="152">
        <v>0.80777441727310906</v>
      </c>
      <c r="K67" s="152">
        <v>4.1533559192586153E-2</v>
      </c>
      <c r="L67" s="152"/>
      <c r="M67" s="152"/>
      <c r="N67" s="152"/>
      <c r="O67" s="152"/>
      <c r="P67" s="152"/>
    </row>
    <row r="68" spans="2:16" x14ac:dyDescent="0.2">
      <c r="B68" t="s">
        <v>629</v>
      </c>
      <c r="C68" t="s">
        <v>369</v>
      </c>
      <c r="D68" s="18">
        <v>42341.621261574073</v>
      </c>
      <c r="E68" t="s">
        <v>92</v>
      </c>
      <c r="F68" s="152">
        <v>0.91214507250191712</v>
      </c>
      <c r="G68" s="152">
        <v>0.90478101352900708</v>
      </c>
      <c r="H68" s="152">
        <v>0.83858473647846088</v>
      </c>
      <c r="I68" s="152">
        <v>5.2137911435447111E-2</v>
      </c>
      <c r="J68" s="152">
        <v>0.91495057932046953</v>
      </c>
      <c r="K68" s="152">
        <v>3.50815182990592E-2</v>
      </c>
      <c r="L68" s="152"/>
      <c r="M68" s="152"/>
      <c r="N68" s="152"/>
      <c r="O68" s="152"/>
      <c r="P68" s="152"/>
    </row>
    <row r="69" spans="2:16" x14ac:dyDescent="0.2">
      <c r="B69" t="s">
        <v>639</v>
      </c>
      <c r="C69" t="s">
        <v>390</v>
      </c>
      <c r="D69" s="18">
        <v>42341.621261574073</v>
      </c>
      <c r="E69" t="s">
        <v>188</v>
      </c>
      <c r="F69" s="152">
        <v>0.98584944298820443</v>
      </c>
      <c r="G69" s="152">
        <v>0.9490187398553932</v>
      </c>
      <c r="H69" s="152">
        <v>0.93113787615740717</v>
      </c>
      <c r="I69" s="152">
        <v>3.9195502513984765E-2</v>
      </c>
      <c r="J69" s="152">
        <v>0.90648773905340918</v>
      </c>
      <c r="K69" s="152">
        <v>5.7953485533716674E-2</v>
      </c>
      <c r="L69" s="152"/>
      <c r="M69" s="152"/>
      <c r="N69" s="152"/>
      <c r="O69" s="152"/>
      <c r="P69" s="152"/>
    </row>
    <row r="70" spans="2:16" x14ac:dyDescent="0.2">
      <c r="B70" t="s">
        <v>643</v>
      </c>
      <c r="C70" t="s">
        <v>369</v>
      </c>
      <c r="D70" s="18">
        <v>42341.621261574073</v>
      </c>
      <c r="E70" t="s">
        <v>190</v>
      </c>
      <c r="F70" s="152">
        <v>0.94521731616693994</v>
      </c>
      <c r="G70" s="152">
        <v>0.7981404240528327</v>
      </c>
      <c r="H70" s="152">
        <v>0.8499168612467275</v>
      </c>
      <c r="I70" s="152">
        <v>4.749099326376488E-2</v>
      </c>
      <c r="J70" s="152">
        <v>0.87817539224273178</v>
      </c>
      <c r="K70" s="152">
        <v>5.41667253402629E-2</v>
      </c>
      <c r="L70" s="152"/>
      <c r="M70" s="152"/>
      <c r="N70" s="152"/>
      <c r="O70" s="152"/>
      <c r="P70" s="152"/>
    </row>
    <row r="71" spans="2:16" x14ac:dyDescent="0.2">
      <c r="B71" t="s">
        <v>543</v>
      </c>
      <c r="C71" t="s">
        <v>369</v>
      </c>
      <c r="D71" s="18">
        <v>42341.621261574073</v>
      </c>
      <c r="E71" t="s">
        <v>150</v>
      </c>
      <c r="F71" s="152">
        <v>0.97529361743180709</v>
      </c>
      <c r="G71" s="152">
        <v>0.93181782321941364</v>
      </c>
      <c r="H71" s="152">
        <v>0.83822838995775883</v>
      </c>
      <c r="I71" s="152">
        <v>5.2545878659911976E-2</v>
      </c>
      <c r="J71" s="152">
        <v>0.94594417650063789</v>
      </c>
      <c r="K71" s="152">
        <v>3.6984565396134171E-2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136</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394047</v>
      </c>
      <c r="D3">
        <v>417.28941466079999</v>
      </c>
      <c r="F3" t="s">
        <v>8</v>
      </c>
      <c r="G3">
        <v>11006</v>
      </c>
      <c r="P3">
        <v>11006</v>
      </c>
      <c r="Q3">
        <v>182.87557938739999</v>
      </c>
      <c r="V3" t="s">
        <v>308</v>
      </c>
      <c r="W3">
        <v>430</v>
      </c>
      <c r="X3">
        <v>294</v>
      </c>
      <c r="Y3">
        <v>347.60204081630002</v>
      </c>
      <c r="Z3">
        <v>21</v>
      </c>
      <c r="AA3">
        <v>570.09523809519999</v>
      </c>
      <c r="AB3">
        <v>79</v>
      </c>
      <c r="AC3">
        <v>560.1265822785</v>
      </c>
      <c r="AD3">
        <v>37</v>
      </c>
      <c r="AE3">
        <v>670.13513513509997</v>
      </c>
      <c r="AF3">
        <v>19</v>
      </c>
      <c r="AG3">
        <v>225</v>
      </c>
      <c r="AH3">
        <v>1</v>
      </c>
      <c r="AI3">
        <v>166</v>
      </c>
      <c r="AL3" t="s">
        <v>308</v>
      </c>
      <c r="AM3">
        <v>8</v>
      </c>
      <c r="AN3">
        <v>5</v>
      </c>
      <c r="AO3">
        <v>409</v>
      </c>
      <c r="AP3">
        <v>3</v>
      </c>
      <c r="AQ3">
        <v>596.66666666670005</v>
      </c>
      <c r="AR3">
        <v>2</v>
      </c>
      <c r="AS3">
        <v>336</v>
      </c>
      <c r="AT3">
        <v>1</v>
      </c>
      <c r="AU3">
        <v>129</v>
      </c>
    </row>
    <row r="4" spans="2:51" x14ac:dyDescent="0.2">
      <c r="B4" t="s">
        <v>952</v>
      </c>
      <c r="C4">
        <v>36567</v>
      </c>
      <c r="D4">
        <v>417.28941466079999</v>
      </c>
      <c r="F4" t="s">
        <v>8</v>
      </c>
      <c r="G4">
        <v>11006</v>
      </c>
      <c r="P4">
        <v>11006</v>
      </c>
      <c r="Q4">
        <v>182.87557938739999</v>
      </c>
      <c r="V4" t="s">
        <v>8</v>
      </c>
      <c r="W4">
        <v>4743</v>
      </c>
      <c r="X4">
        <v>3516</v>
      </c>
      <c r="Y4">
        <v>443.00540540539998</v>
      </c>
      <c r="Z4">
        <v>441</v>
      </c>
      <c r="AA4">
        <v>457.25170068030002</v>
      </c>
      <c r="AB4">
        <v>468</v>
      </c>
      <c r="AC4">
        <v>539.34401709400004</v>
      </c>
      <c r="AD4">
        <v>710</v>
      </c>
      <c r="AE4">
        <v>838.0901408451</v>
      </c>
      <c r="AF4">
        <v>42</v>
      </c>
      <c r="AG4">
        <v>277.97619047619997</v>
      </c>
      <c r="AH4">
        <v>7</v>
      </c>
      <c r="AI4">
        <v>310.85714285709997</v>
      </c>
      <c r="AL4" t="s">
        <v>8</v>
      </c>
      <c r="AM4">
        <v>66</v>
      </c>
      <c r="AN4">
        <v>57</v>
      </c>
      <c r="AO4">
        <v>224.50877192979999</v>
      </c>
      <c r="AP4">
        <v>9</v>
      </c>
      <c r="AQ4">
        <v>566.2222222222</v>
      </c>
      <c r="AR4">
        <v>9</v>
      </c>
      <c r="AS4">
        <v>194.3333333333</v>
      </c>
    </row>
    <row r="5" spans="2:51" x14ac:dyDescent="0.2">
      <c r="B5" t="s">
        <v>964</v>
      </c>
      <c r="C5">
        <v>22675</v>
      </c>
      <c r="D5">
        <v>584.45543550169998</v>
      </c>
      <c r="F5" t="s">
        <v>46</v>
      </c>
      <c r="G5">
        <v>586</v>
      </c>
      <c r="H5">
        <v>483</v>
      </c>
      <c r="I5">
        <v>240.62939958589999</v>
      </c>
      <c r="J5">
        <v>26</v>
      </c>
      <c r="K5">
        <v>529.23076923079998</v>
      </c>
      <c r="L5">
        <v>77</v>
      </c>
      <c r="M5">
        <v>204.61038961040001</v>
      </c>
      <c r="N5">
        <v>26</v>
      </c>
      <c r="O5">
        <v>226.42307692310001</v>
      </c>
      <c r="V5" t="s">
        <v>8</v>
      </c>
      <c r="W5">
        <v>5173</v>
      </c>
      <c r="X5">
        <v>3810</v>
      </c>
      <c r="Y5">
        <v>435.64163822530003</v>
      </c>
      <c r="Z5">
        <v>462</v>
      </c>
      <c r="AA5">
        <v>462.38095238099999</v>
      </c>
      <c r="AB5">
        <v>547</v>
      </c>
      <c r="AC5">
        <v>542.34552102379996</v>
      </c>
      <c r="AD5">
        <v>747</v>
      </c>
      <c r="AE5">
        <v>829.77108433729995</v>
      </c>
      <c r="AF5">
        <v>61</v>
      </c>
      <c r="AG5">
        <v>261.47540983610003</v>
      </c>
      <c r="AH5">
        <v>8</v>
      </c>
      <c r="AI5">
        <v>292.75</v>
      </c>
      <c r="AL5" t="s">
        <v>8</v>
      </c>
      <c r="AM5">
        <v>74</v>
      </c>
      <c r="AN5">
        <v>62</v>
      </c>
      <c r="AO5">
        <v>239.38709677419999</v>
      </c>
      <c r="AP5">
        <v>12</v>
      </c>
      <c r="AQ5">
        <v>573.83333333329995</v>
      </c>
      <c r="AR5">
        <v>11</v>
      </c>
      <c r="AS5">
        <v>220.0909090909</v>
      </c>
      <c r="AT5">
        <v>1</v>
      </c>
      <c r="AU5">
        <v>129</v>
      </c>
    </row>
    <row r="6" spans="2:51" x14ac:dyDescent="0.2">
      <c r="B6" t="s">
        <v>244</v>
      </c>
      <c r="C6">
        <v>54667</v>
      </c>
      <c r="D6">
        <v>611.94879909270003</v>
      </c>
      <c r="F6" t="s">
        <v>40</v>
      </c>
      <c r="G6">
        <v>8148</v>
      </c>
      <c r="H6">
        <v>6265</v>
      </c>
      <c r="I6">
        <v>444.5806863528</v>
      </c>
      <c r="J6">
        <v>221</v>
      </c>
      <c r="K6">
        <v>925.14027149319998</v>
      </c>
      <c r="L6">
        <v>1314</v>
      </c>
      <c r="M6">
        <v>570.16133942160002</v>
      </c>
      <c r="N6">
        <v>551</v>
      </c>
      <c r="O6">
        <v>613.1433756806</v>
      </c>
      <c r="R6">
        <v>18</v>
      </c>
      <c r="S6">
        <v>704.11111111109994</v>
      </c>
      <c r="V6" t="s">
        <v>399</v>
      </c>
      <c r="W6">
        <v>1322</v>
      </c>
      <c r="X6">
        <v>685</v>
      </c>
      <c r="Y6">
        <v>161.69197080289999</v>
      </c>
      <c r="Z6">
        <v>229</v>
      </c>
      <c r="AA6">
        <v>298.0087336245</v>
      </c>
      <c r="AB6">
        <v>439</v>
      </c>
      <c r="AC6">
        <v>265.8109339408</v>
      </c>
      <c r="AD6">
        <v>114</v>
      </c>
      <c r="AE6">
        <v>305</v>
      </c>
      <c r="AF6">
        <v>81</v>
      </c>
      <c r="AG6">
        <v>169</v>
      </c>
      <c r="AH6">
        <v>3</v>
      </c>
      <c r="AI6">
        <v>195.3333333333</v>
      </c>
      <c r="AL6" t="s">
        <v>399</v>
      </c>
      <c r="AM6">
        <v>31</v>
      </c>
      <c r="AN6">
        <v>18</v>
      </c>
      <c r="AO6">
        <v>140.2222222222</v>
      </c>
      <c r="AP6">
        <v>11</v>
      </c>
      <c r="AQ6">
        <v>232</v>
      </c>
      <c r="AR6">
        <v>9</v>
      </c>
      <c r="AS6">
        <v>183.1111111111</v>
      </c>
      <c r="AT6">
        <v>4</v>
      </c>
      <c r="AU6">
        <v>116.5</v>
      </c>
    </row>
    <row r="7" spans="2:51" x14ac:dyDescent="0.2">
      <c r="B7" t="s">
        <v>243</v>
      </c>
      <c r="C7">
        <v>234684</v>
      </c>
      <c r="D7">
        <v>398.73424410029997</v>
      </c>
      <c r="F7" t="s">
        <v>45</v>
      </c>
      <c r="G7">
        <v>5605</v>
      </c>
      <c r="H7">
        <v>3994</v>
      </c>
      <c r="I7">
        <v>400.91261892839998</v>
      </c>
      <c r="J7">
        <v>856</v>
      </c>
      <c r="K7">
        <v>498.5502336449</v>
      </c>
      <c r="L7">
        <v>1013</v>
      </c>
      <c r="M7">
        <v>632.81539980260004</v>
      </c>
      <c r="N7">
        <v>591</v>
      </c>
      <c r="O7">
        <v>420.87648054149997</v>
      </c>
      <c r="R7">
        <v>7</v>
      </c>
      <c r="S7">
        <v>644.71428571429999</v>
      </c>
      <c r="V7" t="s">
        <v>391</v>
      </c>
      <c r="W7">
        <v>13724</v>
      </c>
      <c r="X7">
        <v>10029</v>
      </c>
      <c r="Y7">
        <v>638.81583408120002</v>
      </c>
      <c r="Z7">
        <v>509</v>
      </c>
      <c r="AA7">
        <v>1225.4243614930999</v>
      </c>
      <c r="AB7">
        <v>2610</v>
      </c>
      <c r="AC7">
        <v>1340.0793103448</v>
      </c>
      <c r="AD7">
        <v>875</v>
      </c>
      <c r="AE7">
        <v>861.12228571430001</v>
      </c>
      <c r="AF7">
        <v>183</v>
      </c>
      <c r="AG7">
        <v>244.13114754099999</v>
      </c>
      <c r="AH7">
        <v>27</v>
      </c>
      <c r="AI7">
        <v>656.25925925930005</v>
      </c>
      <c r="AL7" t="s">
        <v>391</v>
      </c>
      <c r="AM7">
        <v>401</v>
      </c>
      <c r="AN7">
        <v>323</v>
      </c>
      <c r="AO7">
        <v>533.93188854489995</v>
      </c>
      <c r="AP7">
        <v>33</v>
      </c>
      <c r="AQ7">
        <v>1062.1515151515</v>
      </c>
      <c r="AR7">
        <v>75</v>
      </c>
      <c r="AS7">
        <v>549.54666666670005</v>
      </c>
      <c r="AT7">
        <v>3</v>
      </c>
      <c r="AU7">
        <v>224</v>
      </c>
    </row>
    <row r="8" spans="2:51" x14ac:dyDescent="0.2">
      <c r="B8" t="s">
        <v>245</v>
      </c>
      <c r="C8">
        <v>25106</v>
      </c>
      <c r="D8">
        <v>519.50760895550002</v>
      </c>
      <c r="F8" t="s">
        <v>53</v>
      </c>
      <c r="G8">
        <v>1102</v>
      </c>
      <c r="H8">
        <v>313</v>
      </c>
      <c r="I8">
        <v>103.9488817891</v>
      </c>
      <c r="J8">
        <v>373</v>
      </c>
      <c r="K8">
        <v>215.68632707770001</v>
      </c>
      <c r="L8">
        <v>552</v>
      </c>
      <c r="M8">
        <v>227.2336956522</v>
      </c>
      <c r="N8">
        <v>234</v>
      </c>
      <c r="O8">
        <v>204.141025641</v>
      </c>
      <c r="R8">
        <v>3</v>
      </c>
      <c r="S8">
        <v>295.3333333333</v>
      </c>
      <c r="V8" t="s">
        <v>422</v>
      </c>
      <c r="W8">
        <v>1334</v>
      </c>
      <c r="X8">
        <v>887</v>
      </c>
      <c r="Y8">
        <v>206.92108229990001</v>
      </c>
      <c r="Z8">
        <v>231</v>
      </c>
      <c r="AA8">
        <v>380.57142857140002</v>
      </c>
      <c r="AB8">
        <v>160</v>
      </c>
      <c r="AC8">
        <v>138.51249999999999</v>
      </c>
      <c r="AD8">
        <v>191</v>
      </c>
      <c r="AE8">
        <v>371.65445026179998</v>
      </c>
      <c r="AF8">
        <v>93</v>
      </c>
      <c r="AG8">
        <v>177.8602150538</v>
      </c>
      <c r="AH8">
        <v>3</v>
      </c>
      <c r="AI8">
        <v>174.6666666667</v>
      </c>
      <c r="AL8" t="s">
        <v>422</v>
      </c>
      <c r="AM8">
        <v>28</v>
      </c>
      <c r="AN8">
        <v>19</v>
      </c>
      <c r="AO8">
        <v>154.52631578949999</v>
      </c>
      <c r="AP8">
        <v>7</v>
      </c>
      <c r="AQ8">
        <v>240.1428571429</v>
      </c>
      <c r="AR8">
        <v>8</v>
      </c>
      <c r="AS8">
        <v>154.625</v>
      </c>
      <c r="AV8">
        <v>1</v>
      </c>
      <c r="AW8">
        <v>10</v>
      </c>
    </row>
    <row r="9" spans="2:51" x14ac:dyDescent="0.2">
      <c r="B9" t="s">
        <v>246</v>
      </c>
      <c r="C9">
        <v>11006</v>
      </c>
      <c r="D9">
        <v>182.87557938739999</v>
      </c>
      <c r="F9" t="s">
        <v>84</v>
      </c>
      <c r="G9">
        <v>1203</v>
      </c>
      <c r="H9">
        <v>843</v>
      </c>
      <c r="I9">
        <v>203.39620403320001</v>
      </c>
      <c r="J9">
        <v>244</v>
      </c>
      <c r="K9">
        <v>383.15983606560002</v>
      </c>
      <c r="L9">
        <v>154</v>
      </c>
      <c r="M9">
        <v>109.7012987013</v>
      </c>
      <c r="N9">
        <v>203</v>
      </c>
      <c r="O9">
        <v>366.1330049261</v>
      </c>
      <c r="R9">
        <v>3</v>
      </c>
      <c r="S9">
        <v>174.6666666667</v>
      </c>
      <c r="V9" t="s">
        <v>392</v>
      </c>
      <c r="W9">
        <v>8246</v>
      </c>
      <c r="X9">
        <v>6337</v>
      </c>
      <c r="Y9">
        <v>497.22250276160003</v>
      </c>
      <c r="Z9">
        <v>281</v>
      </c>
      <c r="AA9">
        <v>944.44128113880004</v>
      </c>
      <c r="AB9">
        <v>1325</v>
      </c>
      <c r="AC9">
        <v>979.8988679245</v>
      </c>
      <c r="AD9">
        <v>425</v>
      </c>
      <c r="AE9">
        <v>667.68470588239995</v>
      </c>
      <c r="AF9">
        <v>155</v>
      </c>
      <c r="AG9">
        <v>157.21290322580001</v>
      </c>
      <c r="AH9">
        <v>4</v>
      </c>
      <c r="AI9">
        <v>111</v>
      </c>
      <c r="AL9" t="s">
        <v>392</v>
      </c>
      <c r="AM9">
        <v>188</v>
      </c>
      <c r="AN9">
        <v>168</v>
      </c>
      <c r="AO9">
        <v>542.35119047620003</v>
      </c>
      <c r="AP9">
        <v>12</v>
      </c>
      <c r="AQ9">
        <v>945.58333333329995</v>
      </c>
      <c r="AR9">
        <v>18</v>
      </c>
      <c r="AS9">
        <v>451.2777777778</v>
      </c>
      <c r="AT9">
        <v>2</v>
      </c>
      <c r="AU9">
        <v>152</v>
      </c>
    </row>
    <row r="10" spans="2:51" x14ac:dyDescent="0.2">
      <c r="B10" t="s">
        <v>948</v>
      </c>
      <c r="C10">
        <v>455</v>
      </c>
      <c r="D10">
        <v>446.6835164835</v>
      </c>
      <c r="F10" t="s">
        <v>79</v>
      </c>
      <c r="G10">
        <v>1800</v>
      </c>
      <c r="H10">
        <v>729</v>
      </c>
      <c r="I10">
        <v>117.8737997257</v>
      </c>
      <c r="J10">
        <v>540</v>
      </c>
      <c r="K10">
        <v>209.13333333329999</v>
      </c>
      <c r="L10">
        <v>978</v>
      </c>
      <c r="M10">
        <v>290.37934560330001</v>
      </c>
      <c r="N10">
        <v>93</v>
      </c>
      <c r="O10">
        <v>150.4838709677</v>
      </c>
      <c r="V10" t="s">
        <v>394</v>
      </c>
      <c r="W10">
        <v>8348</v>
      </c>
      <c r="X10">
        <v>6192</v>
      </c>
      <c r="Y10">
        <v>441.23675710589998</v>
      </c>
      <c r="Z10">
        <v>226</v>
      </c>
      <c r="AA10">
        <v>884.45575221239994</v>
      </c>
      <c r="AB10">
        <v>1312</v>
      </c>
      <c r="AC10">
        <v>573.99085365849999</v>
      </c>
      <c r="AD10">
        <v>554</v>
      </c>
      <c r="AE10">
        <v>601.64079422379996</v>
      </c>
      <c r="AF10">
        <v>271</v>
      </c>
      <c r="AG10">
        <v>182.1512915129</v>
      </c>
      <c r="AH10">
        <v>19</v>
      </c>
      <c r="AI10">
        <v>683.31578947369997</v>
      </c>
      <c r="AL10" t="s">
        <v>394</v>
      </c>
      <c r="AM10">
        <v>353</v>
      </c>
      <c r="AN10">
        <v>247</v>
      </c>
      <c r="AO10">
        <v>396.54251012150002</v>
      </c>
      <c r="AP10">
        <v>21</v>
      </c>
      <c r="AQ10">
        <v>633.90476190480001</v>
      </c>
      <c r="AR10">
        <v>94</v>
      </c>
      <c r="AS10">
        <v>416.72340425530001</v>
      </c>
      <c r="AT10">
        <v>12</v>
      </c>
      <c r="AU10">
        <v>199.5</v>
      </c>
    </row>
    <row r="11" spans="2:51" x14ac:dyDescent="0.2">
      <c r="F11" t="s">
        <v>41</v>
      </c>
      <c r="G11">
        <v>13712</v>
      </c>
      <c r="H11">
        <v>10167</v>
      </c>
      <c r="I11">
        <v>644.60981607159999</v>
      </c>
      <c r="J11">
        <v>503</v>
      </c>
      <c r="K11">
        <v>1259.6779324055999</v>
      </c>
      <c r="L11">
        <v>2656</v>
      </c>
      <c r="M11">
        <v>1356.0493222892001</v>
      </c>
      <c r="N11">
        <v>861</v>
      </c>
      <c r="O11">
        <v>877.38327526130001</v>
      </c>
      <c r="R11">
        <v>28</v>
      </c>
      <c r="S11">
        <v>637.21428571429999</v>
      </c>
      <c r="V11" t="s">
        <v>395</v>
      </c>
      <c r="W11">
        <v>5912</v>
      </c>
      <c r="X11">
        <v>3990</v>
      </c>
      <c r="Y11">
        <v>404.3125313283</v>
      </c>
      <c r="Z11">
        <v>835</v>
      </c>
      <c r="AA11">
        <v>504.68982035929997</v>
      </c>
      <c r="AB11">
        <v>1023</v>
      </c>
      <c r="AC11">
        <v>645.36656891500002</v>
      </c>
      <c r="AD11">
        <v>592</v>
      </c>
      <c r="AE11">
        <v>429.23817567570001</v>
      </c>
      <c r="AF11">
        <v>300</v>
      </c>
      <c r="AG11">
        <v>190.70333333330001</v>
      </c>
      <c r="AH11">
        <v>7</v>
      </c>
      <c r="AI11">
        <v>644.71428571429999</v>
      </c>
      <c r="AL11" t="s">
        <v>395</v>
      </c>
      <c r="AM11">
        <v>262</v>
      </c>
      <c r="AN11">
        <v>210</v>
      </c>
      <c r="AO11">
        <v>376.59523809519999</v>
      </c>
      <c r="AP11">
        <v>15</v>
      </c>
      <c r="AQ11">
        <v>504</v>
      </c>
      <c r="AR11">
        <v>46</v>
      </c>
      <c r="AS11">
        <v>376.08695652170002</v>
      </c>
      <c r="AT11">
        <v>5</v>
      </c>
      <c r="AU11">
        <v>447.8</v>
      </c>
      <c r="AV11">
        <v>1</v>
      </c>
      <c r="AW11">
        <v>137</v>
      </c>
    </row>
    <row r="12" spans="2:51" x14ac:dyDescent="0.2">
      <c r="F12" t="s">
        <v>59</v>
      </c>
      <c r="G12">
        <v>3365</v>
      </c>
      <c r="H12">
        <v>2846</v>
      </c>
      <c r="I12">
        <v>291.0196767393</v>
      </c>
      <c r="J12">
        <v>199</v>
      </c>
      <c r="K12">
        <v>538.9748743719</v>
      </c>
      <c r="L12">
        <v>467</v>
      </c>
      <c r="M12">
        <v>307.11134903639999</v>
      </c>
      <c r="N12">
        <v>52</v>
      </c>
      <c r="O12">
        <v>133.36538461539999</v>
      </c>
      <c r="V12" t="s">
        <v>397</v>
      </c>
      <c r="W12">
        <v>6882</v>
      </c>
      <c r="X12">
        <v>5680</v>
      </c>
      <c r="Y12">
        <v>297.41109154930001</v>
      </c>
      <c r="Z12">
        <v>406</v>
      </c>
      <c r="AA12">
        <v>620.20935960589998</v>
      </c>
      <c r="AB12">
        <v>366</v>
      </c>
      <c r="AC12">
        <v>201.20491803280001</v>
      </c>
      <c r="AD12">
        <v>514</v>
      </c>
      <c r="AE12">
        <v>346.69649805450001</v>
      </c>
      <c r="AF12">
        <v>307</v>
      </c>
      <c r="AG12">
        <v>164.29967426709999</v>
      </c>
      <c r="AH12">
        <v>15</v>
      </c>
      <c r="AI12">
        <v>380.3333333333</v>
      </c>
      <c r="AL12" t="s">
        <v>397</v>
      </c>
      <c r="AM12">
        <v>219</v>
      </c>
      <c r="AN12">
        <v>184</v>
      </c>
      <c r="AO12">
        <v>371.39130434779997</v>
      </c>
      <c r="AP12">
        <v>10</v>
      </c>
      <c r="AQ12">
        <v>575.4</v>
      </c>
      <c r="AR12">
        <v>35</v>
      </c>
      <c r="AS12">
        <v>186.8571428571</v>
      </c>
    </row>
    <row r="13" spans="2:51" x14ac:dyDescent="0.2">
      <c r="F13" t="s">
        <v>78</v>
      </c>
      <c r="G13">
        <v>6467</v>
      </c>
      <c r="H13">
        <v>5619</v>
      </c>
      <c r="I13">
        <v>291.51236874889997</v>
      </c>
      <c r="J13">
        <v>411</v>
      </c>
      <c r="K13">
        <v>619.67396593670003</v>
      </c>
      <c r="L13">
        <v>331</v>
      </c>
      <c r="M13">
        <v>166.20241691839999</v>
      </c>
      <c r="N13">
        <v>503</v>
      </c>
      <c r="O13">
        <v>345.24055665999998</v>
      </c>
      <c r="R13">
        <v>14</v>
      </c>
      <c r="S13">
        <v>384.21428571429999</v>
      </c>
      <c r="V13" t="s">
        <v>400</v>
      </c>
      <c r="W13">
        <v>1255</v>
      </c>
      <c r="X13">
        <v>342</v>
      </c>
      <c r="Y13">
        <v>135.63157894739999</v>
      </c>
      <c r="Z13">
        <v>373</v>
      </c>
      <c r="AA13">
        <v>223.7211796247</v>
      </c>
      <c r="AB13">
        <v>548</v>
      </c>
      <c r="AC13">
        <v>234.0875912409</v>
      </c>
      <c r="AD13">
        <v>231</v>
      </c>
      <c r="AE13">
        <v>203.7229437229</v>
      </c>
      <c r="AF13">
        <v>132</v>
      </c>
      <c r="AG13">
        <v>183.1590909091</v>
      </c>
      <c r="AH13">
        <v>2</v>
      </c>
      <c r="AI13">
        <v>280</v>
      </c>
      <c r="AL13" t="s">
        <v>400</v>
      </c>
      <c r="AM13">
        <v>26</v>
      </c>
      <c r="AN13">
        <v>14</v>
      </c>
      <c r="AO13">
        <v>137.92857142860001</v>
      </c>
      <c r="AP13">
        <v>6</v>
      </c>
      <c r="AQ13">
        <v>220.8333333333</v>
      </c>
      <c r="AR13">
        <v>8</v>
      </c>
      <c r="AS13">
        <v>107.625</v>
      </c>
      <c r="AT13">
        <v>4</v>
      </c>
      <c r="AU13">
        <v>117</v>
      </c>
    </row>
    <row r="14" spans="2:51" x14ac:dyDescent="0.2">
      <c r="F14" t="s">
        <v>44</v>
      </c>
      <c r="G14">
        <v>1215</v>
      </c>
      <c r="H14">
        <v>654</v>
      </c>
      <c r="I14">
        <v>139.4235474006</v>
      </c>
      <c r="J14">
        <v>232</v>
      </c>
      <c r="K14">
        <v>287.57758620689998</v>
      </c>
      <c r="L14">
        <v>443</v>
      </c>
      <c r="M14">
        <v>267.62302483069999</v>
      </c>
      <c r="N14">
        <v>115</v>
      </c>
      <c r="O14">
        <v>309.67826086960002</v>
      </c>
      <c r="R14">
        <v>3</v>
      </c>
      <c r="S14">
        <v>195.3333333333</v>
      </c>
      <c r="V14" t="s">
        <v>401</v>
      </c>
      <c r="W14">
        <v>2253</v>
      </c>
      <c r="X14">
        <v>962</v>
      </c>
      <c r="Y14">
        <v>161.66632016630001</v>
      </c>
      <c r="Z14">
        <v>539</v>
      </c>
      <c r="AA14">
        <v>219.54359925790001</v>
      </c>
      <c r="AB14">
        <v>1002</v>
      </c>
      <c r="AC14">
        <v>297.22055888220001</v>
      </c>
      <c r="AD14">
        <v>103</v>
      </c>
      <c r="AE14">
        <v>218.78640776699999</v>
      </c>
      <c r="AF14">
        <v>186</v>
      </c>
      <c r="AG14">
        <v>180.95698924729999</v>
      </c>
      <c r="AL14" t="s">
        <v>401</v>
      </c>
      <c r="AM14">
        <v>28</v>
      </c>
      <c r="AN14">
        <v>19</v>
      </c>
      <c r="AO14">
        <v>67.789473684200004</v>
      </c>
      <c r="AP14">
        <v>20</v>
      </c>
      <c r="AQ14">
        <v>223.9</v>
      </c>
      <c r="AR14">
        <v>3</v>
      </c>
      <c r="AS14">
        <v>115.6666666667</v>
      </c>
      <c r="AT14">
        <v>6</v>
      </c>
      <c r="AU14">
        <v>94.5</v>
      </c>
    </row>
    <row r="15" spans="2:51" x14ac:dyDescent="0.2">
      <c r="F15" t="s">
        <v>77</v>
      </c>
      <c r="G15">
        <v>237</v>
      </c>
      <c r="H15">
        <v>85</v>
      </c>
      <c r="I15">
        <v>111.0470588235</v>
      </c>
      <c r="J15">
        <v>120</v>
      </c>
      <c r="K15">
        <v>174.34166666670001</v>
      </c>
      <c r="L15">
        <v>103</v>
      </c>
      <c r="M15">
        <v>172.33980582519999</v>
      </c>
      <c r="N15">
        <v>41</v>
      </c>
      <c r="O15">
        <v>230.63414634150001</v>
      </c>
      <c r="R15">
        <v>8</v>
      </c>
      <c r="S15">
        <v>210.375</v>
      </c>
      <c r="V15" t="s">
        <v>396</v>
      </c>
      <c r="W15">
        <v>3465</v>
      </c>
      <c r="X15">
        <v>2826</v>
      </c>
      <c r="Y15">
        <v>298.30537862699998</v>
      </c>
      <c r="Z15">
        <v>215</v>
      </c>
      <c r="AA15">
        <v>555.66511627909995</v>
      </c>
      <c r="AB15">
        <v>466</v>
      </c>
      <c r="AC15">
        <v>317.1566523605</v>
      </c>
      <c r="AD15">
        <v>74</v>
      </c>
      <c r="AE15">
        <v>204.79729729729999</v>
      </c>
      <c r="AF15">
        <v>99</v>
      </c>
      <c r="AG15">
        <v>158.01010101009999</v>
      </c>
      <c r="AL15" t="s">
        <v>396</v>
      </c>
      <c r="AM15">
        <v>95</v>
      </c>
      <c r="AN15">
        <v>70</v>
      </c>
      <c r="AO15">
        <v>284</v>
      </c>
      <c r="AP15">
        <v>4</v>
      </c>
      <c r="AQ15">
        <v>419.75</v>
      </c>
      <c r="AR15">
        <v>20</v>
      </c>
      <c r="AS15">
        <v>353.8</v>
      </c>
      <c r="AT15">
        <v>5</v>
      </c>
      <c r="AU15">
        <v>270.8</v>
      </c>
    </row>
    <row r="16" spans="2:51" x14ac:dyDescent="0.2">
      <c r="F16" t="s">
        <v>51</v>
      </c>
      <c r="G16">
        <v>8358</v>
      </c>
      <c r="H16">
        <v>6578</v>
      </c>
      <c r="I16">
        <v>498.98358163580002</v>
      </c>
      <c r="J16">
        <v>286</v>
      </c>
      <c r="K16">
        <v>956.48251748250004</v>
      </c>
      <c r="L16">
        <v>1358</v>
      </c>
      <c r="M16">
        <v>983.69366715759998</v>
      </c>
      <c r="N16">
        <v>418</v>
      </c>
      <c r="O16">
        <v>668.1602870813</v>
      </c>
      <c r="R16">
        <v>4</v>
      </c>
      <c r="S16">
        <v>111</v>
      </c>
      <c r="V16" t="s">
        <v>419</v>
      </c>
      <c r="W16">
        <v>450</v>
      </c>
      <c r="X16">
        <v>352</v>
      </c>
      <c r="Y16">
        <v>241.5909090909</v>
      </c>
      <c r="Z16">
        <v>22</v>
      </c>
      <c r="AA16">
        <v>579.13636363640001</v>
      </c>
      <c r="AB16">
        <v>63</v>
      </c>
      <c r="AC16">
        <v>286.8412698413</v>
      </c>
      <c r="AD16">
        <v>15</v>
      </c>
      <c r="AE16">
        <v>223.86666666670001</v>
      </c>
      <c r="AF16">
        <v>20</v>
      </c>
      <c r="AG16">
        <v>131.55000000000001</v>
      </c>
      <c r="AL16" t="s">
        <v>419</v>
      </c>
      <c r="AM16">
        <v>9</v>
      </c>
      <c r="AN16">
        <v>8</v>
      </c>
      <c r="AO16">
        <v>195.25</v>
      </c>
      <c r="AP16">
        <v>3</v>
      </c>
      <c r="AQ16">
        <v>465.3333333333</v>
      </c>
      <c r="AR16">
        <v>1</v>
      </c>
      <c r="AS16">
        <v>87</v>
      </c>
    </row>
    <row r="17" spans="6:49" x14ac:dyDescent="0.2">
      <c r="F17" t="s">
        <v>390</v>
      </c>
      <c r="G17">
        <v>51798</v>
      </c>
      <c r="H17">
        <v>38576</v>
      </c>
      <c r="I17">
        <v>445.75979883870002</v>
      </c>
      <c r="J17">
        <v>4011</v>
      </c>
      <c r="K17">
        <v>570.58140114679998</v>
      </c>
      <c r="L17">
        <v>9446</v>
      </c>
      <c r="M17">
        <v>752.1249206013</v>
      </c>
      <c r="N17">
        <v>3688</v>
      </c>
      <c r="O17">
        <v>539.29880694140002</v>
      </c>
      <c r="R17">
        <v>88</v>
      </c>
      <c r="S17">
        <v>506.03409090909997</v>
      </c>
      <c r="V17" t="s">
        <v>420</v>
      </c>
      <c r="W17">
        <v>196</v>
      </c>
      <c r="X17">
        <v>53</v>
      </c>
      <c r="Y17">
        <v>278.56603773580002</v>
      </c>
      <c r="Z17">
        <v>33</v>
      </c>
      <c r="AA17">
        <v>257.27272727270002</v>
      </c>
      <c r="AB17">
        <v>50</v>
      </c>
      <c r="AC17">
        <v>315.12</v>
      </c>
      <c r="AD17">
        <v>42</v>
      </c>
      <c r="AE17">
        <v>262.69047619050002</v>
      </c>
      <c r="AF17">
        <v>43</v>
      </c>
      <c r="AG17">
        <v>261.76744186050001</v>
      </c>
      <c r="AH17">
        <v>8</v>
      </c>
      <c r="AI17">
        <v>210.375</v>
      </c>
      <c r="AL17" t="s">
        <v>420</v>
      </c>
      <c r="AM17">
        <v>9</v>
      </c>
      <c r="AN17">
        <v>7</v>
      </c>
      <c r="AO17">
        <v>162.57142857139999</v>
      </c>
      <c r="AP17">
        <v>5</v>
      </c>
      <c r="AQ17">
        <v>192.8</v>
      </c>
      <c r="AR17">
        <v>2</v>
      </c>
      <c r="AS17">
        <v>213</v>
      </c>
    </row>
    <row r="18" spans="6:49" x14ac:dyDescent="0.2">
      <c r="F18" t="s">
        <v>71</v>
      </c>
      <c r="G18">
        <v>2991</v>
      </c>
      <c r="H18">
        <v>2395</v>
      </c>
      <c r="I18">
        <v>279.60083507309997</v>
      </c>
      <c r="J18">
        <v>214</v>
      </c>
      <c r="K18">
        <v>499.14953271029998</v>
      </c>
      <c r="L18">
        <v>346</v>
      </c>
      <c r="M18">
        <v>316.21676300579998</v>
      </c>
      <c r="N18">
        <v>246</v>
      </c>
      <c r="O18">
        <v>516.78861788619997</v>
      </c>
      <c r="R18">
        <v>4</v>
      </c>
      <c r="S18">
        <v>828.75</v>
      </c>
      <c r="V18" t="s">
        <v>390</v>
      </c>
      <c r="W18">
        <v>53387</v>
      </c>
      <c r="X18">
        <v>38335</v>
      </c>
      <c r="Y18">
        <v>444.27403156380001</v>
      </c>
      <c r="Z18">
        <v>3899</v>
      </c>
      <c r="AA18">
        <v>579.85996409339998</v>
      </c>
      <c r="AB18">
        <v>9364</v>
      </c>
      <c r="AC18">
        <v>750.69094404099997</v>
      </c>
      <c r="AD18">
        <v>3730</v>
      </c>
      <c r="AE18">
        <v>538.27479892760005</v>
      </c>
      <c r="AF18">
        <v>1870</v>
      </c>
      <c r="AG18">
        <v>183.77165775399999</v>
      </c>
      <c r="AH18">
        <v>88</v>
      </c>
      <c r="AI18">
        <v>508.14772727270002</v>
      </c>
      <c r="AL18" t="s">
        <v>390</v>
      </c>
      <c r="AM18">
        <v>1649</v>
      </c>
      <c r="AN18">
        <v>1287</v>
      </c>
      <c r="AO18">
        <v>419.73659673660001</v>
      </c>
      <c r="AP18">
        <v>147</v>
      </c>
      <c r="AQ18">
        <v>592.51020408160002</v>
      </c>
      <c r="AR18">
        <v>319</v>
      </c>
      <c r="AS18">
        <v>388.8181818182</v>
      </c>
      <c r="AT18">
        <v>41</v>
      </c>
      <c r="AU18">
        <v>206.43902439019999</v>
      </c>
      <c r="AV18">
        <v>2</v>
      </c>
      <c r="AW18">
        <v>73.5</v>
      </c>
    </row>
    <row r="19" spans="6:49" x14ac:dyDescent="0.2">
      <c r="F19" t="s">
        <v>37</v>
      </c>
      <c r="G19">
        <v>923</v>
      </c>
      <c r="H19">
        <v>582</v>
      </c>
      <c r="I19">
        <v>246.7766323024</v>
      </c>
      <c r="J19">
        <v>101</v>
      </c>
      <c r="K19">
        <v>465.33663366339999</v>
      </c>
      <c r="L19">
        <v>165</v>
      </c>
      <c r="M19">
        <v>224.15151515150001</v>
      </c>
      <c r="N19">
        <v>172</v>
      </c>
      <c r="O19">
        <v>595.66860465119998</v>
      </c>
      <c r="R19">
        <v>4</v>
      </c>
      <c r="S19">
        <v>324</v>
      </c>
      <c r="V19" t="s">
        <v>408</v>
      </c>
      <c r="W19">
        <v>1004</v>
      </c>
      <c r="X19">
        <v>604</v>
      </c>
      <c r="Y19">
        <v>262.2897350993</v>
      </c>
      <c r="Z19">
        <v>112</v>
      </c>
      <c r="AA19">
        <v>485.33928571429999</v>
      </c>
      <c r="AB19">
        <v>168</v>
      </c>
      <c r="AC19">
        <v>245.0416666667</v>
      </c>
      <c r="AD19">
        <v>164</v>
      </c>
      <c r="AE19">
        <v>588.49390243899995</v>
      </c>
      <c r="AF19">
        <v>64</v>
      </c>
      <c r="AG19">
        <v>168.34375</v>
      </c>
      <c r="AH19">
        <v>4</v>
      </c>
      <c r="AI19">
        <v>324</v>
      </c>
      <c r="AL19" t="s">
        <v>408</v>
      </c>
      <c r="AM19">
        <v>13</v>
      </c>
      <c r="AN19">
        <v>12</v>
      </c>
      <c r="AO19">
        <v>160.4166666667</v>
      </c>
      <c r="AP19">
        <v>7</v>
      </c>
      <c r="AQ19">
        <v>236.1428571429</v>
      </c>
      <c r="AR19">
        <v>1</v>
      </c>
      <c r="AS19">
        <v>116</v>
      </c>
    </row>
    <row r="20" spans="6:49" x14ac:dyDescent="0.2">
      <c r="F20" t="s">
        <v>58</v>
      </c>
      <c r="G20">
        <v>974</v>
      </c>
      <c r="H20">
        <v>455</v>
      </c>
      <c r="I20">
        <v>196.3956043956</v>
      </c>
      <c r="J20">
        <v>163</v>
      </c>
      <c r="K20">
        <v>352.97546012269999</v>
      </c>
      <c r="L20">
        <v>148</v>
      </c>
      <c r="M20">
        <v>329.4662162162</v>
      </c>
      <c r="N20">
        <v>363</v>
      </c>
      <c r="O20">
        <v>582.86225895320001</v>
      </c>
      <c r="R20">
        <v>8</v>
      </c>
      <c r="S20">
        <v>290.875</v>
      </c>
      <c r="V20" t="s">
        <v>424</v>
      </c>
      <c r="W20">
        <v>291</v>
      </c>
      <c r="X20">
        <v>127</v>
      </c>
      <c r="Y20">
        <v>200.66141732279999</v>
      </c>
      <c r="Z20">
        <v>100</v>
      </c>
      <c r="AA20">
        <v>245.3</v>
      </c>
      <c r="AB20">
        <v>73</v>
      </c>
      <c r="AC20">
        <v>187.5068493151</v>
      </c>
      <c r="AD20">
        <v>54</v>
      </c>
      <c r="AE20">
        <v>493.7037037037</v>
      </c>
      <c r="AF20">
        <v>37</v>
      </c>
      <c r="AG20">
        <v>111.7297297297</v>
      </c>
      <c r="AL20" t="s">
        <v>424</v>
      </c>
      <c r="AM20">
        <v>3</v>
      </c>
      <c r="AN20">
        <v>3</v>
      </c>
      <c r="AO20">
        <v>96</v>
      </c>
      <c r="AP20">
        <v>1</v>
      </c>
      <c r="AQ20">
        <v>281</v>
      </c>
    </row>
    <row r="21" spans="6:49" x14ac:dyDescent="0.2">
      <c r="F21" t="s">
        <v>65</v>
      </c>
      <c r="G21">
        <v>8691</v>
      </c>
      <c r="H21">
        <v>7142</v>
      </c>
      <c r="I21">
        <v>385.3164379726</v>
      </c>
      <c r="J21">
        <v>650</v>
      </c>
      <c r="K21">
        <v>658.41384615380002</v>
      </c>
      <c r="L21">
        <v>1122</v>
      </c>
      <c r="M21">
        <v>622.87522281639997</v>
      </c>
      <c r="N21">
        <v>409</v>
      </c>
      <c r="O21">
        <v>581.86308068460005</v>
      </c>
      <c r="R21">
        <v>18</v>
      </c>
      <c r="S21">
        <v>332</v>
      </c>
      <c r="V21" t="s">
        <v>428</v>
      </c>
      <c r="W21">
        <v>1144</v>
      </c>
      <c r="X21">
        <v>866</v>
      </c>
      <c r="Y21">
        <v>296.20554272520002</v>
      </c>
      <c r="Z21">
        <v>67</v>
      </c>
      <c r="AA21">
        <v>559.97014925370001</v>
      </c>
      <c r="AB21">
        <v>171</v>
      </c>
      <c r="AC21">
        <v>384.49122807020001</v>
      </c>
      <c r="AD21">
        <v>61</v>
      </c>
      <c r="AE21">
        <v>505.4426229508</v>
      </c>
      <c r="AF21">
        <v>45</v>
      </c>
      <c r="AG21">
        <v>164.37777777779999</v>
      </c>
      <c r="AH21">
        <v>1</v>
      </c>
      <c r="AI21">
        <v>305</v>
      </c>
      <c r="AL21" t="s">
        <v>428</v>
      </c>
      <c r="AM21">
        <v>12</v>
      </c>
      <c r="AN21">
        <v>9</v>
      </c>
      <c r="AO21">
        <v>200.3333333333</v>
      </c>
      <c r="AP21">
        <v>4</v>
      </c>
      <c r="AQ21">
        <v>345.5</v>
      </c>
      <c r="AR21">
        <v>2</v>
      </c>
      <c r="AS21">
        <v>101.5</v>
      </c>
      <c r="AT21">
        <v>1</v>
      </c>
      <c r="AU21">
        <v>235</v>
      </c>
    </row>
    <row r="22" spans="6:49" x14ac:dyDescent="0.2">
      <c r="F22" t="s">
        <v>67</v>
      </c>
      <c r="G22">
        <v>7110</v>
      </c>
      <c r="H22">
        <v>5281</v>
      </c>
      <c r="I22">
        <v>377.06059458440001</v>
      </c>
      <c r="J22">
        <v>361</v>
      </c>
      <c r="K22">
        <v>641.55678670359998</v>
      </c>
      <c r="L22">
        <v>1448</v>
      </c>
      <c r="M22">
        <v>767.81629834249998</v>
      </c>
      <c r="N22">
        <v>373</v>
      </c>
      <c r="O22">
        <v>582.57640750669998</v>
      </c>
      <c r="R22">
        <v>8</v>
      </c>
      <c r="S22">
        <v>612.125</v>
      </c>
      <c r="V22" t="s">
        <v>413</v>
      </c>
      <c r="W22">
        <v>3080</v>
      </c>
      <c r="X22">
        <v>2366</v>
      </c>
      <c r="Y22">
        <v>286.83136094669999</v>
      </c>
      <c r="Z22">
        <v>206</v>
      </c>
      <c r="AA22">
        <v>496.74757281550001</v>
      </c>
      <c r="AB22">
        <v>352</v>
      </c>
      <c r="AC22">
        <v>343.0880681818</v>
      </c>
      <c r="AD22">
        <v>249</v>
      </c>
      <c r="AE22">
        <v>505.51807228920001</v>
      </c>
      <c r="AF22">
        <v>109</v>
      </c>
      <c r="AG22">
        <v>222.5137614679</v>
      </c>
      <c r="AH22">
        <v>4</v>
      </c>
      <c r="AI22">
        <v>828.75</v>
      </c>
      <c r="AL22" t="s">
        <v>413</v>
      </c>
      <c r="AM22">
        <v>40</v>
      </c>
      <c r="AN22">
        <v>23</v>
      </c>
      <c r="AO22">
        <v>139.91304347830001</v>
      </c>
      <c r="AP22">
        <v>21</v>
      </c>
      <c r="AQ22">
        <v>348.71428571429999</v>
      </c>
      <c r="AR22">
        <v>9</v>
      </c>
      <c r="AS22">
        <v>89</v>
      </c>
      <c r="AT22">
        <v>7</v>
      </c>
      <c r="AU22">
        <v>217.8571428571</v>
      </c>
      <c r="AV22">
        <v>1</v>
      </c>
      <c r="AW22">
        <v>157</v>
      </c>
    </row>
    <row r="23" spans="6:49" x14ac:dyDescent="0.2">
      <c r="F23" t="s">
        <v>76</v>
      </c>
      <c r="G23">
        <v>5149</v>
      </c>
      <c r="H23">
        <v>4117</v>
      </c>
      <c r="I23">
        <v>266.49307748360002</v>
      </c>
      <c r="J23">
        <v>391</v>
      </c>
      <c r="K23">
        <v>463.54475703320003</v>
      </c>
      <c r="L23">
        <v>754</v>
      </c>
      <c r="M23">
        <v>386.51591511940001</v>
      </c>
      <c r="N23">
        <v>270</v>
      </c>
      <c r="O23">
        <v>440.7</v>
      </c>
      <c r="R23">
        <v>8</v>
      </c>
      <c r="S23">
        <v>302.875</v>
      </c>
      <c r="V23" t="s">
        <v>409</v>
      </c>
      <c r="W23">
        <v>5559</v>
      </c>
      <c r="X23">
        <v>3694</v>
      </c>
      <c r="Y23">
        <v>369.2523010287</v>
      </c>
      <c r="Z23">
        <v>312</v>
      </c>
      <c r="AA23">
        <v>620.95833333329995</v>
      </c>
      <c r="AB23">
        <v>1493</v>
      </c>
      <c r="AC23">
        <v>554.02947086400002</v>
      </c>
      <c r="AD23">
        <v>235</v>
      </c>
      <c r="AE23">
        <v>466.14042553190001</v>
      </c>
      <c r="AF23">
        <v>131</v>
      </c>
      <c r="AG23">
        <v>157.10687022900001</v>
      </c>
      <c r="AH23">
        <v>6</v>
      </c>
      <c r="AI23">
        <v>289.1666666667</v>
      </c>
      <c r="AL23" t="s">
        <v>409</v>
      </c>
      <c r="AM23">
        <v>60</v>
      </c>
      <c r="AN23">
        <v>44</v>
      </c>
      <c r="AO23">
        <v>397.09090909090003</v>
      </c>
      <c r="AP23">
        <v>22</v>
      </c>
      <c r="AQ23">
        <v>359</v>
      </c>
      <c r="AR23">
        <v>14</v>
      </c>
      <c r="AS23">
        <v>182.3571428571</v>
      </c>
      <c r="AT23">
        <v>2</v>
      </c>
      <c r="AU23">
        <v>68.5</v>
      </c>
    </row>
    <row r="24" spans="6:49" x14ac:dyDescent="0.2">
      <c r="F24" t="s">
        <v>48</v>
      </c>
      <c r="G24">
        <v>1410</v>
      </c>
      <c r="H24">
        <v>1093</v>
      </c>
      <c r="I24">
        <v>293.73650503200003</v>
      </c>
      <c r="J24">
        <v>81</v>
      </c>
      <c r="K24">
        <v>524.69135802469998</v>
      </c>
      <c r="L24">
        <v>242</v>
      </c>
      <c r="M24">
        <v>441.36776859499997</v>
      </c>
      <c r="N24">
        <v>73</v>
      </c>
      <c r="O24">
        <v>549.56164383559997</v>
      </c>
      <c r="R24">
        <v>2</v>
      </c>
      <c r="S24">
        <v>235.5</v>
      </c>
      <c r="V24" t="s">
        <v>426</v>
      </c>
      <c r="W24">
        <v>7233</v>
      </c>
      <c r="X24">
        <v>5275</v>
      </c>
      <c r="Y24">
        <v>378.48227488150002</v>
      </c>
      <c r="Z24">
        <v>371</v>
      </c>
      <c r="AA24">
        <v>627.73315363879999</v>
      </c>
      <c r="AB24">
        <v>1416</v>
      </c>
      <c r="AC24">
        <v>750.34957627120002</v>
      </c>
      <c r="AD24">
        <v>387</v>
      </c>
      <c r="AE24">
        <v>577.20155038760004</v>
      </c>
      <c r="AF24">
        <v>146</v>
      </c>
      <c r="AG24">
        <v>216.81506849319999</v>
      </c>
      <c r="AH24">
        <v>9</v>
      </c>
      <c r="AI24">
        <v>626</v>
      </c>
      <c r="AL24" t="s">
        <v>426</v>
      </c>
      <c r="AM24">
        <v>142</v>
      </c>
      <c r="AN24">
        <v>98</v>
      </c>
      <c r="AO24">
        <v>297.16326530610002</v>
      </c>
      <c r="AP24">
        <v>41</v>
      </c>
      <c r="AQ24">
        <v>340.78048780490002</v>
      </c>
      <c r="AR24">
        <v>41</v>
      </c>
      <c r="AS24">
        <v>374.17073170729998</v>
      </c>
      <c r="AT24">
        <v>2</v>
      </c>
      <c r="AU24">
        <v>197.5</v>
      </c>
      <c r="AV24">
        <v>1</v>
      </c>
      <c r="AW24">
        <v>3</v>
      </c>
    </row>
    <row r="25" spans="6:49" x14ac:dyDescent="0.2">
      <c r="F25" t="s">
        <v>69</v>
      </c>
      <c r="G25">
        <v>5509</v>
      </c>
      <c r="H25">
        <v>3730</v>
      </c>
      <c r="I25">
        <v>371.20857908850002</v>
      </c>
      <c r="J25">
        <v>311</v>
      </c>
      <c r="K25">
        <v>617.32797427649996</v>
      </c>
      <c r="L25">
        <v>1542</v>
      </c>
      <c r="M25">
        <v>560.8916990921</v>
      </c>
      <c r="N25">
        <v>230</v>
      </c>
      <c r="O25">
        <v>474.36521739130001</v>
      </c>
      <c r="R25">
        <v>7</v>
      </c>
      <c r="S25">
        <v>315.57142857140002</v>
      </c>
      <c r="V25" t="s">
        <v>407</v>
      </c>
      <c r="W25">
        <v>18536</v>
      </c>
      <c r="X25">
        <v>14666</v>
      </c>
      <c r="Y25">
        <v>329.35933451519998</v>
      </c>
      <c r="Z25">
        <v>1732</v>
      </c>
      <c r="AA25">
        <v>521.69803695149994</v>
      </c>
      <c r="AB25">
        <v>2275</v>
      </c>
      <c r="AC25">
        <v>456.86505494509998</v>
      </c>
      <c r="AD25">
        <v>894</v>
      </c>
      <c r="AE25">
        <v>451.46196868009997</v>
      </c>
      <c r="AF25">
        <v>675</v>
      </c>
      <c r="AG25">
        <v>156.2548148148</v>
      </c>
      <c r="AH25">
        <v>26</v>
      </c>
      <c r="AI25">
        <v>306.5</v>
      </c>
      <c r="AL25" t="s">
        <v>407</v>
      </c>
      <c r="AM25">
        <v>452</v>
      </c>
      <c r="AN25">
        <v>342</v>
      </c>
      <c r="AO25">
        <v>313.80409356730001</v>
      </c>
      <c r="AP25">
        <v>157</v>
      </c>
      <c r="AQ25">
        <v>381.81528662419998</v>
      </c>
      <c r="AR25">
        <v>93</v>
      </c>
      <c r="AS25">
        <v>203.90322580649999</v>
      </c>
      <c r="AT25">
        <v>17</v>
      </c>
      <c r="AU25">
        <v>117.9411764706</v>
      </c>
    </row>
    <row r="26" spans="6:49" x14ac:dyDescent="0.2">
      <c r="F26" t="s">
        <v>35</v>
      </c>
      <c r="G26">
        <v>222</v>
      </c>
      <c r="H26">
        <v>95</v>
      </c>
      <c r="I26">
        <v>108.6</v>
      </c>
      <c r="J26">
        <v>100</v>
      </c>
      <c r="K26">
        <v>222.21</v>
      </c>
      <c r="L26">
        <v>67</v>
      </c>
      <c r="M26">
        <v>113.79104477609999</v>
      </c>
      <c r="N26">
        <v>60</v>
      </c>
      <c r="O26">
        <v>419.4166666667</v>
      </c>
      <c r="V26" t="s">
        <v>405</v>
      </c>
      <c r="W26">
        <v>1922</v>
      </c>
      <c r="X26">
        <v>1422</v>
      </c>
      <c r="Y26">
        <v>295.85443037969998</v>
      </c>
      <c r="Z26">
        <v>260</v>
      </c>
      <c r="AA26">
        <v>485.0038461538</v>
      </c>
      <c r="AB26">
        <v>313</v>
      </c>
      <c r="AC26">
        <v>285.97763578270002</v>
      </c>
      <c r="AD26">
        <v>108</v>
      </c>
      <c r="AE26">
        <v>374.787037037</v>
      </c>
      <c r="AF26">
        <v>79</v>
      </c>
      <c r="AG26">
        <v>175.1265822785</v>
      </c>
      <c r="AL26" t="s">
        <v>405</v>
      </c>
      <c r="AM26">
        <v>35</v>
      </c>
      <c r="AN26">
        <v>25</v>
      </c>
      <c r="AO26">
        <v>296.52</v>
      </c>
      <c r="AP26">
        <v>20</v>
      </c>
      <c r="AQ26">
        <v>289.55</v>
      </c>
      <c r="AR26">
        <v>10</v>
      </c>
      <c r="AS26">
        <v>220.9</v>
      </c>
    </row>
    <row r="27" spans="6:49" x14ac:dyDescent="0.2">
      <c r="F27" t="s">
        <v>74</v>
      </c>
      <c r="G27">
        <v>4339</v>
      </c>
      <c r="H27">
        <v>3890</v>
      </c>
      <c r="I27">
        <v>218.5416452442</v>
      </c>
      <c r="J27">
        <v>495</v>
      </c>
      <c r="K27">
        <v>402.41414141410002</v>
      </c>
      <c r="L27">
        <v>259</v>
      </c>
      <c r="M27">
        <v>167.28957528960001</v>
      </c>
      <c r="N27">
        <v>184</v>
      </c>
      <c r="O27">
        <v>223.5652173913</v>
      </c>
      <c r="R27">
        <v>6</v>
      </c>
      <c r="S27">
        <v>228</v>
      </c>
      <c r="V27" t="s">
        <v>83</v>
      </c>
      <c r="W27">
        <v>5330</v>
      </c>
      <c r="X27">
        <v>4121</v>
      </c>
      <c r="Y27">
        <v>272.95340936669999</v>
      </c>
      <c r="Z27">
        <v>394</v>
      </c>
      <c r="AA27">
        <v>473.54060913709998</v>
      </c>
      <c r="AB27">
        <v>773</v>
      </c>
      <c r="AC27">
        <v>417.54204398450003</v>
      </c>
      <c r="AD27">
        <v>281</v>
      </c>
      <c r="AE27">
        <v>451.67971530249997</v>
      </c>
      <c r="AF27">
        <v>148</v>
      </c>
      <c r="AG27">
        <v>153.82432432429999</v>
      </c>
      <c r="AH27">
        <v>7</v>
      </c>
      <c r="AI27">
        <v>240.8571428571</v>
      </c>
      <c r="AL27" t="s">
        <v>83</v>
      </c>
      <c r="AM27">
        <v>86</v>
      </c>
      <c r="AN27">
        <v>66</v>
      </c>
      <c r="AO27">
        <v>178.21212121209999</v>
      </c>
      <c r="AP27">
        <v>43</v>
      </c>
      <c r="AQ27">
        <v>325.32558139529999</v>
      </c>
      <c r="AR27">
        <v>18</v>
      </c>
      <c r="AS27">
        <v>114.1666666667</v>
      </c>
      <c r="AT27">
        <v>2</v>
      </c>
      <c r="AU27">
        <v>83.5</v>
      </c>
    </row>
    <row r="28" spans="6:49" x14ac:dyDescent="0.2">
      <c r="F28" t="s">
        <v>34</v>
      </c>
      <c r="G28">
        <v>1732</v>
      </c>
      <c r="H28">
        <v>1321</v>
      </c>
      <c r="I28">
        <v>294.449659349</v>
      </c>
      <c r="J28">
        <v>261</v>
      </c>
      <c r="K28">
        <v>488.32183908050001</v>
      </c>
      <c r="L28">
        <v>307</v>
      </c>
      <c r="M28">
        <v>280.15635179150001</v>
      </c>
      <c r="N28">
        <v>104</v>
      </c>
      <c r="O28">
        <v>354.28846153849997</v>
      </c>
      <c r="V28" t="s">
        <v>404</v>
      </c>
      <c r="W28">
        <v>44099</v>
      </c>
      <c r="X28">
        <v>33141</v>
      </c>
      <c r="Y28">
        <v>327.55517335019999</v>
      </c>
      <c r="Z28">
        <v>3554</v>
      </c>
      <c r="AA28">
        <v>523.81007315700003</v>
      </c>
      <c r="AB28">
        <v>7034</v>
      </c>
      <c r="AC28">
        <v>509.33608188800002</v>
      </c>
      <c r="AD28">
        <v>2433</v>
      </c>
      <c r="AE28">
        <v>486.56185778870002</v>
      </c>
      <c r="AF28">
        <v>1434</v>
      </c>
      <c r="AG28">
        <v>167.9693165969</v>
      </c>
      <c r="AH28">
        <v>57</v>
      </c>
      <c r="AI28">
        <v>384.9122807018</v>
      </c>
      <c r="AL28" t="s">
        <v>404</v>
      </c>
      <c r="AM28">
        <v>843</v>
      </c>
      <c r="AN28">
        <v>622</v>
      </c>
      <c r="AO28">
        <v>289.90996784570001</v>
      </c>
      <c r="AP28">
        <v>316</v>
      </c>
      <c r="AQ28">
        <v>355.1708860759</v>
      </c>
      <c r="AR28">
        <v>188</v>
      </c>
      <c r="AS28">
        <v>224.68617021279999</v>
      </c>
      <c r="AT28">
        <v>31</v>
      </c>
      <c r="AU28">
        <v>144</v>
      </c>
      <c r="AV28">
        <v>2</v>
      </c>
      <c r="AW28">
        <v>80</v>
      </c>
    </row>
    <row r="29" spans="6:49" x14ac:dyDescent="0.2">
      <c r="F29" t="s">
        <v>55</v>
      </c>
      <c r="G29">
        <v>4783</v>
      </c>
      <c r="H29">
        <v>3689</v>
      </c>
      <c r="I29">
        <v>331.02927622660002</v>
      </c>
      <c r="J29">
        <v>584</v>
      </c>
      <c r="K29">
        <v>463.43493150680001</v>
      </c>
      <c r="L29">
        <v>861</v>
      </c>
      <c r="M29">
        <v>321.9384436702</v>
      </c>
      <c r="N29">
        <v>233</v>
      </c>
      <c r="O29">
        <v>334.54077253219998</v>
      </c>
      <c r="V29" t="s">
        <v>388</v>
      </c>
      <c r="W29">
        <v>10705</v>
      </c>
      <c r="X29">
        <v>5303</v>
      </c>
      <c r="Y29">
        <v>280.4379479442</v>
      </c>
      <c r="Z29">
        <v>678</v>
      </c>
      <c r="AA29">
        <v>633.29646017699997</v>
      </c>
      <c r="AB29">
        <v>3653</v>
      </c>
      <c r="AC29">
        <v>806.40925266900001</v>
      </c>
      <c r="AD29">
        <v>1254</v>
      </c>
      <c r="AE29">
        <v>516.9066241022</v>
      </c>
      <c r="AF29">
        <v>471</v>
      </c>
      <c r="AG29">
        <v>178.9596602972</v>
      </c>
      <c r="AH29">
        <v>24</v>
      </c>
      <c r="AI29">
        <v>575.95833333329995</v>
      </c>
      <c r="AL29" t="s">
        <v>388</v>
      </c>
      <c r="AM29">
        <v>284</v>
      </c>
      <c r="AN29">
        <v>200</v>
      </c>
      <c r="AO29">
        <v>365.505</v>
      </c>
      <c r="AP29">
        <v>19</v>
      </c>
      <c r="AQ29">
        <v>670.68421052630003</v>
      </c>
      <c r="AR29">
        <v>73</v>
      </c>
      <c r="AS29">
        <v>516.79452054789999</v>
      </c>
      <c r="AT29">
        <v>11</v>
      </c>
      <c r="AU29">
        <v>109</v>
      </c>
    </row>
    <row r="30" spans="6:49" x14ac:dyDescent="0.2">
      <c r="F30" t="s">
        <v>404</v>
      </c>
      <c r="G30">
        <v>43833</v>
      </c>
      <c r="H30">
        <v>33790</v>
      </c>
      <c r="I30">
        <v>323.14909736610002</v>
      </c>
      <c r="J30">
        <v>3712</v>
      </c>
      <c r="K30">
        <v>513.51616379309996</v>
      </c>
      <c r="L30">
        <v>7261</v>
      </c>
      <c r="M30">
        <v>507.24542074089999</v>
      </c>
      <c r="N30">
        <v>2717</v>
      </c>
      <c r="O30">
        <v>495.30842841370003</v>
      </c>
      <c r="R30">
        <v>65</v>
      </c>
      <c r="S30">
        <v>373.56923076919998</v>
      </c>
      <c r="V30" t="s">
        <v>425</v>
      </c>
      <c r="W30">
        <v>30788</v>
      </c>
      <c r="X30">
        <v>26496</v>
      </c>
      <c r="Y30">
        <v>450.309730505</v>
      </c>
      <c r="Z30">
        <v>1281</v>
      </c>
      <c r="AA30">
        <v>728.70023419200004</v>
      </c>
      <c r="AB30">
        <v>1251</v>
      </c>
      <c r="AC30">
        <v>323.4676258993</v>
      </c>
      <c r="AD30">
        <v>2075</v>
      </c>
      <c r="AE30">
        <v>334.63855421689999</v>
      </c>
      <c r="AF30">
        <v>957</v>
      </c>
      <c r="AG30">
        <v>182.28735632179999</v>
      </c>
      <c r="AH30">
        <v>9</v>
      </c>
      <c r="AI30">
        <v>260.6666666667</v>
      </c>
      <c r="AL30" t="s">
        <v>425</v>
      </c>
      <c r="AM30">
        <v>634</v>
      </c>
      <c r="AN30">
        <v>551</v>
      </c>
      <c r="AO30">
        <v>311.69328493649999</v>
      </c>
      <c r="AP30">
        <v>135</v>
      </c>
      <c r="AQ30">
        <v>524.83703703699996</v>
      </c>
      <c r="AR30">
        <v>75</v>
      </c>
      <c r="AS30">
        <v>180.13333333329999</v>
      </c>
      <c r="AT30">
        <v>8</v>
      </c>
      <c r="AU30">
        <v>301</v>
      </c>
    </row>
    <row r="31" spans="6:49" x14ac:dyDescent="0.2">
      <c r="F31" t="s">
        <v>25</v>
      </c>
      <c r="G31">
        <v>17391</v>
      </c>
      <c r="H31">
        <v>15075</v>
      </c>
      <c r="I31">
        <v>544.34837125989998</v>
      </c>
      <c r="J31">
        <v>708</v>
      </c>
      <c r="K31">
        <v>936.24576271190006</v>
      </c>
      <c r="L31">
        <v>1362</v>
      </c>
      <c r="M31">
        <v>577.30396475769999</v>
      </c>
      <c r="N31">
        <v>932</v>
      </c>
      <c r="O31">
        <v>372.52416756180003</v>
      </c>
      <c r="R31">
        <v>22</v>
      </c>
      <c r="S31">
        <v>454.86363636359999</v>
      </c>
      <c r="V31" t="s">
        <v>381</v>
      </c>
      <c r="W31">
        <v>18025</v>
      </c>
      <c r="X31">
        <v>15061</v>
      </c>
      <c r="Y31">
        <v>541.14064678930004</v>
      </c>
      <c r="Z31">
        <v>741</v>
      </c>
      <c r="AA31">
        <v>922.78947368419995</v>
      </c>
      <c r="AB31">
        <v>1437</v>
      </c>
      <c r="AC31">
        <v>596.78914405010005</v>
      </c>
      <c r="AD31">
        <v>985</v>
      </c>
      <c r="AE31">
        <v>373.40853658539999</v>
      </c>
      <c r="AF31">
        <v>520</v>
      </c>
      <c r="AG31">
        <v>178.06358381499999</v>
      </c>
      <c r="AH31">
        <v>22</v>
      </c>
      <c r="AI31">
        <v>454.86363636359999</v>
      </c>
      <c r="AL31" t="s">
        <v>381</v>
      </c>
      <c r="AM31">
        <v>394</v>
      </c>
      <c r="AN31">
        <v>304</v>
      </c>
      <c r="AO31">
        <v>356.81907894739999</v>
      </c>
      <c r="AP31">
        <v>93</v>
      </c>
      <c r="AQ31">
        <v>667.05376344089996</v>
      </c>
      <c r="AR31">
        <v>69</v>
      </c>
      <c r="AS31">
        <v>237.85507246380001</v>
      </c>
      <c r="AT31">
        <v>20</v>
      </c>
      <c r="AU31">
        <v>189.35</v>
      </c>
      <c r="AV31">
        <v>1</v>
      </c>
      <c r="AW31">
        <v>179</v>
      </c>
    </row>
    <row r="32" spans="6:49" x14ac:dyDescent="0.2">
      <c r="F32" t="s">
        <v>42</v>
      </c>
      <c r="G32">
        <v>12784</v>
      </c>
      <c r="H32">
        <v>10124</v>
      </c>
      <c r="I32">
        <v>354.0320063222</v>
      </c>
      <c r="J32">
        <v>354</v>
      </c>
      <c r="K32">
        <v>698.07627118640005</v>
      </c>
      <c r="L32">
        <v>1746</v>
      </c>
      <c r="M32">
        <v>529.15349369989997</v>
      </c>
      <c r="N32">
        <v>896</v>
      </c>
      <c r="O32">
        <v>557.42745535710003</v>
      </c>
      <c r="R32">
        <v>18</v>
      </c>
      <c r="S32">
        <v>572.44444444440001</v>
      </c>
      <c r="V32" t="s">
        <v>393</v>
      </c>
      <c r="W32">
        <v>3372</v>
      </c>
      <c r="X32">
        <v>2165</v>
      </c>
      <c r="Y32">
        <v>471.33071593530002</v>
      </c>
      <c r="Z32">
        <v>351</v>
      </c>
      <c r="AA32">
        <v>462.69515669520001</v>
      </c>
      <c r="AB32">
        <v>574</v>
      </c>
      <c r="AC32">
        <v>595.46689895470001</v>
      </c>
      <c r="AD32">
        <v>494</v>
      </c>
      <c r="AE32">
        <v>586.51214574899996</v>
      </c>
      <c r="AF32">
        <v>133</v>
      </c>
      <c r="AG32">
        <v>173.66165413530001</v>
      </c>
      <c r="AH32">
        <v>6</v>
      </c>
      <c r="AI32">
        <v>522.33333333329995</v>
      </c>
      <c r="AL32" t="s">
        <v>393</v>
      </c>
      <c r="AM32">
        <v>140</v>
      </c>
      <c r="AN32">
        <v>114</v>
      </c>
      <c r="AO32">
        <v>440.31578947370002</v>
      </c>
      <c r="AP32">
        <v>6</v>
      </c>
      <c r="AQ32">
        <v>589.66666666670005</v>
      </c>
      <c r="AR32">
        <v>23</v>
      </c>
      <c r="AS32">
        <v>322.08695652170002</v>
      </c>
      <c r="AT32">
        <v>2</v>
      </c>
      <c r="AU32">
        <v>133</v>
      </c>
      <c r="AV32">
        <v>1</v>
      </c>
      <c r="AW32">
        <v>612</v>
      </c>
    </row>
    <row r="33" spans="6:49" x14ac:dyDescent="0.2">
      <c r="F33" t="s">
        <v>75</v>
      </c>
      <c r="G33">
        <v>6154</v>
      </c>
      <c r="H33">
        <v>2995</v>
      </c>
      <c r="I33">
        <v>368.27831607079997</v>
      </c>
      <c r="J33">
        <v>352</v>
      </c>
      <c r="K33">
        <v>707.47159090909997</v>
      </c>
      <c r="L33">
        <v>2130</v>
      </c>
      <c r="M33">
        <v>707.28920187790004</v>
      </c>
      <c r="N33">
        <v>1028</v>
      </c>
      <c r="O33">
        <v>963.20233463039995</v>
      </c>
      <c r="R33">
        <v>1</v>
      </c>
      <c r="S33">
        <v>1552</v>
      </c>
      <c r="V33" t="s">
        <v>384</v>
      </c>
      <c r="W33">
        <v>7157</v>
      </c>
      <c r="X33">
        <v>4429</v>
      </c>
      <c r="Y33">
        <v>273.78934296680001</v>
      </c>
      <c r="Z33">
        <v>434</v>
      </c>
      <c r="AA33">
        <v>630.40092165900001</v>
      </c>
      <c r="AB33">
        <v>1524</v>
      </c>
      <c r="AC33">
        <v>365.5682414698</v>
      </c>
      <c r="AD33">
        <v>812</v>
      </c>
      <c r="AE33">
        <v>444.29433497539998</v>
      </c>
      <c r="AF33">
        <v>381</v>
      </c>
      <c r="AG33">
        <v>192.28083989500001</v>
      </c>
      <c r="AH33">
        <v>11</v>
      </c>
      <c r="AI33">
        <v>419.36363636359999</v>
      </c>
      <c r="AL33" t="s">
        <v>384</v>
      </c>
      <c r="AM33">
        <v>255</v>
      </c>
      <c r="AN33">
        <v>191</v>
      </c>
      <c r="AO33">
        <v>296.44502617799998</v>
      </c>
      <c r="AP33">
        <v>16</v>
      </c>
      <c r="AQ33">
        <v>532.375</v>
      </c>
      <c r="AR33">
        <v>54</v>
      </c>
      <c r="AS33">
        <v>313.64814814810001</v>
      </c>
      <c r="AT33">
        <v>10</v>
      </c>
      <c r="AU33">
        <v>242.4</v>
      </c>
    </row>
    <row r="34" spans="6:49" x14ac:dyDescent="0.2">
      <c r="F34" t="s">
        <v>61</v>
      </c>
      <c r="G34">
        <v>6593</v>
      </c>
      <c r="H34">
        <v>4306</v>
      </c>
      <c r="I34">
        <v>255.3142127264</v>
      </c>
      <c r="J34">
        <v>428</v>
      </c>
      <c r="K34">
        <v>616.738317757</v>
      </c>
      <c r="L34">
        <v>1466</v>
      </c>
      <c r="M34">
        <v>332.4890859482</v>
      </c>
      <c r="N34">
        <v>811</v>
      </c>
      <c r="O34">
        <v>436.92478421700002</v>
      </c>
      <c r="R34">
        <v>10</v>
      </c>
      <c r="S34">
        <v>437.8</v>
      </c>
      <c r="V34" t="s">
        <v>427</v>
      </c>
      <c r="W34">
        <v>6235</v>
      </c>
      <c r="X34">
        <v>2907</v>
      </c>
      <c r="Y34">
        <v>368.11699931179999</v>
      </c>
      <c r="Z34">
        <v>342</v>
      </c>
      <c r="AA34">
        <v>698.35380116960005</v>
      </c>
      <c r="AB34">
        <v>2067</v>
      </c>
      <c r="AC34">
        <v>707.31640058059998</v>
      </c>
      <c r="AD34">
        <v>1001</v>
      </c>
      <c r="AE34">
        <v>960.89210789209994</v>
      </c>
      <c r="AF34">
        <v>259</v>
      </c>
      <c r="AG34">
        <v>182.84555984560001</v>
      </c>
      <c r="AH34">
        <v>1</v>
      </c>
      <c r="AI34">
        <v>1552</v>
      </c>
      <c r="AL34" t="s">
        <v>427</v>
      </c>
      <c r="AM34">
        <v>138</v>
      </c>
      <c r="AN34">
        <v>101</v>
      </c>
      <c r="AO34">
        <v>285.18811881189998</v>
      </c>
      <c r="AP34">
        <v>23</v>
      </c>
      <c r="AQ34">
        <v>514.95652173910003</v>
      </c>
      <c r="AR34">
        <v>28</v>
      </c>
      <c r="AS34">
        <v>288.78571428570001</v>
      </c>
      <c r="AT34">
        <v>9</v>
      </c>
      <c r="AU34">
        <v>160.44444444440001</v>
      </c>
    </row>
    <row r="35" spans="6:49" x14ac:dyDescent="0.2">
      <c r="F35" t="s">
        <v>56</v>
      </c>
      <c r="G35">
        <v>4868</v>
      </c>
      <c r="H35">
        <v>3264</v>
      </c>
      <c r="I35">
        <v>499.568627451</v>
      </c>
      <c r="J35">
        <v>482</v>
      </c>
      <c r="K35">
        <v>500.81120331950001</v>
      </c>
      <c r="L35">
        <v>883</v>
      </c>
      <c r="M35">
        <v>584.90373725929999</v>
      </c>
      <c r="N35">
        <v>713</v>
      </c>
      <c r="O35">
        <v>599.62131837310005</v>
      </c>
      <c r="R35">
        <v>8</v>
      </c>
      <c r="S35">
        <v>594.5</v>
      </c>
      <c r="V35" t="s">
        <v>383</v>
      </c>
      <c r="W35">
        <v>13055</v>
      </c>
      <c r="X35">
        <v>10019</v>
      </c>
      <c r="Y35">
        <v>357.2026352565</v>
      </c>
      <c r="Z35">
        <v>366</v>
      </c>
      <c r="AA35">
        <v>694.49726775960005</v>
      </c>
      <c r="AB35">
        <v>1745</v>
      </c>
      <c r="AC35">
        <v>532.34040114610002</v>
      </c>
      <c r="AD35">
        <v>898</v>
      </c>
      <c r="AE35">
        <v>551.44097995549998</v>
      </c>
      <c r="AF35">
        <v>374</v>
      </c>
      <c r="AG35">
        <v>179.08042895439999</v>
      </c>
      <c r="AH35">
        <v>19</v>
      </c>
      <c r="AI35">
        <v>609.89473684209997</v>
      </c>
      <c r="AL35" t="s">
        <v>383</v>
      </c>
      <c r="AM35">
        <v>182</v>
      </c>
      <c r="AN35">
        <v>146</v>
      </c>
      <c r="AO35">
        <v>286.63698630139999</v>
      </c>
      <c r="AP35">
        <v>31</v>
      </c>
      <c r="AQ35">
        <v>375.80645161289999</v>
      </c>
      <c r="AR35">
        <v>31</v>
      </c>
      <c r="AS35">
        <v>220.70967741940001</v>
      </c>
      <c r="AT35">
        <v>5</v>
      </c>
      <c r="AU35">
        <v>300.60000000000002</v>
      </c>
    </row>
    <row r="36" spans="6:49" x14ac:dyDescent="0.2">
      <c r="F36" t="s">
        <v>60</v>
      </c>
      <c r="G36">
        <v>10274</v>
      </c>
      <c r="H36">
        <v>5262</v>
      </c>
      <c r="I36">
        <v>272.07679148450001</v>
      </c>
      <c r="J36">
        <v>691</v>
      </c>
      <c r="K36">
        <v>635.79015918959999</v>
      </c>
      <c r="L36">
        <v>3728</v>
      </c>
      <c r="M36">
        <v>808.68669527899999</v>
      </c>
      <c r="N36">
        <v>1260</v>
      </c>
      <c r="O36">
        <v>512.76250992849998</v>
      </c>
      <c r="R36">
        <v>24</v>
      </c>
      <c r="S36">
        <v>575.95833333329995</v>
      </c>
      <c r="V36" t="s">
        <v>380</v>
      </c>
      <c r="W36">
        <v>89337</v>
      </c>
      <c r="X36">
        <v>66380</v>
      </c>
      <c r="Y36">
        <v>428.60309161859999</v>
      </c>
      <c r="Z36">
        <v>4193</v>
      </c>
      <c r="AA36">
        <v>709.67088003820004</v>
      </c>
      <c r="AB36">
        <v>12251</v>
      </c>
      <c r="AC36">
        <v>612.02661007259996</v>
      </c>
      <c r="AD36">
        <v>7519</v>
      </c>
      <c r="AE36">
        <v>507.78821338300003</v>
      </c>
      <c r="AF36">
        <v>3095</v>
      </c>
      <c r="AG36">
        <v>181.5919818946</v>
      </c>
      <c r="AH36">
        <v>92</v>
      </c>
      <c r="AI36">
        <v>511.55434782610001</v>
      </c>
      <c r="AL36" t="s">
        <v>380</v>
      </c>
      <c r="AM36">
        <v>2027</v>
      </c>
      <c r="AN36">
        <v>1607</v>
      </c>
      <c r="AO36">
        <v>330.29682638460002</v>
      </c>
      <c r="AP36">
        <v>323</v>
      </c>
      <c r="AQ36">
        <v>560.93498452009999</v>
      </c>
      <c r="AR36">
        <v>353</v>
      </c>
      <c r="AS36">
        <v>302.89235127479998</v>
      </c>
      <c r="AT36">
        <v>65</v>
      </c>
      <c r="AU36">
        <v>200.47692307689999</v>
      </c>
      <c r="AV36">
        <v>2</v>
      </c>
      <c r="AW36">
        <v>395.5</v>
      </c>
    </row>
    <row r="37" spans="6:49" x14ac:dyDescent="0.2">
      <c r="F37" t="s">
        <v>80</v>
      </c>
      <c r="G37">
        <v>30000</v>
      </c>
      <c r="H37">
        <v>26929</v>
      </c>
      <c r="I37">
        <v>449.97857169380001</v>
      </c>
      <c r="J37">
        <v>1233</v>
      </c>
      <c r="K37">
        <v>729.41524736420001</v>
      </c>
      <c r="L37">
        <v>1059</v>
      </c>
      <c r="M37">
        <v>245.89423984890001</v>
      </c>
      <c r="N37">
        <v>2007</v>
      </c>
      <c r="O37">
        <v>314.99651220729999</v>
      </c>
      <c r="R37">
        <v>5</v>
      </c>
      <c r="S37">
        <v>187</v>
      </c>
      <c r="V37" t="s">
        <v>406</v>
      </c>
      <c r="W37">
        <v>557</v>
      </c>
      <c r="X37">
        <v>297</v>
      </c>
      <c r="Y37">
        <v>117.7138047138</v>
      </c>
      <c r="Z37">
        <v>240</v>
      </c>
      <c r="AA37">
        <v>221.36250000000001</v>
      </c>
      <c r="AB37">
        <v>101</v>
      </c>
      <c r="AC37">
        <v>188.57425742570001</v>
      </c>
      <c r="AD37">
        <v>105</v>
      </c>
      <c r="AE37">
        <v>213.39047619050001</v>
      </c>
      <c r="AF37">
        <v>51</v>
      </c>
      <c r="AG37">
        <v>158.23529411760001</v>
      </c>
      <c r="AH37">
        <v>3</v>
      </c>
      <c r="AI37">
        <v>347</v>
      </c>
      <c r="AL37" t="s">
        <v>406</v>
      </c>
      <c r="AM37">
        <v>24</v>
      </c>
      <c r="AN37">
        <v>18</v>
      </c>
      <c r="AO37">
        <v>95.055555555599994</v>
      </c>
      <c r="AP37">
        <v>10</v>
      </c>
      <c r="AQ37">
        <v>241.2</v>
      </c>
      <c r="AR37">
        <v>6</v>
      </c>
      <c r="AS37">
        <v>224.3333333333</v>
      </c>
    </row>
    <row r="38" spans="6:49" x14ac:dyDescent="0.2">
      <c r="F38" t="s">
        <v>380</v>
      </c>
      <c r="G38">
        <v>88064</v>
      </c>
      <c r="H38">
        <v>67955</v>
      </c>
      <c r="I38">
        <v>429.29091792129998</v>
      </c>
      <c r="J38">
        <v>4248</v>
      </c>
      <c r="K38">
        <v>706.93644067800005</v>
      </c>
      <c r="L38">
        <v>12374</v>
      </c>
      <c r="M38">
        <v>605.77024406010003</v>
      </c>
      <c r="N38">
        <v>7647</v>
      </c>
      <c r="O38">
        <v>509.62576847610001</v>
      </c>
      <c r="R38">
        <v>88</v>
      </c>
      <c r="S38">
        <v>519.94318181819995</v>
      </c>
      <c r="V38" t="s">
        <v>410</v>
      </c>
      <c r="W38">
        <v>40644</v>
      </c>
      <c r="X38">
        <v>28813</v>
      </c>
      <c r="Y38">
        <v>452.7269288169</v>
      </c>
      <c r="Z38">
        <v>2410</v>
      </c>
      <c r="AA38">
        <v>716.94024896270003</v>
      </c>
      <c r="AB38">
        <v>8299</v>
      </c>
      <c r="AC38">
        <v>742.59778286539995</v>
      </c>
      <c r="AD38">
        <v>2326</v>
      </c>
      <c r="AE38">
        <v>557.05077452670002</v>
      </c>
      <c r="AF38">
        <v>1138</v>
      </c>
      <c r="AG38">
        <v>188.43409490330001</v>
      </c>
      <c r="AH38">
        <v>68</v>
      </c>
      <c r="AI38">
        <v>451.1323529412</v>
      </c>
      <c r="AL38" t="s">
        <v>410</v>
      </c>
      <c r="AM38">
        <v>738</v>
      </c>
      <c r="AN38">
        <v>533</v>
      </c>
      <c r="AO38">
        <v>402.25515947470001</v>
      </c>
      <c r="AP38">
        <v>217</v>
      </c>
      <c r="AQ38">
        <v>538.37327188940003</v>
      </c>
      <c r="AR38">
        <v>174</v>
      </c>
      <c r="AS38">
        <v>404.95402298850001</v>
      </c>
      <c r="AT38">
        <v>31</v>
      </c>
      <c r="AU38">
        <v>411.19354838710001</v>
      </c>
    </row>
    <row r="39" spans="6:49" x14ac:dyDescent="0.2">
      <c r="F39" t="s">
        <v>82</v>
      </c>
      <c r="G39">
        <v>19643</v>
      </c>
      <c r="H39">
        <v>14739</v>
      </c>
      <c r="I39">
        <v>399.9945043761</v>
      </c>
      <c r="J39">
        <v>1111</v>
      </c>
      <c r="K39">
        <v>702.55265526549999</v>
      </c>
      <c r="L39">
        <v>3804</v>
      </c>
      <c r="M39">
        <v>790.39274447950004</v>
      </c>
      <c r="N39">
        <v>1062</v>
      </c>
      <c r="O39">
        <v>533.22316384179999</v>
      </c>
      <c r="R39">
        <v>38</v>
      </c>
      <c r="S39">
        <v>466.89473684209997</v>
      </c>
      <c r="V39" t="s">
        <v>418</v>
      </c>
      <c r="W39">
        <v>401</v>
      </c>
      <c r="X39">
        <v>186</v>
      </c>
      <c r="Y39">
        <v>163.46774193549999</v>
      </c>
      <c r="Z39">
        <v>103</v>
      </c>
      <c r="AA39">
        <v>235.32038834950001</v>
      </c>
      <c r="AB39">
        <v>128</v>
      </c>
      <c r="AC39">
        <v>299.6484375</v>
      </c>
      <c r="AD39">
        <v>62</v>
      </c>
      <c r="AE39">
        <v>412.5</v>
      </c>
      <c r="AF39">
        <v>24</v>
      </c>
      <c r="AG39">
        <v>262.7083333333</v>
      </c>
      <c r="AH39">
        <v>1</v>
      </c>
      <c r="AI39">
        <v>697</v>
      </c>
      <c r="AL39" t="s">
        <v>418</v>
      </c>
      <c r="AM39">
        <v>7</v>
      </c>
      <c r="AN39">
        <v>6</v>
      </c>
      <c r="AO39">
        <v>186.5</v>
      </c>
      <c r="AP39">
        <v>3</v>
      </c>
      <c r="AQ39">
        <v>164.3333333333</v>
      </c>
      <c r="AR39">
        <v>1</v>
      </c>
      <c r="AS39">
        <v>117</v>
      </c>
    </row>
    <row r="40" spans="6:49" x14ac:dyDescent="0.2">
      <c r="F40" t="s">
        <v>43</v>
      </c>
      <c r="G40">
        <v>6200</v>
      </c>
      <c r="H40">
        <v>3432</v>
      </c>
      <c r="I40">
        <v>252.3103146853</v>
      </c>
      <c r="J40">
        <v>221</v>
      </c>
      <c r="K40">
        <v>530.04524886879994</v>
      </c>
      <c r="L40">
        <v>2400</v>
      </c>
      <c r="M40">
        <v>707.47500000000002</v>
      </c>
      <c r="N40">
        <v>362</v>
      </c>
      <c r="O40">
        <v>408.60497237570002</v>
      </c>
      <c r="R40">
        <v>6</v>
      </c>
      <c r="S40">
        <v>342.1666666667</v>
      </c>
      <c r="V40" t="s">
        <v>421</v>
      </c>
      <c r="W40">
        <v>349</v>
      </c>
      <c r="X40">
        <v>253</v>
      </c>
      <c r="Y40">
        <v>287.45849802369997</v>
      </c>
      <c r="Z40">
        <v>34</v>
      </c>
      <c r="AA40">
        <v>499.73529411760001</v>
      </c>
      <c r="AB40">
        <v>38</v>
      </c>
      <c r="AC40">
        <v>497.94736842110001</v>
      </c>
      <c r="AD40">
        <v>29</v>
      </c>
      <c r="AE40">
        <v>362.55172413790001</v>
      </c>
      <c r="AF40">
        <v>28</v>
      </c>
      <c r="AG40">
        <v>179.71428571429999</v>
      </c>
      <c r="AH40">
        <v>1</v>
      </c>
      <c r="AI40">
        <v>407</v>
      </c>
      <c r="AL40" t="s">
        <v>421</v>
      </c>
      <c r="AM40">
        <v>8</v>
      </c>
      <c r="AN40">
        <v>2</v>
      </c>
      <c r="AO40">
        <v>467.5</v>
      </c>
      <c r="AR40">
        <v>6</v>
      </c>
      <c r="AS40">
        <v>195</v>
      </c>
    </row>
    <row r="41" spans="6:49" x14ac:dyDescent="0.2">
      <c r="F41" t="s">
        <v>49</v>
      </c>
      <c r="G41">
        <v>20065</v>
      </c>
      <c r="H41">
        <v>14276</v>
      </c>
      <c r="I41">
        <v>510.78999719810002</v>
      </c>
      <c r="J41">
        <v>1322</v>
      </c>
      <c r="K41">
        <v>745.2602118003</v>
      </c>
      <c r="L41">
        <v>4533</v>
      </c>
      <c r="M41">
        <v>706.65122435470005</v>
      </c>
      <c r="N41">
        <v>1227</v>
      </c>
      <c r="O41">
        <v>590.23591836729997</v>
      </c>
      <c r="R41">
        <v>29</v>
      </c>
      <c r="S41">
        <v>441.03448275860001</v>
      </c>
      <c r="V41" t="s">
        <v>411</v>
      </c>
      <c r="W41">
        <v>5321</v>
      </c>
      <c r="X41">
        <v>4107</v>
      </c>
      <c r="Y41">
        <v>482.5171658145</v>
      </c>
      <c r="Z41">
        <v>249</v>
      </c>
      <c r="AA41">
        <v>757.13654618470002</v>
      </c>
      <c r="AB41">
        <v>526</v>
      </c>
      <c r="AC41">
        <v>279.36692015210002</v>
      </c>
      <c r="AD41">
        <v>475</v>
      </c>
      <c r="AE41">
        <v>585.65684210530003</v>
      </c>
      <c r="AF41">
        <v>210</v>
      </c>
      <c r="AG41">
        <v>205.5095238095</v>
      </c>
      <c r="AH41">
        <v>3</v>
      </c>
      <c r="AI41">
        <v>191</v>
      </c>
      <c r="AL41" t="s">
        <v>411</v>
      </c>
      <c r="AM41">
        <v>185</v>
      </c>
      <c r="AN41">
        <v>148</v>
      </c>
      <c r="AO41">
        <v>420.41216216219999</v>
      </c>
      <c r="AP41">
        <v>9</v>
      </c>
      <c r="AQ41">
        <v>858.2222222222</v>
      </c>
      <c r="AR41">
        <v>32</v>
      </c>
      <c r="AS41">
        <v>317.40625</v>
      </c>
      <c r="AT41">
        <v>5</v>
      </c>
      <c r="AU41">
        <v>408.6</v>
      </c>
    </row>
    <row r="42" spans="6:49" x14ac:dyDescent="0.2">
      <c r="F42" t="s">
        <v>52</v>
      </c>
      <c r="G42">
        <v>4599</v>
      </c>
      <c r="H42">
        <v>3053</v>
      </c>
      <c r="I42">
        <v>305.31542744839999</v>
      </c>
      <c r="J42">
        <v>342</v>
      </c>
      <c r="K42">
        <v>566.00877192979999</v>
      </c>
      <c r="L42">
        <v>993</v>
      </c>
      <c r="M42">
        <v>400.78348439069998</v>
      </c>
      <c r="N42">
        <v>545</v>
      </c>
      <c r="O42">
        <v>590.72110091740001</v>
      </c>
      <c r="R42">
        <v>8</v>
      </c>
      <c r="S42">
        <v>542.5</v>
      </c>
      <c r="V42" t="s">
        <v>403</v>
      </c>
      <c r="W42">
        <v>6340</v>
      </c>
      <c r="X42">
        <v>3427</v>
      </c>
      <c r="Y42">
        <v>261.15552961769998</v>
      </c>
      <c r="Z42">
        <v>213</v>
      </c>
      <c r="AA42">
        <v>553.84507042250004</v>
      </c>
      <c r="AB42">
        <v>2294</v>
      </c>
      <c r="AC42">
        <v>697.2319093287</v>
      </c>
      <c r="AD42">
        <v>363</v>
      </c>
      <c r="AE42">
        <v>425.16253443530002</v>
      </c>
      <c r="AF42">
        <v>250</v>
      </c>
      <c r="AG42">
        <v>197.54400000000001</v>
      </c>
      <c r="AH42">
        <v>6</v>
      </c>
      <c r="AI42">
        <v>342.1666666667</v>
      </c>
      <c r="AL42" t="s">
        <v>403</v>
      </c>
      <c r="AM42">
        <v>117</v>
      </c>
      <c r="AN42">
        <v>66</v>
      </c>
      <c r="AO42">
        <v>239.95454545449999</v>
      </c>
      <c r="AP42">
        <v>27</v>
      </c>
      <c r="AQ42">
        <v>257.6296296296</v>
      </c>
      <c r="AR42">
        <v>49</v>
      </c>
      <c r="AS42">
        <v>667.79591836730003</v>
      </c>
      <c r="AT42">
        <v>2</v>
      </c>
      <c r="AU42">
        <v>185</v>
      </c>
    </row>
    <row r="43" spans="6:49" x14ac:dyDescent="0.2">
      <c r="F43" t="s">
        <v>39</v>
      </c>
      <c r="G43">
        <v>301</v>
      </c>
      <c r="H43">
        <v>243</v>
      </c>
      <c r="I43">
        <v>290.33744855970002</v>
      </c>
      <c r="J43">
        <v>36</v>
      </c>
      <c r="K43">
        <v>523</v>
      </c>
      <c r="L43">
        <v>26</v>
      </c>
      <c r="M43">
        <v>404.61538461539999</v>
      </c>
      <c r="N43">
        <v>31</v>
      </c>
      <c r="O43">
        <v>348.4838709677</v>
      </c>
      <c r="R43">
        <v>1</v>
      </c>
      <c r="S43">
        <v>407</v>
      </c>
      <c r="V43" t="s">
        <v>412</v>
      </c>
      <c r="W43">
        <v>4706</v>
      </c>
      <c r="X43">
        <v>2732</v>
      </c>
      <c r="Y43">
        <v>185.8850658858</v>
      </c>
      <c r="Z43">
        <v>475</v>
      </c>
      <c r="AA43">
        <v>330.54736842109997</v>
      </c>
      <c r="AB43">
        <v>1098</v>
      </c>
      <c r="AC43">
        <v>235.09744990889999</v>
      </c>
      <c r="AD43">
        <v>582</v>
      </c>
      <c r="AE43">
        <v>327.10481099660001</v>
      </c>
      <c r="AF43">
        <v>288</v>
      </c>
      <c r="AG43">
        <v>187.75694444440001</v>
      </c>
      <c r="AH43">
        <v>6</v>
      </c>
      <c r="AI43">
        <v>295.3333333333</v>
      </c>
      <c r="AL43" t="s">
        <v>412</v>
      </c>
      <c r="AM43">
        <v>107</v>
      </c>
      <c r="AN43">
        <v>75</v>
      </c>
      <c r="AO43">
        <v>175.36</v>
      </c>
      <c r="AP43">
        <v>43</v>
      </c>
      <c r="AQ43">
        <v>224</v>
      </c>
      <c r="AR43">
        <v>25</v>
      </c>
      <c r="AS43">
        <v>151.24</v>
      </c>
      <c r="AT43">
        <v>6</v>
      </c>
      <c r="AU43">
        <v>280.6666666667</v>
      </c>
      <c r="AV43">
        <v>1</v>
      </c>
      <c r="AW43">
        <v>143</v>
      </c>
    </row>
    <row r="44" spans="6:49" x14ac:dyDescent="0.2">
      <c r="F44" t="s">
        <v>27</v>
      </c>
      <c r="G44">
        <v>4366</v>
      </c>
      <c r="H44">
        <v>2673</v>
      </c>
      <c r="I44">
        <v>175.53198653199999</v>
      </c>
      <c r="J44">
        <v>483</v>
      </c>
      <c r="K44">
        <v>329.8985507246</v>
      </c>
      <c r="L44">
        <v>1090</v>
      </c>
      <c r="M44">
        <v>227.32201834860001</v>
      </c>
      <c r="N44">
        <v>597</v>
      </c>
      <c r="O44">
        <v>323.03182579560001</v>
      </c>
      <c r="R44">
        <v>6</v>
      </c>
      <c r="S44">
        <v>295.3333333333</v>
      </c>
      <c r="V44" t="s">
        <v>387</v>
      </c>
      <c r="W44">
        <v>5919</v>
      </c>
      <c r="X44">
        <v>4769</v>
      </c>
      <c r="Y44">
        <v>433.52002516250002</v>
      </c>
      <c r="Z44">
        <v>438</v>
      </c>
      <c r="AA44">
        <v>669.24200913239997</v>
      </c>
      <c r="AB44">
        <v>569</v>
      </c>
      <c r="AC44">
        <v>395.7029876977</v>
      </c>
      <c r="AD44">
        <v>390</v>
      </c>
      <c r="AE44">
        <v>436.62307692309997</v>
      </c>
      <c r="AF44">
        <v>177</v>
      </c>
      <c r="AG44">
        <v>191.63841807910001</v>
      </c>
      <c r="AH44">
        <v>14</v>
      </c>
      <c r="AI44">
        <v>383.42857142859998</v>
      </c>
      <c r="AL44" t="s">
        <v>387</v>
      </c>
      <c r="AM44">
        <v>200</v>
      </c>
      <c r="AN44">
        <v>160</v>
      </c>
      <c r="AO44">
        <v>397.91874999999999</v>
      </c>
      <c r="AP44">
        <v>7</v>
      </c>
      <c r="AQ44">
        <v>733</v>
      </c>
      <c r="AR44">
        <v>39</v>
      </c>
      <c r="AS44">
        <v>250.5384615385</v>
      </c>
      <c r="AT44">
        <v>1</v>
      </c>
      <c r="AU44">
        <v>117</v>
      </c>
    </row>
    <row r="45" spans="6:49" x14ac:dyDescent="0.2">
      <c r="F45" t="s">
        <v>54</v>
      </c>
      <c r="G45">
        <v>5263</v>
      </c>
      <c r="H45">
        <v>4241</v>
      </c>
      <c r="I45">
        <v>483.64984673430001</v>
      </c>
      <c r="J45">
        <v>250</v>
      </c>
      <c r="K45">
        <v>766.35199999999998</v>
      </c>
      <c r="L45">
        <v>530</v>
      </c>
      <c r="M45">
        <v>265.34339622639999</v>
      </c>
      <c r="N45">
        <v>488</v>
      </c>
      <c r="O45">
        <v>604.54303278689997</v>
      </c>
      <c r="R45">
        <v>4</v>
      </c>
      <c r="S45">
        <v>247.75</v>
      </c>
      <c r="V45" t="s">
        <v>389</v>
      </c>
      <c r="W45">
        <v>4831</v>
      </c>
      <c r="X45">
        <v>3111</v>
      </c>
      <c r="Y45">
        <v>313.12664738030003</v>
      </c>
      <c r="Z45">
        <v>355</v>
      </c>
      <c r="AA45">
        <v>574.67605633799997</v>
      </c>
      <c r="AB45">
        <v>997</v>
      </c>
      <c r="AC45">
        <v>413.25275827479999</v>
      </c>
      <c r="AD45">
        <v>547</v>
      </c>
      <c r="AE45">
        <v>599.70566727610003</v>
      </c>
      <c r="AF45">
        <v>168</v>
      </c>
      <c r="AG45">
        <v>225.84523809519999</v>
      </c>
      <c r="AH45">
        <v>8</v>
      </c>
      <c r="AI45">
        <v>542.5</v>
      </c>
      <c r="AL45" t="s">
        <v>389</v>
      </c>
      <c r="AM45">
        <v>172</v>
      </c>
      <c r="AN45">
        <v>127</v>
      </c>
      <c r="AO45">
        <v>344.48031496060003</v>
      </c>
      <c r="AP45">
        <v>5</v>
      </c>
      <c r="AQ45">
        <v>644</v>
      </c>
      <c r="AR45">
        <v>43</v>
      </c>
      <c r="AS45">
        <v>371.72093023259998</v>
      </c>
      <c r="AT45">
        <v>2</v>
      </c>
      <c r="AU45">
        <v>394.5</v>
      </c>
    </row>
    <row r="46" spans="6:49" x14ac:dyDescent="0.2">
      <c r="F46" t="s">
        <v>62</v>
      </c>
      <c r="G46">
        <v>5777</v>
      </c>
      <c r="H46">
        <v>4800</v>
      </c>
      <c r="I46">
        <v>434.52041666669999</v>
      </c>
      <c r="J46">
        <v>438</v>
      </c>
      <c r="K46">
        <v>663.47031963469999</v>
      </c>
      <c r="L46">
        <v>567</v>
      </c>
      <c r="M46">
        <v>369.67195767200002</v>
      </c>
      <c r="N46">
        <v>396</v>
      </c>
      <c r="O46">
        <v>443.14141414139999</v>
      </c>
      <c r="R46">
        <v>14</v>
      </c>
      <c r="S46">
        <v>383.42857142859998</v>
      </c>
      <c r="V46" t="s">
        <v>385</v>
      </c>
      <c r="W46">
        <v>69068</v>
      </c>
      <c r="X46">
        <v>47695</v>
      </c>
      <c r="Y46">
        <v>411.12535905229998</v>
      </c>
      <c r="Z46">
        <v>4517</v>
      </c>
      <c r="AA46">
        <v>616.07837059999997</v>
      </c>
      <c r="AB46">
        <v>14050</v>
      </c>
      <c r="AC46">
        <v>632.08854092529998</v>
      </c>
      <c r="AD46">
        <v>4879</v>
      </c>
      <c r="AE46">
        <v>507.3403731802</v>
      </c>
      <c r="AF46">
        <v>2334</v>
      </c>
      <c r="AG46">
        <v>193.79777206509999</v>
      </c>
      <c r="AH46">
        <v>110</v>
      </c>
      <c r="AI46">
        <v>426.61818181820001</v>
      </c>
      <c r="AL46" t="s">
        <v>385</v>
      </c>
      <c r="AM46">
        <v>1558</v>
      </c>
      <c r="AN46">
        <v>1135</v>
      </c>
      <c r="AO46">
        <v>367.21850220260001</v>
      </c>
      <c r="AP46">
        <v>321</v>
      </c>
      <c r="AQ46">
        <v>474.75077881620001</v>
      </c>
      <c r="AR46">
        <v>375</v>
      </c>
      <c r="AS46">
        <v>388.02666666670001</v>
      </c>
      <c r="AT46">
        <v>47</v>
      </c>
      <c r="AU46">
        <v>377.6595744681</v>
      </c>
      <c r="AV46">
        <v>1</v>
      </c>
      <c r="AW46">
        <v>143</v>
      </c>
    </row>
    <row r="47" spans="6:49" x14ac:dyDescent="0.2">
      <c r="F47" t="s">
        <v>184</v>
      </c>
      <c r="G47">
        <v>324</v>
      </c>
      <c r="H47">
        <v>146</v>
      </c>
      <c r="I47">
        <v>88.719178082200003</v>
      </c>
      <c r="J47">
        <v>100</v>
      </c>
      <c r="K47">
        <v>227.13</v>
      </c>
      <c r="L47">
        <v>116</v>
      </c>
      <c r="M47">
        <v>278.67241379310002</v>
      </c>
      <c r="N47">
        <v>61</v>
      </c>
      <c r="O47">
        <v>406.37704918029999</v>
      </c>
      <c r="R47">
        <v>1</v>
      </c>
      <c r="S47">
        <v>697</v>
      </c>
      <c r="V47" t="s">
        <v>416</v>
      </c>
      <c r="W47">
        <v>440</v>
      </c>
      <c r="X47">
        <v>295</v>
      </c>
      <c r="Y47">
        <v>262.52203389829998</v>
      </c>
      <c r="Z47">
        <v>42</v>
      </c>
      <c r="AA47">
        <v>369.80952380949998</v>
      </c>
      <c r="AB47">
        <v>46</v>
      </c>
      <c r="AC47">
        <v>386.97826086959998</v>
      </c>
      <c r="AD47">
        <v>74</v>
      </c>
      <c r="AE47">
        <v>280.54054054049999</v>
      </c>
      <c r="AF47">
        <v>23</v>
      </c>
      <c r="AG47">
        <v>177.4347826087</v>
      </c>
      <c r="AH47">
        <v>2</v>
      </c>
      <c r="AI47">
        <v>186</v>
      </c>
      <c r="AL47" t="s">
        <v>416</v>
      </c>
      <c r="AM47">
        <v>25</v>
      </c>
      <c r="AN47">
        <v>24</v>
      </c>
      <c r="AO47">
        <v>182.9166666667</v>
      </c>
      <c r="AP47">
        <v>5</v>
      </c>
      <c r="AQ47">
        <v>309</v>
      </c>
      <c r="AR47">
        <v>1</v>
      </c>
      <c r="AS47">
        <v>103</v>
      </c>
    </row>
    <row r="48" spans="6:49" x14ac:dyDescent="0.2">
      <c r="F48" t="s">
        <v>73</v>
      </c>
      <c r="G48">
        <v>547</v>
      </c>
      <c r="H48">
        <v>337</v>
      </c>
      <c r="I48">
        <v>102.3946587537</v>
      </c>
      <c r="J48">
        <v>250</v>
      </c>
      <c r="K48">
        <v>208.7</v>
      </c>
      <c r="L48">
        <v>93</v>
      </c>
      <c r="M48">
        <v>136.6666666667</v>
      </c>
      <c r="N48">
        <v>115</v>
      </c>
      <c r="O48">
        <v>189.9652173913</v>
      </c>
      <c r="R48">
        <v>2</v>
      </c>
      <c r="S48">
        <v>150.5</v>
      </c>
      <c r="V48" t="s">
        <v>417</v>
      </c>
      <c r="W48">
        <v>141</v>
      </c>
      <c r="X48">
        <v>84</v>
      </c>
      <c r="Y48">
        <v>169.48809523809999</v>
      </c>
      <c r="Z48">
        <v>46</v>
      </c>
      <c r="AA48">
        <v>330.86956521740001</v>
      </c>
      <c r="AB48">
        <v>17</v>
      </c>
      <c r="AC48">
        <v>66.764705882399994</v>
      </c>
      <c r="AD48">
        <v>23</v>
      </c>
      <c r="AE48">
        <v>343.95652173910003</v>
      </c>
      <c r="AF48">
        <v>16</v>
      </c>
      <c r="AG48">
        <v>147.5</v>
      </c>
      <c r="AH48">
        <v>1</v>
      </c>
      <c r="AI48">
        <v>129</v>
      </c>
      <c r="AL48" t="s">
        <v>417</v>
      </c>
      <c r="AM48">
        <v>11</v>
      </c>
      <c r="AN48">
        <v>10</v>
      </c>
      <c r="AO48">
        <v>138.19999999999999</v>
      </c>
      <c r="AP48">
        <v>2</v>
      </c>
      <c r="AQ48">
        <v>375.5</v>
      </c>
      <c r="AT48">
        <v>1</v>
      </c>
      <c r="AU48">
        <v>569</v>
      </c>
    </row>
    <row r="49" spans="6:51" x14ac:dyDescent="0.2">
      <c r="F49" t="s">
        <v>385</v>
      </c>
      <c r="G49">
        <v>67085</v>
      </c>
      <c r="H49">
        <v>47940</v>
      </c>
      <c r="I49">
        <v>411.1322486441</v>
      </c>
      <c r="J49">
        <v>4553</v>
      </c>
      <c r="K49">
        <v>617.55545793980002</v>
      </c>
      <c r="L49">
        <v>14152</v>
      </c>
      <c r="M49">
        <v>633.08330977950004</v>
      </c>
      <c r="N49">
        <v>4884</v>
      </c>
      <c r="O49">
        <v>507.98217943470002</v>
      </c>
      <c r="R49">
        <v>109</v>
      </c>
      <c r="S49">
        <v>426.24770642200002</v>
      </c>
      <c r="V49" t="s">
        <v>423</v>
      </c>
      <c r="W49">
        <v>606</v>
      </c>
      <c r="X49">
        <v>370</v>
      </c>
      <c r="Y49">
        <v>361.95675675680002</v>
      </c>
      <c r="Z49">
        <v>47</v>
      </c>
      <c r="AA49">
        <v>545.3404255319</v>
      </c>
      <c r="AB49">
        <v>134</v>
      </c>
      <c r="AC49">
        <v>451.65671641789999</v>
      </c>
      <c r="AD49">
        <v>72</v>
      </c>
      <c r="AE49">
        <v>567.73611111109994</v>
      </c>
      <c r="AF49">
        <v>30</v>
      </c>
      <c r="AG49">
        <v>143.30000000000001</v>
      </c>
      <c r="AL49" t="s">
        <v>423</v>
      </c>
      <c r="AM49">
        <v>20</v>
      </c>
      <c r="AN49">
        <v>15</v>
      </c>
      <c r="AO49">
        <v>273.93333333330003</v>
      </c>
      <c r="AP49">
        <v>3</v>
      </c>
      <c r="AQ49">
        <v>375.3333333333</v>
      </c>
      <c r="AR49">
        <v>2</v>
      </c>
      <c r="AS49">
        <v>178</v>
      </c>
      <c r="AT49">
        <v>1</v>
      </c>
      <c r="AU49">
        <v>544</v>
      </c>
      <c r="AV49">
        <v>1</v>
      </c>
      <c r="AW49">
        <v>428</v>
      </c>
      <c r="AX49">
        <v>1</v>
      </c>
      <c r="AY49">
        <v>383</v>
      </c>
    </row>
    <row r="50" spans="6:51" x14ac:dyDescent="0.2">
      <c r="F50" t="s">
        <v>215</v>
      </c>
      <c r="G50">
        <v>1973</v>
      </c>
      <c r="H50">
        <v>1404</v>
      </c>
      <c r="I50">
        <v>310.6716524217</v>
      </c>
      <c r="J50">
        <v>675</v>
      </c>
      <c r="K50">
        <v>393.61333333329998</v>
      </c>
      <c r="L50">
        <v>485</v>
      </c>
      <c r="M50">
        <v>326.96907216490001</v>
      </c>
      <c r="N50">
        <v>84</v>
      </c>
      <c r="O50">
        <v>251.53571428570001</v>
      </c>
      <c r="V50" t="s">
        <v>376</v>
      </c>
      <c r="W50">
        <v>5674</v>
      </c>
      <c r="X50">
        <v>4434</v>
      </c>
      <c r="Y50">
        <v>541.57307171850005</v>
      </c>
      <c r="Z50">
        <v>258</v>
      </c>
      <c r="AA50">
        <v>900.10852713179997</v>
      </c>
      <c r="AB50">
        <v>894</v>
      </c>
      <c r="AC50">
        <v>820.87024608499996</v>
      </c>
      <c r="AD50">
        <v>266</v>
      </c>
      <c r="AE50">
        <v>630.69172932330002</v>
      </c>
      <c r="AF50">
        <v>77</v>
      </c>
      <c r="AG50">
        <v>160.51948051950001</v>
      </c>
      <c r="AH50">
        <v>3</v>
      </c>
      <c r="AI50">
        <v>666</v>
      </c>
      <c r="AL50" t="s">
        <v>376</v>
      </c>
      <c r="AM50">
        <v>88</v>
      </c>
      <c r="AN50">
        <v>72</v>
      </c>
      <c r="AO50">
        <v>254.2638888889</v>
      </c>
      <c r="AP50">
        <v>9</v>
      </c>
      <c r="AQ50">
        <v>391.3333333333</v>
      </c>
      <c r="AR50">
        <v>14</v>
      </c>
      <c r="AS50">
        <v>217.8571428571</v>
      </c>
      <c r="AT50">
        <v>2</v>
      </c>
      <c r="AU50">
        <v>470</v>
      </c>
    </row>
    <row r="51" spans="6:51" x14ac:dyDescent="0.2">
      <c r="F51" t="s">
        <v>212</v>
      </c>
      <c r="G51">
        <v>2765</v>
      </c>
      <c r="H51">
        <v>2154</v>
      </c>
      <c r="I51">
        <v>410.64438254409998</v>
      </c>
      <c r="J51">
        <v>147</v>
      </c>
      <c r="K51">
        <v>763.47619047620003</v>
      </c>
      <c r="L51">
        <v>554</v>
      </c>
      <c r="M51">
        <v>391.42418772560001</v>
      </c>
      <c r="N51">
        <v>57</v>
      </c>
      <c r="O51">
        <v>238.14035087720001</v>
      </c>
      <c r="V51" t="s">
        <v>63</v>
      </c>
      <c r="W51">
        <v>5382</v>
      </c>
      <c r="X51">
        <v>3602</v>
      </c>
      <c r="Y51">
        <v>258.82676290950002</v>
      </c>
      <c r="Z51">
        <v>795</v>
      </c>
      <c r="AA51">
        <v>434.53710691819998</v>
      </c>
      <c r="AB51">
        <v>873</v>
      </c>
      <c r="AC51">
        <v>312.46506300110002</v>
      </c>
      <c r="AD51">
        <v>640</v>
      </c>
      <c r="AE51">
        <v>609.2890625</v>
      </c>
      <c r="AF51">
        <v>234</v>
      </c>
      <c r="AG51">
        <v>188.44871794869999</v>
      </c>
      <c r="AH51">
        <v>33</v>
      </c>
      <c r="AI51">
        <v>536.39393939390004</v>
      </c>
      <c r="AL51" t="s">
        <v>63</v>
      </c>
      <c r="AM51">
        <v>260</v>
      </c>
      <c r="AN51">
        <v>210</v>
      </c>
      <c r="AO51">
        <v>271.9095238095</v>
      </c>
      <c r="AP51">
        <v>33</v>
      </c>
      <c r="AQ51">
        <v>402.63636363640001</v>
      </c>
      <c r="AR51">
        <v>41</v>
      </c>
      <c r="AS51">
        <v>242.24390243900001</v>
      </c>
      <c r="AT51">
        <v>9</v>
      </c>
      <c r="AU51">
        <v>127.6666666667</v>
      </c>
    </row>
    <row r="52" spans="6:51" x14ac:dyDescent="0.2">
      <c r="F52" t="s">
        <v>213</v>
      </c>
      <c r="G52">
        <v>2914</v>
      </c>
      <c r="H52">
        <v>2386</v>
      </c>
      <c r="I52">
        <v>283.025146689</v>
      </c>
      <c r="J52">
        <v>528</v>
      </c>
      <c r="K52">
        <v>461.24621212120002</v>
      </c>
      <c r="L52">
        <v>419</v>
      </c>
      <c r="M52">
        <v>220.79952267300001</v>
      </c>
      <c r="N52">
        <v>108</v>
      </c>
      <c r="O52">
        <v>233.8148148148</v>
      </c>
      <c r="R52">
        <v>1</v>
      </c>
      <c r="S52">
        <v>383</v>
      </c>
      <c r="V52" t="s">
        <v>378</v>
      </c>
      <c r="W52">
        <v>15023</v>
      </c>
      <c r="X52">
        <v>10183</v>
      </c>
      <c r="Y52">
        <v>366.14122962089999</v>
      </c>
      <c r="Z52">
        <v>665</v>
      </c>
      <c r="AA52">
        <v>796.31127819549999</v>
      </c>
      <c r="AB52">
        <v>3749</v>
      </c>
      <c r="AC52">
        <v>807.54681248329996</v>
      </c>
      <c r="AD52">
        <v>756</v>
      </c>
      <c r="AE52">
        <v>546.49338624339998</v>
      </c>
      <c r="AF52">
        <v>328</v>
      </c>
      <c r="AG52">
        <v>175.1524390244</v>
      </c>
      <c r="AH52">
        <v>7</v>
      </c>
      <c r="AI52">
        <v>300.85714285709997</v>
      </c>
      <c r="AL52" t="s">
        <v>378</v>
      </c>
      <c r="AM52">
        <v>168</v>
      </c>
      <c r="AN52">
        <v>137</v>
      </c>
      <c r="AO52">
        <v>235.06569343070001</v>
      </c>
      <c r="AP52">
        <v>29</v>
      </c>
      <c r="AQ52">
        <v>403.10344827590001</v>
      </c>
      <c r="AR52">
        <v>20</v>
      </c>
      <c r="AS52">
        <v>208.15</v>
      </c>
      <c r="AT52">
        <v>11</v>
      </c>
      <c r="AU52">
        <v>213.45454545449999</v>
      </c>
    </row>
    <row r="53" spans="6:51" x14ac:dyDescent="0.2">
      <c r="F53" t="s">
        <v>462</v>
      </c>
      <c r="G53">
        <v>7652</v>
      </c>
      <c r="H53">
        <v>5944</v>
      </c>
      <c r="I53">
        <v>335.80232166889999</v>
      </c>
      <c r="J53">
        <v>1350</v>
      </c>
      <c r="K53">
        <v>460.33925925929998</v>
      </c>
      <c r="L53">
        <v>1458</v>
      </c>
      <c r="M53">
        <v>320.9492455418</v>
      </c>
      <c r="N53">
        <v>249</v>
      </c>
      <c r="O53">
        <v>240.7831325301</v>
      </c>
      <c r="R53">
        <v>1</v>
      </c>
      <c r="S53">
        <v>383</v>
      </c>
      <c r="V53" t="s">
        <v>374</v>
      </c>
      <c r="W53">
        <v>4198</v>
      </c>
      <c r="X53">
        <v>2940</v>
      </c>
      <c r="Y53">
        <v>323.81666666669997</v>
      </c>
      <c r="Z53">
        <v>400</v>
      </c>
      <c r="AA53">
        <v>543.66499999999996</v>
      </c>
      <c r="AB53">
        <v>546</v>
      </c>
      <c r="AC53">
        <v>287.91391941389998</v>
      </c>
      <c r="AD53">
        <v>554</v>
      </c>
      <c r="AE53">
        <v>505.62996389889997</v>
      </c>
      <c r="AF53">
        <v>152</v>
      </c>
      <c r="AG53">
        <v>225.2302631579</v>
      </c>
      <c r="AH53">
        <v>6</v>
      </c>
      <c r="AI53">
        <v>519.33333333329995</v>
      </c>
      <c r="AL53" t="s">
        <v>374</v>
      </c>
      <c r="AM53">
        <v>183</v>
      </c>
      <c r="AN53">
        <v>148</v>
      </c>
      <c r="AO53">
        <v>213.95945945950001</v>
      </c>
      <c r="AP53">
        <v>31</v>
      </c>
      <c r="AQ53">
        <v>293.80645161289999</v>
      </c>
      <c r="AR53">
        <v>28</v>
      </c>
      <c r="AS53">
        <v>225.82142857139999</v>
      </c>
      <c r="AT53">
        <v>6</v>
      </c>
      <c r="AU53">
        <v>315.3333333333</v>
      </c>
      <c r="AV53">
        <v>1</v>
      </c>
      <c r="AW53">
        <v>297</v>
      </c>
    </row>
    <row r="54" spans="6:51" x14ac:dyDescent="0.2">
      <c r="F54" t="s">
        <v>81</v>
      </c>
      <c r="G54">
        <v>400</v>
      </c>
      <c r="H54">
        <v>294</v>
      </c>
      <c r="I54">
        <v>212.8945578231</v>
      </c>
      <c r="J54">
        <v>46</v>
      </c>
      <c r="K54">
        <v>338.63043478259999</v>
      </c>
      <c r="L54">
        <v>36</v>
      </c>
      <c r="M54">
        <v>319.9166666667</v>
      </c>
      <c r="N54">
        <v>68</v>
      </c>
      <c r="O54">
        <v>258.3823529412</v>
      </c>
      <c r="R54">
        <v>2</v>
      </c>
      <c r="S54">
        <v>186</v>
      </c>
      <c r="V54" t="s">
        <v>373</v>
      </c>
      <c r="W54">
        <v>1099</v>
      </c>
      <c r="X54">
        <v>676</v>
      </c>
      <c r="Y54">
        <v>190.2455621302</v>
      </c>
      <c r="Z54">
        <v>128</v>
      </c>
      <c r="AA54">
        <v>339.3828125</v>
      </c>
      <c r="AB54">
        <v>169</v>
      </c>
      <c r="AC54">
        <v>219.5029585799</v>
      </c>
      <c r="AD54">
        <v>163</v>
      </c>
      <c r="AE54">
        <v>295.5214723926</v>
      </c>
      <c r="AF54">
        <v>90</v>
      </c>
      <c r="AG54">
        <v>174.2888888889</v>
      </c>
      <c r="AH54">
        <v>1</v>
      </c>
      <c r="AI54">
        <v>145</v>
      </c>
      <c r="AL54" t="s">
        <v>373</v>
      </c>
      <c r="AM54">
        <v>51</v>
      </c>
      <c r="AN54">
        <v>46</v>
      </c>
      <c r="AO54">
        <v>237.0652173913</v>
      </c>
      <c r="AP54">
        <v>10</v>
      </c>
      <c r="AQ54">
        <v>295.60000000000002</v>
      </c>
      <c r="AR54">
        <v>5</v>
      </c>
      <c r="AS54">
        <v>150.80000000000001</v>
      </c>
    </row>
    <row r="55" spans="6:51" x14ac:dyDescent="0.2">
      <c r="F55" t="s">
        <v>38</v>
      </c>
      <c r="G55">
        <v>3278</v>
      </c>
      <c r="H55">
        <v>2132</v>
      </c>
      <c r="I55">
        <v>446.15954950730003</v>
      </c>
      <c r="J55">
        <v>317</v>
      </c>
      <c r="K55">
        <v>614.08832807570002</v>
      </c>
      <c r="L55">
        <v>808</v>
      </c>
      <c r="M55">
        <v>575.78465346530004</v>
      </c>
      <c r="N55">
        <v>325</v>
      </c>
      <c r="O55">
        <v>629.70153846150004</v>
      </c>
      <c r="R55">
        <v>13</v>
      </c>
      <c r="S55">
        <v>171.23076923080001</v>
      </c>
      <c r="V55" t="s">
        <v>375</v>
      </c>
      <c r="W55">
        <v>7045</v>
      </c>
      <c r="X55">
        <v>4834</v>
      </c>
      <c r="Y55">
        <v>390.4877947869</v>
      </c>
      <c r="Z55">
        <v>473</v>
      </c>
      <c r="AA55">
        <v>461.26215644820002</v>
      </c>
      <c r="AB55">
        <v>945</v>
      </c>
      <c r="AC55">
        <v>460.71957671960001</v>
      </c>
      <c r="AD55">
        <v>969</v>
      </c>
      <c r="AE55">
        <v>655.19298245610003</v>
      </c>
      <c r="AF55">
        <v>289</v>
      </c>
      <c r="AG55">
        <v>185.14532871969999</v>
      </c>
      <c r="AH55">
        <v>8</v>
      </c>
      <c r="AI55">
        <v>505.75</v>
      </c>
      <c r="AL55" t="s">
        <v>375</v>
      </c>
      <c r="AM55">
        <v>272</v>
      </c>
      <c r="AN55">
        <v>218</v>
      </c>
      <c r="AO55">
        <v>262.88073394499997</v>
      </c>
      <c r="AP55">
        <v>40</v>
      </c>
      <c r="AQ55">
        <v>346.67500000000001</v>
      </c>
      <c r="AR55">
        <v>38</v>
      </c>
      <c r="AS55">
        <v>197.57894736840001</v>
      </c>
      <c r="AT55">
        <v>15</v>
      </c>
      <c r="AU55">
        <v>323.39999999999998</v>
      </c>
      <c r="AV55">
        <v>1</v>
      </c>
      <c r="AW55">
        <v>10</v>
      </c>
    </row>
    <row r="56" spans="6:51" x14ac:dyDescent="0.2">
      <c r="F56" t="s">
        <v>64</v>
      </c>
      <c r="G56">
        <v>2661</v>
      </c>
      <c r="H56">
        <v>2030</v>
      </c>
      <c r="I56">
        <v>337.27536945809999</v>
      </c>
      <c r="J56">
        <v>279</v>
      </c>
      <c r="K56">
        <v>619.37634408600002</v>
      </c>
      <c r="L56">
        <v>251</v>
      </c>
      <c r="M56">
        <v>88.968127490000001</v>
      </c>
      <c r="N56">
        <v>377</v>
      </c>
      <c r="O56">
        <v>443.824933687</v>
      </c>
      <c r="R56">
        <v>3</v>
      </c>
      <c r="S56">
        <v>685</v>
      </c>
      <c r="V56" t="s">
        <v>372</v>
      </c>
      <c r="W56">
        <v>355</v>
      </c>
      <c r="X56">
        <v>166</v>
      </c>
      <c r="Y56">
        <v>140.42771084340001</v>
      </c>
      <c r="Z56">
        <v>77</v>
      </c>
      <c r="AA56">
        <v>203.8181818182</v>
      </c>
      <c r="AB56">
        <v>88</v>
      </c>
      <c r="AC56">
        <v>169.01136363640001</v>
      </c>
      <c r="AD56">
        <v>46</v>
      </c>
      <c r="AE56">
        <v>230.6086956522</v>
      </c>
      <c r="AF56">
        <v>53</v>
      </c>
      <c r="AG56">
        <v>204.0188679245</v>
      </c>
      <c r="AH56">
        <v>2</v>
      </c>
      <c r="AI56">
        <v>96.5</v>
      </c>
      <c r="AL56" t="s">
        <v>372</v>
      </c>
      <c r="AM56">
        <v>22</v>
      </c>
      <c r="AN56">
        <v>15</v>
      </c>
      <c r="AO56">
        <v>274.39999999999998</v>
      </c>
      <c r="AP56">
        <v>5</v>
      </c>
      <c r="AQ56">
        <v>322.60000000000002</v>
      </c>
      <c r="AR56">
        <v>5</v>
      </c>
      <c r="AS56">
        <v>228.6</v>
      </c>
      <c r="AT56">
        <v>2</v>
      </c>
      <c r="AU56">
        <v>111</v>
      </c>
    </row>
    <row r="57" spans="6:51" x14ac:dyDescent="0.2">
      <c r="F57" t="s">
        <v>24</v>
      </c>
      <c r="G57">
        <v>1858</v>
      </c>
      <c r="H57">
        <v>1137</v>
      </c>
      <c r="I57">
        <v>189.4819700967</v>
      </c>
      <c r="J57">
        <v>380</v>
      </c>
      <c r="K57">
        <v>316.30526315790001</v>
      </c>
      <c r="L57">
        <v>503</v>
      </c>
      <c r="M57">
        <v>333.27236580520002</v>
      </c>
      <c r="N57">
        <v>202</v>
      </c>
      <c r="O57">
        <v>499.35643564359998</v>
      </c>
      <c r="R57">
        <v>16</v>
      </c>
      <c r="S57">
        <v>599.25</v>
      </c>
      <c r="V57" t="s">
        <v>371</v>
      </c>
      <c r="W57">
        <v>3441</v>
      </c>
      <c r="X57">
        <v>2073</v>
      </c>
      <c r="Y57">
        <v>431.71428571429999</v>
      </c>
      <c r="Z57">
        <v>357</v>
      </c>
      <c r="AA57">
        <v>535.89075630249999</v>
      </c>
      <c r="AB57">
        <v>835</v>
      </c>
      <c r="AC57">
        <v>531.29341317369995</v>
      </c>
      <c r="AD57">
        <v>367</v>
      </c>
      <c r="AE57">
        <v>572.21525885560004</v>
      </c>
      <c r="AF57">
        <v>151</v>
      </c>
      <c r="AG57">
        <v>170.88741721849999</v>
      </c>
      <c r="AH57">
        <v>15</v>
      </c>
      <c r="AI57">
        <v>176</v>
      </c>
      <c r="AL57" t="s">
        <v>371</v>
      </c>
      <c r="AM57">
        <v>113</v>
      </c>
      <c r="AN57">
        <v>93</v>
      </c>
      <c r="AO57">
        <v>277.6559139785</v>
      </c>
      <c r="AP57">
        <v>15</v>
      </c>
      <c r="AQ57">
        <v>431.26666666670002</v>
      </c>
      <c r="AR57">
        <v>17</v>
      </c>
      <c r="AS57">
        <v>202.70588235290001</v>
      </c>
      <c r="AT57">
        <v>3</v>
      </c>
      <c r="AU57">
        <v>262</v>
      </c>
    </row>
    <row r="58" spans="6:51" x14ac:dyDescent="0.2">
      <c r="F58" t="s">
        <v>72</v>
      </c>
      <c r="G58">
        <v>15269</v>
      </c>
      <c r="H58">
        <v>10500</v>
      </c>
      <c r="I58">
        <v>357.16296790169997</v>
      </c>
      <c r="J58">
        <v>674</v>
      </c>
      <c r="K58">
        <v>792.47329376849996</v>
      </c>
      <c r="L58">
        <v>3997</v>
      </c>
      <c r="M58">
        <v>818.4673505129</v>
      </c>
      <c r="N58">
        <v>765</v>
      </c>
      <c r="O58">
        <v>541.20130718949997</v>
      </c>
      <c r="R58">
        <v>7</v>
      </c>
      <c r="S58">
        <v>300.85714285709997</v>
      </c>
      <c r="V58" t="s">
        <v>415</v>
      </c>
      <c r="W58">
        <v>672</v>
      </c>
      <c r="X58">
        <v>521</v>
      </c>
      <c r="Y58">
        <v>286.72552783110001</v>
      </c>
      <c r="Z58">
        <v>68</v>
      </c>
      <c r="AA58">
        <v>612.97058823530006</v>
      </c>
      <c r="AB58">
        <v>75</v>
      </c>
      <c r="AC58">
        <v>203.61333333330001</v>
      </c>
      <c r="AD58">
        <v>44</v>
      </c>
      <c r="AE58">
        <v>320.5681818182</v>
      </c>
      <c r="AF58">
        <v>32</v>
      </c>
      <c r="AG58">
        <v>236.46875</v>
      </c>
      <c r="AL58" t="s">
        <v>415</v>
      </c>
      <c r="AM58">
        <v>13</v>
      </c>
      <c r="AN58">
        <v>12</v>
      </c>
      <c r="AO58">
        <v>338.5</v>
      </c>
      <c r="AP58">
        <v>6</v>
      </c>
      <c r="AQ58">
        <v>247.8333333333</v>
      </c>
      <c r="AR58">
        <v>1</v>
      </c>
      <c r="AS58">
        <v>418</v>
      </c>
    </row>
    <row r="59" spans="6:51" x14ac:dyDescent="0.2">
      <c r="F59" t="s">
        <v>47</v>
      </c>
      <c r="G59">
        <v>955</v>
      </c>
      <c r="H59">
        <v>646</v>
      </c>
      <c r="I59">
        <v>171.8111455108</v>
      </c>
      <c r="J59">
        <v>129</v>
      </c>
      <c r="K59">
        <v>316.07751937979998</v>
      </c>
      <c r="L59">
        <v>158</v>
      </c>
      <c r="M59">
        <v>179.77848101270001</v>
      </c>
      <c r="N59">
        <v>150</v>
      </c>
      <c r="O59">
        <v>261.68666666669998</v>
      </c>
      <c r="R59">
        <v>1</v>
      </c>
      <c r="S59">
        <v>145</v>
      </c>
      <c r="V59" t="s">
        <v>379</v>
      </c>
      <c r="W59">
        <v>2307</v>
      </c>
      <c r="X59">
        <v>1477</v>
      </c>
      <c r="Y59">
        <v>380.2254570074</v>
      </c>
      <c r="Z59">
        <v>248</v>
      </c>
      <c r="AA59">
        <v>391.3548387097</v>
      </c>
      <c r="AB59">
        <v>164</v>
      </c>
      <c r="AC59">
        <v>295.89024390240002</v>
      </c>
      <c r="AD59">
        <v>527</v>
      </c>
      <c r="AE59">
        <v>475.5009487666</v>
      </c>
      <c r="AF59">
        <v>136</v>
      </c>
      <c r="AG59">
        <v>161.20588235290001</v>
      </c>
      <c r="AH59">
        <v>3</v>
      </c>
      <c r="AI59">
        <v>637.66666666670005</v>
      </c>
      <c r="AL59" t="s">
        <v>379</v>
      </c>
      <c r="AM59">
        <v>47</v>
      </c>
      <c r="AN59">
        <v>33</v>
      </c>
      <c r="AO59">
        <v>269.57575757580003</v>
      </c>
      <c r="AP59">
        <v>4</v>
      </c>
      <c r="AQ59">
        <v>216</v>
      </c>
      <c r="AR59">
        <v>12</v>
      </c>
      <c r="AS59">
        <v>186.1666666667</v>
      </c>
      <c r="AT59">
        <v>2</v>
      </c>
      <c r="AU59">
        <v>144.5</v>
      </c>
    </row>
    <row r="60" spans="6:51" x14ac:dyDescent="0.2">
      <c r="F60" t="s">
        <v>63</v>
      </c>
      <c r="G60">
        <v>3173</v>
      </c>
      <c r="H60">
        <v>2360</v>
      </c>
      <c r="I60">
        <v>273.51440677969998</v>
      </c>
      <c r="J60">
        <v>418</v>
      </c>
      <c r="K60">
        <v>538.72727272730003</v>
      </c>
      <c r="L60">
        <v>343</v>
      </c>
      <c r="M60">
        <v>250.05539358600001</v>
      </c>
      <c r="N60">
        <v>450</v>
      </c>
      <c r="O60">
        <v>662.13333333330002</v>
      </c>
      <c r="R60">
        <v>20</v>
      </c>
      <c r="S60">
        <v>454.25</v>
      </c>
      <c r="V60" t="s">
        <v>382</v>
      </c>
      <c r="W60">
        <v>10207</v>
      </c>
      <c r="X60">
        <v>7343</v>
      </c>
      <c r="Y60">
        <v>264.83031458530002</v>
      </c>
      <c r="Z60">
        <v>1075</v>
      </c>
      <c r="AA60">
        <v>494.16558139530002</v>
      </c>
      <c r="AB60">
        <v>1258</v>
      </c>
      <c r="AC60">
        <v>227.9093799682</v>
      </c>
      <c r="AD60">
        <v>1009</v>
      </c>
      <c r="AE60">
        <v>363.41129831519999</v>
      </c>
      <c r="AF60">
        <v>579</v>
      </c>
      <c r="AG60">
        <v>171.77335640140001</v>
      </c>
      <c r="AH60">
        <v>18</v>
      </c>
      <c r="AI60">
        <v>306.05555555559999</v>
      </c>
      <c r="AL60" t="s">
        <v>382</v>
      </c>
      <c r="AM60">
        <v>224</v>
      </c>
      <c r="AN60">
        <v>184</v>
      </c>
      <c r="AO60">
        <v>263.38586956519998</v>
      </c>
      <c r="AP60">
        <v>39</v>
      </c>
      <c r="AQ60">
        <v>343</v>
      </c>
      <c r="AR60">
        <v>25</v>
      </c>
      <c r="AS60">
        <v>280.76</v>
      </c>
      <c r="AT60">
        <v>12</v>
      </c>
      <c r="AU60">
        <v>210.5833333333</v>
      </c>
      <c r="AV60">
        <v>3</v>
      </c>
      <c r="AW60">
        <v>227.3333333333</v>
      </c>
    </row>
    <row r="61" spans="6:51" x14ac:dyDescent="0.2">
      <c r="F61" t="s">
        <v>36</v>
      </c>
      <c r="G61">
        <v>5713</v>
      </c>
      <c r="H61">
        <v>4500</v>
      </c>
      <c r="I61">
        <v>563.66777777779998</v>
      </c>
      <c r="J61">
        <v>261</v>
      </c>
      <c r="K61">
        <v>941.53639846739998</v>
      </c>
      <c r="L61">
        <v>937</v>
      </c>
      <c r="M61">
        <v>822.0106723586</v>
      </c>
      <c r="N61">
        <v>272</v>
      </c>
      <c r="O61">
        <v>662.7536764706</v>
      </c>
      <c r="R61">
        <v>4</v>
      </c>
      <c r="S61">
        <v>728.75</v>
      </c>
      <c r="V61" t="s">
        <v>414</v>
      </c>
      <c r="W61">
        <v>599</v>
      </c>
      <c r="X61">
        <v>381</v>
      </c>
      <c r="Y61">
        <v>381.0131233596</v>
      </c>
      <c r="Z61">
        <v>21</v>
      </c>
      <c r="AA61">
        <v>800.28571428570001</v>
      </c>
      <c r="AB61">
        <v>170</v>
      </c>
      <c r="AC61">
        <v>856.45882352939998</v>
      </c>
      <c r="AD61">
        <v>39</v>
      </c>
      <c r="AE61">
        <v>574.58974358969999</v>
      </c>
      <c r="AF61">
        <v>9</v>
      </c>
      <c r="AG61">
        <v>177.2222222222</v>
      </c>
      <c r="AL61" t="s">
        <v>414</v>
      </c>
      <c r="AM61">
        <v>17</v>
      </c>
      <c r="AN61">
        <v>14</v>
      </c>
      <c r="AO61">
        <v>309.35714285709997</v>
      </c>
      <c r="AR61">
        <v>3</v>
      </c>
      <c r="AS61">
        <v>123</v>
      </c>
    </row>
    <row r="62" spans="6:51" x14ac:dyDescent="0.2">
      <c r="F62" t="s">
        <v>50</v>
      </c>
      <c r="G62">
        <v>1949</v>
      </c>
      <c r="H62">
        <v>1306</v>
      </c>
      <c r="I62">
        <v>352.15084226649998</v>
      </c>
      <c r="J62">
        <v>253</v>
      </c>
      <c r="K62">
        <v>378.62055335970001</v>
      </c>
      <c r="L62">
        <v>141</v>
      </c>
      <c r="M62">
        <v>190.7304964539</v>
      </c>
      <c r="N62">
        <v>499</v>
      </c>
      <c r="O62">
        <v>447.85571142280003</v>
      </c>
      <c r="R62">
        <v>3</v>
      </c>
      <c r="S62">
        <v>637.66666666670005</v>
      </c>
      <c r="V62" t="s">
        <v>369</v>
      </c>
      <c r="W62">
        <v>57189</v>
      </c>
      <c r="X62">
        <v>39379</v>
      </c>
      <c r="Y62">
        <v>354.8808695431</v>
      </c>
      <c r="Z62">
        <v>4700</v>
      </c>
      <c r="AA62">
        <v>539.6761702128</v>
      </c>
      <c r="AB62">
        <v>9963</v>
      </c>
      <c r="AC62">
        <v>571.90364348089997</v>
      </c>
      <c r="AD62">
        <v>5549</v>
      </c>
      <c r="AE62">
        <v>518.64714362949996</v>
      </c>
      <c r="AF62">
        <v>2199</v>
      </c>
      <c r="AG62">
        <v>179.73748862599999</v>
      </c>
      <c r="AH62">
        <v>99</v>
      </c>
      <c r="AI62">
        <v>402.7070707071</v>
      </c>
      <c r="AL62" t="s">
        <v>369</v>
      </c>
      <c r="AM62">
        <v>1514</v>
      </c>
      <c r="AN62">
        <v>1231</v>
      </c>
      <c r="AO62">
        <v>254.31519090169999</v>
      </c>
      <c r="AP62">
        <v>231</v>
      </c>
      <c r="AQ62">
        <v>353.51515151519999</v>
      </c>
      <c r="AR62">
        <v>212</v>
      </c>
      <c r="AS62">
        <v>220.8396226415</v>
      </c>
      <c r="AT62">
        <v>64</v>
      </c>
      <c r="AU62">
        <v>251.828125</v>
      </c>
      <c r="AV62">
        <v>6</v>
      </c>
      <c r="AW62">
        <v>236.1666666667</v>
      </c>
      <c r="AX62">
        <v>1</v>
      </c>
      <c r="AY62">
        <v>383</v>
      </c>
    </row>
    <row r="63" spans="6:51" x14ac:dyDescent="0.2">
      <c r="F63" t="s">
        <v>57</v>
      </c>
      <c r="G63">
        <v>607</v>
      </c>
      <c r="H63">
        <v>491</v>
      </c>
      <c r="I63">
        <v>265.66191446030001</v>
      </c>
      <c r="J63">
        <v>65</v>
      </c>
      <c r="K63">
        <v>615.81538461540003</v>
      </c>
      <c r="L63">
        <v>69</v>
      </c>
      <c r="M63">
        <v>106.9855072464</v>
      </c>
      <c r="N63">
        <v>47</v>
      </c>
      <c r="O63">
        <v>278.02127659569999</v>
      </c>
      <c r="V63" t="s">
        <v>698</v>
      </c>
      <c r="W63">
        <v>318253</v>
      </c>
      <c r="X63">
        <v>228740</v>
      </c>
      <c r="Y63">
        <v>400.36965417739998</v>
      </c>
      <c r="Z63">
        <v>21325</v>
      </c>
      <c r="AA63">
        <v>592.31273153580003</v>
      </c>
      <c r="AB63">
        <v>53209</v>
      </c>
      <c r="AC63">
        <v>619.92258828390004</v>
      </c>
      <c r="AD63">
        <v>24857</v>
      </c>
      <c r="AE63">
        <v>522.30012473340003</v>
      </c>
      <c r="AF63">
        <v>10993</v>
      </c>
      <c r="AG63">
        <v>182.85004549589999</v>
      </c>
      <c r="AH63">
        <v>454</v>
      </c>
      <c r="AI63">
        <v>446.82378854630002</v>
      </c>
      <c r="AL63" t="s">
        <v>698</v>
      </c>
      <c r="AM63">
        <v>7665</v>
      </c>
      <c r="AN63">
        <v>5944</v>
      </c>
      <c r="AO63">
        <v>335.80232166889999</v>
      </c>
      <c r="AP63">
        <v>1350</v>
      </c>
      <c r="AQ63">
        <v>460.33925925929998</v>
      </c>
      <c r="AR63">
        <v>1458</v>
      </c>
      <c r="AS63">
        <v>320.9492455418</v>
      </c>
      <c r="AT63">
        <v>249</v>
      </c>
      <c r="AU63">
        <v>240.7831325301</v>
      </c>
      <c r="AV63">
        <v>13</v>
      </c>
      <c r="AW63">
        <v>204.4615384615</v>
      </c>
      <c r="AX63">
        <v>1</v>
      </c>
      <c r="AY63">
        <v>383</v>
      </c>
    </row>
    <row r="64" spans="6:51" x14ac:dyDescent="0.2">
      <c r="F64" t="s">
        <v>68</v>
      </c>
      <c r="G64">
        <v>5027</v>
      </c>
      <c r="H64">
        <v>3884</v>
      </c>
      <c r="I64">
        <v>568.86843460349996</v>
      </c>
      <c r="J64">
        <v>153</v>
      </c>
      <c r="K64">
        <v>1034.5032679738999</v>
      </c>
      <c r="L64">
        <v>225</v>
      </c>
      <c r="M64">
        <v>684.7777777778</v>
      </c>
      <c r="N64">
        <v>916</v>
      </c>
      <c r="O64">
        <v>871.96724890830001</v>
      </c>
      <c r="R64">
        <v>2</v>
      </c>
      <c r="S64">
        <v>807</v>
      </c>
    </row>
    <row r="65" spans="6:19" x14ac:dyDescent="0.2">
      <c r="F65" t="s">
        <v>70</v>
      </c>
      <c r="G65">
        <v>491</v>
      </c>
      <c r="H65">
        <v>255</v>
      </c>
      <c r="I65">
        <v>102.90588235289999</v>
      </c>
      <c r="J65">
        <v>137</v>
      </c>
      <c r="K65">
        <v>206.9854014599</v>
      </c>
      <c r="L65">
        <v>141</v>
      </c>
      <c r="M65">
        <v>139.26241134750001</v>
      </c>
      <c r="N65">
        <v>90</v>
      </c>
      <c r="O65">
        <v>202.07777777780001</v>
      </c>
      <c r="R65">
        <v>5</v>
      </c>
      <c r="S65">
        <v>147.19999999999999</v>
      </c>
    </row>
    <row r="66" spans="6:19" x14ac:dyDescent="0.2">
      <c r="F66" t="s">
        <v>85</v>
      </c>
      <c r="G66">
        <v>185</v>
      </c>
      <c r="H66">
        <v>48</v>
      </c>
      <c r="I66">
        <v>1094.6875</v>
      </c>
      <c r="J66">
        <v>10</v>
      </c>
      <c r="K66">
        <v>1234</v>
      </c>
      <c r="L66">
        <v>72</v>
      </c>
      <c r="M66">
        <v>629.3472222222</v>
      </c>
      <c r="N66">
        <v>65</v>
      </c>
      <c r="O66">
        <v>612.09230769229998</v>
      </c>
    </row>
    <row r="67" spans="6:19" x14ac:dyDescent="0.2">
      <c r="F67" t="s">
        <v>66</v>
      </c>
      <c r="G67">
        <v>5505</v>
      </c>
      <c r="H67">
        <v>3721</v>
      </c>
      <c r="I67">
        <v>258.69094329479998</v>
      </c>
      <c r="J67">
        <v>571</v>
      </c>
      <c r="K67">
        <v>359.49912434330002</v>
      </c>
      <c r="L67">
        <v>1111</v>
      </c>
      <c r="M67">
        <v>408.1233123312</v>
      </c>
      <c r="N67">
        <v>666</v>
      </c>
      <c r="O67">
        <v>592.90840840839996</v>
      </c>
      <c r="R67">
        <v>7</v>
      </c>
      <c r="S67">
        <v>423.14285714290003</v>
      </c>
    </row>
    <row r="68" spans="6:19" x14ac:dyDescent="0.2">
      <c r="F68" t="s">
        <v>430</v>
      </c>
      <c r="G68">
        <v>22</v>
      </c>
      <c r="H68">
        <v>7</v>
      </c>
      <c r="I68">
        <v>361</v>
      </c>
      <c r="L68">
        <v>4</v>
      </c>
      <c r="M68">
        <v>578</v>
      </c>
      <c r="N68">
        <v>10</v>
      </c>
      <c r="O68">
        <v>237.9</v>
      </c>
      <c r="R68">
        <v>1</v>
      </c>
      <c r="S68">
        <v>339</v>
      </c>
    </row>
    <row r="69" spans="6:19" x14ac:dyDescent="0.2">
      <c r="F69" t="s">
        <v>86</v>
      </c>
      <c r="G69">
        <v>9261</v>
      </c>
      <c r="H69">
        <v>7090</v>
      </c>
      <c r="I69">
        <v>250.07517630469999</v>
      </c>
      <c r="J69">
        <v>1059</v>
      </c>
      <c r="K69">
        <v>487.45986779980001</v>
      </c>
      <c r="L69">
        <v>1159</v>
      </c>
      <c r="M69">
        <v>177.6514236411</v>
      </c>
      <c r="N69">
        <v>992</v>
      </c>
      <c r="O69">
        <v>347.41330645160002</v>
      </c>
      <c r="R69">
        <v>20</v>
      </c>
      <c r="S69">
        <v>288.64999999999998</v>
      </c>
    </row>
    <row r="70" spans="6:19" x14ac:dyDescent="0.2">
      <c r="F70" t="s">
        <v>138</v>
      </c>
      <c r="G70">
        <v>126</v>
      </c>
      <c r="H70">
        <v>78</v>
      </c>
      <c r="I70">
        <v>127.23076923079999</v>
      </c>
      <c r="J70">
        <v>49</v>
      </c>
      <c r="K70">
        <v>329.28571428570001</v>
      </c>
      <c r="L70">
        <v>21</v>
      </c>
      <c r="M70">
        <v>243.80952380950001</v>
      </c>
      <c r="N70">
        <v>27</v>
      </c>
      <c r="O70">
        <v>478.962962963</v>
      </c>
    </row>
    <row r="71" spans="6:19" x14ac:dyDescent="0.2">
      <c r="F71" t="s">
        <v>369</v>
      </c>
      <c r="G71">
        <v>56480</v>
      </c>
      <c r="H71">
        <v>40479</v>
      </c>
      <c r="I71">
        <v>360.27875089560001</v>
      </c>
      <c r="J71">
        <v>4801</v>
      </c>
      <c r="K71">
        <v>546.03186836079999</v>
      </c>
      <c r="L71">
        <v>9976</v>
      </c>
      <c r="M71">
        <v>575.63993584599996</v>
      </c>
      <c r="N71">
        <v>5921</v>
      </c>
      <c r="O71">
        <v>552.26819793950006</v>
      </c>
      <c r="R71">
        <v>104</v>
      </c>
      <c r="S71">
        <v>402.20192307690002</v>
      </c>
    </row>
    <row r="72" spans="6:19" x14ac:dyDescent="0.2">
      <c r="F72" t="s">
        <v>698</v>
      </c>
      <c r="G72">
        <v>325918</v>
      </c>
      <c r="H72">
        <v>234684</v>
      </c>
      <c r="I72">
        <v>398.73424410029997</v>
      </c>
      <c r="J72">
        <v>22675</v>
      </c>
      <c r="K72">
        <v>584.45543550169998</v>
      </c>
      <c r="L72">
        <v>54667</v>
      </c>
      <c r="M72">
        <v>611.94879909270003</v>
      </c>
      <c r="N72">
        <v>25106</v>
      </c>
      <c r="O72">
        <v>519.50760895550002</v>
      </c>
      <c r="P72">
        <v>11006</v>
      </c>
      <c r="Q72">
        <v>182.87557938739999</v>
      </c>
      <c r="R72">
        <v>455</v>
      </c>
      <c r="S72">
        <v>446.6835164835</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1036</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1038</v>
      </c>
      <c r="G4" t="s">
        <v>437</v>
      </c>
      <c r="H4" t="s">
        <v>6</v>
      </c>
      <c r="I4">
        <v>-99</v>
      </c>
      <c r="J4">
        <v>1</v>
      </c>
      <c r="K4" t="s">
        <v>6</v>
      </c>
      <c r="L4">
        <v>-99</v>
      </c>
      <c r="M4" t="s">
        <v>654</v>
      </c>
      <c r="N4" t="s">
        <v>654</v>
      </c>
      <c r="O4">
        <v>-99</v>
      </c>
      <c r="P4">
        <v>-99</v>
      </c>
      <c r="Q4">
        <v>1</v>
      </c>
      <c r="R4" t="s">
        <v>211</v>
      </c>
    </row>
    <row r="5" spans="1:18" x14ac:dyDescent="0.2">
      <c r="A5">
        <v>4</v>
      </c>
      <c r="B5">
        <v>-99</v>
      </c>
      <c r="C5" t="s">
        <v>439</v>
      </c>
      <c r="D5" t="s">
        <v>6</v>
      </c>
      <c r="E5" t="s">
        <v>439</v>
      </c>
      <c r="F5" t="s">
        <v>1044</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1039</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1045</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1046</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1047</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1048</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132</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133</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134</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135</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139</v>
      </c>
      <c r="D22" t="s">
        <v>38</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140</v>
      </c>
      <c r="D23" t="s">
        <v>70</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140</v>
      </c>
      <c r="D24" t="s">
        <v>70</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141</v>
      </c>
      <c r="D25" t="s">
        <v>63</v>
      </c>
      <c r="E25" t="s">
        <v>517</v>
      </c>
      <c r="F25" t="s">
        <v>518</v>
      </c>
      <c r="G25" t="s">
        <v>656</v>
      </c>
      <c r="H25" t="s">
        <v>370</v>
      </c>
      <c r="I25">
        <v>380</v>
      </c>
      <c r="J25">
        <v>30</v>
      </c>
      <c r="K25" t="s">
        <v>369</v>
      </c>
      <c r="L25">
        <v>8237</v>
      </c>
      <c r="M25" t="s">
        <v>335</v>
      </c>
      <c r="N25" t="s">
        <v>63</v>
      </c>
      <c r="O25">
        <v>1</v>
      </c>
      <c r="P25">
        <v>2</v>
      </c>
      <c r="Q25">
        <v>-99</v>
      </c>
      <c r="R25" t="s">
        <v>682</v>
      </c>
    </row>
    <row r="26" spans="1:18" x14ac:dyDescent="0.2">
      <c r="A26">
        <v>25</v>
      </c>
      <c r="B26">
        <v>11</v>
      </c>
      <c r="C26" t="s">
        <v>142</v>
      </c>
      <c r="D26" t="s">
        <v>24</v>
      </c>
      <c r="E26" t="s">
        <v>519</v>
      </c>
      <c r="F26" t="s">
        <v>520</v>
      </c>
      <c r="G26" t="s">
        <v>656</v>
      </c>
      <c r="H26" t="s">
        <v>370</v>
      </c>
      <c r="I26">
        <v>380</v>
      </c>
      <c r="J26">
        <v>30</v>
      </c>
      <c r="K26" t="s">
        <v>369</v>
      </c>
      <c r="L26">
        <v>8238</v>
      </c>
      <c r="M26" t="s">
        <v>335</v>
      </c>
      <c r="N26" t="s">
        <v>63</v>
      </c>
      <c r="O26">
        <v>1</v>
      </c>
      <c r="P26">
        <v>2</v>
      </c>
      <c r="Q26">
        <v>-99</v>
      </c>
      <c r="R26" t="s">
        <v>682</v>
      </c>
    </row>
    <row r="27" spans="1:18" x14ac:dyDescent="0.2">
      <c r="A27">
        <v>26</v>
      </c>
      <c r="B27">
        <v>12</v>
      </c>
      <c r="C27" t="s">
        <v>143</v>
      </c>
      <c r="D27" t="s">
        <v>47</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144</v>
      </c>
      <c r="D28" t="s">
        <v>64</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102</v>
      </c>
      <c r="D29" t="s">
        <v>66</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102</v>
      </c>
      <c r="D30" t="s">
        <v>66</v>
      </c>
      <c r="E30" t="s">
        <v>527</v>
      </c>
      <c r="F30" t="s">
        <v>213</v>
      </c>
      <c r="G30" t="s">
        <v>656</v>
      </c>
      <c r="H30" t="s">
        <v>370</v>
      </c>
      <c r="I30">
        <v>380</v>
      </c>
      <c r="J30">
        <v>30</v>
      </c>
      <c r="K30" t="s">
        <v>369</v>
      </c>
      <c r="L30">
        <v>8242</v>
      </c>
      <c r="M30" t="s">
        <v>347</v>
      </c>
      <c r="N30" t="s">
        <v>375</v>
      </c>
      <c r="O30">
        <v>-99</v>
      </c>
      <c r="P30">
        <v>1</v>
      </c>
      <c r="Q30">
        <v>-99</v>
      </c>
      <c r="R30" t="s">
        <v>211</v>
      </c>
    </row>
    <row r="31" spans="1:18" x14ac:dyDescent="0.2">
      <c r="A31">
        <v>30</v>
      </c>
      <c r="B31">
        <v>15</v>
      </c>
      <c r="C31" t="s">
        <v>145</v>
      </c>
      <c r="D31" t="s">
        <v>68</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145</v>
      </c>
      <c r="D32" t="s">
        <v>68</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146</v>
      </c>
      <c r="D33" t="s">
        <v>36</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106</v>
      </c>
      <c r="D34" t="s">
        <v>72</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147</v>
      </c>
      <c r="D35" t="s">
        <v>50</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148</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149</v>
      </c>
      <c r="D37" t="s">
        <v>80</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150</v>
      </c>
      <c r="D38" t="s">
        <v>86</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150</v>
      </c>
      <c r="D39" t="s">
        <v>86</v>
      </c>
      <c r="E39" t="s">
        <v>544</v>
      </c>
      <c r="F39" t="s">
        <v>216</v>
      </c>
      <c r="G39" t="s">
        <v>657</v>
      </c>
      <c r="H39" t="s">
        <v>377</v>
      </c>
      <c r="I39">
        <v>381</v>
      </c>
      <c r="J39">
        <v>30</v>
      </c>
      <c r="K39" t="s">
        <v>369</v>
      </c>
      <c r="L39">
        <v>8249</v>
      </c>
      <c r="M39" t="s">
        <v>348</v>
      </c>
      <c r="N39" t="s">
        <v>382</v>
      </c>
      <c r="O39">
        <v>-99</v>
      </c>
      <c r="P39">
        <v>1</v>
      </c>
      <c r="Q39">
        <v>-99</v>
      </c>
      <c r="R39" t="s">
        <v>679</v>
      </c>
    </row>
    <row r="40" spans="1:18" x14ac:dyDescent="0.2">
      <c r="A40">
        <v>39</v>
      </c>
      <c r="B40">
        <v>-99</v>
      </c>
      <c r="C40" t="s">
        <v>150</v>
      </c>
      <c r="D40" t="s">
        <v>86</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151</v>
      </c>
      <c r="D41" t="s">
        <v>42</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94</v>
      </c>
      <c r="D42" t="s">
        <v>61</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152</v>
      </c>
      <c r="D43" t="s">
        <v>62</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153</v>
      </c>
      <c r="D44" t="s">
        <v>60</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154</v>
      </c>
      <c r="D45" t="s">
        <v>52</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154</v>
      </c>
      <c r="D46" t="s">
        <v>52</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155</v>
      </c>
      <c r="D47" t="s">
        <v>41</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156</v>
      </c>
      <c r="D48" t="s">
        <v>51</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157</v>
      </c>
      <c r="D49" t="s">
        <v>56</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157</v>
      </c>
      <c r="D50" t="s">
        <v>56</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158</v>
      </c>
      <c r="D51" t="s">
        <v>40</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159</v>
      </c>
      <c r="D52" t="s">
        <v>45</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160</v>
      </c>
      <c r="D53" t="s">
        <v>59</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160</v>
      </c>
      <c r="D54" t="s">
        <v>59</v>
      </c>
      <c r="E54" t="s">
        <v>572</v>
      </c>
      <c r="F54" t="s">
        <v>212</v>
      </c>
      <c r="G54" t="s">
        <v>658</v>
      </c>
      <c r="H54" t="s">
        <v>386</v>
      </c>
      <c r="I54">
        <v>382</v>
      </c>
      <c r="J54">
        <v>32</v>
      </c>
      <c r="K54" t="s">
        <v>390</v>
      </c>
      <c r="L54">
        <v>8260</v>
      </c>
      <c r="M54" t="s">
        <v>316</v>
      </c>
      <c r="N54" t="s">
        <v>396</v>
      </c>
      <c r="O54">
        <v>-99</v>
      </c>
      <c r="P54">
        <v>1</v>
      </c>
      <c r="Q54">
        <v>-99</v>
      </c>
      <c r="R54" t="s">
        <v>211</v>
      </c>
    </row>
    <row r="55" spans="1:18" x14ac:dyDescent="0.2">
      <c r="A55">
        <v>54</v>
      </c>
      <c r="B55">
        <v>58</v>
      </c>
      <c r="C55" t="s">
        <v>161</v>
      </c>
      <c r="D55" t="s">
        <v>78</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162</v>
      </c>
      <c r="D56" t="s">
        <v>44</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163</v>
      </c>
      <c r="D57" t="s">
        <v>53</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164</v>
      </c>
      <c r="D58" t="s">
        <v>79</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164</v>
      </c>
      <c r="D59" t="s">
        <v>79</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164</v>
      </c>
      <c r="D60" t="s">
        <v>79</v>
      </c>
      <c r="E60" t="s">
        <v>582</v>
      </c>
      <c r="F60" t="s">
        <v>215</v>
      </c>
      <c r="G60" t="s">
        <v>658</v>
      </c>
      <c r="H60" t="s">
        <v>386</v>
      </c>
      <c r="I60">
        <v>382</v>
      </c>
      <c r="J60">
        <v>32</v>
      </c>
      <c r="K60" t="s">
        <v>390</v>
      </c>
      <c r="L60">
        <v>8264</v>
      </c>
      <c r="M60" t="s">
        <v>333</v>
      </c>
      <c r="N60" t="s">
        <v>401</v>
      </c>
      <c r="O60">
        <v>-99</v>
      </c>
      <c r="P60">
        <v>1</v>
      </c>
      <c r="Q60">
        <v>-99</v>
      </c>
      <c r="R60" t="s">
        <v>211</v>
      </c>
    </row>
    <row r="61" spans="1:18" x14ac:dyDescent="0.2">
      <c r="A61">
        <v>60</v>
      </c>
      <c r="B61">
        <v>100</v>
      </c>
      <c r="C61" t="s">
        <v>165</v>
      </c>
      <c r="D61" t="s">
        <v>43</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166</v>
      </c>
      <c r="D62" t="s">
        <v>34</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167</v>
      </c>
      <c r="D63" t="s">
        <v>73</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167</v>
      </c>
      <c r="D64" t="s">
        <v>73</v>
      </c>
      <c r="E64" t="s">
        <v>589</v>
      </c>
      <c r="F64" t="s">
        <v>214</v>
      </c>
      <c r="G64" t="s">
        <v>660</v>
      </c>
      <c r="H64" t="s">
        <v>402</v>
      </c>
      <c r="I64">
        <v>383</v>
      </c>
      <c r="J64">
        <v>33</v>
      </c>
      <c r="K64" t="s">
        <v>385</v>
      </c>
      <c r="L64">
        <v>8270</v>
      </c>
      <c r="M64" t="s">
        <v>344</v>
      </c>
      <c r="N64" t="s">
        <v>406</v>
      </c>
      <c r="O64">
        <v>-99</v>
      </c>
      <c r="P64">
        <v>1</v>
      </c>
      <c r="Q64">
        <v>-99</v>
      </c>
      <c r="R64" t="s">
        <v>679</v>
      </c>
    </row>
    <row r="65" spans="1:18" x14ac:dyDescent="0.2">
      <c r="A65">
        <v>64</v>
      </c>
      <c r="B65">
        <v>103</v>
      </c>
      <c r="C65" t="s">
        <v>168</v>
      </c>
      <c r="D65" t="s">
        <v>65</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169</v>
      </c>
      <c r="D66" t="s">
        <v>55</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170</v>
      </c>
      <c r="D67" t="s">
        <v>67</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171</v>
      </c>
      <c r="D68" t="s">
        <v>76</v>
      </c>
      <c r="E68" t="s">
        <v>596</v>
      </c>
      <c r="F68" t="s">
        <v>597</v>
      </c>
      <c r="G68" t="s">
        <v>660</v>
      </c>
      <c r="H68" t="s">
        <v>402</v>
      </c>
      <c r="I68">
        <v>383</v>
      </c>
      <c r="J68">
        <v>34</v>
      </c>
      <c r="K68" t="s">
        <v>404</v>
      </c>
      <c r="L68">
        <v>8203</v>
      </c>
      <c r="M68" t="s">
        <v>329</v>
      </c>
      <c r="N68" t="s">
        <v>83</v>
      </c>
      <c r="O68">
        <v>1</v>
      </c>
      <c r="P68">
        <v>1</v>
      </c>
      <c r="Q68">
        <v>-99</v>
      </c>
      <c r="R68" t="s">
        <v>682</v>
      </c>
    </row>
    <row r="69" spans="1:18" x14ac:dyDescent="0.2">
      <c r="A69">
        <v>68</v>
      </c>
      <c r="B69">
        <v>-99</v>
      </c>
      <c r="C69" t="s">
        <v>171</v>
      </c>
      <c r="D69" t="s">
        <v>76</v>
      </c>
      <c r="E69" t="s">
        <v>598</v>
      </c>
      <c r="F69" t="s">
        <v>599</v>
      </c>
      <c r="G69" t="s">
        <v>660</v>
      </c>
      <c r="H69" t="s">
        <v>402</v>
      </c>
      <c r="I69">
        <v>383</v>
      </c>
      <c r="J69">
        <v>34</v>
      </c>
      <c r="K69" t="s">
        <v>404</v>
      </c>
      <c r="L69">
        <v>8203</v>
      </c>
      <c r="M69" t="s">
        <v>329</v>
      </c>
      <c r="N69" t="s">
        <v>83</v>
      </c>
      <c r="O69">
        <v>-99</v>
      </c>
      <c r="P69">
        <v>1</v>
      </c>
      <c r="Q69">
        <v>-99</v>
      </c>
      <c r="R69" t="s">
        <v>398</v>
      </c>
    </row>
    <row r="70" spans="1:18" x14ac:dyDescent="0.2">
      <c r="A70">
        <v>69</v>
      </c>
      <c r="B70">
        <v>111</v>
      </c>
      <c r="C70" t="s">
        <v>172</v>
      </c>
      <c r="D70" t="s">
        <v>37</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173</v>
      </c>
      <c r="D71" t="s">
        <v>69</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174</v>
      </c>
      <c r="D72" t="s">
        <v>82</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175</v>
      </c>
      <c r="D73" t="s">
        <v>54</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176</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177</v>
      </c>
      <c r="D75" t="s">
        <v>71</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178</v>
      </c>
      <c r="D76" t="s">
        <v>75</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179</v>
      </c>
      <c r="D77" t="s">
        <v>58</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180</v>
      </c>
      <c r="D78" t="s">
        <v>49</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181</v>
      </c>
      <c r="D80" t="s">
        <v>57</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182</v>
      </c>
      <c r="D82" t="s">
        <v>74</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182</v>
      </c>
      <c r="D83" t="s">
        <v>74</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1057</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183</v>
      </c>
      <c r="D85" t="s">
        <v>81</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92</v>
      </c>
      <c r="D86" t="s">
        <v>138</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185</v>
      </c>
      <c r="D87" t="s">
        <v>184</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186</v>
      </c>
      <c r="D88" t="s">
        <v>46</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187</v>
      </c>
      <c r="D89" t="s">
        <v>77</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39</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188</v>
      </c>
      <c r="D91" t="s">
        <v>84</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189</v>
      </c>
      <c r="D92" t="s">
        <v>48</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190</v>
      </c>
      <c r="D93" t="s">
        <v>85</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191</v>
      </c>
      <c r="D94" t="s">
        <v>35</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227</v>
      </c>
      <c r="G95" t="s">
        <v>654</v>
      </c>
      <c r="H95" t="s">
        <v>8</v>
      </c>
      <c r="I95">
        <v>-99</v>
      </c>
      <c r="J95">
        <v>-99</v>
      </c>
      <c r="K95" t="s">
        <v>8</v>
      </c>
      <c r="L95">
        <v>-99</v>
      </c>
      <c r="M95" t="s">
        <v>654</v>
      </c>
      <c r="N95" t="s">
        <v>654</v>
      </c>
      <c r="O95">
        <v>-99</v>
      </c>
      <c r="P95">
        <v>-99</v>
      </c>
      <c r="Q95">
        <v>-99</v>
      </c>
      <c r="R95" t="s">
        <v>211</v>
      </c>
    </row>
    <row r="96" spans="1:18" x14ac:dyDescent="0.2">
      <c r="A96">
        <v>95</v>
      </c>
      <c r="B96">
        <v>-99</v>
      </c>
      <c r="C96" t="s">
        <v>674</v>
      </c>
      <c r="D96" t="s">
        <v>8</v>
      </c>
      <c r="E96" t="s">
        <v>676</v>
      </c>
      <c r="F96" t="s">
        <v>307</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306</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1056</v>
      </c>
      <c r="E98" t="s">
        <v>666</v>
      </c>
      <c r="F98" t="s">
        <v>1056</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35</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215</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212</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213</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138</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49</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68</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308</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308</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63</v>
      </c>
      <c r="C22" t="s">
        <v>63</v>
      </c>
      <c r="D22" t="s">
        <v>466</v>
      </c>
      <c r="E22" t="s">
        <v>369</v>
      </c>
    </row>
    <row r="23" spans="1:5" x14ac:dyDescent="0.2">
      <c r="A23" t="s">
        <v>348</v>
      </c>
      <c r="B23" t="s">
        <v>382</v>
      </c>
      <c r="C23" t="s">
        <v>382</v>
      </c>
      <c r="D23" t="s">
        <v>308</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308</v>
      </c>
      <c r="D29" t="s">
        <v>454</v>
      </c>
      <c r="E29" t="s">
        <v>8</v>
      </c>
    </row>
    <row r="30" spans="1:5" x14ac:dyDescent="0.2">
      <c r="A30" t="s">
        <v>365</v>
      </c>
      <c r="B30" t="s">
        <v>417</v>
      </c>
      <c r="C30" t="s">
        <v>417</v>
      </c>
      <c r="D30" t="s">
        <v>466</v>
      </c>
      <c r="E30" t="s">
        <v>369</v>
      </c>
    </row>
    <row r="31" spans="1:5" x14ac:dyDescent="0.2">
      <c r="A31" t="s">
        <v>346</v>
      </c>
      <c r="B31" t="s">
        <v>414</v>
      </c>
      <c r="C31" t="s">
        <v>414</v>
      </c>
      <c r="D31" t="s">
        <v>308</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308</v>
      </c>
      <c r="D38" t="s">
        <v>454</v>
      </c>
      <c r="E38" t="s">
        <v>8</v>
      </c>
    </row>
    <row r="39" spans="1:5" x14ac:dyDescent="0.2">
      <c r="A39" t="s">
        <v>351</v>
      </c>
      <c r="B39" t="s">
        <v>409</v>
      </c>
      <c r="C39" t="s">
        <v>409</v>
      </c>
      <c r="D39" t="s">
        <v>469</v>
      </c>
      <c r="E39" t="s">
        <v>404</v>
      </c>
    </row>
    <row r="40" spans="1:5" x14ac:dyDescent="0.2">
      <c r="A40" t="s">
        <v>484</v>
      </c>
      <c r="B40" t="s">
        <v>485</v>
      </c>
      <c r="C40" t="s">
        <v>308</v>
      </c>
      <c r="D40" t="s">
        <v>454</v>
      </c>
      <c r="E40" t="s">
        <v>8</v>
      </c>
    </row>
    <row r="41" spans="1:5" x14ac:dyDescent="0.2">
      <c r="A41" t="s">
        <v>471</v>
      </c>
      <c r="B41" t="s">
        <v>472</v>
      </c>
      <c r="C41" t="s">
        <v>308</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308</v>
      </c>
      <c r="D52" t="s">
        <v>454</v>
      </c>
      <c r="E52" t="s">
        <v>8</v>
      </c>
    </row>
    <row r="53" spans="1:5" x14ac:dyDescent="0.2">
      <c r="A53" t="s">
        <v>482</v>
      </c>
      <c r="B53" t="s">
        <v>483</v>
      </c>
      <c r="C53" t="s">
        <v>308</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83</v>
      </c>
      <c r="C61" t="s">
        <v>83</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1035</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63</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63</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83</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83</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42364</v>
      </c>
      <c r="C20">
        <v>24101</v>
      </c>
      <c r="D20">
        <v>12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40" t="s">
        <v>979</v>
      </c>
      <c r="C2" s="341"/>
      <c r="D2" s="341"/>
      <c r="E2" s="341"/>
      <c r="F2" s="341"/>
      <c r="G2" s="342"/>
      <c r="H2" s="135" t="s">
        <v>5</v>
      </c>
      <c r="I2" s="136" t="s">
        <v>2</v>
      </c>
      <c r="J2" s="136" t="s">
        <v>231</v>
      </c>
      <c r="K2" s="134"/>
    </row>
    <row r="3" spans="1:11" ht="59.25" customHeight="1" x14ac:dyDescent="0.2">
      <c r="A3" s="130"/>
      <c r="B3" s="343"/>
      <c r="C3" s="344"/>
      <c r="D3" s="344"/>
      <c r="E3" s="344"/>
      <c r="F3" s="344"/>
      <c r="G3" s="344"/>
      <c r="H3" s="336">
        <f>SUM(H5,H10)</f>
        <v>361973</v>
      </c>
      <c r="I3" s="336">
        <f>SUM(I5,I10)</f>
        <v>74348</v>
      </c>
      <c r="J3" s="338">
        <f>ROUND(I3/H3,5)</f>
        <v>0.2054</v>
      </c>
      <c r="K3" s="134"/>
    </row>
    <row r="4" spans="1:11" ht="33" customHeight="1" thickBot="1" x14ac:dyDescent="0.25">
      <c r="A4" s="130"/>
      <c r="B4" s="345" t="str">
        <f>"As of: "&amp;TEXT(INDEX(MMWR_DATES[],1,1),"MMMM DD, YYYY")</f>
        <v>As of: December 26, 2015</v>
      </c>
      <c r="C4" s="346"/>
      <c r="D4" s="346"/>
      <c r="E4" s="346"/>
      <c r="F4" s="346"/>
      <c r="G4" s="347"/>
      <c r="H4" s="337"/>
      <c r="I4" s="337"/>
      <c r="J4" s="339"/>
      <c r="K4" s="137"/>
    </row>
    <row r="5" spans="1:11" ht="16.5" customHeight="1" thickBot="1" x14ac:dyDescent="0.25">
      <c r="A5" s="130"/>
      <c r="B5" s="334" t="s">
        <v>236</v>
      </c>
      <c r="C5" s="335"/>
      <c r="D5" s="335"/>
      <c r="E5" s="335"/>
      <c r="F5" s="335"/>
      <c r="G5" s="138" t="s">
        <v>247</v>
      </c>
      <c r="H5" s="159">
        <f>SUM(H6:H9)</f>
        <v>137488</v>
      </c>
      <c r="I5" s="159">
        <f>SUM(I6:I9)</f>
        <v>33587</v>
      </c>
      <c r="J5" s="160">
        <f t="shared" ref="J5:J15" si="0">IF(H5=0, 0,I5/H5)</f>
        <v>0.24429041079948796</v>
      </c>
      <c r="K5" s="134"/>
    </row>
    <row r="6" spans="1:11" ht="16.5" customHeight="1" x14ac:dyDescent="0.2">
      <c r="A6" s="130"/>
      <c r="B6" s="299" t="s">
        <v>16</v>
      </c>
      <c r="C6" s="300"/>
      <c r="D6" s="300"/>
      <c r="E6" s="300"/>
      <c r="F6" s="300"/>
      <c r="G6" s="139" t="s">
        <v>193</v>
      </c>
      <c r="H6" s="161">
        <f>IFERROR(VLOOKUP(MID($G6,4,3),MMWR_TRAD_AGG_NATIONAL[],2,0),0)</f>
        <v>40251</v>
      </c>
      <c r="I6" s="161">
        <f>IFERROR(VLOOKUP(MID($G6,4,3),MMWR_TRAD_AGG_NATIONAL[],3,0),0)</f>
        <v>12019</v>
      </c>
      <c r="J6" s="162">
        <f t="shared" si="0"/>
        <v>0.29860127698690714</v>
      </c>
      <c r="K6" s="134"/>
    </row>
    <row r="7" spans="1:11" ht="16.5" customHeight="1" x14ac:dyDescent="0.2">
      <c r="A7" s="130"/>
      <c r="B7" s="301" t="s">
        <v>0</v>
      </c>
      <c r="C7" s="302"/>
      <c r="D7" s="302"/>
      <c r="E7" s="302"/>
      <c r="F7" s="302"/>
      <c r="G7" s="140" t="s">
        <v>194</v>
      </c>
      <c r="H7" s="161">
        <f>IFERROR(VLOOKUP(MID($G7,4,3),MMWR_TRAD_AGG_NATIONAL[],2,0),0)</f>
        <v>80626</v>
      </c>
      <c r="I7" s="161">
        <f>IFERROR(VLOOKUP(MID($G7,4,3),MMWR_TRAD_AGG_NATIONAL[],3,0),0)</f>
        <v>19746</v>
      </c>
      <c r="J7" s="162">
        <f t="shared" si="0"/>
        <v>0.24490859028105078</v>
      </c>
      <c r="K7" s="134"/>
    </row>
    <row r="8" spans="1:11" ht="16.5" customHeight="1" x14ac:dyDescent="0.2">
      <c r="A8" s="130"/>
      <c r="B8" s="303" t="s">
        <v>237</v>
      </c>
      <c r="C8" s="304"/>
      <c r="D8" s="304"/>
      <c r="E8" s="304"/>
      <c r="F8" s="304"/>
      <c r="G8" s="141" t="s">
        <v>196</v>
      </c>
      <c r="H8" s="161">
        <f>IFERROR(VLOOKUP(MID($G8,4,3),MMWR_TRAD_AGG_NATIONAL[],2,0),0)</f>
        <v>8573</v>
      </c>
      <c r="I8" s="161">
        <f>IFERROR(VLOOKUP(MID($G8,4,3),MMWR_TRAD_AGG_NATIONAL[],3,0),0)</f>
        <v>438</v>
      </c>
      <c r="J8" s="162">
        <f t="shared" si="0"/>
        <v>5.1090633383879619E-2</v>
      </c>
      <c r="K8" s="134"/>
    </row>
    <row r="9" spans="1:11" ht="16.5" customHeight="1" thickBot="1" x14ac:dyDescent="0.25">
      <c r="A9" s="130"/>
      <c r="B9" s="308" t="s">
        <v>17</v>
      </c>
      <c r="C9" s="309"/>
      <c r="D9" s="309"/>
      <c r="E9" s="309"/>
      <c r="F9" s="309"/>
      <c r="G9" s="140" t="s">
        <v>198</v>
      </c>
      <c r="H9" s="161">
        <f>IFERROR(VLOOKUP(MID($G9,4,3),MMWR_TRAD_AGG_NATIONAL[],2,0),0)</f>
        <v>8038</v>
      </c>
      <c r="I9" s="161">
        <f>IFERROR(VLOOKUP(MID($G9,4,3),MMWR_TRAD_AGG_NATIONAL[],3,0),0)</f>
        <v>1384</v>
      </c>
      <c r="J9" s="162">
        <f t="shared" si="0"/>
        <v>0.17218213485941777</v>
      </c>
      <c r="K9" s="134"/>
    </row>
    <row r="10" spans="1:11" ht="17.25" thickBot="1" x14ac:dyDescent="0.25">
      <c r="A10" s="130"/>
      <c r="B10" s="334" t="s">
        <v>1</v>
      </c>
      <c r="C10" s="335"/>
      <c r="D10" s="335"/>
      <c r="E10" s="335"/>
      <c r="F10" s="335"/>
      <c r="G10" s="138" t="s">
        <v>247</v>
      </c>
      <c r="H10" s="159">
        <f>SUM(H11:H18)</f>
        <v>224485</v>
      </c>
      <c r="I10" s="159">
        <f>SUM(I11:I18)</f>
        <v>40761</v>
      </c>
      <c r="J10" s="160">
        <f t="shared" si="0"/>
        <v>0.18157560638795464</v>
      </c>
      <c r="K10" s="134"/>
    </row>
    <row r="11" spans="1:11" ht="16.5" customHeight="1" x14ac:dyDescent="0.2">
      <c r="A11" s="130"/>
      <c r="B11" s="299" t="s">
        <v>202</v>
      </c>
      <c r="C11" s="300"/>
      <c r="D11" s="300"/>
      <c r="E11" s="300"/>
      <c r="F11" s="300"/>
      <c r="G11" s="142" t="s">
        <v>197</v>
      </c>
      <c r="H11" s="163">
        <f>IFERROR(VLOOKUP(MID($G11,4,3),MMWR_TRAD_AGG_NATIONAL[],2,0),0)</f>
        <v>7948</v>
      </c>
      <c r="I11" s="161">
        <f>IFERROR(VLOOKUP(MID($G11,4,3),MMWR_TRAD_AGG_NATIONAL[],3,0),0)</f>
        <v>346</v>
      </c>
      <c r="J11" s="162">
        <f t="shared" si="0"/>
        <v>4.3532964267740309E-2</v>
      </c>
      <c r="K11" s="134"/>
    </row>
    <row r="12" spans="1:11" ht="16.5" customHeight="1" x14ac:dyDescent="0.2">
      <c r="A12" s="130"/>
      <c r="B12" s="301" t="s">
        <v>18</v>
      </c>
      <c r="C12" s="302"/>
      <c r="D12" s="302"/>
      <c r="E12" s="302"/>
      <c r="F12" s="302"/>
      <c r="G12" s="143" t="s">
        <v>195</v>
      </c>
      <c r="H12" s="164">
        <f>IFERROR(VLOOKUP(MID($G12,4,3),MMWR_TRAD_AGG_NATIONAL[],2,0),0)</f>
        <v>200696</v>
      </c>
      <c r="I12" s="161">
        <f>IFERROR(VLOOKUP(MID($G12,4,3),MMWR_TRAD_AGG_NATIONAL[],3,0),0)</f>
        <v>38562</v>
      </c>
      <c r="J12" s="162">
        <f t="shared" si="0"/>
        <v>0.19214134810858213</v>
      </c>
      <c r="K12" s="134"/>
    </row>
    <row r="13" spans="1:11" ht="16.5" customHeight="1" x14ac:dyDescent="0.2">
      <c r="A13" s="130"/>
      <c r="B13" s="301" t="s">
        <v>14</v>
      </c>
      <c r="C13" s="302"/>
      <c r="D13" s="302"/>
      <c r="E13" s="302"/>
      <c r="F13" s="302"/>
      <c r="G13" s="143" t="s">
        <v>199</v>
      </c>
      <c r="H13" s="164">
        <f>IFERROR(VLOOKUP(MID($G13,4,3),MMWR_TRAD_AGG_NATIONAL[],2,0),0)</f>
        <v>15009</v>
      </c>
      <c r="I13" s="161">
        <f>IFERROR(VLOOKUP(MID($G13,4,3),MMWR_TRAD_AGG_NATIONAL[],3,0),0)</f>
        <v>1512</v>
      </c>
      <c r="J13" s="162">
        <f t="shared" si="0"/>
        <v>0.10073955626624026</v>
      </c>
      <c r="K13" s="134"/>
    </row>
    <row r="14" spans="1:11" ht="16.5" customHeight="1" x14ac:dyDescent="0.2">
      <c r="A14" s="130"/>
      <c r="B14" s="303" t="s">
        <v>19</v>
      </c>
      <c r="C14" s="304"/>
      <c r="D14" s="304"/>
      <c r="E14" s="304"/>
      <c r="F14" s="304"/>
      <c r="G14" s="142" t="s">
        <v>200</v>
      </c>
      <c r="H14" s="164">
        <f>IFERROR(VLOOKUP(MID($G14,4,3),MMWR_TRAD_AGG_NATIONAL[],2,0),0)</f>
        <v>806</v>
      </c>
      <c r="I14" s="161">
        <f>IFERROR(VLOOKUP(MID($G14,4,3),MMWR_TRAD_AGG_NATIONAL[],3,0),0)</f>
        <v>335</v>
      </c>
      <c r="J14" s="162">
        <f t="shared" si="0"/>
        <v>0.41563275434243174</v>
      </c>
      <c r="K14" s="134"/>
    </row>
    <row r="15" spans="1:11" ht="16.5" customHeight="1" x14ac:dyDescent="0.2">
      <c r="A15" s="130"/>
      <c r="B15" s="303" t="s">
        <v>87</v>
      </c>
      <c r="C15" s="304"/>
      <c r="D15" s="304"/>
      <c r="E15" s="304"/>
      <c r="F15" s="304"/>
      <c r="G15" s="142" t="s">
        <v>203</v>
      </c>
      <c r="H15" s="164">
        <f>IFERROR(VLOOKUP(MID($G15,4,3),MMWR_TRAD_AGG_NATIONAL[],2,0),0)</f>
        <v>17</v>
      </c>
      <c r="I15" s="161">
        <f>IFERROR(VLOOKUP(MID($G15,4,3),MMWR_TRAD_AGG_NATIONAL[],3,0),0)</f>
        <v>2</v>
      </c>
      <c r="J15" s="162">
        <f t="shared" si="0"/>
        <v>0.11764705882352941</v>
      </c>
      <c r="K15" s="134"/>
    </row>
    <row r="16" spans="1:11" ht="15" x14ac:dyDescent="0.2">
      <c r="A16" s="130"/>
      <c r="B16" s="303" t="s">
        <v>88</v>
      </c>
      <c r="C16" s="304"/>
      <c r="D16" s="304"/>
      <c r="E16" s="304"/>
      <c r="F16" s="304"/>
      <c r="G16" s="142" t="s">
        <v>204</v>
      </c>
      <c r="H16" s="164">
        <f>IFERROR(VLOOKUP(MID($G16,4,3),MMWR_TRAD_AGG_NATIONAL[],2,0),0)</f>
        <v>1</v>
      </c>
      <c r="I16" s="161">
        <f>IFERROR(VLOOKUP(MID($G16,4,3),MMWR_TRAD_AGG_NATIONAL[],3,0),0)</f>
        <v>0</v>
      </c>
      <c r="J16" s="162">
        <f>IF(H16=0, 0,I16/H16)</f>
        <v>0</v>
      </c>
      <c r="K16" s="134"/>
    </row>
    <row r="17" spans="1:11" ht="16.5" customHeight="1" x14ac:dyDescent="0.2">
      <c r="A17" s="130"/>
      <c r="B17" s="303" t="s">
        <v>90</v>
      </c>
      <c r="C17" s="304"/>
      <c r="D17" s="304"/>
      <c r="E17" s="304"/>
      <c r="F17" s="304"/>
      <c r="G17" s="142" t="s">
        <v>205</v>
      </c>
      <c r="H17" s="164">
        <f>IFERROR(VLOOKUP(MID($G17,4,3),MMWR_TRAD_AGG_NATIONAL[],2,0),0)</f>
        <v>4</v>
      </c>
      <c r="I17" s="161">
        <f>IFERROR(VLOOKUP(MID($G17,4,3),MMWR_TRAD_AGG_NATIONAL[],3,0),0)</f>
        <v>1</v>
      </c>
      <c r="J17" s="162">
        <f>IF(H17=0, 0,I17/H17)</f>
        <v>0.25</v>
      </c>
      <c r="K17" s="134"/>
    </row>
    <row r="18" spans="1:11" ht="16.5" customHeight="1" thickBot="1" x14ac:dyDescent="0.25">
      <c r="A18" s="130"/>
      <c r="B18" s="308" t="s">
        <v>89</v>
      </c>
      <c r="C18" s="309"/>
      <c r="D18" s="309"/>
      <c r="E18" s="309"/>
      <c r="F18" s="309"/>
      <c r="G18" s="142" t="s">
        <v>206</v>
      </c>
      <c r="H18" s="165">
        <f>IFERROR(VLOOKUP(MID($G18,4,3),MMWR_TRAD_AGG_NATIONAL[],2,0),0)</f>
        <v>4</v>
      </c>
      <c r="I18" s="161">
        <f>IFERROR(VLOOKUP(MID($G18,4,3),MMWR_TRAD_AGG_NATIONAL[],3,0),0)</f>
        <v>3</v>
      </c>
      <c r="J18" s="166">
        <f>IF(H18=0, 0,I18/H18)</f>
        <v>0.75</v>
      </c>
      <c r="K18" s="134"/>
    </row>
    <row r="19" spans="1:11" ht="16.5" customHeight="1" x14ac:dyDescent="0.2">
      <c r="A19" s="130"/>
      <c r="B19" s="313" t="s">
        <v>969</v>
      </c>
      <c r="C19" s="314"/>
      <c r="D19" s="314"/>
      <c r="E19" s="314"/>
      <c r="F19" s="314"/>
      <c r="G19" s="314"/>
      <c r="H19" s="314"/>
      <c r="I19" s="314"/>
      <c r="J19" s="315"/>
      <c r="K19" s="134"/>
    </row>
    <row r="20" spans="1:11" ht="36" customHeight="1" thickBot="1" x14ac:dyDescent="0.25">
      <c r="A20" s="130"/>
      <c r="B20" s="316"/>
      <c r="C20" s="317"/>
      <c r="D20" s="317"/>
      <c r="E20" s="317"/>
      <c r="F20" s="317"/>
      <c r="G20" s="317"/>
      <c r="H20" s="317"/>
      <c r="I20" s="317"/>
      <c r="J20" s="318"/>
      <c r="K20" s="134"/>
    </row>
    <row r="21" spans="1:11" ht="36" customHeight="1" x14ac:dyDescent="0.2">
      <c r="A21" s="130"/>
      <c r="B21" s="328" t="s">
        <v>960</v>
      </c>
      <c r="C21" s="329"/>
      <c r="D21" s="330"/>
      <c r="E21" s="328" t="s">
        <v>961</v>
      </c>
      <c r="F21" s="329"/>
      <c r="G21" s="330"/>
      <c r="H21" s="328" t="s">
        <v>962</v>
      </c>
      <c r="I21" s="329"/>
      <c r="J21" s="330"/>
      <c r="K21" s="134"/>
    </row>
    <row r="22" spans="1:11" ht="29.25" customHeight="1" thickBot="1" x14ac:dyDescent="0.25">
      <c r="A22" s="130"/>
      <c r="B22" s="331"/>
      <c r="C22" s="332"/>
      <c r="D22" s="333"/>
      <c r="E22" s="331"/>
      <c r="F22" s="332"/>
      <c r="G22" s="333"/>
      <c r="H22" s="331"/>
      <c r="I22" s="332"/>
      <c r="J22" s="333"/>
      <c r="K22" s="134"/>
    </row>
    <row r="23" spans="1:11" ht="36" customHeight="1" x14ac:dyDescent="0.35">
      <c r="A23" s="130"/>
      <c r="B23" s="328" t="s">
        <v>954</v>
      </c>
      <c r="C23" s="329"/>
      <c r="D23" s="330"/>
      <c r="E23" s="328" t="s">
        <v>955</v>
      </c>
      <c r="F23" s="329"/>
      <c r="G23" s="330"/>
      <c r="H23" s="144"/>
      <c r="I23" s="144"/>
      <c r="J23" s="144"/>
      <c r="K23" s="134"/>
    </row>
    <row r="24" spans="1:11" ht="29.25" customHeight="1" thickBot="1" x14ac:dyDescent="0.4">
      <c r="A24" s="130"/>
      <c r="B24" s="331"/>
      <c r="C24" s="332"/>
      <c r="D24" s="333"/>
      <c r="E24" s="331"/>
      <c r="F24" s="332"/>
      <c r="G24" s="333"/>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54"/>
      <c r="D26" s="354"/>
      <c r="E26" s="354"/>
      <c r="F26" s="355"/>
      <c r="G26" s="264" t="s">
        <v>28</v>
      </c>
      <c r="H26" s="264" t="s">
        <v>29</v>
      </c>
      <c r="I26" s="264" t="s">
        <v>30</v>
      </c>
      <c r="J26" s="265" t="s">
        <v>31</v>
      </c>
      <c r="K26" s="134"/>
    </row>
    <row r="27" spans="1:11" ht="16.5" customHeight="1" x14ac:dyDescent="0.2">
      <c r="A27" s="130"/>
      <c r="B27" s="310" t="s">
        <v>963</v>
      </c>
      <c r="C27" s="311"/>
      <c r="D27" s="311"/>
      <c r="E27" s="311"/>
      <c r="F27" s="312"/>
      <c r="G27" s="257">
        <v>5575</v>
      </c>
      <c r="H27" s="257">
        <v>5614</v>
      </c>
      <c r="I27" s="257">
        <v>-39</v>
      </c>
      <c r="J27" s="261">
        <v>-7.0000000000000001E-3</v>
      </c>
      <c r="K27" s="134"/>
    </row>
    <row r="28" spans="1:11" ht="15" x14ac:dyDescent="0.2">
      <c r="A28" s="130"/>
      <c r="B28" s="348" t="s">
        <v>24</v>
      </c>
      <c r="C28" s="349"/>
      <c r="D28" s="349"/>
      <c r="E28" s="349"/>
      <c r="F28" s="350"/>
      <c r="G28" s="258">
        <v>1038</v>
      </c>
      <c r="H28" s="258">
        <v>1217</v>
      </c>
      <c r="I28" s="258">
        <v>-179</v>
      </c>
      <c r="J28" s="254">
        <v>-0.14699999999999999</v>
      </c>
      <c r="K28" s="134"/>
    </row>
    <row r="29" spans="1:11" ht="15" x14ac:dyDescent="0.2">
      <c r="A29" s="130"/>
      <c r="B29" s="319" t="s">
        <v>25</v>
      </c>
      <c r="C29" s="320"/>
      <c r="D29" s="320"/>
      <c r="E29" s="320"/>
      <c r="F29" s="321"/>
      <c r="G29" s="259">
        <v>661</v>
      </c>
      <c r="H29" s="259">
        <v>660</v>
      </c>
      <c r="I29" s="259">
        <v>1</v>
      </c>
      <c r="J29" s="255">
        <v>2E-3</v>
      </c>
      <c r="K29" s="134"/>
    </row>
    <row r="30" spans="1:11" ht="15" x14ac:dyDescent="0.2">
      <c r="A30" s="130"/>
      <c r="B30" s="322" t="s">
        <v>26</v>
      </c>
      <c r="C30" s="323"/>
      <c r="D30" s="323"/>
      <c r="E30" s="323"/>
      <c r="F30" s="324"/>
      <c r="G30" s="259">
        <v>1269</v>
      </c>
      <c r="H30" s="259">
        <v>1340</v>
      </c>
      <c r="I30" s="259">
        <v>-71</v>
      </c>
      <c r="J30" s="255">
        <v>-5.2999999999999999E-2</v>
      </c>
      <c r="K30" s="134"/>
    </row>
    <row r="31" spans="1:11" ht="15" x14ac:dyDescent="0.2">
      <c r="A31" s="130"/>
      <c r="B31" s="351" t="s">
        <v>27</v>
      </c>
      <c r="C31" s="352"/>
      <c r="D31" s="352"/>
      <c r="E31" s="352"/>
      <c r="F31" s="353"/>
      <c r="G31" s="260">
        <v>2607</v>
      </c>
      <c r="H31" s="260">
        <v>2397</v>
      </c>
      <c r="I31" s="260">
        <v>210</v>
      </c>
      <c r="J31" s="256">
        <v>8.7999999999999995E-2</v>
      </c>
      <c r="K31" s="134"/>
    </row>
    <row r="32" spans="1:11" ht="16.5" customHeight="1" x14ac:dyDescent="0.2">
      <c r="A32" s="130"/>
      <c r="B32" s="310" t="s">
        <v>238</v>
      </c>
      <c r="C32" s="311"/>
      <c r="D32" s="311"/>
      <c r="E32" s="311"/>
      <c r="F32" s="312"/>
      <c r="G32" s="257">
        <v>58086</v>
      </c>
      <c r="H32" s="257">
        <v>55227</v>
      </c>
      <c r="I32" s="257">
        <v>2859</v>
      </c>
      <c r="J32" s="261">
        <v>5.1999999999999998E-2</v>
      </c>
      <c r="K32" s="134"/>
    </row>
    <row r="33" spans="1:11" ht="15" x14ac:dyDescent="0.2">
      <c r="A33" s="130"/>
      <c r="B33" s="348" t="s">
        <v>24</v>
      </c>
      <c r="C33" s="349"/>
      <c r="D33" s="349"/>
      <c r="E33" s="349"/>
      <c r="F33" s="350"/>
      <c r="G33" s="258">
        <v>10253</v>
      </c>
      <c r="H33" s="258">
        <v>9276</v>
      </c>
      <c r="I33" s="258">
        <v>977</v>
      </c>
      <c r="J33" s="254">
        <v>0.105</v>
      </c>
      <c r="K33" s="134"/>
    </row>
    <row r="34" spans="1:11" ht="15" x14ac:dyDescent="0.2">
      <c r="A34" s="130"/>
      <c r="B34" s="319" t="s">
        <v>25</v>
      </c>
      <c r="C34" s="320"/>
      <c r="D34" s="320"/>
      <c r="E34" s="320"/>
      <c r="F34" s="321"/>
      <c r="G34" s="259">
        <v>7673</v>
      </c>
      <c r="H34" s="259">
        <v>6791</v>
      </c>
      <c r="I34" s="259">
        <v>882</v>
      </c>
      <c r="J34" s="255">
        <v>0.13</v>
      </c>
      <c r="K34" s="134"/>
    </row>
    <row r="35" spans="1:11" ht="15" x14ac:dyDescent="0.2">
      <c r="A35" s="130"/>
      <c r="B35" s="322" t="s">
        <v>26</v>
      </c>
      <c r="C35" s="323"/>
      <c r="D35" s="323"/>
      <c r="E35" s="323"/>
      <c r="F35" s="324"/>
      <c r="G35" s="259">
        <v>21388</v>
      </c>
      <c r="H35" s="259">
        <v>18991</v>
      </c>
      <c r="I35" s="259">
        <v>2397</v>
      </c>
      <c r="J35" s="255">
        <v>0.126</v>
      </c>
      <c r="K35" s="134"/>
    </row>
    <row r="36" spans="1:11" ht="15.75" thickBot="1" x14ac:dyDescent="0.25">
      <c r="A36" s="130"/>
      <c r="B36" s="325" t="s">
        <v>27</v>
      </c>
      <c r="C36" s="326"/>
      <c r="D36" s="326"/>
      <c r="E36" s="326"/>
      <c r="F36" s="327"/>
      <c r="G36" s="259">
        <v>18772</v>
      </c>
      <c r="H36" s="259">
        <v>20169</v>
      </c>
      <c r="I36" s="259">
        <v>-1397</v>
      </c>
      <c r="J36" s="255">
        <v>-6.9000000000000006E-2</v>
      </c>
      <c r="K36" s="134"/>
    </row>
    <row r="37" spans="1:11" ht="15.75" customHeight="1" thickBot="1" x14ac:dyDescent="0.25">
      <c r="A37" s="130"/>
      <c r="B37" s="305" t="s">
        <v>968</v>
      </c>
      <c r="C37" s="306"/>
      <c r="D37" s="306"/>
      <c r="E37" s="306"/>
      <c r="F37" s="306"/>
      <c r="G37" s="306"/>
      <c r="H37" s="306"/>
      <c r="I37" s="306"/>
      <c r="J37" s="307"/>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6" priority="26" stopIfTrue="1">
      <formula>ISERROR(J6)</formula>
    </cfRule>
  </conditionalFormatting>
  <conditionalFormatting sqref="J8">
    <cfRule type="expression" dxfId="435"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65" t="s">
        <v>294</v>
      </c>
      <c r="D2" s="366"/>
      <c r="E2" s="366"/>
      <c r="F2" s="366"/>
      <c r="G2" s="366"/>
      <c r="H2" s="366"/>
      <c r="I2" s="366"/>
      <c r="J2" s="366"/>
      <c r="K2" s="367"/>
      <c r="L2" s="365" t="s">
        <v>299</v>
      </c>
      <c r="M2" s="366"/>
      <c r="N2" s="366"/>
      <c r="O2" s="367"/>
      <c r="P2" s="28"/>
    </row>
    <row r="3" spans="1:16" ht="24" customHeight="1" thickBot="1" x14ac:dyDescent="0.4">
      <c r="A3" s="25"/>
      <c r="B3" s="29"/>
      <c r="C3" s="368"/>
      <c r="D3" s="369"/>
      <c r="E3" s="369"/>
      <c r="F3" s="369"/>
      <c r="G3" s="369"/>
      <c r="H3" s="369"/>
      <c r="I3" s="369"/>
      <c r="J3" s="369"/>
      <c r="K3" s="370"/>
      <c r="L3" s="368" t="str">
        <f>Transformation!B4</f>
        <v>As of: December 26, 2015</v>
      </c>
      <c r="M3" s="369"/>
      <c r="N3" s="369"/>
      <c r="O3" s="370"/>
      <c r="P3" s="28"/>
    </row>
    <row r="4" spans="1:16" ht="51.75" customHeight="1" thickBot="1" x14ac:dyDescent="0.35">
      <c r="A4" s="30"/>
      <c r="B4" s="247" t="s">
        <v>455</v>
      </c>
      <c r="C4" s="371" t="s">
        <v>303</v>
      </c>
      <c r="D4" s="372"/>
      <c r="E4" s="372"/>
      <c r="F4" s="372"/>
      <c r="G4" s="372"/>
      <c r="H4" s="372"/>
      <c r="I4" s="372"/>
      <c r="J4" s="372"/>
      <c r="K4" s="372"/>
      <c r="L4" s="372"/>
      <c r="M4" s="372"/>
      <c r="N4" s="372"/>
      <c r="O4" s="373"/>
      <c r="P4" s="28"/>
    </row>
    <row r="5" spans="1:16" ht="27" customHeight="1" thickBot="1" x14ac:dyDescent="0.25">
      <c r="A5" s="30"/>
      <c r="B5" s="26"/>
      <c r="C5" s="374" t="s">
        <v>1042</v>
      </c>
      <c r="D5" s="375"/>
      <c r="E5" s="375"/>
      <c r="F5" s="375"/>
      <c r="G5" s="375"/>
      <c r="H5" s="375"/>
      <c r="I5" s="375"/>
      <c r="J5" s="375"/>
      <c r="K5" s="375"/>
      <c r="L5" s="375"/>
      <c r="M5" s="375"/>
      <c r="N5" s="375"/>
      <c r="O5" s="376"/>
      <c r="P5" s="28"/>
    </row>
    <row r="6" spans="1:16" ht="55.5" customHeight="1" x14ac:dyDescent="0.2">
      <c r="A6" s="30"/>
      <c r="B6" s="31"/>
      <c r="C6" s="32" t="s">
        <v>193</v>
      </c>
      <c r="D6" s="377" t="s">
        <v>16</v>
      </c>
      <c r="E6" s="378"/>
      <c r="F6" s="33" t="s">
        <v>196</v>
      </c>
      <c r="G6" s="377" t="s">
        <v>201</v>
      </c>
      <c r="H6" s="379"/>
      <c r="I6" s="33" t="s">
        <v>199</v>
      </c>
      <c r="J6" s="383" t="s">
        <v>14</v>
      </c>
      <c r="K6" s="384"/>
      <c r="L6" s="33" t="s">
        <v>204</v>
      </c>
      <c r="M6" s="380" t="s">
        <v>88</v>
      </c>
      <c r="N6" s="381"/>
      <c r="O6" s="382"/>
      <c r="P6" s="28"/>
    </row>
    <row r="7" spans="1:16" ht="51.75" customHeight="1" x14ac:dyDescent="0.2">
      <c r="A7" s="30"/>
      <c r="B7" s="34"/>
      <c r="C7" s="35" t="s">
        <v>194</v>
      </c>
      <c r="D7" s="395" t="s">
        <v>0</v>
      </c>
      <c r="E7" s="396"/>
      <c r="F7" s="36" t="s">
        <v>197</v>
      </c>
      <c r="G7" s="397" t="s">
        <v>202</v>
      </c>
      <c r="H7" s="397"/>
      <c r="I7" s="36" t="s">
        <v>200</v>
      </c>
      <c r="J7" s="385" t="s">
        <v>19</v>
      </c>
      <c r="K7" s="386"/>
      <c r="L7" s="36" t="s">
        <v>205</v>
      </c>
      <c r="M7" s="389" t="s">
        <v>90</v>
      </c>
      <c r="N7" s="390"/>
      <c r="O7" s="391"/>
      <c r="P7" s="28"/>
    </row>
    <row r="8" spans="1:16" ht="51.75" customHeight="1" thickBot="1" x14ac:dyDescent="0.25">
      <c r="A8" s="25"/>
      <c r="B8" s="28"/>
      <c r="C8" s="37" t="s">
        <v>195</v>
      </c>
      <c r="D8" s="398" t="s">
        <v>18</v>
      </c>
      <c r="E8" s="399"/>
      <c r="F8" s="38" t="s">
        <v>198</v>
      </c>
      <c r="G8" s="400" t="s">
        <v>17</v>
      </c>
      <c r="H8" s="400"/>
      <c r="I8" s="38" t="s">
        <v>203</v>
      </c>
      <c r="J8" s="387" t="s">
        <v>87</v>
      </c>
      <c r="K8" s="388"/>
      <c r="L8" s="38" t="s">
        <v>206</v>
      </c>
      <c r="M8" s="362" t="s">
        <v>89</v>
      </c>
      <c r="N8" s="363"/>
      <c r="O8" s="364"/>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1043</v>
      </c>
      <c r="N9" s="39" t="s">
        <v>924</v>
      </c>
      <c r="O9" s="39" t="s">
        <v>925</v>
      </c>
      <c r="P9" s="28"/>
    </row>
    <row r="10" spans="1:16" ht="15.75" customHeight="1" x14ac:dyDescent="0.2">
      <c r="A10" s="25"/>
      <c r="B10" s="26"/>
      <c r="C10" s="401" t="s">
        <v>292</v>
      </c>
      <c r="D10" s="401"/>
      <c r="E10" s="401"/>
      <c r="F10" s="401"/>
      <c r="G10" s="401"/>
      <c r="H10" s="401"/>
      <c r="I10" s="401"/>
      <c r="J10" s="401"/>
      <c r="K10" s="401"/>
      <c r="L10" s="401"/>
      <c r="M10" s="401"/>
      <c r="N10" s="401"/>
      <c r="O10" s="401"/>
      <c r="P10" s="28"/>
    </row>
    <row r="11" spans="1:16" ht="32.25" customHeight="1" x14ac:dyDescent="0.2">
      <c r="A11" s="25"/>
      <c r="B11" s="26"/>
      <c r="C11" s="356" t="s">
        <v>229</v>
      </c>
      <c r="D11" s="356" t="s">
        <v>137</v>
      </c>
      <c r="E11" s="356" t="s">
        <v>230</v>
      </c>
      <c r="F11" s="356" t="s">
        <v>192</v>
      </c>
      <c r="G11" s="356" t="s">
        <v>207</v>
      </c>
      <c r="H11" s="356" t="s">
        <v>209</v>
      </c>
      <c r="I11" s="356" t="s">
        <v>210</v>
      </c>
      <c r="J11" s="360" t="s">
        <v>1054</v>
      </c>
      <c r="K11" s="360" t="s">
        <v>1055</v>
      </c>
      <c r="L11" s="358" t="s">
        <v>1052</v>
      </c>
      <c r="M11" s="359"/>
      <c r="N11" s="358" t="s">
        <v>1053</v>
      </c>
      <c r="O11" s="359"/>
      <c r="P11" s="28"/>
    </row>
    <row r="12" spans="1:16" ht="32.25" customHeight="1" x14ac:dyDescent="0.2">
      <c r="A12" s="25"/>
      <c r="B12" s="26"/>
      <c r="C12" s="357"/>
      <c r="D12" s="357"/>
      <c r="E12" s="357"/>
      <c r="F12" s="357"/>
      <c r="G12" s="357"/>
      <c r="H12" s="357"/>
      <c r="I12" s="357"/>
      <c r="J12" s="361"/>
      <c r="K12" s="361"/>
      <c r="L12" s="40" t="s">
        <v>926</v>
      </c>
      <c r="M12" s="40" t="s">
        <v>931</v>
      </c>
      <c r="N12" s="40" t="s">
        <v>926</v>
      </c>
      <c r="O12" s="40" t="s">
        <v>931</v>
      </c>
      <c r="P12" s="28"/>
    </row>
    <row r="13" spans="1:16" x14ac:dyDescent="0.2">
      <c r="A13" s="25"/>
      <c r="B13" s="41" t="s">
        <v>1050</v>
      </c>
      <c r="C13" s="154">
        <f>IF($B13=" ","",IFERROR(INDEX(MMWR_RATING_RO_ROLLUP[],MATCH($B13,MMWR_RATING_RO_ROLLUP[MMWR_RATING_RO_ROLLUP],0),MATCH(C$9,MMWR_RATING_RO_ROLLUP[#Headers],0)),"ERROR"))</f>
        <v>361973</v>
      </c>
      <c r="D13" s="155">
        <f>IF($B13=" ","",IFERROR(INDEX(MMWR_RATING_RO_ROLLUP[],MATCH($B13,MMWR_RATING_RO_ROLLUP[MMWR_RATING_RO_ROLLUP],0),MATCH(D$9,MMWR_RATING_RO_ROLLUP[#Headers],0)),"ERROR"))</f>
        <v>92.097628828699996</v>
      </c>
      <c r="E13" s="156">
        <f>IF($B13=" ","",IFERROR(INDEX(MMWR_RATING_RO_ROLLUP[],MATCH($B13,MMWR_RATING_RO_ROLLUP[MMWR_RATING_RO_ROLLUP],0),MATCH(E$9,MMWR_RATING_RO_ROLLUP[#Headers],0))/$C13,"ERROR"))</f>
        <v>0.20539653510068431</v>
      </c>
      <c r="F13" s="154">
        <f>IF($B13=" ","",IFERROR(INDEX(MMWR_RATING_RO_ROLLUP[],MATCH($B13,MMWR_RATING_RO_ROLLUP[MMWR_RATING_RO_ROLLUP],0),MATCH(F$9,MMWR_RATING_RO_ROLLUP[#Headers],0)),"ERROR"))</f>
        <v>86880</v>
      </c>
      <c r="G13" s="154">
        <f>IF($B13=" ","",IFERROR(INDEX(MMWR_RATING_RO_ROLLUP[],MATCH($B13,MMWR_RATING_RO_ROLLUP[MMWR_RATING_RO_ROLLUP],0),MATCH(G$9,MMWR_RATING_RO_ROLLUP[#Headers],0)),"ERROR"))</f>
        <v>290519</v>
      </c>
      <c r="H13" s="155">
        <f>IF($B13=" ","",IFERROR(INDEX(MMWR_RATING_RO_ROLLUP[],MATCH($B13,MMWR_RATING_RO_ROLLUP[MMWR_RATING_RO_ROLLUP],0),MATCH(H$9,MMWR_RATING_RO_ROLLUP[#Headers],0)),"ERROR"))</f>
        <v>128.4278314917</v>
      </c>
      <c r="I13" s="155">
        <f>IF($B13=" ","",IFERROR(INDEX(MMWR_RATING_RO_ROLLUP[],MATCH($B13,MMWR_RATING_RO_ROLLUP[MMWR_RATING_RO_ROLLUP],0),MATCH(I$9,MMWR_RATING_RO_ROLLUP[#Headers],0)),"ERROR"))</f>
        <v>128.25655464869999</v>
      </c>
      <c r="J13" s="42"/>
      <c r="K13" s="42"/>
      <c r="L13" s="42"/>
      <c r="M13" s="42"/>
      <c r="N13" s="42"/>
      <c r="O13" s="42"/>
      <c r="P13" s="28"/>
    </row>
    <row r="14" spans="1:16" x14ac:dyDescent="0.2">
      <c r="A14" s="25"/>
      <c r="B14" s="393" t="s">
        <v>732</v>
      </c>
      <c r="C14" s="394"/>
      <c r="D14" s="394"/>
      <c r="E14" s="394"/>
      <c r="F14" s="394"/>
      <c r="G14" s="394"/>
      <c r="H14" s="394"/>
      <c r="I14" s="394"/>
      <c r="J14" s="394"/>
      <c r="K14" s="394"/>
      <c r="L14" s="394"/>
      <c r="M14" s="394"/>
      <c r="N14" s="394"/>
      <c r="O14" s="394"/>
      <c r="P14" s="28"/>
    </row>
    <row r="15" spans="1:16" x14ac:dyDescent="0.2">
      <c r="A15" s="25"/>
      <c r="B15" s="41" t="s">
        <v>728</v>
      </c>
      <c r="C15" s="154">
        <f>IF($B15=" ","",IFERROR(INDEX(MMWR_RATING_RO_ROLLUP[],MATCH($B15,MMWR_RATING_RO_ROLLUP[MMWR_RATING_RO_ROLLUP],0),MATCH(C$9,MMWR_RATING_RO_ROLLUP[#Headers],0)),"ERROR"))</f>
        <v>313845</v>
      </c>
      <c r="D15" s="155">
        <f>IF($B15=" ","",IFERROR(INDEX(MMWR_RATING_RO_ROLLUP[],MATCH($B15,MMWR_RATING_RO_ROLLUP[MMWR_RATING_RO_ROLLUP],0),MATCH(D$9,MMWR_RATING_RO_ROLLUP[#Headers],0)),"ERROR"))</f>
        <v>94.626462107099997</v>
      </c>
      <c r="E15" s="156">
        <f>IF($B15=" ","",IFERROR(INDEX(MMWR_RATING_RO_ROLLUP[],MATCH($B15,MMWR_RATING_RO_ROLLUP[MMWR_RATING_RO_ROLLUP],0),MATCH(E$9,MMWR_RATING_RO_ROLLUP[#Headers],0))/$C15,"ERROR"))</f>
        <v>0.21730153419681689</v>
      </c>
      <c r="F15" s="154">
        <f>IF($B15=" ","",IFERROR(INDEX(MMWR_RATING_RO_ROLLUP[],MATCH($B15,MMWR_RATING_RO_ROLLUP[MMWR_RATING_RO_ROLLUP],0),MATCH(F$9,MMWR_RATING_RO_ROLLUP[#Headers],0)),"ERROR"))</f>
        <v>73259</v>
      </c>
      <c r="G15" s="154">
        <f>IF($B15=" ","",IFERROR(INDEX(MMWR_RATING_RO_ROLLUP[],MATCH($B15,MMWR_RATING_RO_ROLLUP[MMWR_RATING_RO_ROLLUP],0),MATCH(G$9,MMWR_RATING_RO_ROLLUP[#Headers],0)),"ERROR"))</f>
        <v>246759</v>
      </c>
      <c r="H15" s="155">
        <f>IF($B15=" ","",IFERROR(INDEX(MMWR_RATING_RO_ROLLUP[],MATCH($B15,MMWR_RATING_RO_ROLLUP[MMWR_RATING_RO_ROLLUP],0),MATCH(H$9,MMWR_RATING_RO_ROLLUP[#Headers],0)),"ERROR"))</f>
        <v>135.3829427101</v>
      </c>
      <c r="I15" s="155">
        <f>IF($B15=" ","",IFERROR(INDEX(MMWR_RATING_RO_ROLLUP[],MATCH($B15,MMWR_RATING_RO_ROLLUP[MMWR_RATING_RO_ROLLUP],0),MATCH(I$9,MMWR_RATING_RO_ROLLUP[#Headers],0)),"ERROR"))</f>
        <v>135.81233916490001</v>
      </c>
      <c r="J15" s="157">
        <f>VLOOKUP($B$13,MMWR_ACCURACY_RO[],MATCH(J$9,MMWR_ACCURACY_RO[#Headers],0),0)</f>
        <v>0.96302893320757221</v>
      </c>
      <c r="K15" s="157">
        <f>VLOOKUP($B$13,MMWR_ACCURACY_RO[],MATCH(K$9,MMWR_ACCURACY_RO[#Headers],0),0)</f>
        <v>0.9018949024373043</v>
      </c>
      <c r="L15" s="157">
        <f>VLOOKUP($B$13,MMWR_ACCURACY_RO[],MATCH(L$9,MMWR_ACCURACY_RO[#Headers],0),0)</f>
        <v>0.90319910745629872</v>
      </c>
      <c r="M15" s="157">
        <f>VLOOKUP($B$13,MMWR_ACCURACY_RO[],MATCH(M$9,MMWR_ACCURACY_RO[#Headers],0),0)</f>
        <v>7.5337381709705657E-3</v>
      </c>
      <c r="N15" s="157">
        <f>VLOOKUP($B$13,MMWR_ACCURACY_RO[],MATCH(N$9,MMWR_ACCURACY_RO[#Headers],0),0)</f>
        <v>0.90822738940094705</v>
      </c>
      <c r="O15" s="157">
        <f>VLOOKUP($B$13,MMWR_ACCURACY_RO[],MATCH(O$9,MMWR_ACCURACY_RO[#Headers],0),0)</f>
        <v>8.8258353019992335E-3</v>
      </c>
      <c r="P15" s="28"/>
    </row>
    <row r="16" spans="1:16" x14ac:dyDescent="0.2">
      <c r="A16" s="25"/>
      <c r="B16" s="248" t="s">
        <v>369</v>
      </c>
      <c r="C16" s="154">
        <f>IF($B16=" ","",IFERROR(INDEX(MMWR_RATING_RO_ROLLUP[],MATCH($B16,MMWR_RATING_RO_ROLLUP[MMWR_RATING_RO_ROLLUP],0),MATCH(C$9,MMWR_RATING_RO_ROLLUP[#Headers],0)),"ERROR"))</f>
        <v>68996</v>
      </c>
      <c r="D16" s="155">
        <f>IF($B16=" ","",IFERROR(INDEX(MMWR_RATING_RO_ROLLUP[],MATCH($B16,MMWR_RATING_RO_ROLLUP[MMWR_RATING_RO_ROLLUP],0),MATCH(D$9,MMWR_RATING_RO_ROLLUP[#Headers],0)),"ERROR"))</f>
        <v>94.453229172700006</v>
      </c>
      <c r="E16" s="156">
        <f>IF($B16=" ","",IFERROR(INDEX(MMWR_RATING_RO_ROLLUP[],MATCH($B16,MMWR_RATING_RO_ROLLUP[MMWR_RATING_RO_ROLLUP],0),MATCH(E$9,MMWR_RATING_RO_ROLLUP[#Headers],0))/$C16,"ERROR"))</f>
        <v>0.21669372137515219</v>
      </c>
      <c r="F16" s="154">
        <f>IF($B16=" ","",IFERROR(INDEX(MMWR_RATING_RO_ROLLUP[],MATCH($B16,MMWR_RATING_RO_ROLLUP[MMWR_RATING_RO_ROLLUP],0),MATCH(F$9,MMWR_RATING_RO_ROLLUP[#Headers],0)),"ERROR"))</f>
        <v>15441</v>
      </c>
      <c r="G16" s="154">
        <f>IF($B16=" ","",IFERROR(INDEX(MMWR_RATING_RO_ROLLUP[],MATCH($B16,MMWR_RATING_RO_ROLLUP[MMWR_RATING_RO_ROLLUP],0),MATCH(G$9,MMWR_RATING_RO_ROLLUP[#Headers],0)),"ERROR"))</f>
        <v>53169</v>
      </c>
      <c r="H16" s="155">
        <f>IF($B16=" ","",IFERROR(INDEX(MMWR_RATING_RO_ROLLUP[],MATCH($B16,MMWR_RATING_RO_ROLLUP[MMWR_RATING_RO_ROLLUP],0),MATCH(H$9,MMWR_RATING_RO_ROLLUP[#Headers],0)),"ERROR"))</f>
        <v>136.4273039311</v>
      </c>
      <c r="I16" s="155">
        <f>IF($B16=" ","",IFERROR(INDEX(MMWR_RATING_RO_ROLLUP[],MATCH($B16,MMWR_RATING_RO_ROLLUP[MMWR_RATING_RO_ROLLUP],0),MATCH(I$9,MMWR_RATING_RO_ROLLUP[#Headers],0)),"ERROR"))</f>
        <v>135.26972483969999</v>
      </c>
      <c r="J16" s="158">
        <f>IF($B16=" ","",IFERROR(VLOOKUP($B16,MMWR_ACCURACY_RO[],MATCH(J$9,MMWR_ACCURACY_RO[#Headers],0),0),"ERROR"))</f>
        <v>0.96509265269579259</v>
      </c>
      <c r="K16" s="158">
        <f>IF($B16=" ","",IFERROR(VLOOKUP($B16,MMWR_ACCURACY_RO[],MATCH(K$9,MMWR_ACCURACY_RO[#Headers],0),0),"ERROR"))</f>
        <v>0.88915597034621041</v>
      </c>
      <c r="L16" s="158">
        <f>IF($B16=" ","",IFERROR(VLOOKUP($B16,MMWR_ACCURACY_RO[],MATCH(L$9,MMWR_ACCURACY_RO[#Headers],0),0),"ERROR"))</f>
        <v>0.87230660699508245</v>
      </c>
      <c r="M16" s="158">
        <f>IF($B16=" ","",IFERROR(VLOOKUP($B16,MMWR_ACCURACY_RO[],MATCH(M$9,MMWR_ACCURACY_RO[#Headers],0),0),"ERROR"))</f>
        <v>1.6710481666821906E-2</v>
      </c>
      <c r="N16" s="158">
        <f>IF($B16=" ","",IFERROR(VLOOKUP($B16,MMWR_ACCURACY_RO[],MATCH(N$9,MMWR_ACCURACY_RO[#Headers],0),0),"ERROR"))</f>
        <v>0.89276885898611813</v>
      </c>
      <c r="O16" s="158">
        <f>IF($B16=" ","",IFERROR(VLOOKUP($B16,MMWR_ACCURACY_RO[],MATCH(O$9,MMWR_ACCURACY_RO[#Headers],0),0),"ERROR"))</f>
        <v>1.6002069137405997E-2</v>
      </c>
      <c r="P16" s="28"/>
    </row>
    <row r="17" spans="1:16" x14ac:dyDescent="0.2">
      <c r="A17" s="25"/>
      <c r="B17" s="8" t="str">
        <f>VLOOKUP($B$16,DISTRICT_RO[],2,0)</f>
        <v>Baltimore VSC</v>
      </c>
      <c r="C17" s="154">
        <f>IF($B17=" ","",IFERROR(INDEX(MMWR_RATING_RO_ROLLUP[],MATCH($B17,MMWR_RATING_RO_ROLLUP[MMWR_RATING_RO_ROLLUP],0),MATCH(C$9,MMWR_RATING_RO_ROLLUP[#Headers],0)),"ERROR"))</f>
        <v>2602</v>
      </c>
      <c r="D17" s="155">
        <f>IF($B17=" ","",IFERROR(INDEX(MMWR_RATING_RO_ROLLUP[],MATCH($B17,MMWR_RATING_RO_ROLLUP[MMWR_RATING_RO_ROLLUP],0),MATCH(D$9,MMWR_RATING_RO_ROLLUP[#Headers],0)),"ERROR"))</f>
        <v>83.737125288200005</v>
      </c>
      <c r="E17" s="156">
        <f>IF($B17=" ","",IFERROR(INDEX(MMWR_RATING_RO_ROLLUP[],MATCH($B17,MMWR_RATING_RO_ROLLUP[MMWR_RATING_RO_ROLLUP],0),MATCH(E$9,MMWR_RATING_RO_ROLLUP[#Headers],0))/$C17,"ERROR"))</f>
        <v>0.16679477325134512</v>
      </c>
      <c r="F17" s="154">
        <f>IF($B17=" ","",IFERROR(INDEX(MMWR_RATING_RO_ROLLUP[],MATCH($B17,MMWR_RATING_RO_ROLLUP[MMWR_RATING_RO_ROLLUP],0),MATCH(F$9,MMWR_RATING_RO_ROLLUP[#Headers],0)),"ERROR"))</f>
        <v>732</v>
      </c>
      <c r="G17" s="154">
        <f>IF($B17=" ","",IFERROR(INDEX(MMWR_RATING_RO_ROLLUP[],MATCH($B17,MMWR_RATING_RO_ROLLUP[MMWR_RATING_RO_ROLLUP],0),MATCH(G$9,MMWR_RATING_RO_ROLLUP[#Headers],0)),"ERROR"))</f>
        <v>2388</v>
      </c>
      <c r="H17" s="155">
        <f>IF($B17=" ","",IFERROR(INDEX(MMWR_RATING_RO_ROLLUP[],MATCH($B17,MMWR_RATING_RO_ROLLUP[MMWR_RATING_RO_ROLLUP],0),MATCH(H$9,MMWR_RATING_RO_ROLLUP[#Headers],0)),"ERROR"))</f>
        <v>122.75683060110001</v>
      </c>
      <c r="I17" s="155">
        <f>IF($B17=" ","",IFERROR(INDEX(MMWR_RATING_RO_ROLLUP[],MATCH($B17,MMWR_RATING_RO_ROLLUP[MMWR_RATING_RO_ROLLUP],0),MATCH(I$9,MMWR_RATING_RO_ROLLUP[#Headers],0)),"ERROR"))</f>
        <v>129.4149916248</v>
      </c>
      <c r="J17" s="158">
        <f>IF($B17=" ","",IFERROR(VLOOKUP($B17,MMWR_ACCURACY_RO[],MATCH(J$9,MMWR_ACCURACY_RO[#Headers],0),0),"ERROR"))</f>
        <v>0.95020192985309282</v>
      </c>
      <c r="K17" s="158">
        <f>IF($B17=" ","",IFERROR(VLOOKUP($B17,MMWR_ACCURACY_RO[],MATCH(K$9,MMWR_ACCURACY_RO[#Headers],0),0),"ERROR"))</f>
        <v>0.8032912069031346</v>
      </c>
      <c r="L17" s="158">
        <f>IF($B17=" ","",IFERROR(VLOOKUP($B17,MMWR_ACCURACY_RO[],MATCH(L$9,MMWR_ACCURACY_RO[#Headers],0),0),"ERROR"))</f>
        <v>0.83704533653377067</v>
      </c>
      <c r="M17" s="158">
        <f>IF($B17=" ","",IFERROR(VLOOKUP($B17,MMWR_ACCURACY_RO[],MATCH(M$9,MMWR_ACCURACY_RO[#Headers],0),0),"ERROR"))</f>
        <v>4.6605980709748994E-2</v>
      </c>
      <c r="N17" s="158">
        <f>IF($B17=" ","",IFERROR(VLOOKUP($B17,MMWR_ACCURACY_RO[],MATCH(N$9,MMWR_ACCURACY_RO[#Headers],0),0),"ERROR"))</f>
        <v>0.86662322020532823</v>
      </c>
      <c r="O17" s="158">
        <f>IF($B17=" ","",IFERROR(VLOOKUP($B17,MMWR_ACCURACY_RO[],MATCH(O$9,MMWR_ACCURACY_RO[#Headers],0),0),"ERROR"))</f>
        <v>4.9817097387363916E-2</v>
      </c>
      <c r="P17" s="28"/>
    </row>
    <row r="18" spans="1:16" x14ac:dyDescent="0.2">
      <c r="A18" s="25"/>
      <c r="B18" s="8" t="str">
        <f>VLOOKUP($B$16,DISTRICT_RO[],3,0)</f>
        <v>Boston VSC</v>
      </c>
      <c r="C18" s="154">
        <f>IF($B18=" ","",IFERROR(INDEX(MMWR_RATING_RO_ROLLUP[],MATCH($B18,MMWR_RATING_RO_ROLLUP[MMWR_RATING_RO_ROLLUP],0),MATCH(C$9,MMWR_RATING_RO_ROLLUP[#Headers],0)),"ERROR"))</f>
        <v>3212</v>
      </c>
      <c r="D18" s="155">
        <f>IF($B18=" ","",IFERROR(INDEX(MMWR_RATING_RO_ROLLUP[],MATCH($B18,MMWR_RATING_RO_ROLLUP[MMWR_RATING_RO_ROLLUP],0),MATCH(D$9,MMWR_RATING_RO_ROLLUP[#Headers],0)),"ERROR"))</f>
        <v>87.677459526800007</v>
      </c>
      <c r="E18" s="156">
        <f>IF($B18=" ","",IFERROR(INDEX(MMWR_RATING_RO_ROLLUP[],MATCH($B18,MMWR_RATING_RO_ROLLUP[MMWR_RATING_RO_ROLLUP],0),MATCH(E$9,MMWR_RATING_RO_ROLLUP[#Headers],0))/$C18,"ERROR"))</f>
        <v>0.20828144458281445</v>
      </c>
      <c r="F18" s="154">
        <f>IF($B18=" ","",IFERROR(INDEX(MMWR_RATING_RO_ROLLUP[],MATCH($B18,MMWR_RATING_RO_ROLLUP[MMWR_RATING_RO_ROLLUP],0),MATCH(F$9,MMWR_RATING_RO_ROLLUP[#Headers],0)),"ERROR"))</f>
        <v>766</v>
      </c>
      <c r="G18" s="154">
        <f>IF($B18=" ","",IFERROR(INDEX(MMWR_RATING_RO_ROLLUP[],MATCH($B18,MMWR_RATING_RO_ROLLUP[MMWR_RATING_RO_ROLLUP],0),MATCH(G$9,MMWR_RATING_RO_ROLLUP[#Headers],0)),"ERROR"))</f>
        <v>2524</v>
      </c>
      <c r="H18" s="155">
        <f>IF($B18=" ","",IFERROR(INDEX(MMWR_RATING_RO_ROLLUP[],MATCH($B18,MMWR_RATING_RO_ROLLUP[MMWR_RATING_RO_ROLLUP],0),MATCH(H$9,MMWR_RATING_RO_ROLLUP[#Headers],0)),"ERROR"))</f>
        <v>120.7976501305</v>
      </c>
      <c r="I18" s="155">
        <f>IF($B18=" ","",IFERROR(INDEX(MMWR_RATING_RO_ROLLUP[],MATCH($B18,MMWR_RATING_RO_ROLLUP[MMWR_RATING_RO_ROLLUP],0),MATCH(I$9,MMWR_RATING_RO_ROLLUP[#Headers],0)),"ERROR"))</f>
        <v>114.46275752770001</v>
      </c>
      <c r="J18" s="158">
        <f>IF($B18=" ","",IFERROR(VLOOKUP($B18,MMWR_ACCURACY_RO[],MATCH(J$9,MMWR_ACCURACY_RO[#Headers],0),0),"ERROR"))</f>
        <v>0.91706819540674567</v>
      </c>
      <c r="K18" s="158">
        <f>IF($B18=" ","",IFERROR(VLOOKUP($B18,MMWR_ACCURACY_RO[],MATCH(K$9,MMWR_ACCURACY_RO[#Headers],0),0),"ERROR"))</f>
        <v>0.83029133029133018</v>
      </c>
      <c r="L18" s="158">
        <f>IF($B18=" ","",IFERROR(VLOOKUP($B18,MMWR_ACCURACY_RO[],MATCH(L$9,MMWR_ACCURACY_RO[#Headers],0),0),"ERROR"))</f>
        <v>0.82793141316827235</v>
      </c>
      <c r="M18" s="158">
        <f>IF($B18=" ","",IFERROR(VLOOKUP($B18,MMWR_ACCURACY_RO[],MATCH(M$9,MMWR_ACCURACY_RO[#Headers],0),0),"ERROR"))</f>
        <v>5.8542969046113245E-2</v>
      </c>
      <c r="N18" s="158">
        <f>IF($B18=" ","",IFERROR(VLOOKUP($B18,MMWR_ACCURACY_RO[],MATCH(N$9,MMWR_ACCURACY_RO[#Headers],0),0),"ERROR"))</f>
        <v>0.91525336038029659</v>
      </c>
      <c r="O18" s="158">
        <f>IF($B18=" ","",IFERROR(VLOOKUP($B18,MMWR_ACCURACY_RO[],MATCH(O$9,MMWR_ACCURACY_RO[#Headers],0),0),"ERROR"))</f>
        <v>5.5956485067688175E-2</v>
      </c>
      <c r="P18" s="28"/>
    </row>
    <row r="19" spans="1:16" x14ac:dyDescent="0.2">
      <c r="A19" s="25"/>
      <c r="B19" s="8" t="str">
        <f>VLOOKUP($B$16,DISTRICT_RO[],4,0)</f>
        <v>Buffalo VSC</v>
      </c>
      <c r="C19" s="154">
        <f>IF($B19=" ","",IFERROR(INDEX(MMWR_RATING_RO_ROLLUP[],MATCH($B19,MMWR_RATING_RO_ROLLUP[MMWR_RATING_RO_ROLLUP],0),MATCH(C$9,MMWR_RATING_RO_ROLLUP[#Headers],0)),"ERROR"))</f>
        <v>3216</v>
      </c>
      <c r="D19" s="155">
        <f>IF($B19=" ","",IFERROR(INDEX(MMWR_RATING_RO_ROLLUP[],MATCH($B19,MMWR_RATING_RO_ROLLUP[MMWR_RATING_RO_ROLLUP],0),MATCH(D$9,MMWR_RATING_RO_ROLLUP[#Headers],0)),"ERROR"))</f>
        <v>80.1567164179</v>
      </c>
      <c r="E19" s="156">
        <f>IF($B19=" ","",IFERROR(INDEX(MMWR_RATING_RO_ROLLUP[],MATCH($B19,MMWR_RATING_RO_ROLLUP[MMWR_RATING_RO_ROLLUP],0),MATCH(E$9,MMWR_RATING_RO_ROLLUP[#Headers],0))/$C19,"ERROR"))</f>
        <v>0.15143034825870647</v>
      </c>
      <c r="F19" s="154">
        <f>IF($B19=" ","",IFERROR(INDEX(MMWR_RATING_RO_ROLLUP[],MATCH($B19,MMWR_RATING_RO_ROLLUP[MMWR_RATING_RO_ROLLUP],0),MATCH(F$9,MMWR_RATING_RO_ROLLUP[#Headers],0)),"ERROR"))</f>
        <v>650</v>
      </c>
      <c r="G19" s="154">
        <f>IF($B19=" ","",IFERROR(INDEX(MMWR_RATING_RO_ROLLUP[],MATCH($B19,MMWR_RATING_RO_ROLLUP[MMWR_RATING_RO_ROLLUP],0),MATCH(G$9,MMWR_RATING_RO_ROLLUP[#Headers],0)),"ERROR"))</f>
        <v>2336</v>
      </c>
      <c r="H19" s="155">
        <f>IF($B19=" ","",IFERROR(INDEX(MMWR_RATING_RO_ROLLUP[],MATCH($B19,MMWR_RATING_RO_ROLLUP[MMWR_RATING_RO_ROLLUP],0),MATCH(H$9,MMWR_RATING_RO_ROLLUP[#Headers],0)),"ERROR"))</f>
        <v>146.84153846149999</v>
      </c>
      <c r="I19" s="155">
        <f>IF($B19=" ","",IFERROR(INDEX(MMWR_RATING_RO_ROLLUP[],MATCH($B19,MMWR_RATING_RO_ROLLUP[MMWR_RATING_RO_ROLLUP],0),MATCH(I$9,MMWR_RATING_RO_ROLLUP[#Headers],0)),"ERROR"))</f>
        <v>146.6331335616</v>
      </c>
      <c r="J19" s="158">
        <f>IF($B19=" ","",IFERROR(VLOOKUP($B19,MMWR_ACCURACY_RO[],MATCH(J$9,MMWR_ACCURACY_RO[#Headers],0),0),"ERROR"))</f>
        <v>0.97656463248196534</v>
      </c>
      <c r="K19" s="158">
        <f>IF($B19=" ","",IFERROR(VLOOKUP($B19,MMWR_ACCURACY_RO[],MATCH(K$9,MMWR_ACCURACY_RO[#Headers],0),0),"ERROR"))</f>
        <v>0.92374234960441859</v>
      </c>
      <c r="L19" s="158">
        <f>IF($B19=" ","",IFERROR(VLOOKUP($B19,MMWR_ACCURACY_RO[],MATCH(L$9,MMWR_ACCURACY_RO[#Headers],0),0),"ERROR"))</f>
        <v>0.88581863935522454</v>
      </c>
      <c r="M19" s="158">
        <f>IF($B19=" ","",IFERROR(VLOOKUP($B19,MMWR_ACCURACY_RO[],MATCH(M$9,MMWR_ACCURACY_RO[#Headers],0),0),"ERROR"))</f>
        <v>4.9569999406535815E-2</v>
      </c>
      <c r="N19" s="158">
        <f>IF($B19=" ","",IFERROR(VLOOKUP($B19,MMWR_ACCURACY_RO[],MATCH(N$9,MMWR_ACCURACY_RO[#Headers],0),0),"ERROR"))</f>
        <v>0.87522193823655736</v>
      </c>
      <c r="O19" s="158">
        <f>IF($B19=" ","",IFERROR(VLOOKUP($B19,MMWR_ACCURACY_RO[],MATCH(O$9,MMWR_ACCURACY_RO[#Headers],0),0),"ERROR"))</f>
        <v>4.7629350570120937E-2</v>
      </c>
      <c r="P19" s="28"/>
    </row>
    <row r="20" spans="1:16" x14ac:dyDescent="0.2">
      <c r="A20" s="25"/>
      <c r="B20" s="8" t="str">
        <f>VLOOKUP($B$16,DISTRICT_RO[],5,0)</f>
        <v>Hartford VSC</v>
      </c>
      <c r="C20" s="154">
        <f>IF($B20=" ","",IFERROR(INDEX(MMWR_RATING_RO_ROLLUP[],MATCH($B20,MMWR_RATING_RO_ROLLUP[MMWR_RATING_RO_ROLLUP],0),MATCH(C$9,MMWR_RATING_RO_ROLLUP[#Headers],0)),"ERROR"))</f>
        <v>3110</v>
      </c>
      <c r="D20" s="155">
        <f>IF($B20=" ","",IFERROR(INDEX(MMWR_RATING_RO_ROLLUP[],MATCH($B20,MMWR_RATING_RO_ROLLUP[MMWR_RATING_RO_ROLLUP],0),MATCH(D$9,MMWR_RATING_RO_ROLLUP[#Headers],0)),"ERROR"))</f>
        <v>91.323151125400003</v>
      </c>
      <c r="E20" s="156">
        <f>IF($B20=" ","",IFERROR(INDEX(MMWR_RATING_RO_ROLLUP[],MATCH($B20,MMWR_RATING_RO_ROLLUP[MMWR_RATING_RO_ROLLUP],0),MATCH(E$9,MMWR_RATING_RO_ROLLUP[#Headers],0))/$C20,"ERROR"))</f>
        <v>0.18070739549839229</v>
      </c>
      <c r="F20" s="154">
        <f>IF($B20=" ","",IFERROR(INDEX(MMWR_RATING_RO_ROLLUP[],MATCH($B20,MMWR_RATING_RO_ROLLUP[MMWR_RATING_RO_ROLLUP],0),MATCH(F$9,MMWR_RATING_RO_ROLLUP[#Headers],0)),"ERROR"))</f>
        <v>537</v>
      </c>
      <c r="G20" s="154">
        <f>IF($B20=" ","",IFERROR(INDEX(MMWR_RATING_RO_ROLLUP[],MATCH($B20,MMWR_RATING_RO_ROLLUP[MMWR_RATING_RO_ROLLUP],0),MATCH(G$9,MMWR_RATING_RO_ROLLUP[#Headers],0)),"ERROR"))</f>
        <v>2139</v>
      </c>
      <c r="H20" s="155">
        <f>IF($B20=" ","",IFERROR(INDEX(MMWR_RATING_RO_ROLLUP[],MATCH($B20,MMWR_RATING_RO_ROLLUP[MMWR_RATING_RO_ROLLUP],0),MATCH(H$9,MMWR_RATING_RO_ROLLUP[#Headers],0)),"ERROR"))</f>
        <v>152.81005586590001</v>
      </c>
      <c r="I20" s="155">
        <f>IF($B20=" ","",IFERROR(INDEX(MMWR_RATING_RO_ROLLUP[],MATCH($B20,MMWR_RATING_RO_ROLLUP[MMWR_RATING_RO_ROLLUP],0),MATCH(I$9,MMWR_RATING_RO_ROLLUP[#Headers],0)),"ERROR"))</f>
        <v>139.12482468440001</v>
      </c>
      <c r="J20" s="158">
        <f>IF($B20=" ","",IFERROR(VLOOKUP($B20,MMWR_ACCURACY_RO[],MATCH(J$9,MMWR_ACCURACY_RO[#Headers],0),0),"ERROR"))</f>
        <v>0.97054664400291391</v>
      </c>
      <c r="K20" s="158">
        <f>IF($B20=" ","",IFERROR(VLOOKUP($B20,MMWR_ACCURACY_RO[],MATCH(K$9,MMWR_ACCURACY_RO[#Headers],0),0),"ERROR"))</f>
        <v>0.90484696915565077</v>
      </c>
      <c r="L20" s="158">
        <f>IF($B20=" ","",IFERROR(VLOOKUP($B20,MMWR_ACCURACY_RO[],MATCH(L$9,MMWR_ACCURACY_RO[#Headers],0),0),"ERROR"))</f>
        <v>0.91229359862054049</v>
      </c>
      <c r="M20" s="158">
        <f>IF($B20=" ","",IFERROR(VLOOKUP($B20,MMWR_ACCURACY_RO[],MATCH(M$9,MMWR_ACCURACY_RO[#Headers],0),0),"ERROR"))</f>
        <v>4.4833904578174925E-2</v>
      </c>
      <c r="N20" s="158">
        <f>IF($B20=" ","",IFERROR(VLOOKUP($B20,MMWR_ACCURACY_RO[],MATCH(N$9,MMWR_ACCURACY_RO[#Headers],0),0),"ERROR"))</f>
        <v>0.96706286742266068</v>
      </c>
      <c r="O20" s="158">
        <f>IF($B20=" ","",IFERROR(VLOOKUP($B20,MMWR_ACCURACY_RO[],MATCH(O$9,MMWR_ACCURACY_RO[#Headers],0),0),"ERROR"))</f>
        <v>3.3241064958263136E-2</v>
      </c>
      <c r="P20" s="28"/>
    </row>
    <row r="21" spans="1:16" x14ac:dyDescent="0.2">
      <c r="A21" s="25"/>
      <c r="B21" s="8" t="str">
        <f>VLOOKUP($B$16,DISTRICT_RO[],6,0)</f>
        <v>Huntington VSC</v>
      </c>
      <c r="C21" s="154">
        <f>IF($B21=" ","",IFERROR(INDEX(MMWR_RATING_RO_ROLLUP[],MATCH($B21,MMWR_RATING_RO_ROLLUP[MMWR_RATING_RO_ROLLUP],0),MATCH(C$9,MMWR_RATING_RO_ROLLUP[#Headers],0)),"ERROR"))</f>
        <v>5201</v>
      </c>
      <c r="D21" s="155">
        <f>IF($B21=" ","",IFERROR(INDEX(MMWR_RATING_RO_ROLLUP[],MATCH($B21,MMWR_RATING_RO_ROLLUP[MMWR_RATING_RO_ROLLUP],0),MATCH(D$9,MMWR_RATING_RO_ROLLUP[#Headers],0)),"ERROR"))</f>
        <v>99.115170159599998</v>
      </c>
      <c r="E21" s="156">
        <f>IF($B21=" ","",IFERROR(INDEX(MMWR_RATING_RO_ROLLUP[],MATCH($B21,MMWR_RATING_RO_ROLLUP[MMWR_RATING_RO_ROLLUP],0),MATCH(E$9,MMWR_RATING_RO_ROLLUP[#Headers],0))/$C21,"ERROR"))</f>
        <v>0.22034224187656221</v>
      </c>
      <c r="F21" s="154">
        <f>IF($B21=" ","",IFERROR(INDEX(MMWR_RATING_RO_ROLLUP[],MATCH($B21,MMWR_RATING_RO_ROLLUP[MMWR_RATING_RO_ROLLUP],0),MATCH(F$9,MMWR_RATING_RO_ROLLUP[#Headers],0)),"ERROR"))</f>
        <v>1330</v>
      </c>
      <c r="G21" s="154">
        <f>IF($B21=" ","",IFERROR(INDEX(MMWR_RATING_RO_ROLLUP[],MATCH($B21,MMWR_RATING_RO_ROLLUP[MMWR_RATING_RO_ROLLUP],0),MATCH(G$9,MMWR_RATING_RO_ROLLUP[#Headers],0)),"ERROR"))</f>
        <v>4288</v>
      </c>
      <c r="H21" s="155">
        <f>IF($B21=" ","",IFERROR(INDEX(MMWR_RATING_RO_ROLLUP[],MATCH($B21,MMWR_RATING_RO_ROLLUP[MMWR_RATING_RO_ROLLUP],0),MATCH(H$9,MMWR_RATING_RO_ROLLUP[#Headers],0)),"ERROR"))</f>
        <v>140.5676691729</v>
      </c>
      <c r="I21" s="155">
        <f>IF($B21=" ","",IFERROR(INDEX(MMWR_RATING_RO_ROLLUP[],MATCH($B21,MMWR_RATING_RO_ROLLUP[MMWR_RATING_RO_ROLLUP],0),MATCH(I$9,MMWR_RATING_RO_ROLLUP[#Headers],0)),"ERROR"))</f>
        <v>136.60914179100001</v>
      </c>
      <c r="J21" s="158">
        <f>IF($B21=" ","",IFERROR(VLOOKUP($B21,MMWR_ACCURACY_RO[],MATCH(J$9,MMWR_ACCURACY_RO[#Headers],0),0),"ERROR"))</f>
        <v>0.97282677228539993</v>
      </c>
      <c r="K21" s="158">
        <f>IF($B21=" ","",IFERROR(VLOOKUP($B21,MMWR_ACCURACY_RO[],MATCH(K$9,MMWR_ACCURACY_RO[#Headers],0),0),"ERROR"))</f>
        <v>0.89002718974558159</v>
      </c>
      <c r="L21" s="158">
        <f>IF($B21=" ","",IFERROR(VLOOKUP($B21,MMWR_ACCURACY_RO[],MATCH(L$9,MMWR_ACCURACY_RO[#Headers],0),0),"ERROR"))</f>
        <v>0.8966879945112981</v>
      </c>
      <c r="M21" s="158">
        <f>IF($B21=" ","",IFERROR(VLOOKUP($B21,MMWR_ACCURACY_RO[],MATCH(M$9,MMWR_ACCURACY_RO[#Headers],0),0),"ERROR"))</f>
        <v>4.4971664608771104E-2</v>
      </c>
      <c r="N21" s="158">
        <f>IF($B21=" ","",IFERROR(VLOOKUP($B21,MMWR_ACCURACY_RO[],MATCH(N$9,MMWR_ACCURACY_RO[#Headers],0),0),"ERROR"))</f>
        <v>0.90584974990550005</v>
      </c>
      <c r="O21" s="158">
        <f>IF($B21=" ","",IFERROR(VLOOKUP($B21,MMWR_ACCURACY_RO[],MATCH(O$9,MMWR_ACCURACY_RO[#Headers],0),0),"ERROR"))</f>
        <v>4.8124312022041878E-2</v>
      </c>
      <c r="P21" s="28"/>
    </row>
    <row r="22" spans="1:16" x14ac:dyDescent="0.2">
      <c r="A22" s="25"/>
      <c r="B22" s="8" t="str">
        <f>VLOOKUP($B$16,DISTRICT_RO[],7,0)</f>
        <v>Manchester VSC</v>
      </c>
      <c r="C22" s="154">
        <f>IF($B22=" ","",IFERROR(INDEX(MMWR_RATING_RO_ROLLUP[],MATCH($B22,MMWR_RATING_RO_ROLLUP[MMWR_RATING_RO_ROLLUP],0),MATCH(C$9,MMWR_RATING_RO_ROLLUP[#Headers],0)),"ERROR"))</f>
        <v>1190</v>
      </c>
      <c r="D22" s="155">
        <f>IF($B22=" ","",IFERROR(INDEX(MMWR_RATING_RO_ROLLUP[],MATCH($B22,MMWR_RATING_RO_ROLLUP[MMWR_RATING_RO_ROLLUP],0),MATCH(D$9,MMWR_RATING_RO_ROLLUP[#Headers],0)),"ERROR"))</f>
        <v>101.3235294118</v>
      </c>
      <c r="E22" s="156">
        <f>IF($B22=" ","",IFERROR(INDEX(MMWR_RATING_RO_ROLLUP[],MATCH($B22,MMWR_RATING_RO_ROLLUP[MMWR_RATING_RO_ROLLUP],0),MATCH(E$9,MMWR_RATING_RO_ROLLUP[#Headers],0))/$C22,"ERROR"))</f>
        <v>0.22857142857142856</v>
      </c>
      <c r="F22" s="154">
        <f>IF($B22=" ","",IFERROR(INDEX(MMWR_RATING_RO_ROLLUP[],MATCH($B22,MMWR_RATING_RO_ROLLUP[MMWR_RATING_RO_ROLLUP],0),MATCH(F$9,MMWR_RATING_RO_ROLLUP[#Headers],0)),"ERROR"))</f>
        <v>357</v>
      </c>
      <c r="G22" s="154">
        <f>IF($B22=" ","",IFERROR(INDEX(MMWR_RATING_RO_ROLLUP[],MATCH($B22,MMWR_RATING_RO_ROLLUP[MMWR_RATING_RO_ROLLUP],0),MATCH(G$9,MMWR_RATING_RO_ROLLUP[#Headers],0)),"ERROR"))</f>
        <v>942</v>
      </c>
      <c r="H22" s="155">
        <f>IF($B22=" ","",IFERROR(INDEX(MMWR_RATING_RO_ROLLUP[],MATCH($B22,MMWR_RATING_RO_ROLLUP[MMWR_RATING_RO_ROLLUP],0),MATCH(H$9,MMWR_RATING_RO_ROLLUP[#Headers],0)),"ERROR"))</f>
        <v>125.3865546218</v>
      </c>
      <c r="I22" s="155">
        <f>IF($B22=" ","",IFERROR(INDEX(MMWR_RATING_RO_ROLLUP[],MATCH($B22,MMWR_RATING_RO_ROLLUP[MMWR_RATING_RO_ROLLUP],0),MATCH(I$9,MMWR_RATING_RO_ROLLUP[#Headers],0)),"ERROR"))</f>
        <v>135.94692144370001</v>
      </c>
      <c r="J22" s="158">
        <f>IF($B22=" ","",IFERROR(VLOOKUP($B22,MMWR_ACCURACY_RO[],MATCH(J$9,MMWR_ACCURACY_RO[#Headers],0),0),"ERROR"))</f>
        <v>0.97598645352175517</v>
      </c>
      <c r="K22" s="158">
        <f>IF($B22=" ","",IFERROR(VLOOKUP($B22,MMWR_ACCURACY_RO[],MATCH(K$9,MMWR_ACCURACY_RO[#Headers],0),0),"ERROR"))</f>
        <v>0.96205179282868525</v>
      </c>
      <c r="L22" s="158">
        <f>IF($B22=" ","",IFERROR(VLOOKUP($B22,MMWR_ACCURACY_RO[],MATCH(L$9,MMWR_ACCURACY_RO[#Headers],0),0),"ERROR"))</f>
        <v>0.91863578374431909</v>
      </c>
      <c r="M22" s="158">
        <f>IF($B22=" ","",IFERROR(VLOOKUP($B22,MMWR_ACCURACY_RO[],MATCH(M$9,MMWR_ACCURACY_RO[#Headers],0),0),"ERROR"))</f>
        <v>3.9118647441663656E-2</v>
      </c>
      <c r="N22" s="158">
        <f>IF($B22=" ","",IFERROR(VLOOKUP($B22,MMWR_ACCURACY_RO[],MATCH(N$9,MMWR_ACCURACY_RO[#Headers],0),0),"ERROR"))</f>
        <v>0.9200361352064137</v>
      </c>
      <c r="O22" s="158">
        <f>IF($B22=" ","",IFERROR(VLOOKUP($B22,MMWR_ACCURACY_RO[],MATCH(O$9,MMWR_ACCURACY_RO[#Headers],0),0),"ERROR"))</f>
        <v>4.5700383985787379E-2</v>
      </c>
      <c r="P22" s="28"/>
    </row>
    <row r="23" spans="1:16" x14ac:dyDescent="0.2">
      <c r="A23" s="25"/>
      <c r="B23" s="8" t="str">
        <f>VLOOKUP($B$16,DISTRICT_RO[],8,0)</f>
        <v>New York VSC</v>
      </c>
      <c r="C23" s="154">
        <f>IF($B23=" ","",IFERROR(INDEX(MMWR_RATING_RO_ROLLUP[],MATCH($B23,MMWR_RATING_RO_ROLLUP[MMWR_RATING_RO_ROLLUP],0),MATCH(C$9,MMWR_RATING_RO_ROLLUP[#Headers],0)),"ERROR"))</f>
        <v>3921</v>
      </c>
      <c r="D23" s="155">
        <f>IF($B23=" ","",IFERROR(INDEX(MMWR_RATING_RO_ROLLUP[],MATCH($B23,MMWR_RATING_RO_ROLLUP[MMWR_RATING_RO_ROLLUP],0),MATCH(D$9,MMWR_RATING_RO_ROLLUP[#Headers],0)),"ERROR"))</f>
        <v>93.569242540199994</v>
      </c>
      <c r="E23" s="156">
        <f>IF($B23=" ","",IFERROR(INDEX(MMWR_RATING_RO_ROLLUP[],MATCH($B23,MMWR_RATING_RO_ROLLUP[MMWR_RATING_RO_ROLLUP],0),MATCH(E$9,MMWR_RATING_RO_ROLLUP[#Headers],0))/$C23,"ERROR"))</f>
        <v>0.23131854118847234</v>
      </c>
      <c r="F23" s="154">
        <f>IF($B23=" ","",IFERROR(INDEX(MMWR_RATING_RO_ROLLUP[],MATCH($B23,MMWR_RATING_RO_ROLLUP[MMWR_RATING_RO_ROLLUP],0),MATCH(F$9,MMWR_RATING_RO_ROLLUP[#Headers],0)),"ERROR"))</f>
        <v>722</v>
      </c>
      <c r="G23" s="154">
        <f>IF($B23=" ","",IFERROR(INDEX(MMWR_RATING_RO_ROLLUP[],MATCH($B23,MMWR_RATING_RO_ROLLUP[MMWR_RATING_RO_ROLLUP],0),MATCH(G$9,MMWR_RATING_RO_ROLLUP[#Headers],0)),"ERROR"))</f>
        <v>2621</v>
      </c>
      <c r="H23" s="155">
        <f>IF($B23=" ","",IFERROR(INDEX(MMWR_RATING_RO_ROLLUP[],MATCH($B23,MMWR_RATING_RO_ROLLUP[MMWR_RATING_RO_ROLLUP],0),MATCH(H$9,MMWR_RATING_RO_ROLLUP[#Headers],0)),"ERROR"))</f>
        <v>135.8351800554</v>
      </c>
      <c r="I23" s="155">
        <f>IF($B23=" ","",IFERROR(INDEX(MMWR_RATING_RO_ROLLUP[],MATCH($B23,MMWR_RATING_RO_ROLLUP[MMWR_RATING_RO_ROLLUP],0),MATCH(I$9,MMWR_RATING_RO_ROLLUP[#Headers],0)),"ERROR"))</f>
        <v>131.11446012970001</v>
      </c>
      <c r="J23" s="158">
        <f>IF($B23=" ","",IFERROR(VLOOKUP($B23,MMWR_ACCURACY_RO[],MATCH(J$9,MMWR_ACCURACY_RO[#Headers],0),0),"ERROR"))</f>
        <v>0.95009146915606246</v>
      </c>
      <c r="K23" s="158">
        <f>IF($B23=" ","",IFERROR(VLOOKUP($B23,MMWR_ACCURACY_RO[],MATCH(K$9,MMWR_ACCURACY_RO[#Headers],0),0),"ERROR"))</f>
        <v>0.85112592325707082</v>
      </c>
      <c r="L23" s="158">
        <f>IF($B23=" ","",IFERROR(VLOOKUP($B23,MMWR_ACCURACY_RO[],MATCH(L$9,MMWR_ACCURACY_RO[#Headers],0),0),"ERROR"))</f>
        <v>0.89898706077767865</v>
      </c>
      <c r="M23" s="158">
        <f>IF($B23=" ","",IFERROR(VLOOKUP($B23,MMWR_ACCURACY_RO[],MATCH(M$9,MMWR_ACCURACY_RO[#Headers],0),0),"ERROR"))</f>
        <v>4.752568567591986E-2</v>
      </c>
      <c r="N23" s="158">
        <f>IF($B23=" ","",IFERROR(VLOOKUP($B23,MMWR_ACCURACY_RO[],MATCH(N$9,MMWR_ACCURACY_RO[#Headers],0),0),"ERROR"))</f>
        <v>0.92776992820595927</v>
      </c>
      <c r="O23" s="158">
        <f>IF($B23=" ","",IFERROR(VLOOKUP($B23,MMWR_ACCURACY_RO[],MATCH(O$9,MMWR_ACCURACY_RO[#Headers],0),0),"ERROR"))</f>
        <v>4.0318412272002606E-2</v>
      </c>
      <c r="P23" s="28"/>
    </row>
    <row r="24" spans="1:16" x14ac:dyDescent="0.2">
      <c r="A24" s="25"/>
      <c r="B24" s="8" t="str">
        <f>VLOOKUP($B$16,DISTRICT_RO[],9,0)</f>
        <v>Newark VSC</v>
      </c>
      <c r="C24" s="154">
        <f>IF($B24=" ","",IFERROR(INDEX(MMWR_RATING_RO_ROLLUP[],MATCH($B24,MMWR_RATING_RO_ROLLUP[MMWR_RATING_RO_ROLLUP],0),MATCH(C$9,MMWR_RATING_RO_ROLLUP[#Headers],0)),"ERROR"))</f>
        <v>2382</v>
      </c>
      <c r="D24" s="155">
        <f>IF($B24=" ","",IFERROR(INDEX(MMWR_RATING_RO_ROLLUP[],MATCH($B24,MMWR_RATING_RO_ROLLUP[MMWR_RATING_RO_ROLLUP],0),MATCH(D$9,MMWR_RATING_RO_ROLLUP[#Headers],0)),"ERROR"))</f>
        <v>78.940806045299993</v>
      </c>
      <c r="E24" s="156">
        <f>IF($B24=" ","",IFERROR(INDEX(MMWR_RATING_RO_ROLLUP[],MATCH($B24,MMWR_RATING_RO_ROLLUP[MMWR_RATING_RO_ROLLUP],0),MATCH(E$9,MMWR_RATING_RO_ROLLUP[#Headers],0))/$C24,"ERROR"))</f>
        <v>0.1330814441645676</v>
      </c>
      <c r="F24" s="154">
        <f>IF($B24=" ","",IFERROR(INDEX(MMWR_RATING_RO_ROLLUP[],MATCH($B24,MMWR_RATING_RO_ROLLUP[MMWR_RATING_RO_ROLLUP],0),MATCH(F$9,MMWR_RATING_RO_ROLLUP[#Headers],0)),"ERROR"))</f>
        <v>319</v>
      </c>
      <c r="G24" s="154">
        <f>IF($B24=" ","",IFERROR(INDEX(MMWR_RATING_RO_ROLLUP[],MATCH($B24,MMWR_RATING_RO_ROLLUP[MMWR_RATING_RO_ROLLUP],0),MATCH(G$9,MMWR_RATING_RO_ROLLUP[#Headers],0)),"ERROR"))</f>
        <v>1514</v>
      </c>
      <c r="H24" s="155">
        <f>IF($B24=" ","",IFERROR(INDEX(MMWR_RATING_RO_ROLLUP[],MATCH($B24,MMWR_RATING_RO_ROLLUP[MMWR_RATING_RO_ROLLUP],0),MATCH(H$9,MMWR_RATING_RO_ROLLUP[#Headers],0)),"ERROR"))</f>
        <v>160.8996865204</v>
      </c>
      <c r="I24" s="155">
        <f>IF($B24=" ","",IFERROR(INDEX(MMWR_RATING_RO_ROLLUP[],MATCH($B24,MMWR_RATING_RO_ROLLUP[MMWR_RATING_RO_ROLLUP],0),MATCH(I$9,MMWR_RATING_RO_ROLLUP[#Headers],0)),"ERROR"))</f>
        <v>142.06803170410001</v>
      </c>
      <c r="J24" s="158">
        <f>IF($B24=" ","",IFERROR(VLOOKUP($B24,MMWR_ACCURACY_RO[],MATCH(J$9,MMWR_ACCURACY_RO[#Headers],0),0),"ERROR"))</f>
        <v>0.96757826723070706</v>
      </c>
      <c r="K24" s="158">
        <f>IF($B24=" ","",IFERROR(VLOOKUP($B24,MMWR_ACCURACY_RO[],MATCH(K$9,MMWR_ACCURACY_RO[#Headers],0),0),"ERROR"))</f>
        <v>0.93652447089947088</v>
      </c>
      <c r="L24" s="158">
        <f>IF($B24=" ","",IFERROR(VLOOKUP($B24,MMWR_ACCURACY_RO[],MATCH(L$9,MMWR_ACCURACY_RO[#Headers],0),0),"ERROR"))</f>
        <v>0.89573728179059775</v>
      </c>
      <c r="M24" s="158">
        <f>IF($B24=" ","",IFERROR(VLOOKUP($B24,MMWR_ACCURACY_RO[],MATCH(M$9,MMWR_ACCURACY_RO[#Headers],0),0),"ERROR"))</f>
        <v>4.1087996608787376E-2</v>
      </c>
      <c r="N24" s="158">
        <f>IF($B24=" ","",IFERROR(VLOOKUP($B24,MMWR_ACCURACY_RO[],MATCH(N$9,MMWR_ACCURACY_RO[#Headers],0),0),"ERROR"))</f>
        <v>0.87758619381468317</v>
      </c>
      <c r="O24" s="158">
        <f>IF($B24=" ","",IFERROR(VLOOKUP($B24,MMWR_ACCURACY_RO[],MATCH(O$9,MMWR_ACCURACY_RO[#Headers],0),0),"ERROR"))</f>
        <v>4.8405400501336189E-2</v>
      </c>
      <c r="P24" s="28"/>
    </row>
    <row r="25" spans="1:16" x14ac:dyDescent="0.2">
      <c r="A25" s="25"/>
      <c r="B25" s="8" t="str">
        <f>VLOOKUP($B$16,DISTRICT_RO[],10,0)</f>
        <v>Philadelphia VSC</v>
      </c>
      <c r="C25" s="154">
        <f>IF($B25=" ","",IFERROR(INDEX(MMWR_RATING_RO_ROLLUP[],MATCH($B25,MMWR_RATING_RO_ROLLUP[MMWR_RATING_RO_ROLLUP],0),MATCH(C$9,MMWR_RATING_RO_ROLLUP[#Headers],0)),"ERROR"))</f>
        <v>7584</v>
      </c>
      <c r="D25" s="155">
        <f>IF($B25=" ","",IFERROR(INDEX(MMWR_RATING_RO_ROLLUP[],MATCH($B25,MMWR_RATING_RO_ROLLUP[MMWR_RATING_RO_ROLLUP],0),MATCH(D$9,MMWR_RATING_RO_ROLLUP[#Headers],0)),"ERROR"))</f>
        <v>111.6673259494</v>
      </c>
      <c r="E25" s="156">
        <f>IF($B25=" ","",IFERROR(INDEX(MMWR_RATING_RO_ROLLUP[],MATCH($B25,MMWR_RATING_RO_ROLLUP[MMWR_RATING_RO_ROLLUP],0),MATCH(E$9,MMWR_RATING_RO_ROLLUP[#Headers],0))/$C25,"ERROR"))</f>
        <v>0.29140295358649787</v>
      </c>
      <c r="F25" s="154">
        <f>IF($B25=" ","",IFERROR(INDEX(MMWR_RATING_RO_ROLLUP[],MATCH($B25,MMWR_RATING_RO_ROLLUP[MMWR_RATING_RO_ROLLUP],0),MATCH(F$9,MMWR_RATING_RO_ROLLUP[#Headers],0)),"ERROR"))</f>
        <v>1899</v>
      </c>
      <c r="G25" s="154">
        <f>IF($B25=" ","",IFERROR(INDEX(MMWR_RATING_RO_ROLLUP[],MATCH($B25,MMWR_RATING_RO_ROLLUP[MMWR_RATING_RO_ROLLUP],0),MATCH(G$9,MMWR_RATING_RO_ROLLUP[#Headers],0)),"ERROR"))</f>
        <v>6056</v>
      </c>
      <c r="H25" s="155">
        <f>IF($B25=" ","",IFERROR(INDEX(MMWR_RATING_RO_ROLLUP[],MATCH($B25,MMWR_RATING_RO_ROLLUP[MMWR_RATING_RO_ROLLUP],0),MATCH(H$9,MMWR_RATING_RO_ROLLUP[#Headers],0)),"ERROR"))</f>
        <v>149.4865718799</v>
      </c>
      <c r="I25" s="155">
        <f>IF($B25=" ","",IFERROR(INDEX(MMWR_RATING_RO_ROLLUP[],MATCH($B25,MMWR_RATING_RO_ROLLUP[MMWR_RATING_RO_ROLLUP],0),MATCH(I$9,MMWR_RATING_RO_ROLLUP[#Headers],0)),"ERROR"))</f>
        <v>155.95574636719999</v>
      </c>
      <c r="J25" s="158">
        <f>IF($B25=" ","",IFERROR(VLOOKUP($B25,MMWR_ACCURACY_RO[],MATCH(J$9,MMWR_ACCURACY_RO[#Headers],0),0),"ERROR"))</f>
        <v>0.93158721710409353</v>
      </c>
      <c r="K25" s="158">
        <f>IF($B25=" ","",IFERROR(VLOOKUP($B25,MMWR_ACCURACY_RO[],MATCH(K$9,MMWR_ACCURACY_RO[#Headers],0),0),"ERROR"))</f>
        <v>0.85729969251431404</v>
      </c>
      <c r="L25" s="158">
        <f>IF($B25=" ","",IFERROR(VLOOKUP($B25,MMWR_ACCURACY_RO[],MATCH(L$9,MMWR_ACCURACY_RO[#Headers],0),0),"ERROR"))</f>
        <v>0.85304537237291767</v>
      </c>
      <c r="M25" s="158">
        <f>IF($B25=" ","",IFERROR(VLOOKUP($B25,MMWR_ACCURACY_RO[],MATCH(M$9,MMWR_ACCURACY_RO[#Headers],0),0),"ERROR"))</f>
        <v>5.1664924235531796E-2</v>
      </c>
      <c r="N25" s="158">
        <f>IF($B25=" ","",IFERROR(VLOOKUP($B25,MMWR_ACCURACY_RO[],MATCH(N$9,MMWR_ACCURACY_RO[#Headers],0),0),"ERROR"))</f>
        <v>0.89614431336532274</v>
      </c>
      <c r="O25" s="158">
        <f>IF($B25=" ","",IFERROR(VLOOKUP($B25,MMWR_ACCURACY_RO[],MATCH(O$9,MMWR_ACCURACY_RO[#Headers],0),0),"ERROR"))</f>
        <v>5.0575399016445033E-2</v>
      </c>
      <c r="P25" s="28"/>
    </row>
    <row r="26" spans="1:16" x14ac:dyDescent="0.2">
      <c r="A26" s="25"/>
      <c r="B26" s="8" t="str">
        <f>VLOOKUP($B$16,DISTRICT_RO[],11,0)</f>
        <v>Pittsburgh VSC</v>
      </c>
      <c r="C26" s="154">
        <f>IF($B26=" ","",IFERROR(INDEX(MMWR_RATING_RO_ROLLUP[],MATCH($B26,MMWR_RATING_RO_ROLLUP[MMWR_RATING_RO_ROLLUP],0),MATCH(C$9,MMWR_RATING_RO_ROLLUP[#Headers],0)),"ERROR"))</f>
        <v>4130</v>
      </c>
      <c r="D26" s="155">
        <f>IF($B26=" ","",IFERROR(INDEX(MMWR_RATING_RO_ROLLUP[],MATCH($B26,MMWR_RATING_RO_ROLLUP[MMWR_RATING_RO_ROLLUP],0),MATCH(D$9,MMWR_RATING_RO_ROLLUP[#Headers],0)),"ERROR"))</f>
        <v>123.999031477</v>
      </c>
      <c r="E26" s="156">
        <f>IF($B26=" ","",IFERROR(INDEX(MMWR_RATING_RO_ROLLUP[],MATCH($B26,MMWR_RATING_RO_ROLLUP[MMWR_RATING_RO_ROLLUP],0),MATCH(E$9,MMWR_RATING_RO_ROLLUP[#Headers],0))/$C26,"ERROR"))</f>
        <v>0.33680387409200968</v>
      </c>
      <c r="F26" s="154">
        <f>IF($B26=" ","",IFERROR(INDEX(MMWR_RATING_RO_ROLLUP[],MATCH($B26,MMWR_RATING_RO_ROLLUP[MMWR_RATING_RO_ROLLUP],0),MATCH(F$9,MMWR_RATING_RO_ROLLUP[#Headers],0)),"ERROR"))</f>
        <v>674</v>
      </c>
      <c r="G26" s="154">
        <f>IF($B26=" ","",IFERROR(INDEX(MMWR_RATING_RO_ROLLUP[],MATCH($B26,MMWR_RATING_RO_ROLLUP[MMWR_RATING_RO_ROLLUP],0),MATCH(G$9,MMWR_RATING_RO_ROLLUP[#Headers],0)),"ERROR"))</f>
        <v>2483</v>
      </c>
      <c r="H26" s="155">
        <f>IF($B26=" ","",IFERROR(INDEX(MMWR_RATING_RO_ROLLUP[],MATCH($B26,MMWR_RATING_RO_ROLLUP[MMWR_RATING_RO_ROLLUP],0),MATCH(H$9,MMWR_RATING_RO_ROLLUP[#Headers],0)),"ERROR"))</f>
        <v>179.89169139469999</v>
      </c>
      <c r="I26" s="155">
        <f>IF($B26=" ","",IFERROR(INDEX(MMWR_RATING_RO_ROLLUP[],MATCH($B26,MMWR_RATING_RO_ROLLUP[MMWR_RATING_RO_ROLLUP],0),MATCH(I$9,MMWR_RATING_RO_ROLLUP[#Headers],0)),"ERROR"))</f>
        <v>182.49617398309999</v>
      </c>
      <c r="J26" s="158">
        <f>IF($B26=" ","",IFERROR(VLOOKUP($B26,MMWR_ACCURACY_RO[],MATCH(J$9,MMWR_ACCURACY_RO[#Headers],0),0),"ERROR"))</f>
        <v>0.93728469047914409</v>
      </c>
      <c r="K26" s="158">
        <f>IF($B26=" ","",IFERROR(VLOOKUP($B26,MMWR_ACCURACY_RO[],MATCH(K$9,MMWR_ACCURACY_RO[#Headers],0),0),"ERROR"))</f>
        <v>0.91372282608695632</v>
      </c>
      <c r="L26" s="158">
        <f>IF($B26=" ","",IFERROR(VLOOKUP($B26,MMWR_ACCURACY_RO[],MATCH(L$9,MMWR_ACCURACY_RO[#Headers],0),0),"ERROR"))</f>
        <v>0.90225378361763986</v>
      </c>
      <c r="M26" s="158">
        <f>IF($B26=" ","",IFERROR(VLOOKUP($B26,MMWR_ACCURACY_RO[],MATCH(M$9,MMWR_ACCURACY_RO[#Headers],0),0),"ERROR"))</f>
        <v>4.6078091657013973E-2</v>
      </c>
      <c r="N26" s="158">
        <f>IF($B26=" ","",IFERROR(VLOOKUP($B26,MMWR_ACCURACY_RO[],MATCH(N$9,MMWR_ACCURACY_RO[#Headers],0),0),"ERROR"))</f>
        <v>0.90688082335323483</v>
      </c>
      <c r="O26" s="158">
        <f>IF($B26=" ","",IFERROR(VLOOKUP($B26,MMWR_ACCURACY_RO[],MATCH(O$9,MMWR_ACCURACY_RO[#Headers],0),0),"ERROR"))</f>
        <v>5.8149289913883774E-2</v>
      </c>
      <c r="P26" s="28"/>
    </row>
    <row r="27" spans="1:16" x14ac:dyDescent="0.2">
      <c r="A27" s="25"/>
      <c r="B27" s="8" t="str">
        <f>VLOOKUP($B$16,DISTRICT_RO[],12,0)</f>
        <v>Providence VSC</v>
      </c>
      <c r="C27" s="154">
        <f>IF($B27=" ","",IFERROR(INDEX(MMWR_RATING_RO_ROLLUP[],MATCH($B27,MMWR_RATING_RO_ROLLUP[MMWR_RATING_RO_ROLLUP],0),MATCH(C$9,MMWR_RATING_RO_ROLLUP[#Headers],0)),"ERROR"))</f>
        <v>3631</v>
      </c>
      <c r="D27" s="155">
        <f>IF($B27=" ","",IFERROR(INDEX(MMWR_RATING_RO_ROLLUP[],MATCH($B27,MMWR_RATING_RO_ROLLUP[MMWR_RATING_RO_ROLLUP],0),MATCH(D$9,MMWR_RATING_RO_ROLLUP[#Headers],0)),"ERROR"))</f>
        <v>100.0118424676</v>
      </c>
      <c r="E27" s="156">
        <f>IF($B27=" ","",IFERROR(INDEX(MMWR_RATING_RO_ROLLUP[],MATCH($B27,MMWR_RATING_RO_ROLLUP[MMWR_RATING_RO_ROLLUP],0),MATCH(E$9,MMWR_RATING_RO_ROLLUP[#Headers],0))/$C27,"ERROR"))</f>
        <v>0.26879647480033048</v>
      </c>
      <c r="F27" s="154">
        <f>IF($B27=" ","",IFERROR(INDEX(MMWR_RATING_RO_ROLLUP[],MATCH($B27,MMWR_RATING_RO_ROLLUP[MMWR_RATING_RO_ROLLUP],0),MATCH(F$9,MMWR_RATING_RO_ROLLUP[#Headers],0)),"ERROR"))</f>
        <v>1747</v>
      </c>
      <c r="G27" s="154">
        <f>IF($B27=" ","",IFERROR(INDEX(MMWR_RATING_RO_ROLLUP[],MATCH($B27,MMWR_RATING_RO_ROLLUP[MMWR_RATING_RO_ROLLUP],0),MATCH(G$9,MMWR_RATING_RO_ROLLUP[#Headers],0)),"ERROR"))</f>
        <v>5700</v>
      </c>
      <c r="H27" s="155">
        <f>IF($B27=" ","",IFERROR(INDEX(MMWR_RATING_RO_ROLLUP[],MATCH($B27,MMWR_RATING_RO_ROLLUP[MMWR_RATING_RO_ROLLUP],0),MATCH(H$9,MMWR_RATING_RO_ROLLUP[#Headers],0)),"ERROR"))</f>
        <v>82.944476245000004</v>
      </c>
      <c r="I27" s="155">
        <f>IF($B27=" ","",IFERROR(INDEX(MMWR_RATING_RO_ROLLUP[],MATCH($B27,MMWR_RATING_RO_ROLLUP[MMWR_RATING_RO_ROLLUP],0),MATCH(I$9,MMWR_RATING_RO_ROLLUP[#Headers],0)),"ERROR"))</f>
        <v>80.495263157899998</v>
      </c>
      <c r="J27" s="158">
        <f>IF($B27=" ","",IFERROR(VLOOKUP($B27,MMWR_ACCURACY_RO[],MATCH(J$9,MMWR_ACCURACY_RO[#Headers],0),0),"ERROR"))</f>
        <v>0.97911338991892494</v>
      </c>
      <c r="K27" s="158">
        <f>IF($B27=" ","",IFERROR(VLOOKUP($B27,MMWR_ACCURACY_RO[],MATCH(K$9,MMWR_ACCURACY_RO[#Headers],0),0),"ERROR"))</f>
        <v>0.89053124542660622</v>
      </c>
      <c r="L27" s="158">
        <f>IF($B27=" ","",IFERROR(VLOOKUP($B27,MMWR_ACCURACY_RO[],MATCH(L$9,MMWR_ACCURACY_RO[#Headers],0),0),"ERROR"))</f>
        <v>0.86018663386136851</v>
      </c>
      <c r="M27" s="158">
        <f>IF($B27=" ","",IFERROR(VLOOKUP($B27,MMWR_ACCURACY_RO[],MATCH(M$9,MMWR_ACCURACY_RO[#Headers],0),0),"ERROR"))</f>
        <v>6.1464620544372295E-2</v>
      </c>
      <c r="N27" s="158">
        <f>IF($B27=" ","",IFERROR(VLOOKUP($B27,MMWR_ACCURACY_RO[],MATCH(N$9,MMWR_ACCURACY_RO[#Headers],0),0),"ERROR"))</f>
        <v>0.96005313597115471</v>
      </c>
      <c r="O27" s="158">
        <f>IF($B27=" ","",IFERROR(VLOOKUP($B27,MMWR_ACCURACY_RO[],MATCH(O$9,MMWR_ACCURACY_RO[#Headers],0),0),"ERROR"))</f>
        <v>3.2610188355958414E-2</v>
      </c>
      <c r="P27" s="28"/>
    </row>
    <row r="28" spans="1:16" x14ac:dyDescent="0.2">
      <c r="A28" s="25"/>
      <c r="B28" s="8" t="str">
        <f>VLOOKUP($B$16,DISTRICT_RO[],13,0)</f>
        <v>Roanoke VSC</v>
      </c>
      <c r="C28" s="154">
        <f>IF($B28=" ","",IFERROR(INDEX(MMWR_RATING_RO_ROLLUP[],MATCH($B28,MMWR_RATING_RO_ROLLUP[MMWR_RATING_RO_ROLLUP],0),MATCH(C$9,MMWR_RATING_RO_ROLLUP[#Headers],0)),"ERROR"))</f>
        <v>11018</v>
      </c>
      <c r="D28" s="155">
        <f>IF($B28=" ","",IFERROR(INDEX(MMWR_RATING_RO_ROLLUP[],MATCH($B28,MMWR_RATING_RO_ROLLUP[MMWR_RATING_RO_ROLLUP],0),MATCH(D$9,MMWR_RATING_RO_ROLLUP[#Headers],0)),"ERROR"))</f>
        <v>86.911236158999998</v>
      </c>
      <c r="E28" s="156">
        <f>IF($B28=" ","",IFERROR(INDEX(MMWR_RATING_RO_ROLLUP[],MATCH($B28,MMWR_RATING_RO_ROLLUP[MMWR_RATING_RO_ROLLUP],0),MATCH(E$9,MMWR_RATING_RO_ROLLUP[#Headers],0))/$C28,"ERROR"))</f>
        <v>0.18070430205118895</v>
      </c>
      <c r="F28" s="154">
        <f>IF($B28=" ","",IFERROR(INDEX(MMWR_RATING_RO_ROLLUP[],MATCH($B28,MMWR_RATING_RO_ROLLUP[MMWR_RATING_RO_ROLLUP],0),MATCH(F$9,MMWR_RATING_RO_ROLLUP[#Headers],0)),"ERROR"))</f>
        <v>2013</v>
      </c>
      <c r="G28" s="154">
        <f>IF($B28=" ","",IFERROR(INDEX(MMWR_RATING_RO_ROLLUP[],MATCH($B28,MMWR_RATING_RO_ROLLUP[MMWR_RATING_RO_ROLLUP],0),MATCH(G$9,MMWR_RATING_RO_ROLLUP[#Headers],0)),"ERROR"))</f>
        <v>7480</v>
      </c>
      <c r="H28" s="155">
        <f>IF($B28=" ","",IFERROR(INDEX(MMWR_RATING_RO_ROLLUP[],MATCH($B28,MMWR_RATING_RO_ROLLUP[MMWR_RATING_RO_ROLLUP],0),MATCH(H$9,MMWR_RATING_RO_ROLLUP[#Headers],0)),"ERROR"))</f>
        <v>148.86388474910001</v>
      </c>
      <c r="I28" s="155">
        <f>IF($B28=" ","",IFERROR(INDEX(MMWR_RATING_RO_ROLLUP[],MATCH($B28,MMWR_RATING_RO_ROLLUP[MMWR_RATING_RO_ROLLUP],0),MATCH(I$9,MMWR_RATING_RO_ROLLUP[#Headers],0)),"ERROR"))</f>
        <v>140.46818181820001</v>
      </c>
      <c r="J28" s="158">
        <f>IF($B28=" ","",IFERROR(VLOOKUP($B28,MMWR_ACCURACY_RO[],MATCH(J$9,MMWR_ACCURACY_RO[#Headers],0),0),"ERROR"))</f>
        <v>0.97291607013525128</v>
      </c>
      <c r="K28" s="158">
        <f>IF($B28=" ","",IFERROR(VLOOKUP($B28,MMWR_ACCURACY_RO[],MATCH(K$9,MMWR_ACCURACY_RO[#Headers],0),0),"ERROR"))</f>
        <v>0.88675258821043745</v>
      </c>
      <c r="L28" s="158">
        <f>IF($B28=" ","",IFERROR(VLOOKUP($B28,MMWR_ACCURACY_RO[],MATCH(L$9,MMWR_ACCURACY_RO[#Headers],0),0),"ERROR"))</f>
        <v>0.91133575615934925</v>
      </c>
      <c r="M28" s="158">
        <f>IF($B28=" ","",IFERROR(VLOOKUP($B28,MMWR_ACCURACY_RO[],MATCH(M$9,MMWR_ACCURACY_RO[#Headers],0),0),"ERROR"))</f>
        <v>4.6944990940559352E-2</v>
      </c>
      <c r="N28" s="158">
        <f>IF($B28=" ","",IFERROR(VLOOKUP($B28,MMWR_ACCURACY_RO[],MATCH(N$9,MMWR_ACCURACY_RO[#Headers],0),0),"ERROR"))</f>
        <v>0.90729634074541965</v>
      </c>
      <c r="O28" s="158">
        <f>IF($B28=" ","",IFERROR(VLOOKUP($B28,MMWR_ACCURACY_RO[],MATCH(O$9,MMWR_ACCURACY_RO[#Headers],0),0),"ERROR"))</f>
        <v>4.4813108918778252E-2</v>
      </c>
      <c r="P28" s="28"/>
    </row>
    <row r="29" spans="1:16" x14ac:dyDescent="0.2">
      <c r="A29" s="25"/>
      <c r="B29" s="8" t="str">
        <f>VLOOKUP($B$16,DISTRICT_RO[],14,0)</f>
        <v>Togus VSC</v>
      </c>
      <c r="C29" s="154">
        <f>IF($B29=" ","",IFERROR(INDEX(MMWR_RATING_RO_ROLLUP[],MATCH($B29,MMWR_RATING_RO_ROLLUP[MMWR_RATING_RO_ROLLUP],0),MATCH(C$9,MMWR_RATING_RO_ROLLUP[#Headers],0)),"ERROR"))</f>
        <v>5724</v>
      </c>
      <c r="D29" s="155">
        <f>IF($B29=" ","",IFERROR(INDEX(MMWR_RATING_RO_ROLLUP[],MATCH($B29,MMWR_RATING_RO_ROLLUP[MMWR_RATING_RO_ROLLUP],0),MATCH(D$9,MMWR_RATING_RO_ROLLUP[#Headers],0)),"ERROR"))</f>
        <v>95.329315164199997</v>
      </c>
      <c r="E29" s="156">
        <f>IF($B29=" ","",IFERROR(INDEX(MMWR_RATING_RO_ROLLUP[],MATCH($B29,MMWR_RATING_RO_ROLLUP[MMWR_RATING_RO_ROLLUP],0),MATCH(E$9,MMWR_RATING_RO_ROLLUP[#Headers],0))/$C29,"ERROR"))</f>
        <v>0.19252271139063593</v>
      </c>
      <c r="F29" s="154">
        <f>IF($B29=" ","",IFERROR(INDEX(MMWR_RATING_RO_ROLLUP[],MATCH($B29,MMWR_RATING_RO_ROLLUP[MMWR_RATING_RO_ROLLUP],0),MATCH(F$9,MMWR_RATING_RO_ROLLUP[#Headers],0)),"ERROR"))</f>
        <v>1166</v>
      </c>
      <c r="G29" s="154">
        <f>IF($B29=" ","",IFERROR(INDEX(MMWR_RATING_RO_ROLLUP[],MATCH($B29,MMWR_RATING_RO_ROLLUP[MMWR_RATING_RO_ROLLUP],0),MATCH(G$9,MMWR_RATING_RO_ROLLUP[#Headers],0)),"ERROR"))</f>
        <v>4209</v>
      </c>
      <c r="H29" s="155">
        <f>IF($B29=" ","",IFERROR(INDEX(MMWR_RATING_RO_ROLLUP[],MATCH($B29,MMWR_RATING_RO_ROLLUP[MMWR_RATING_RO_ROLLUP],0),MATCH(H$9,MMWR_RATING_RO_ROLLUP[#Headers],0)),"ERROR"))</f>
        <v>139.76843910810001</v>
      </c>
      <c r="I29" s="155">
        <f>IF($B29=" ","",IFERROR(INDEX(MMWR_RATING_RO_ROLLUP[],MATCH($B29,MMWR_RATING_RO_ROLLUP[MMWR_RATING_RO_ROLLUP],0),MATCH(I$9,MMWR_RATING_RO_ROLLUP[#Headers],0)),"ERROR"))</f>
        <v>132.43905915889999</v>
      </c>
      <c r="J29" s="158">
        <f>IF($B29=" ","",IFERROR(VLOOKUP($B29,MMWR_ACCURACY_RO[],MATCH(J$9,MMWR_ACCURACY_RO[#Headers],0),0),"ERROR"))</f>
        <v>0.95440717080048665</v>
      </c>
      <c r="K29" s="158">
        <f>IF($B29=" ","",IFERROR(VLOOKUP($B29,MMWR_ACCURACY_RO[],MATCH(K$9,MMWR_ACCURACY_RO[#Headers],0),0),"ERROR"))</f>
        <v>0.85704514363885087</v>
      </c>
      <c r="L29" s="158">
        <f>IF($B29=" ","",IFERROR(VLOOKUP($B29,MMWR_ACCURACY_RO[],MATCH(L$9,MMWR_ACCURACY_RO[#Headers],0),0),"ERROR"))</f>
        <v>0.87950874020494285</v>
      </c>
      <c r="M29" s="158">
        <f>IF($B29=" ","",IFERROR(VLOOKUP($B29,MMWR_ACCURACY_RO[],MATCH(M$9,MMWR_ACCURACY_RO[#Headers],0),0),"ERROR"))</f>
        <v>5.7898165484844173E-2</v>
      </c>
      <c r="N29" s="158">
        <f>IF($B29=" ","",IFERROR(VLOOKUP($B29,MMWR_ACCURACY_RO[],MATCH(N$9,MMWR_ACCURACY_RO[#Headers],0),0),"ERROR"))</f>
        <v>0.96351773426110754</v>
      </c>
      <c r="O29" s="158">
        <f>IF($B29=" ","",IFERROR(VLOOKUP($B29,MMWR_ACCURACY_RO[],MATCH(O$9,MMWR_ACCURACY_RO[#Headers],0),0),"ERROR"))</f>
        <v>3.6233483577180439E-2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703</v>
      </c>
      <c r="D30" s="155">
        <f>IF($B30=" ","",IFERROR(INDEX(MMWR_RATING_RO_ROLLUP[],MATCH($B30,MMWR_RATING_RO_ROLLUP[MMWR_RATING_RO_ROLLUP],0),MATCH(D$9,MMWR_RATING_RO_ROLLUP[#Headers],0)),"ERROR"))</f>
        <v>117.8421052632</v>
      </c>
      <c r="E30" s="156">
        <f>IF($B30=" ","",IFERROR(INDEX(MMWR_RATING_RO_ROLLUP[],MATCH($B30,MMWR_RATING_RO_ROLLUP[MMWR_RATING_RO_ROLLUP],0),MATCH(E$9,MMWR_RATING_RO_ROLLUP[#Headers],0))/$C30,"ERROR"))</f>
        <v>0.36984352773826457</v>
      </c>
      <c r="F30" s="154">
        <f>IF($B30=" ","",IFERROR(INDEX(MMWR_RATING_RO_ROLLUP[],MATCH($B30,MMWR_RATING_RO_ROLLUP[MMWR_RATING_RO_ROLLUP],0),MATCH(F$9,MMWR_RATING_RO_ROLLUP[#Headers],0)),"ERROR"))</f>
        <v>137</v>
      </c>
      <c r="G30" s="154">
        <f>IF($B30=" ","",IFERROR(INDEX(MMWR_RATING_RO_ROLLUP[],MATCH($B30,MMWR_RATING_RO_ROLLUP[MMWR_RATING_RO_ROLLUP],0),MATCH(G$9,MMWR_RATING_RO_ROLLUP[#Headers],0)),"ERROR"))</f>
        <v>410</v>
      </c>
      <c r="H30" s="155">
        <f>IF($B30=" ","",IFERROR(INDEX(MMWR_RATING_RO_ROLLUP[],MATCH($B30,MMWR_RATING_RO_ROLLUP[MMWR_RATING_RO_ROLLUP],0),MATCH(H$9,MMWR_RATING_RO_ROLLUP[#Headers],0)),"ERROR"))</f>
        <v>170.2189781022</v>
      </c>
      <c r="I30" s="155">
        <f>IF($B30=" ","",IFERROR(INDEX(MMWR_RATING_RO_ROLLUP[],MATCH($B30,MMWR_RATING_RO_ROLLUP[MMWR_RATING_RO_ROLLUP],0),MATCH(I$9,MMWR_RATING_RO_ROLLUP[#Headers],0)),"ERROR"))</f>
        <v>168.21951219510001</v>
      </c>
      <c r="J30" s="158">
        <f>IF($B30=" ","",IFERROR(VLOOKUP($B30,MMWR_ACCURACY_RO[],MATCH(J$9,MMWR_ACCURACY_RO[#Headers],0),0),"ERROR"))</f>
        <v>0.91214507250191712</v>
      </c>
      <c r="K30" s="158">
        <f>IF($B30=" ","",IFERROR(VLOOKUP($B30,MMWR_ACCURACY_RO[],MATCH(K$9,MMWR_ACCURACY_RO[#Headers],0),0),"ERROR"))</f>
        <v>0.90478101352900708</v>
      </c>
      <c r="L30" s="158">
        <f>IF($B30=" ","",IFERROR(VLOOKUP($B30,MMWR_ACCURACY_RO[],MATCH(L$9,MMWR_ACCURACY_RO[#Headers],0),0),"ERROR"))</f>
        <v>0.83858473647846088</v>
      </c>
      <c r="M30" s="158">
        <f>IF($B30=" ","",IFERROR(VLOOKUP($B30,MMWR_ACCURACY_RO[],MATCH(M$9,MMWR_ACCURACY_RO[#Headers],0),0),"ERROR"))</f>
        <v>5.2137911435447111E-2</v>
      </c>
      <c r="N30" s="158">
        <f>IF($B30=" ","",IFERROR(VLOOKUP($B30,MMWR_ACCURACY_RO[],MATCH(N$9,MMWR_ACCURACY_RO[#Headers],0),0),"ERROR"))</f>
        <v>0.91495057932046953</v>
      </c>
      <c r="O30" s="158">
        <f>IF($B30=" ","",IFERROR(VLOOKUP($B30,MMWR_ACCURACY_RO[],MATCH(O$9,MMWR_ACCURACY_RO[#Headers],0),0),"ERROR"))</f>
        <v>3.50815182990592E-2</v>
      </c>
      <c r="P30" s="28"/>
    </row>
    <row r="31" spans="1:16" x14ac:dyDescent="0.2">
      <c r="A31" s="25"/>
      <c r="B31" s="8" t="str">
        <f>VLOOKUP($B$16,DISTRICT_RO[],16,0)</f>
        <v>Wilmington VSC</v>
      </c>
      <c r="C31" s="154">
        <f>IF($B31=" ","",IFERROR(INDEX(MMWR_RATING_RO_ROLLUP[],MATCH($B31,MMWR_RATING_RO_ROLLUP[MMWR_RATING_RO_ROLLUP],0),MATCH(C$9,MMWR_RATING_RO_ROLLUP[#Headers],0)),"ERROR"))</f>
        <v>474</v>
      </c>
      <c r="D31" s="155">
        <f>IF($B31=" ","",IFERROR(INDEX(MMWR_RATING_RO_ROLLUP[],MATCH($B31,MMWR_RATING_RO_ROLLUP[MMWR_RATING_RO_ROLLUP],0),MATCH(D$9,MMWR_RATING_RO_ROLLUP[#Headers],0)),"ERROR"))</f>
        <v>83.407172995799996</v>
      </c>
      <c r="E31" s="156">
        <f>IF($B31=" ","",IFERROR(INDEX(MMWR_RATING_RO_ROLLUP[],MATCH($B31,MMWR_RATING_RO_ROLLUP[MMWR_RATING_RO_ROLLUP],0),MATCH(E$9,MMWR_RATING_RO_ROLLUP[#Headers],0))/$C31,"ERROR"))</f>
        <v>0.20886075949367089</v>
      </c>
      <c r="F31" s="154">
        <f>IF($B31=" ","",IFERROR(INDEX(MMWR_RATING_RO_ROLLUP[],MATCH($B31,MMWR_RATING_RO_ROLLUP[MMWR_RATING_RO_ROLLUP],0),MATCH(F$9,MMWR_RATING_RO_ROLLUP[#Headers],0)),"ERROR"))</f>
        <v>63</v>
      </c>
      <c r="G31" s="154">
        <f>IF($B31=" ","",IFERROR(INDEX(MMWR_RATING_RO_ROLLUP[],MATCH($B31,MMWR_RATING_RO_ROLLUP[MMWR_RATING_RO_ROLLUP],0),MATCH(G$9,MMWR_RATING_RO_ROLLUP[#Headers],0)),"ERROR"))</f>
        <v>269</v>
      </c>
      <c r="H31" s="155">
        <f>IF($B31=" ","",IFERROR(INDEX(MMWR_RATING_RO_ROLLUP[],MATCH($B31,MMWR_RATING_RO_ROLLUP[MMWR_RATING_RO_ROLLUP],0),MATCH(H$9,MMWR_RATING_RO_ROLLUP[#Headers],0)),"ERROR"))</f>
        <v>123.619047619</v>
      </c>
      <c r="I31" s="155">
        <f>IF($B31=" ","",IFERROR(INDEX(MMWR_RATING_RO_ROLLUP[],MATCH($B31,MMWR_RATING_RO_ROLLUP[MMWR_RATING_RO_ROLLUP],0),MATCH(I$9,MMWR_RATING_RO_ROLLUP[#Headers],0)),"ERROR"))</f>
        <v>115.4014869888</v>
      </c>
      <c r="J31" s="158">
        <f>IF($B31=" ","",IFERROR(VLOOKUP($B31,MMWR_ACCURACY_RO[],MATCH(J$9,MMWR_ACCURACY_RO[#Headers],0),0),"ERROR"))</f>
        <v>0.94521731616693994</v>
      </c>
      <c r="K31" s="158">
        <f>IF($B31=" ","",IFERROR(VLOOKUP($B31,MMWR_ACCURACY_RO[],MATCH(K$9,MMWR_ACCURACY_RO[#Headers],0),0),"ERROR"))</f>
        <v>0.7981404240528327</v>
      </c>
      <c r="L31" s="158">
        <f>IF($B31=" ","",IFERROR(VLOOKUP($B31,MMWR_ACCURACY_RO[],MATCH(L$9,MMWR_ACCURACY_RO[#Headers],0),0),"ERROR"))</f>
        <v>0.8499168612467275</v>
      </c>
      <c r="M31" s="158">
        <f>IF($B31=" ","",IFERROR(VLOOKUP($B31,MMWR_ACCURACY_RO[],MATCH(M$9,MMWR_ACCURACY_RO[#Headers],0),0),"ERROR"))</f>
        <v>4.749099326376488E-2</v>
      </c>
      <c r="N31" s="158">
        <f>IF($B31=" ","",IFERROR(VLOOKUP($B31,MMWR_ACCURACY_RO[],MATCH(N$9,MMWR_ACCURACY_RO[#Headers],0),0),"ERROR"))</f>
        <v>0.87817539224273178</v>
      </c>
      <c r="O31" s="158">
        <f>IF($B31=" ","",IFERROR(VLOOKUP($B31,MMWR_ACCURACY_RO[],MATCH(O$9,MMWR_ACCURACY_RO[#Headers],0),0),"ERROR"))</f>
        <v>5.41667253402629E-2</v>
      </c>
      <c r="P31" s="28"/>
    </row>
    <row r="32" spans="1:16" x14ac:dyDescent="0.2">
      <c r="A32" s="25"/>
      <c r="B32" s="8" t="str">
        <f>VLOOKUP($B$16,DISTRICT_RO[],17,0)</f>
        <v>Winston-Salem VSC</v>
      </c>
      <c r="C32" s="154">
        <f>IF($B32=" ","",IFERROR(INDEX(MMWR_RATING_RO_ROLLUP[],MATCH($B32,MMWR_RATING_RO_ROLLUP[MMWR_RATING_RO_ROLLUP],0),MATCH(C$9,MMWR_RATING_RO_ROLLUP[#Headers],0)),"ERROR"))</f>
        <v>10898</v>
      </c>
      <c r="D32" s="155">
        <f>IF($B32=" ","",IFERROR(INDEX(MMWR_RATING_RO_ROLLUP[],MATCH($B32,MMWR_RATING_RO_ROLLUP[MMWR_RATING_RO_ROLLUP],0),MATCH(D$9,MMWR_RATING_RO_ROLLUP[#Headers],0)),"ERROR"))</f>
        <v>85.962745457899999</v>
      </c>
      <c r="E32" s="156">
        <f>IF($B32=" ","",IFERROR(INDEX(MMWR_RATING_RO_ROLLUP[],MATCH($B32,MMWR_RATING_RO_ROLLUP[MMWR_RATING_RO_ROLLUP],0),MATCH(E$9,MMWR_RATING_RO_ROLLUP[#Headers],0))/$C32,"ERROR"))</f>
        <v>0.19526518627271058</v>
      </c>
      <c r="F32" s="154">
        <f>IF($B32=" ","",IFERROR(INDEX(MMWR_RATING_RO_ROLLUP[],MATCH($B32,MMWR_RATING_RO_ROLLUP[MMWR_RATING_RO_ROLLUP],0),MATCH(F$9,MMWR_RATING_RO_ROLLUP[#Headers],0)),"ERROR"))</f>
        <v>2329</v>
      </c>
      <c r="G32" s="154">
        <f>IF($B32=" ","",IFERROR(INDEX(MMWR_RATING_RO_ROLLUP[],MATCH($B32,MMWR_RATING_RO_ROLLUP[MMWR_RATING_RO_ROLLUP],0),MATCH(G$9,MMWR_RATING_RO_ROLLUP[#Headers],0)),"ERROR"))</f>
        <v>7810</v>
      </c>
      <c r="H32" s="155">
        <f>IF($B32=" ","",IFERROR(INDEX(MMWR_RATING_RO_ROLLUP[],MATCH($B32,MMWR_RATING_RO_ROLLUP[MMWR_RATING_RO_ROLLUP],0),MATCH(H$9,MMWR_RATING_RO_ROLLUP[#Headers],0)),"ERROR"))</f>
        <v>138.16831258049999</v>
      </c>
      <c r="I32" s="155">
        <f>IF($B32=" ","",IFERROR(INDEX(MMWR_RATING_RO_ROLLUP[],MATCH($B32,MMWR_RATING_RO_ROLLUP[MMWR_RATING_RO_ROLLUP],0),MATCH(I$9,MMWR_RATING_RO_ROLLUP[#Headers],0)),"ERROR"))</f>
        <v>143.01177976950001</v>
      </c>
      <c r="J32" s="158">
        <f>IF($B32=" ","",IFERROR(VLOOKUP($B32,MMWR_ACCURACY_RO[],MATCH(J$9,MMWR_ACCURACY_RO[#Headers],0),0),"ERROR"))</f>
        <v>0.97529361743180709</v>
      </c>
      <c r="K32" s="158">
        <f>IF($B32=" ","",IFERROR(VLOOKUP($B32,MMWR_ACCURACY_RO[],MATCH(K$9,MMWR_ACCURACY_RO[#Headers],0),0),"ERROR"))</f>
        <v>0.93181782321941364</v>
      </c>
      <c r="L32" s="158">
        <f>IF($B32=" ","",IFERROR(VLOOKUP($B32,MMWR_ACCURACY_RO[],MATCH(L$9,MMWR_ACCURACY_RO[#Headers],0),0),"ERROR"))</f>
        <v>0.83822838995775883</v>
      </c>
      <c r="M32" s="158">
        <f>IF($B32=" ","",IFERROR(VLOOKUP($B32,MMWR_ACCURACY_RO[],MATCH(M$9,MMWR_ACCURACY_RO[#Headers],0),0),"ERROR"))</f>
        <v>5.2545878659911976E-2</v>
      </c>
      <c r="N32" s="158">
        <f>IF($B32=" ","",IFERROR(VLOOKUP($B32,MMWR_ACCURACY_RO[],MATCH(N$9,MMWR_ACCURACY_RO[#Headers],0),0),"ERROR"))</f>
        <v>0.94594417650063789</v>
      </c>
      <c r="O32" s="158">
        <f>IF($B32=" ","",IFERROR(VLOOKUP($B32,MMWR_ACCURACY_RO[],MATCH(O$9,MMWR_ACCURACY_RO[#Headers],0),0),"ERROR"))</f>
        <v>3.6984565396134171E-2</v>
      </c>
      <c r="P32" s="28"/>
    </row>
    <row r="33" spans="1:16" x14ac:dyDescent="0.2">
      <c r="A33" s="25"/>
      <c r="B33" s="393" t="s">
        <v>733</v>
      </c>
      <c r="C33" s="394"/>
      <c r="D33" s="394"/>
      <c r="E33" s="394"/>
      <c r="F33" s="394"/>
      <c r="G33" s="394"/>
      <c r="H33" s="394"/>
      <c r="I33" s="394"/>
      <c r="J33" s="394"/>
      <c r="K33" s="394"/>
      <c r="L33" s="394"/>
      <c r="M33" s="394"/>
      <c r="N33" s="394"/>
      <c r="O33" s="394"/>
      <c r="P33" s="28"/>
    </row>
    <row r="34" spans="1:16" x14ac:dyDescent="0.2">
      <c r="A34" s="25"/>
      <c r="B34" s="11" t="s">
        <v>696</v>
      </c>
      <c r="C34" s="154">
        <f>IF($B34=" ","",IFERROR(INDEX(MMWR_RATING_RO_ROLLUP[],MATCH($B34,MMWR_RATING_RO_ROLLUP[MMWR_RATING_RO_ROLLUP],0),MATCH(C$9,MMWR_RATING_RO_ROLLUP[#Headers],0)),"ERROR"))</f>
        <v>26409</v>
      </c>
      <c r="D34" s="155">
        <f>IF($B34=" ","",IFERROR(INDEX(MMWR_RATING_RO_ROLLUP[],MATCH($B34,MMWR_RATING_RO_ROLLUP[MMWR_RATING_RO_ROLLUP],0),MATCH(D$9,MMWR_RATING_RO_ROLLUP[#Headers],0)),"ERROR"))</f>
        <v>66.619258586100003</v>
      </c>
      <c r="E34" s="156">
        <f>IF($B34=" ","",IFERROR(INDEX(MMWR_RATING_RO_ROLLUP[],MATCH($B34,MMWR_RATING_RO_ROLLUP[MMWR_RATING_RO_ROLLUP],0),MATCH(E$9,MMWR_RATING_RO_ROLLUP[#Headers],0))/$C34,"ERROR"))</f>
        <v>9.2733537809080238E-2</v>
      </c>
      <c r="F34" s="154">
        <f>IF($B34=" ","",IFERROR(INDEX(MMWR_RATING_RO_ROLLUP[],MATCH($B34,MMWR_RATING_RO_ROLLUP[MMWR_RATING_RO_ROLLUP],0),MATCH(F$9,MMWR_RATING_RO_ROLLUP[#Headers],0)),"ERROR"))</f>
        <v>10354</v>
      </c>
      <c r="G34" s="154">
        <f>IF($B34=" ","",IFERROR(INDEX(MMWR_RATING_RO_ROLLUP[],MATCH($B34,MMWR_RATING_RO_ROLLUP[MMWR_RATING_RO_ROLLUP],0),MATCH(G$9,MMWR_RATING_RO_ROLLUP[#Headers],0)),"ERROR"))</f>
        <v>33906</v>
      </c>
      <c r="H34" s="155">
        <f>IF($B34=" ","",IFERROR(INDEX(MMWR_RATING_RO_ROLLUP[],MATCH($B34,MMWR_RATING_RO_ROLLUP[MMWR_RATING_RO_ROLLUP],0),MATCH(H$9,MMWR_RATING_RO_ROLLUP[#Headers],0)),"ERROR"))</f>
        <v>75.242708132100006</v>
      </c>
      <c r="I34" s="155">
        <f>IF($B34=" ","",IFERROR(INDEX(MMWR_RATING_RO_ROLLUP[],MATCH($B34,MMWR_RATING_RO_ROLLUP[MMWR_RATING_RO_ROLLUP],0),MATCH(I$9,MMWR_RATING_RO_ROLLUP[#Headers],0)),"ERROR"))</f>
        <v>71.254940128599998</v>
      </c>
      <c r="J34" s="42"/>
      <c r="K34" s="263">
        <f>IF($B34=" ","",IFERROR(VLOOKUP($B34,MMWR_ACCURACY_RO[],MATCH(K$50,MMWR_ACCURACY_RO[#Headers],0),0),"ERROR"))</f>
        <v>0.96188671939819681</v>
      </c>
      <c r="L34" s="263">
        <f>IF($B34=" ","",IFERROR(VLOOKUP($B34,MMWR_ACCURACY_RO[],MATCH(L$50,MMWR_ACCURACY_RO[#Headers],0),0),"ERROR"))</f>
        <v>0.95934109688177616</v>
      </c>
      <c r="M34" s="263">
        <f>IF($B34=" ","",IFERROR(VLOOKUP($B34,MMWR_ACCURACY_RO[],MATCH(M$50,MMWR_ACCURACY_RO[#Headers],0),0),"ERROR"))</f>
        <v>1.7480490378684124E-2</v>
      </c>
      <c r="N34" s="263">
        <f>IF($B34=" ","",IFERROR(VLOOKUP($B34,MMWR_ACCURACY_RO[],MATCH(N$50,MMWR_ACCURACY_RO[#Headers],0),0),"ERROR"))</f>
        <v>0.96265060511142908</v>
      </c>
      <c r="O34" s="263">
        <f>IF($B34=" ","",IFERROR(VLOOKUP($B34,MMWR_ACCURACY_RO[],MATCH(O$50,MMWR_ACCURACY_RO[#Headers],0),0),"ERROR"))</f>
        <v>1.9031103282115536E-2</v>
      </c>
      <c r="P34" s="28"/>
    </row>
    <row r="35" spans="1:16" x14ac:dyDescent="0.2">
      <c r="A35" s="25"/>
      <c r="B35" s="12" t="s">
        <v>213</v>
      </c>
      <c r="C35" s="154">
        <f>IF($B35=" ","",IFERROR(INDEX(MMWR_RATING_RO_ROLLUP[],MATCH($B35,MMWR_RATING_RO_ROLLUP[MMWR_RATING_RO_ROLLUP],0),MATCH(C$9,MMWR_RATING_RO_ROLLUP[#Headers],0)),"ERROR"))</f>
        <v>11658</v>
      </c>
      <c r="D35" s="155">
        <f>IF($B35=" ","",IFERROR(INDEX(MMWR_RATING_RO_ROLLUP[],MATCH($B35,MMWR_RATING_RO_ROLLUP[MMWR_RATING_RO_ROLLUP],0),MATCH(D$9,MMWR_RATING_RO_ROLLUP[#Headers],0)),"ERROR"))</f>
        <v>66.046405901499995</v>
      </c>
      <c r="E35" s="156">
        <f>IF($B35=" ","",IFERROR(INDEX(MMWR_RATING_RO_ROLLUP[],MATCH($B35,MMWR_RATING_RO_ROLLUP[MMWR_RATING_RO_ROLLUP],0),MATCH(E$9,MMWR_RATING_RO_ROLLUP[#Headers],0))/$C35,"ERROR"))</f>
        <v>8.6292674558243271E-2</v>
      </c>
      <c r="F35" s="154">
        <f>IF($B35=" ","",IFERROR(INDEX(MMWR_RATING_RO_ROLLUP[],MATCH($B35,MMWR_RATING_RO_ROLLUP[MMWR_RATING_RO_ROLLUP],0),MATCH(F$9,MMWR_RATING_RO_ROLLUP[#Headers],0)),"ERROR"))</f>
        <v>3399</v>
      </c>
      <c r="G35" s="154">
        <f>IF($B35=" ","",IFERROR(INDEX(MMWR_RATING_RO_ROLLUP[],MATCH($B35,MMWR_RATING_RO_ROLLUP[MMWR_RATING_RO_ROLLUP],0),MATCH(G$9,MMWR_RATING_RO_ROLLUP[#Headers],0)),"ERROR"))</f>
        <v>10717</v>
      </c>
      <c r="H35" s="155">
        <f>IF($B35=" ","",IFERROR(INDEX(MMWR_RATING_RO_ROLLUP[],MATCH($B35,MMWR_RATING_RO_ROLLUP[MMWR_RATING_RO_ROLLUP],0),MATCH(H$9,MMWR_RATING_RO_ROLLUP[#Headers],0)),"ERROR"))</f>
        <v>86.772285966499993</v>
      </c>
      <c r="I35" s="155">
        <f>IF($B35=" ","",IFERROR(INDEX(MMWR_RATING_RO_ROLLUP[],MATCH($B35,MMWR_RATING_RO_ROLLUP[MMWR_RATING_RO_ROLLUP],0),MATCH(I$9,MMWR_RATING_RO_ROLLUP[#Headers],0)),"ERROR"))</f>
        <v>83.566203228500001</v>
      </c>
      <c r="J35" s="42"/>
      <c r="K35" s="252">
        <f>IF($B35=" ","",IFERROR(VLOOKUP($B35,MMWR_ACCURACY_RO[],MATCH(K$50,MMWR_ACCURACY_RO[#Headers],0),0),"ERROR"))</f>
        <v>0.91336575930824593</v>
      </c>
      <c r="L35" s="252">
        <f>IF($B35=" ","",IFERROR(VLOOKUP($B35,MMWR_ACCURACY_RO[],MATCH(L$50,MMWR_ACCURACY_RO[#Headers],0),0),"ERROR"))</f>
        <v>0.93702961093243231</v>
      </c>
      <c r="M35" s="252">
        <f>IF($B35=" ","",IFERROR(VLOOKUP($B35,MMWR_ACCURACY_RO[],MATCH(M$50,MMWR_ACCURACY_RO[#Headers],0),0),"ERROR"))</f>
        <v>4.0278478343888792E-2</v>
      </c>
      <c r="N35" s="252">
        <f>IF($B35=" ","",IFERROR(VLOOKUP($B35,MMWR_ACCURACY_RO[],MATCH(N$50,MMWR_ACCURACY_RO[#Headers],0),0),"ERROR"))</f>
        <v>0.92517387991315747</v>
      </c>
      <c r="O35" s="252">
        <f>IF($B35=" ","",IFERROR(VLOOKUP($B35,MMWR_ACCURACY_RO[],MATCH(O$50,MMWR_ACCURACY_RO[#Headers],0),0),"ERROR"))</f>
        <v>4.8773435007311787E-2</v>
      </c>
      <c r="P35" s="28"/>
    </row>
    <row r="36" spans="1:16" x14ac:dyDescent="0.2">
      <c r="A36" s="43"/>
      <c r="B36" s="12" t="s">
        <v>212</v>
      </c>
      <c r="C36" s="154">
        <f>IF($B36=" ","",IFERROR(INDEX(MMWR_RATING_RO_ROLLUP[],MATCH($B36,MMWR_RATING_RO_ROLLUP[MMWR_RATING_RO_ROLLUP],0),MATCH(C$9,MMWR_RATING_RO_ROLLUP[#Headers],0)),"ERROR"))</f>
        <v>6643</v>
      </c>
      <c r="D36" s="155">
        <f>IF($B36=" ","",IFERROR(INDEX(MMWR_RATING_RO_ROLLUP[],MATCH($B36,MMWR_RATING_RO_ROLLUP[MMWR_RATING_RO_ROLLUP],0),MATCH(D$9,MMWR_RATING_RO_ROLLUP[#Headers],0)),"ERROR"))</f>
        <v>67.670781273499998</v>
      </c>
      <c r="E36" s="156">
        <f>IF($B36=" ","",IFERROR(INDEX(MMWR_RATING_RO_ROLLUP[],MATCH($B36,MMWR_RATING_RO_ROLLUP[MMWR_RATING_RO_ROLLUP],0),MATCH(E$9,MMWR_RATING_RO_ROLLUP[#Headers],0))/$C36,"ERROR"))</f>
        <v>9.6040945356013846E-2</v>
      </c>
      <c r="F36" s="154">
        <f>IF($B36=" ","",IFERROR(INDEX(MMWR_RATING_RO_ROLLUP[],MATCH($B36,MMWR_RATING_RO_ROLLUP[MMWR_RATING_RO_ROLLUP],0),MATCH(F$9,MMWR_RATING_RO_ROLLUP[#Headers],0)),"ERROR"))</f>
        <v>3082</v>
      </c>
      <c r="G36" s="154">
        <f>IF($B36=" ","",IFERROR(INDEX(MMWR_RATING_RO_ROLLUP[],MATCH($B36,MMWR_RATING_RO_ROLLUP[MMWR_RATING_RO_ROLLUP],0),MATCH(G$9,MMWR_RATING_RO_ROLLUP[#Headers],0)),"ERROR"))</f>
        <v>9411</v>
      </c>
      <c r="H36" s="155">
        <f>IF($B36=" ","",IFERROR(INDEX(MMWR_RATING_RO_ROLLUP[],MATCH($B36,MMWR_RATING_RO_ROLLUP[MMWR_RATING_RO_ROLLUP],0),MATCH(H$9,MMWR_RATING_RO_ROLLUP[#Headers],0)),"ERROR"))</f>
        <v>73.2057105775</v>
      </c>
      <c r="I36" s="155">
        <f>IF($B36=" ","",IFERROR(INDEX(MMWR_RATING_RO_ROLLUP[],MATCH($B36,MMWR_RATING_RO_ROLLUP[MMWR_RATING_RO_ROLLUP],0),MATCH(I$9,MMWR_RATING_RO_ROLLUP[#Headers],0)),"ERROR"))</f>
        <v>68.368504940999998</v>
      </c>
      <c r="J36" s="42"/>
      <c r="K36" s="252">
        <f>IF($B36=" ","",IFERROR(VLOOKUP($B36,MMWR_ACCURACY_RO[],MATCH(K$50,MMWR_ACCURACY_RO[#Headers],0),0),"ERROR"))</f>
        <v>0.96253269998623159</v>
      </c>
      <c r="L36" s="252">
        <f>IF($B36=" ","",IFERROR(VLOOKUP($B36,MMWR_ACCURACY_RO[],MATCH(L$50,MMWR_ACCURACY_RO[#Headers],0),0),"ERROR"))</f>
        <v>0.94221226803333591</v>
      </c>
      <c r="M36" s="252">
        <f>IF($B36=" ","",IFERROR(VLOOKUP($B36,MMWR_ACCURACY_RO[],MATCH(M$50,MMWR_ACCURACY_RO[#Headers],0),0),"ERROR"))</f>
        <v>3.6706185296664702E-2</v>
      </c>
      <c r="N36" s="252">
        <f>IF($B36=" ","",IFERROR(VLOOKUP($B36,MMWR_ACCURACY_RO[],MATCH(N$50,MMWR_ACCURACY_RO[#Headers],0),0),"ERROR"))</f>
        <v>0.97672108188542173</v>
      </c>
      <c r="O36" s="252">
        <f>IF($B36=" ","",IFERROR(VLOOKUP($B36,MMWR_ACCURACY_RO[],MATCH(O$50,MMWR_ACCURACY_RO[#Headers],0),0),"ERROR"))</f>
        <v>2.2376663278575463E-2</v>
      </c>
      <c r="P36" s="28"/>
    </row>
    <row r="37" spans="1:16" x14ac:dyDescent="0.2">
      <c r="A37" s="25"/>
      <c r="B37" s="12" t="s">
        <v>215</v>
      </c>
      <c r="C37" s="154">
        <f>IF($B37=" ","",IFERROR(INDEX(MMWR_RATING_RO_ROLLUP[],MATCH($B37,MMWR_RATING_RO_ROLLUP[MMWR_RATING_RO_ROLLUP],0),MATCH(C$9,MMWR_RATING_RO_ROLLUP[#Headers],0)),"ERROR"))</f>
        <v>7551</v>
      </c>
      <c r="D37" s="155">
        <f>IF($B37=" ","",IFERROR(INDEX(MMWR_RATING_RO_ROLLUP[],MATCH($B37,MMWR_RATING_RO_ROLLUP[MMWR_RATING_RO_ROLLUP],0),MATCH(D$9,MMWR_RATING_RO_ROLLUP[#Headers],0)),"ERROR"))</f>
        <v>57.882267249400002</v>
      </c>
      <c r="E37" s="156">
        <f>IF($B37=" ","",IFERROR(INDEX(MMWR_RATING_RO_ROLLUP[],MATCH($B37,MMWR_RATING_RO_ROLLUP[MMWR_RATING_RO_ROLLUP],0),MATCH(E$9,MMWR_RATING_RO_ROLLUP[#Headers],0))/$C37,"ERROR"))</f>
        <v>6.8070454244470932E-2</v>
      </c>
      <c r="F37" s="154">
        <f>IF($B37=" ","",IFERROR(INDEX(MMWR_RATING_RO_ROLLUP[],MATCH($B37,MMWR_RATING_RO_ROLLUP[MMWR_RATING_RO_ROLLUP],0),MATCH(F$9,MMWR_RATING_RO_ROLLUP[#Headers],0)),"ERROR"))</f>
        <v>3565</v>
      </c>
      <c r="G37" s="154">
        <f>IF($B37=" ","",IFERROR(INDEX(MMWR_RATING_RO_ROLLUP[],MATCH($B37,MMWR_RATING_RO_ROLLUP[MMWR_RATING_RO_ROLLUP],0),MATCH(G$9,MMWR_RATING_RO_ROLLUP[#Headers],0)),"ERROR"))</f>
        <v>12736</v>
      </c>
      <c r="H37" s="155">
        <f>IF($B37=" ","",IFERROR(INDEX(MMWR_RATING_RO_ROLLUP[],MATCH($B37,MMWR_RATING_RO_ROLLUP[MMWR_RATING_RO_ROLLUP],0),MATCH(H$9,MMWR_RATING_RO_ROLLUP[#Headers],0)),"ERROR"))</f>
        <v>68.412903225799994</v>
      </c>
      <c r="I37" s="155">
        <f>IF($B37=" ","",IFERROR(INDEX(MMWR_RATING_RO_ROLLUP[],MATCH($B37,MMWR_RATING_RO_ROLLUP[MMWR_RATING_RO_ROLLUP],0),MATCH(I$9,MMWR_RATING_RO_ROLLUP[#Headers],0)),"ERROR"))</f>
        <v>65.575847989899998</v>
      </c>
      <c r="J37" s="42"/>
      <c r="K37" s="252">
        <f>IF($B37=" ","",IFERROR(VLOOKUP($B37,MMWR_ACCURACY_RO[],MATCH(K$50,MMWR_ACCURACY_RO[#Headers],0),0),"ERROR"))</f>
        <v>1</v>
      </c>
      <c r="L37" s="252">
        <f>IF($B37=" ","",IFERROR(VLOOKUP($B37,MMWR_ACCURACY_RO[],MATCH(L$50,MMWR_ACCURACY_RO[#Headers],0),0),"ERROR"))</f>
        <v>0.99181176584824771</v>
      </c>
      <c r="M37" s="252">
        <f>IF($B37=" ","",IFERROR(VLOOKUP($B37,MMWR_ACCURACY_RO[],MATCH(M$50,MMWR_ACCURACY_RO[#Headers],0),0),"ERROR"))</f>
        <v>9.8227936471293725E-3</v>
      </c>
      <c r="N37" s="252">
        <f>IF($B37=" ","",IFERROR(VLOOKUP($B37,MMWR_ACCURACY_RO[],MATCH(N$50,MMWR_ACCURACY_RO[#Headers],0),0),"ERROR"))</f>
        <v>0.98593055566785526</v>
      </c>
      <c r="O37" s="252">
        <f>IF($B37=" ","",IFERROR(VLOOKUP($B37,MMWR_ACCURACY_RO[],MATCH(O$50,MMWR_ACCURACY_RO[#Headers],0),0),"ERROR"))</f>
        <v>1.7221858586439681E-2</v>
      </c>
      <c r="P37" s="28"/>
    </row>
    <row r="38" spans="1:16" x14ac:dyDescent="0.2">
      <c r="A38" s="25"/>
      <c r="B38" s="13" t="s">
        <v>227</v>
      </c>
      <c r="C38" s="154">
        <f>IF($B38=" ","",IFERROR(INDEX(MMWR_RATING_RO_ROLLUP[],MATCH($B38,MMWR_RATING_RO_ROLLUP[MMWR_RATING_RO_ROLLUP],0),MATCH(C$9,MMWR_RATING_RO_ROLLUP[#Headers],0)),"ERROR"))</f>
        <v>557</v>
      </c>
      <c r="D38" s="155">
        <f>IF($B38=" ","",IFERROR(INDEX(MMWR_RATING_RO_ROLLUP[],MATCH($B38,MMWR_RATING_RO_ROLLUP[MMWR_RATING_RO_ROLLUP],0),MATCH(D$9,MMWR_RATING_RO_ROLLUP[#Headers],0)),"ERROR"))</f>
        <v>184.51166965889999</v>
      </c>
      <c r="E38" s="156">
        <f>IF($B38=" ","",IFERROR(INDEX(MMWR_RATING_RO_ROLLUP[],MATCH($B38,MMWR_RATING_RO_ROLLUP[MMWR_RATING_RO_ROLLUP],0),MATCH(E$9,MMWR_RATING_RO_ROLLUP[#Headers],0))/$C38,"ERROR"))</f>
        <v>0.52244165170556556</v>
      </c>
      <c r="F38" s="154">
        <f>IF($B38=" ","",IFERROR(INDEX(MMWR_RATING_RO_ROLLUP[],MATCH($B38,MMWR_RATING_RO_ROLLUP[MMWR_RATING_RO_ROLLUP],0),MATCH(F$9,MMWR_RATING_RO_ROLLUP[#Headers],0)),"ERROR"))</f>
        <v>308</v>
      </c>
      <c r="G38" s="154">
        <f>IF($B38=" ","",IFERROR(INDEX(MMWR_RATING_RO_ROLLUP[],MATCH($B38,MMWR_RATING_RO_ROLLUP[MMWR_RATING_RO_ROLLUP],0),MATCH(G$9,MMWR_RATING_RO_ROLLUP[#Headers],0)),"ERROR"))</f>
        <v>1042</v>
      </c>
      <c r="H38" s="155">
        <f>IF($B38=" ","",IFERROR(INDEX(MMWR_RATING_RO_ROLLUP[],MATCH($B38,MMWR_RATING_RO_ROLLUP[MMWR_RATING_RO_ROLLUP],0),MATCH(H$9,MMWR_RATING_RO_ROLLUP[#Headers],0)),"ERROR"))</f>
        <v>47.441558441600002</v>
      </c>
      <c r="I38" s="155">
        <f>IF($B38=" ","",IFERROR(INDEX(MMWR_RATING_RO_ROLLUP[],MATCH($B38,MMWR_RATING_RO_ROLLUP[MMWR_RATING_RO_ROLLUP],0),MATCH(I$9,MMWR_RATING_RO_ROLLUP[#Headers],0)),"ERROR"))</f>
        <v>40.116122840700001</v>
      </c>
      <c r="J38" s="42"/>
      <c r="K38" s="42"/>
      <c r="L38" s="42"/>
      <c r="M38" s="42"/>
      <c r="N38" s="42"/>
      <c r="O38" s="42"/>
      <c r="P38" s="28"/>
    </row>
    <row r="39" spans="1:16" x14ac:dyDescent="0.2">
      <c r="A39" s="25"/>
      <c r="B39" s="393" t="s">
        <v>916</v>
      </c>
      <c r="C39" s="394"/>
      <c r="D39" s="394"/>
      <c r="E39" s="394"/>
      <c r="F39" s="394"/>
      <c r="G39" s="394"/>
      <c r="H39" s="394"/>
      <c r="I39" s="394"/>
      <c r="J39" s="394"/>
      <c r="K39" s="394"/>
      <c r="L39" s="394"/>
      <c r="M39" s="394"/>
      <c r="N39" s="394"/>
      <c r="O39" s="394"/>
      <c r="P39" s="28"/>
    </row>
    <row r="40" spans="1:16" x14ac:dyDescent="0.2">
      <c r="A40" s="25"/>
      <c r="B40" s="44" t="s">
        <v>697</v>
      </c>
      <c r="C40" s="154">
        <f>IF($B40=" ","",IFERROR(INDEX(MMWR_RATING_RO_ROLLUP[],MATCH($B40,MMWR_RATING_RO_ROLLUP[MMWR_RATING_RO_ROLLUP],0),MATCH(C$9,MMWR_RATING_RO_ROLLUP[#Headers],0)),"ERROR"))</f>
        <v>10477</v>
      </c>
      <c r="D40" s="155">
        <f>IF($B40=" ","",IFERROR(INDEX(MMWR_RATING_RO_ROLLUP[],MATCH($B40,MMWR_RATING_RO_ROLLUP[MMWR_RATING_RO_ROLLUP],0),MATCH(D$9,MMWR_RATING_RO_ROLLUP[#Headers],0)),"ERROR"))</f>
        <v>86.1505201871</v>
      </c>
      <c r="E40" s="156">
        <f>IF($B40=" ","",IFERROR(INDEX(MMWR_RATING_RO_ROLLUP[],MATCH($B40,MMWR_RATING_RO_ROLLUP[MMWR_RATING_RO_ROLLUP],0),MATCH(E$9,MMWR_RATING_RO_ROLLUP[#Headers],0))/$C40,"ERROR"))</f>
        <v>0.17600458146415959</v>
      </c>
      <c r="F40" s="154">
        <f>IF($B40=" ","",IFERROR(INDEX(MMWR_RATING_RO_ROLLUP[],MATCH($B40,MMWR_RATING_RO_ROLLUP[MMWR_RATING_RO_ROLLUP],0),MATCH(F$9,MMWR_RATING_RO_ROLLUP[#Headers],0)),"ERROR"))</f>
        <v>1452</v>
      </c>
      <c r="G40" s="154">
        <f>IF($B40=" ","",IFERROR(INDEX(MMWR_RATING_RO_ROLLUP[],MATCH($B40,MMWR_RATING_RO_ROLLUP[MMWR_RATING_RO_ROLLUP],0),MATCH(G$9,MMWR_RATING_RO_ROLLUP[#Headers],0)),"ERROR"))</f>
        <v>4458</v>
      </c>
      <c r="H40" s="155">
        <f>IF($B40=" ","",IFERROR(INDEX(MMWR_RATING_RO_ROLLUP[],MATCH($B40,MMWR_RATING_RO_ROLLUP[MMWR_RATING_RO_ROLLUP],0),MATCH(H$9,MMWR_RATING_RO_ROLLUP[#Headers],0)),"ERROR"))</f>
        <v>145.5282369146</v>
      </c>
      <c r="I40" s="155">
        <f>IF($B40=" ","",IFERROR(INDEX(MMWR_RATING_RO_ROLLUP[],MATCH($B40,MMWR_RATING_RO_ROLLUP[MMWR_RATING_RO_ROLLUP],0),MATCH(I$9,MMWR_RATING_RO_ROLLUP[#Headers],0)),"ERROR"))</f>
        <v>138.9295648273</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4655</v>
      </c>
      <c r="D41" s="155">
        <f>IF($B41=" ","",IFERROR(INDEX(MMWR_RATING_RO_ROLLUP[],MATCH($B41,MMWR_RATING_RO_ROLLUP[MMWR_RATING_RO_ROLLUP],0),MATCH(D$9,MMWR_RATING_RO_ROLLUP[#Headers],0)),"ERROR"))</f>
        <v>80.025134264200005</v>
      </c>
      <c r="E41" s="156">
        <f>IF($B41=" ","",IFERROR(INDEX(MMWR_RATING_RO_ROLLUP[],MATCH($B41,MMWR_RATING_RO_ROLLUP[MMWR_RATING_RO_ROLLUP],0),MATCH(E$9,MMWR_RATING_RO_ROLLUP[#Headers],0))/$C41,"ERROR"))</f>
        <v>0.10268528464017186</v>
      </c>
      <c r="F41" s="154">
        <f>IF($B41=" ","",IFERROR(INDEX(MMWR_RATING_RO_ROLLUP[],MATCH($B41,MMWR_RATING_RO_ROLLUP[MMWR_RATING_RO_ROLLUP],0),MATCH(F$9,MMWR_RATING_RO_ROLLUP[#Headers],0)),"ERROR"))</f>
        <v>726</v>
      </c>
      <c r="G41" s="154">
        <f>IF($B41=" ","",IFERROR(INDEX(MMWR_RATING_RO_ROLLUP[],MATCH($B41,MMWR_RATING_RO_ROLLUP[MMWR_RATING_RO_ROLLUP],0),MATCH(G$9,MMWR_RATING_RO_ROLLUP[#Headers],0)),"ERROR"))</f>
        <v>2250</v>
      </c>
      <c r="H41" s="155">
        <f>IF($B41=" ","",IFERROR(INDEX(MMWR_RATING_RO_ROLLUP[],MATCH($B41,MMWR_RATING_RO_ROLLUP[MMWR_RATING_RO_ROLLUP],0),MATCH(H$9,MMWR_RATING_RO_ROLLUP[#Headers],0)),"ERROR"))</f>
        <v>134.1831955923</v>
      </c>
      <c r="I41" s="155">
        <f>IF($B41=" ","",IFERROR(INDEX(MMWR_RATING_RO_ROLLUP[],MATCH($B41,MMWR_RATING_RO_ROLLUP[MMWR_RATING_RO_ROLLUP],0),MATCH(I$9,MMWR_RATING_RO_ROLLUP[#Headers],0)),"ERROR"))</f>
        <v>124.8102222222</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5478</v>
      </c>
      <c r="D42" s="155">
        <f>IF($B42=" ","",IFERROR(INDEX(MMWR_RATING_RO_ROLLUP[],MATCH($B42,MMWR_RATING_RO_ROLLUP[MMWR_RATING_RO_ROLLUP],0),MATCH(D$9,MMWR_RATING_RO_ROLLUP[#Headers],0)),"ERROR"))</f>
        <v>92.876232201500002</v>
      </c>
      <c r="E42" s="156">
        <f>IF($B42=" ","",IFERROR(INDEX(MMWR_RATING_RO_ROLLUP[],MATCH($B42,MMWR_RATING_RO_ROLLUP[MMWR_RATING_RO_ROLLUP],0),MATCH(E$9,MMWR_RATING_RO_ROLLUP[#Headers],0))/$C42,"ERROR"))</f>
        <v>0.24059875867104782</v>
      </c>
      <c r="F42" s="154">
        <f>IF($B42=" ","",IFERROR(INDEX(MMWR_RATING_RO_ROLLUP[],MATCH($B42,MMWR_RATING_RO_ROLLUP[MMWR_RATING_RO_ROLLUP],0),MATCH(F$9,MMWR_RATING_RO_ROLLUP[#Headers],0)),"ERROR"))</f>
        <v>680</v>
      </c>
      <c r="G42" s="154">
        <f>IF($B42=" ","",IFERROR(INDEX(MMWR_RATING_RO_ROLLUP[],MATCH($B42,MMWR_RATING_RO_ROLLUP[MMWR_RATING_RO_ROLLUP],0),MATCH(G$9,MMWR_RATING_RO_ROLLUP[#Headers],0)),"ERROR"))</f>
        <v>2081</v>
      </c>
      <c r="H42" s="155">
        <f>IF($B42=" ","",IFERROR(INDEX(MMWR_RATING_RO_ROLLUP[],MATCH($B42,MMWR_RATING_RO_ROLLUP[MMWR_RATING_RO_ROLLUP],0),MATCH(H$9,MMWR_RATING_RO_ROLLUP[#Headers],0)),"ERROR"))</f>
        <v>158.73088235290001</v>
      </c>
      <c r="I42" s="155">
        <f>IF($B42=" ","",IFERROR(INDEX(MMWR_RATING_RO_ROLLUP[],MATCH($B42,MMWR_RATING_RO_ROLLUP[MMWR_RATING_RO_ROLLUP],0),MATCH(I$9,MMWR_RATING_RO_ROLLUP[#Headers],0)),"ERROR"))</f>
        <v>155.24603555979999</v>
      </c>
      <c r="J42" s="42"/>
      <c r="K42" s="42"/>
      <c r="L42" s="42"/>
      <c r="M42" s="42"/>
      <c r="N42" s="42"/>
      <c r="O42" s="42"/>
      <c r="P42" s="28"/>
    </row>
    <row r="43" spans="1:16" x14ac:dyDescent="0.2">
      <c r="A43" s="25"/>
      <c r="B43" s="46" t="s">
        <v>306</v>
      </c>
      <c r="C43" s="154">
        <f>IF($B43=" ","",IFERROR(INDEX(MMWR_RATING_RO_ROLLUP[],MATCH($B43,MMWR_RATING_RO_ROLLUP[MMWR_RATING_RO_ROLLUP],0),MATCH(C$9,MMWR_RATING_RO_ROLLUP[#Headers],0)),"ERROR"))</f>
        <v>344</v>
      </c>
      <c r="D43" s="155">
        <f>IF($B43=" ","",IFERROR(INDEX(MMWR_RATING_RO_ROLLUP[],MATCH($B43,MMWR_RATING_RO_ROLLUP[MMWR_RATING_RO_ROLLUP],0),MATCH(D$9,MMWR_RATING_RO_ROLLUP[#Headers],0)),"ERROR"))</f>
        <v>61.936046511599997</v>
      </c>
      <c r="E43" s="156">
        <f>IF($B43=" ","",IFERROR(INDEX(MMWR_RATING_RO_ROLLUP[],MATCH($B43,MMWR_RATING_RO_ROLLUP[MMWR_RATING_RO_ROLLUP],0),MATCH(E$9,MMWR_RATING_RO_ROLLUP[#Headers],0))/$C43,"ERROR"))</f>
        <v>0.13953488372093023</v>
      </c>
      <c r="F43" s="154">
        <f>IF($B43=" ","",IFERROR(INDEX(MMWR_RATING_RO_ROLLUP[],MATCH($B43,MMWR_RATING_RO_ROLLUP[MMWR_RATING_RO_ROLLUP],0),MATCH(F$9,MMWR_RATING_RO_ROLLUP[#Headers],0)),"ERROR"))</f>
        <v>46</v>
      </c>
      <c r="G43" s="154">
        <f>IF($B43=" ","",IFERROR(INDEX(MMWR_RATING_RO_ROLLUP[],MATCH($B43,MMWR_RATING_RO_ROLLUP[MMWR_RATING_RO_ROLLUP],0),MATCH(G$9,MMWR_RATING_RO_ROLLUP[#Headers],0)),"ERROR"))</f>
        <v>127</v>
      </c>
      <c r="H43" s="155">
        <f>IF($B43=" ","",IFERROR(INDEX(MMWR_RATING_RO_ROLLUP[],MATCH($B43,MMWR_RATING_RO_ROLLUP[MMWR_RATING_RO_ROLLUP],0),MATCH(H$9,MMWR_RATING_RO_ROLLUP[#Headers],0)),"ERROR"))</f>
        <v>129.41304347830001</v>
      </c>
      <c r="I43" s="155">
        <f>IF($B43=" ","",IFERROR(INDEX(MMWR_RATING_RO_ROLLUP[],MATCH($B43,MMWR_RATING_RO_ROLLUP[MMWR_RATING_RO_ROLLUP],0),MATCH(I$9,MMWR_RATING_RO_ROLLUP[#Headers],0)),"ERROR"))</f>
        <v>121.71653543310001</v>
      </c>
      <c r="J43" s="42"/>
      <c r="K43" s="42"/>
      <c r="L43" s="42"/>
      <c r="M43" s="42"/>
      <c r="N43" s="42"/>
      <c r="O43" s="42"/>
      <c r="P43" s="28"/>
    </row>
    <row r="44" spans="1:16" x14ac:dyDescent="0.2">
      <c r="A44" s="25"/>
      <c r="B44" s="393" t="s">
        <v>734</v>
      </c>
      <c r="C44" s="394"/>
      <c r="D44" s="394"/>
      <c r="E44" s="394"/>
      <c r="F44" s="394"/>
      <c r="G44" s="394"/>
      <c r="H44" s="394"/>
      <c r="I44" s="394"/>
      <c r="J44" s="394"/>
      <c r="K44" s="394"/>
      <c r="L44" s="394"/>
      <c r="M44" s="394"/>
      <c r="N44" s="394"/>
      <c r="O44" s="394"/>
      <c r="P44" s="28"/>
    </row>
    <row r="45" spans="1:16" x14ac:dyDescent="0.2">
      <c r="A45" s="25"/>
      <c r="B45" s="44" t="s">
        <v>695</v>
      </c>
      <c r="C45" s="154">
        <f>IF($B45=" ","",IFERROR(INDEX(MMWR_RATING_RO_ROLLUP[],MATCH($B45,MMWR_RATING_RO_ROLLUP[MMWR_RATING_RO_ROLLUP],0),MATCH(C$9,MMWR_RATING_RO_ROLLUP[#Headers],0)),"ERROR"))</f>
        <v>11242</v>
      </c>
      <c r="D45" s="155">
        <f>IF($B45=" ","",IFERROR(INDEX(MMWR_RATING_RO_ROLLUP[],MATCH($B45,MMWR_RATING_RO_ROLLUP[MMWR_RATING_RO_ROLLUP],0),MATCH(D$9,MMWR_RATING_RO_ROLLUP[#Headers],0)),"ERROR"))</f>
        <v>86.894324853200004</v>
      </c>
      <c r="E45" s="156">
        <f>IF($B45=" ","",IFERROR(INDEX(MMWR_RATING_RO_ROLLUP[],MATCH($B45,MMWR_RATING_RO_ROLLUP[MMWR_RATING_RO_ROLLUP],0),MATCH(E$9,MMWR_RATING_RO_ROLLUP[#Headers],0))/$C45,"ERROR"))</f>
        <v>0.16509517879380894</v>
      </c>
      <c r="F45" s="154">
        <f>IF($B45=" ","",IFERROR(INDEX(MMWR_RATING_RO_ROLLUP[],MATCH($B45,MMWR_RATING_RO_ROLLUP[MMWR_RATING_RO_ROLLUP],0),MATCH(F$9,MMWR_RATING_RO_ROLLUP[#Headers],0)),"ERROR"))</f>
        <v>1815</v>
      </c>
      <c r="G45" s="154">
        <f>IF($B45=" ","",IFERROR(INDEX(MMWR_RATING_RO_ROLLUP[],MATCH($B45,MMWR_RATING_RO_ROLLUP[MMWR_RATING_RO_ROLLUP],0),MATCH(G$9,MMWR_RATING_RO_ROLLUP[#Headers],0)),"ERROR"))</f>
        <v>5396</v>
      </c>
      <c r="H45" s="155">
        <f>IF($B45=" ","",IFERROR(INDEX(MMWR_RATING_RO_ROLLUP[],MATCH($B45,MMWR_RATING_RO_ROLLUP[MMWR_RATING_RO_ROLLUP],0),MATCH(H$9,MMWR_RATING_RO_ROLLUP[#Headers],0)),"ERROR"))</f>
        <v>137.42203856750001</v>
      </c>
      <c r="I45" s="155">
        <f>IF($B45=" ","",IFERROR(INDEX(MMWR_RATING_RO_ROLLUP[],MATCH($B45,MMWR_RATING_RO_ROLLUP[MMWR_RATING_RO_ROLLUP],0),MATCH(I$9,MMWR_RATING_RO_ROLLUP[#Headers],0)),"ERROR"))</f>
        <v>132.08506300959999</v>
      </c>
      <c r="J45" s="42"/>
      <c r="K45" s="42"/>
      <c r="L45" s="42"/>
      <c r="M45" s="42"/>
      <c r="N45" s="42"/>
      <c r="O45" s="42"/>
      <c r="P45" s="28"/>
    </row>
    <row r="46" spans="1:16" x14ac:dyDescent="0.2">
      <c r="A46" s="25"/>
      <c r="B46" s="45" t="s">
        <v>214</v>
      </c>
      <c r="C46" s="154">
        <f>IF($B46=" ","",IFERROR(INDEX(MMWR_RATING_RO_ROLLUP[],MATCH($B46,MMWR_RATING_RO_ROLLUP[MMWR_RATING_RO_ROLLUP],0),MATCH(C$9,MMWR_RATING_RO_ROLLUP[#Headers],0)),"ERROR"))</f>
        <v>4386</v>
      </c>
      <c r="D46" s="155">
        <f>IF($B46=" ","",IFERROR(INDEX(MMWR_RATING_RO_ROLLUP[],MATCH($B46,MMWR_RATING_RO_ROLLUP[MMWR_RATING_RO_ROLLUP],0),MATCH(D$9,MMWR_RATING_RO_ROLLUP[#Headers],0)),"ERROR"))</f>
        <v>78.588919288599996</v>
      </c>
      <c r="E46" s="156">
        <f>IF($B46=" ","",IFERROR(INDEX(MMWR_RATING_RO_ROLLUP[],MATCH($B46,MMWR_RATING_RO_ROLLUP[MMWR_RATING_RO_ROLLUP],0),MATCH(E$9,MMWR_RATING_RO_ROLLUP[#Headers],0))/$C46,"ERROR"))</f>
        <v>9.2567259461924303E-2</v>
      </c>
      <c r="F46" s="154">
        <f>IF($B46=" ","",IFERROR(INDEX(MMWR_RATING_RO_ROLLUP[],MATCH($B46,MMWR_RATING_RO_ROLLUP[MMWR_RATING_RO_ROLLUP],0),MATCH(F$9,MMWR_RATING_RO_ROLLUP[#Headers],0)),"ERROR"))</f>
        <v>751</v>
      </c>
      <c r="G46" s="154">
        <f>IF($B46=" ","",IFERROR(INDEX(MMWR_RATING_RO_ROLLUP[],MATCH($B46,MMWR_RATING_RO_ROLLUP[MMWR_RATING_RO_ROLLUP],0),MATCH(G$9,MMWR_RATING_RO_ROLLUP[#Headers],0)),"ERROR"))</f>
        <v>2367</v>
      </c>
      <c r="H46" s="155">
        <f>IF($B46=" ","",IFERROR(INDEX(MMWR_RATING_RO_ROLLUP[],MATCH($B46,MMWR_RATING_RO_ROLLUP[MMWR_RATING_RO_ROLLUP],0),MATCH(H$9,MMWR_RATING_RO_ROLLUP[#Headers],0)),"ERROR"))</f>
        <v>127.73235685749999</v>
      </c>
      <c r="I46" s="155">
        <f>IF($B46=" ","",IFERROR(INDEX(MMWR_RATING_RO_ROLLUP[],MATCH($B46,MMWR_RATING_RO_ROLLUP[MMWR_RATING_RO_ROLLUP],0),MATCH(I$9,MMWR_RATING_RO_ROLLUP[#Headers],0)),"ERROR"))</f>
        <v>120.42585551329999</v>
      </c>
      <c r="J46" s="42"/>
      <c r="K46" s="42"/>
      <c r="L46" s="42"/>
      <c r="M46" s="42"/>
      <c r="N46" s="42"/>
      <c r="O46" s="42"/>
      <c r="P46" s="28"/>
    </row>
    <row r="47" spans="1:16" x14ac:dyDescent="0.2">
      <c r="A47" s="25"/>
      <c r="B47" s="45" t="s">
        <v>216</v>
      </c>
      <c r="C47" s="154">
        <f>IF($B47=" ","",IFERROR(INDEX(MMWR_RATING_RO_ROLLUP[],MATCH($B47,MMWR_RATING_RO_ROLLUP[MMWR_RATING_RO_ROLLUP],0),MATCH(C$9,MMWR_RATING_RO_ROLLUP[#Headers],0)),"ERROR"))</f>
        <v>5728</v>
      </c>
      <c r="D47" s="155">
        <f>IF($B47=" ","",IFERROR(INDEX(MMWR_RATING_RO_ROLLUP[],MATCH($B47,MMWR_RATING_RO_ROLLUP[MMWR_RATING_RO_ROLLUP],0),MATCH(D$9,MMWR_RATING_RO_ROLLUP[#Headers],0)),"ERROR"))</f>
        <v>86.379364525100002</v>
      </c>
      <c r="E47" s="156">
        <f>IF($B47=" ","",IFERROR(INDEX(MMWR_RATING_RO_ROLLUP[],MATCH($B47,MMWR_RATING_RO_ROLLUP[MMWR_RATING_RO_ROLLUP],0),MATCH(E$9,MMWR_RATING_RO_ROLLUP[#Headers],0))/$C47,"ERROR"))</f>
        <v>0.12587290502793297</v>
      </c>
      <c r="F47" s="154">
        <f>IF($B47=" ","",IFERROR(INDEX(MMWR_RATING_RO_ROLLUP[],MATCH($B47,MMWR_RATING_RO_ROLLUP[MMWR_RATING_RO_ROLLUP],0),MATCH(F$9,MMWR_RATING_RO_ROLLUP[#Headers],0)),"ERROR"))</f>
        <v>758</v>
      </c>
      <c r="G47" s="154">
        <f>IF($B47=" ","",IFERROR(INDEX(MMWR_RATING_RO_ROLLUP[],MATCH($B47,MMWR_RATING_RO_ROLLUP[MMWR_RATING_RO_ROLLUP],0),MATCH(G$9,MMWR_RATING_RO_ROLLUP[#Headers],0)),"ERROR"))</f>
        <v>2486</v>
      </c>
      <c r="H47" s="155">
        <f>IF($B47=" ","",IFERROR(INDEX(MMWR_RATING_RO_ROLLUP[],MATCH($B47,MMWR_RATING_RO_ROLLUP[MMWR_RATING_RO_ROLLUP],0),MATCH(H$9,MMWR_RATING_RO_ROLLUP[#Headers],0)),"ERROR"))</f>
        <v>151.0963060686</v>
      </c>
      <c r="I47" s="155">
        <f>IF($B47=" ","",IFERROR(INDEX(MMWR_RATING_RO_ROLLUP[],MATCH($B47,MMWR_RATING_RO_ROLLUP[MMWR_RATING_RO_ROLLUP],0),MATCH(I$9,MMWR_RATING_RO_ROLLUP[#Headers],0)),"ERROR"))</f>
        <v>147.93000804510001</v>
      </c>
      <c r="J47" s="42"/>
      <c r="K47" s="42"/>
      <c r="L47" s="42"/>
      <c r="M47" s="42"/>
      <c r="N47" s="42"/>
      <c r="O47" s="42"/>
      <c r="P47" s="28"/>
    </row>
    <row r="48" spans="1:16" x14ac:dyDescent="0.2">
      <c r="A48" s="25"/>
      <c r="B48" s="47" t="s">
        <v>307</v>
      </c>
      <c r="C48" s="154">
        <f>IF($B48=" ","",IFERROR(INDEX(MMWR_RATING_RO_ROLLUP[],MATCH($B48,MMWR_RATING_RO_ROLLUP[MMWR_RATING_RO_ROLLUP],0),MATCH(C$9,MMWR_RATING_RO_ROLLUP[#Headers],0)),"ERROR"))</f>
        <v>1128</v>
      </c>
      <c r="D48" s="155">
        <f>IF($B48=" ","",IFERROR(INDEX(MMWR_RATING_RO_ROLLUP[],MATCH($B48,MMWR_RATING_RO_ROLLUP[MMWR_RATING_RO_ROLLUP],0),MATCH(D$9,MMWR_RATING_RO_ROLLUP[#Headers],0)),"ERROR"))</f>
        <v>121.80319148940001</v>
      </c>
      <c r="E48" s="156">
        <f>IF($B48=" ","",IFERROR(INDEX(MMWR_RATING_RO_ROLLUP[],MATCH($B48,MMWR_RATING_RO_ROLLUP[MMWR_RATING_RO_ROLLUP],0),MATCH(E$9,MMWR_RATING_RO_ROLLUP[#Headers],0))/$C48,"ERROR"))</f>
        <v>0.64627659574468088</v>
      </c>
      <c r="F48" s="154">
        <f>IF($B48=" ","",IFERROR(INDEX(MMWR_RATING_RO_ROLLUP[],MATCH($B48,MMWR_RATING_RO_ROLLUP[MMWR_RATING_RO_ROLLUP],0),MATCH(F$9,MMWR_RATING_RO_ROLLUP[#Headers],0)),"ERROR"))</f>
        <v>306</v>
      </c>
      <c r="G48" s="154">
        <f>IF($B48=" ","",IFERROR(INDEX(MMWR_RATING_RO_ROLLUP[],MATCH($B48,MMWR_RATING_RO_ROLLUP[MMWR_RATING_RO_ROLLUP],0),MATCH(G$9,MMWR_RATING_RO_ROLLUP[#Headers],0)),"ERROR"))</f>
        <v>543</v>
      </c>
      <c r="H48" s="155">
        <f>IF($B48=" ","",IFERROR(INDEX(MMWR_RATING_RO_ROLLUP[],MATCH($B48,MMWR_RATING_RO_ROLLUP[MMWR_RATING_RO_ROLLUP],0),MATCH(H$9,MMWR_RATING_RO_ROLLUP[#Headers],0)),"ERROR"))</f>
        <v>127.3300653595</v>
      </c>
      <c r="I48" s="155">
        <f>IF($B48=" ","",IFERROR(INDEX(MMWR_RATING_RO_ROLLUP[],MATCH($B48,MMWR_RATING_RO_ROLLUP[MMWR_RATING_RO_ROLLUP],0),MATCH(I$9,MMWR_RATING_RO_ROLLUP[#Headers],0)),"ERROR"))</f>
        <v>110.3664825046</v>
      </c>
      <c r="J48" s="42"/>
      <c r="K48" s="42"/>
      <c r="L48" s="42"/>
      <c r="M48" s="42"/>
      <c r="N48" s="42"/>
      <c r="O48" s="42"/>
      <c r="P48" s="28"/>
    </row>
    <row r="49" spans="1:16" ht="15.75" x14ac:dyDescent="0.25">
      <c r="A49" s="25"/>
      <c r="B49" s="392" t="s">
        <v>1051</v>
      </c>
      <c r="C49" s="392"/>
      <c r="D49" s="392"/>
      <c r="E49" s="392"/>
      <c r="F49" s="392"/>
      <c r="G49" s="392"/>
      <c r="H49" s="392"/>
      <c r="I49" s="392"/>
      <c r="J49" s="392"/>
      <c r="K49" s="392"/>
      <c r="L49" s="392"/>
      <c r="M49" s="392"/>
      <c r="N49" s="392"/>
      <c r="O49" s="262"/>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M7:O7"/>
    <mergeCell ref="I11:I12"/>
    <mergeCell ref="L11:M11"/>
    <mergeCell ref="N11:O11"/>
    <mergeCell ref="J11:J12"/>
    <mergeCell ref="K11:K12"/>
  </mergeCells>
  <conditionalFormatting sqref="A1:P3 P6:P8 L6:M8 A6:J8 A5:P5 A4 C4:P4 A50:P50 A49 O49:P49 A9:P48">
    <cfRule type="expression" dxfId="434" priority="2">
      <formula>IF(OR(ISERROR(A1),A1="ERROR"),TRUE,FALSE)</formula>
    </cfRule>
  </conditionalFormatting>
  <conditionalFormatting sqref="B4">
    <cfRule type="expression" dxfId="433"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65" t="s">
        <v>293</v>
      </c>
      <c r="D2" s="366"/>
      <c r="E2" s="366"/>
      <c r="F2" s="366"/>
      <c r="G2" s="366"/>
      <c r="H2" s="366"/>
      <c r="I2" s="366"/>
      <c r="J2" s="365" t="s">
        <v>299</v>
      </c>
      <c r="K2" s="366"/>
      <c r="L2" s="366"/>
      <c r="M2" s="367"/>
      <c r="N2" s="28"/>
    </row>
    <row r="3" spans="1:16" ht="24" customHeight="1" thickBot="1" x14ac:dyDescent="0.4">
      <c r="A3" s="25"/>
      <c r="B3" s="29"/>
      <c r="C3" s="368"/>
      <c r="D3" s="369"/>
      <c r="E3" s="369"/>
      <c r="F3" s="369"/>
      <c r="G3" s="369"/>
      <c r="H3" s="369"/>
      <c r="I3" s="369"/>
      <c r="J3" s="368" t="str">
        <f>Transformation!B4</f>
        <v>As of: December 26, 2015</v>
      </c>
      <c r="K3" s="369"/>
      <c r="L3" s="369"/>
      <c r="M3" s="370"/>
      <c r="N3" s="28"/>
    </row>
    <row r="4" spans="1:16" ht="51" customHeight="1" thickBot="1" x14ac:dyDescent="0.35">
      <c r="A4" s="30"/>
      <c r="B4" s="247" t="s">
        <v>455</v>
      </c>
      <c r="C4" s="371" t="s">
        <v>970</v>
      </c>
      <c r="D4" s="372"/>
      <c r="E4" s="372"/>
      <c r="F4" s="372"/>
      <c r="G4" s="372"/>
      <c r="H4" s="372"/>
      <c r="I4" s="372"/>
      <c r="J4" s="372"/>
      <c r="K4" s="372"/>
      <c r="L4" s="372"/>
      <c r="M4" s="373"/>
      <c r="N4" s="28"/>
      <c r="O4" s="22"/>
      <c r="P4" s="23"/>
    </row>
    <row r="5" spans="1:16" ht="27" customHeight="1" thickBot="1" x14ac:dyDescent="0.25">
      <c r="A5" s="30"/>
      <c r="B5" s="48"/>
      <c r="C5" s="374" t="s">
        <v>1042</v>
      </c>
      <c r="D5" s="375"/>
      <c r="E5" s="375"/>
      <c r="F5" s="375"/>
      <c r="G5" s="375"/>
      <c r="H5" s="375"/>
      <c r="I5" s="375"/>
      <c r="J5" s="375"/>
      <c r="K5" s="375"/>
      <c r="L5" s="375"/>
      <c r="M5" s="375"/>
      <c r="N5" s="375"/>
      <c r="O5" s="376"/>
    </row>
    <row r="6" spans="1:16" ht="55.5" customHeight="1" x14ac:dyDescent="0.2">
      <c r="A6" s="30"/>
      <c r="B6" s="31"/>
      <c r="C6" s="32" t="s">
        <v>193</v>
      </c>
      <c r="D6" s="377" t="s">
        <v>16</v>
      </c>
      <c r="E6" s="378"/>
      <c r="F6" s="33" t="s">
        <v>196</v>
      </c>
      <c r="G6" s="377" t="s">
        <v>201</v>
      </c>
      <c r="H6" s="379"/>
      <c r="I6" s="33" t="s">
        <v>199</v>
      </c>
      <c r="J6" s="49" t="s">
        <v>14</v>
      </c>
      <c r="K6" s="33" t="s">
        <v>204</v>
      </c>
      <c r="L6" s="383" t="s">
        <v>88</v>
      </c>
      <c r="M6" s="411"/>
      <c r="N6" s="28"/>
    </row>
    <row r="7" spans="1:16" ht="51.75" customHeight="1" x14ac:dyDescent="0.2">
      <c r="A7" s="30"/>
      <c r="B7" s="34"/>
      <c r="C7" s="35" t="s">
        <v>194</v>
      </c>
      <c r="D7" s="395" t="s">
        <v>0</v>
      </c>
      <c r="E7" s="396"/>
      <c r="F7" s="36" t="s">
        <v>197</v>
      </c>
      <c r="G7" s="397" t="s">
        <v>202</v>
      </c>
      <c r="H7" s="397"/>
      <c r="I7" s="36" t="s">
        <v>200</v>
      </c>
      <c r="J7" s="50" t="s">
        <v>19</v>
      </c>
      <c r="K7" s="36" t="s">
        <v>205</v>
      </c>
      <c r="L7" s="407" t="s">
        <v>90</v>
      </c>
      <c r="M7" s="408"/>
      <c r="N7" s="28"/>
    </row>
    <row r="8" spans="1:16" ht="51.75" customHeight="1" thickBot="1" x14ac:dyDescent="0.25">
      <c r="A8" s="25"/>
      <c r="B8" s="28"/>
      <c r="C8" s="37" t="s">
        <v>195</v>
      </c>
      <c r="D8" s="398" t="s">
        <v>18</v>
      </c>
      <c r="E8" s="399"/>
      <c r="F8" s="38" t="s">
        <v>198</v>
      </c>
      <c r="G8" s="400" t="s">
        <v>17</v>
      </c>
      <c r="H8" s="400"/>
      <c r="I8" s="38" t="s">
        <v>203</v>
      </c>
      <c r="J8" s="51" t="s">
        <v>87</v>
      </c>
      <c r="K8" s="38" t="s">
        <v>206</v>
      </c>
      <c r="L8" s="409" t="s">
        <v>89</v>
      </c>
      <c r="M8" s="410"/>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401" t="s">
        <v>292</v>
      </c>
      <c r="D10" s="401"/>
      <c r="E10" s="401"/>
      <c r="F10" s="401"/>
      <c r="G10" s="401"/>
      <c r="H10" s="401"/>
      <c r="I10" s="401"/>
      <c r="J10" s="401"/>
      <c r="K10" s="401"/>
      <c r="L10" s="401"/>
      <c r="M10" s="402"/>
      <c r="N10" s="28"/>
    </row>
    <row r="11" spans="1:16" ht="64.5" customHeight="1" x14ac:dyDescent="0.2">
      <c r="A11" s="25"/>
      <c r="B11" s="26"/>
      <c r="C11" s="52" t="s">
        <v>229</v>
      </c>
      <c r="D11" s="52" t="s">
        <v>137</v>
      </c>
      <c r="E11" s="52" t="s">
        <v>230</v>
      </c>
      <c r="F11" s="52" t="s">
        <v>192</v>
      </c>
      <c r="G11" s="52" t="s">
        <v>207</v>
      </c>
      <c r="H11" s="52" t="s">
        <v>209</v>
      </c>
      <c r="I11" s="52" t="s">
        <v>210</v>
      </c>
      <c r="J11" s="404" t="s">
        <v>971</v>
      </c>
      <c r="K11" s="405"/>
      <c r="L11" s="405"/>
      <c r="M11" s="406"/>
      <c r="N11" s="28"/>
    </row>
    <row r="12" spans="1:16" x14ac:dyDescent="0.2">
      <c r="A12" s="25"/>
      <c r="B12" s="41" t="s">
        <v>729</v>
      </c>
      <c r="C12" s="154">
        <f>IF($B12=" ","",IFERROR(INDEX(MMWR_RATING_RO_ROLLUP[],MATCH($B12,MMWR_RATING_RO_ROLLUP[MMWR_RATING_RO_ROLLUP],0),MATCH(C$9,MMWR_RATING_RO_ROLLUP[#Headers],0)),"ERROR"))</f>
        <v>361973</v>
      </c>
      <c r="D12" s="155">
        <f>IF($B12=" ","",IFERROR(INDEX(MMWR_RATING_RO_ROLLUP[],MATCH($B12,MMWR_RATING_RO_ROLLUP[MMWR_RATING_RO_ROLLUP],0),MATCH(D$9,MMWR_RATING_RO_ROLLUP[#Headers],0)),"ERROR"))</f>
        <v>92.097628828699996</v>
      </c>
      <c r="E12" s="156">
        <f>IF($B12=" ","",IFERROR(INDEX(MMWR_RATING_RO_ROLLUP[],MATCH($B12,MMWR_RATING_RO_ROLLUP[MMWR_RATING_RO_ROLLUP],0),MATCH(E$9,MMWR_RATING_RO_ROLLUP[#Headers],0))/$C12,"ERROR"))</f>
        <v>0.20539653510068431</v>
      </c>
      <c r="F12" s="154">
        <f>IF($B12=" ","",IFERROR(INDEX(MMWR_RATING_RO_ROLLUP[],MATCH($B12,MMWR_RATING_RO_ROLLUP[MMWR_RATING_RO_ROLLUP],0),MATCH(F$9,MMWR_RATING_RO_ROLLUP[#Headers],0)),"ERROR"))</f>
        <v>86880</v>
      </c>
      <c r="G12" s="154">
        <f>IF($B12=" ","",IFERROR(INDEX(MMWR_RATING_RO_ROLLUP[],MATCH($B12,MMWR_RATING_RO_ROLLUP[MMWR_RATING_RO_ROLLUP],0),MATCH(G$9,MMWR_RATING_RO_ROLLUP[#Headers],0)),"ERROR"))</f>
        <v>290519</v>
      </c>
      <c r="H12" s="155">
        <f>IF($B12=" ","",IFERROR(INDEX(MMWR_RATING_RO_ROLLUP[],MATCH($B12,MMWR_RATING_RO_ROLLUP[MMWR_RATING_RO_ROLLUP],0),MATCH(H$9,MMWR_RATING_RO_ROLLUP[#Headers],0)),"ERROR"))</f>
        <v>128.4278314917</v>
      </c>
      <c r="I12" s="155">
        <f>IF($B12=" ","",IFERROR(INDEX(MMWR_RATING_RO_ROLLUP[],MATCH($B12,MMWR_RATING_RO_ROLLUP[MMWR_RATING_RO_ROLLUP],0),MATCH(I$9,MMWR_RATING_RO_ROLLUP[#Headers],0)),"ERROR"))</f>
        <v>128.25655464869999</v>
      </c>
      <c r="J12" s="42"/>
      <c r="K12" s="42"/>
      <c r="L12" s="42"/>
      <c r="M12" s="42"/>
      <c r="N12" s="28"/>
    </row>
    <row r="13" spans="1:16" x14ac:dyDescent="0.2">
      <c r="A13" s="25"/>
      <c r="B13" s="393" t="s">
        <v>732</v>
      </c>
      <c r="C13" s="394"/>
      <c r="D13" s="394"/>
      <c r="E13" s="394"/>
      <c r="F13" s="394"/>
      <c r="G13" s="394"/>
      <c r="H13" s="394"/>
      <c r="I13" s="394"/>
      <c r="J13" s="394"/>
      <c r="K13" s="394"/>
      <c r="L13" s="394"/>
      <c r="M13" s="403"/>
      <c r="N13" s="28"/>
    </row>
    <row r="14" spans="1:16" x14ac:dyDescent="0.2">
      <c r="A14" s="25"/>
      <c r="B14" s="41" t="s">
        <v>728</v>
      </c>
      <c r="C14" s="154">
        <f>IF($B14=" ","",IFERROR(INDEX(MMWR_RATING_RO_ROLLUP[],MATCH($B14,MMWR_RATING_RO_ROLLUP[MMWR_RATING_RO_ROLLUP],0),MATCH(C$9,MMWR_RATING_RO_ROLLUP[#Headers],0)),"ERROR"))</f>
        <v>313845</v>
      </c>
      <c r="D14" s="155">
        <f>IF($B14=" ","",IFERROR(INDEX(MMWR_RATING_RO_ROLLUP[],MATCH($B14,MMWR_RATING_RO_ROLLUP[MMWR_RATING_RO_ROLLUP],0),MATCH(D$9,MMWR_RATING_RO_ROLLUP[#Headers],0)),"ERROR"))</f>
        <v>94.626462107099997</v>
      </c>
      <c r="E14" s="156">
        <f>IF($B14=" ","",IFERROR(INDEX(MMWR_RATING_RO_ROLLUP[],MATCH($B14,MMWR_RATING_RO_ROLLUP[MMWR_RATING_RO_ROLLUP],0),MATCH(E$9,MMWR_RATING_RO_ROLLUP[#Headers],0))/$C14,"ERROR"))</f>
        <v>0.21730153419681689</v>
      </c>
      <c r="F14" s="154">
        <f>IF($B14=" ","",IFERROR(INDEX(MMWR_RATING_RO_ROLLUP[],MATCH($B14,MMWR_RATING_RO_ROLLUP[MMWR_RATING_RO_ROLLUP],0),MATCH(F$9,MMWR_RATING_RO_ROLLUP[#Headers],0)),"ERROR"))</f>
        <v>73259</v>
      </c>
      <c r="G14" s="154">
        <f>IF($B14=" ","",IFERROR(INDEX(MMWR_RATING_RO_ROLLUP[],MATCH($B14,MMWR_RATING_RO_ROLLUP[MMWR_RATING_RO_ROLLUP],0),MATCH(G$9,MMWR_RATING_RO_ROLLUP[#Headers],0)),"ERROR"))</f>
        <v>246759</v>
      </c>
      <c r="H14" s="155">
        <f>IF($B14=" ","",IFERROR(INDEX(MMWR_RATING_RO_ROLLUP[],MATCH($B14,MMWR_RATING_RO_ROLLUP[MMWR_RATING_RO_ROLLUP],0),MATCH(H$9,MMWR_RATING_RO_ROLLUP[#Headers],0)),"ERROR"))</f>
        <v>135.3829427101</v>
      </c>
      <c r="I14" s="155">
        <f>IF($B14=" ","",IFERROR(INDEX(MMWR_RATING_RO_ROLLUP[],MATCH($B14,MMWR_RATING_RO_ROLLUP[MMWR_RATING_RO_ROLLUP],0),MATCH(I$9,MMWR_RATING_RO_ROLLUP[#Headers],0)),"ERROR"))</f>
        <v>135.81233916490001</v>
      </c>
      <c r="J14" s="42"/>
      <c r="K14" s="42"/>
      <c r="L14" s="42"/>
      <c r="M14" s="42"/>
      <c r="N14" s="28"/>
    </row>
    <row r="15" spans="1:16" x14ac:dyDescent="0.2">
      <c r="A15" s="25"/>
      <c r="B15" s="248" t="s">
        <v>369</v>
      </c>
      <c r="C15" s="154">
        <f>IF($B15=" ","",IFERROR(INDEX(MMWR_RATING_RO_ROLLUP[],MATCH($B15,MMWR_RATING_RO_ROLLUP[MMWR_RATING_RO_ROLLUP],0),MATCH(C$9,MMWR_RATING_RO_ROLLUP[#Headers],0)),"ERROR"))</f>
        <v>70362</v>
      </c>
      <c r="D15" s="155">
        <f>IF($B15=" ","",IFERROR(INDEX(MMWR_RATING_RO_ROLLUP[],MATCH($B15,MMWR_RATING_RO_ROLLUP[MMWR_RATING_RO_ROLLUP],0),MATCH(D$9,MMWR_RATING_RO_ROLLUP[#Headers],0)),"ERROR"))</f>
        <v>96.875415707299993</v>
      </c>
      <c r="E15" s="156">
        <f>IF($B15=" ","",IFERROR(INDEX(MMWR_RATING_RO_ROLLUP[],MATCH($B15,MMWR_RATING_RO_ROLLUP[MMWR_RATING_RO_ROLLUP],0),MATCH(E$9,MMWR_RATING_RO_ROLLUP[#Headers],0))/$C15,"ERROR"))</f>
        <v>0.22560472982575822</v>
      </c>
      <c r="F15" s="154">
        <f>IF($B15=" ","",IFERROR(INDEX(MMWR_RATING_RO_ROLLUP[],MATCH($B15,MMWR_RATING_RO_ROLLUP[MMWR_RATING_RO_ROLLUP],0),MATCH(F$9,MMWR_RATING_RO_ROLLUP[#Headers],0)),"ERROR"))</f>
        <v>15784</v>
      </c>
      <c r="G15" s="154">
        <f>IF($B15=" ","",IFERROR(INDEX(MMWR_RATING_RO_ROLLUP[],MATCH($B15,MMWR_RATING_RO_ROLLUP[MMWR_RATING_RO_ROLLUP],0),MATCH(G$9,MMWR_RATING_RO_ROLLUP[#Headers],0)),"ERROR"))</f>
        <v>54027</v>
      </c>
      <c r="H15" s="155">
        <f>IF($B15=" ","",IFERROR(INDEX(MMWR_RATING_RO_ROLLUP[],MATCH($B15,MMWR_RATING_RO_ROLLUP[MMWR_RATING_RO_ROLLUP],0),MATCH(H$9,MMWR_RATING_RO_ROLLUP[#Headers],0)),"ERROR"))</f>
        <v>137.73200709579999</v>
      </c>
      <c r="I15" s="155">
        <f>IF($B15=" ","",IFERROR(INDEX(MMWR_RATING_RO_ROLLUP[],MATCH($B15,MMWR_RATING_RO_ROLLUP[MMWR_RATING_RO_ROLLUP],0),MATCH(I$9,MMWR_RATING_RO_ROLLUP[#Headers],0)),"ERROR"))</f>
        <v>136.4993614304</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4575</v>
      </c>
      <c r="D16" s="155">
        <f>IF($B16=" ","",IFERROR(INDEX(MMWR_RATING_RO_ROLLUP[],MATCH($B16,MMWR_RATING_RO_ROLLUP[MMWR_RATING_RO_ROLLUP],0),MATCH(D$9,MMWR_RATING_RO_ROLLUP[#Headers],0)),"ERROR"))</f>
        <v>94.584262295100004</v>
      </c>
      <c r="E16" s="156">
        <f>IF($B16=" ","",IFERROR(INDEX(MMWR_RATING_RO_ROLLUP[],MATCH($B16,MMWR_RATING_RO_ROLLUP[MMWR_RATING_RO_ROLLUP],0),MATCH(E$9,MMWR_RATING_RO_ROLLUP[#Headers],0))/$C16,"ERROR"))</f>
        <v>0.19497267759562842</v>
      </c>
      <c r="F16" s="154">
        <f>IF($B16=" ","",IFERROR(INDEX(MMWR_RATING_RO_ROLLUP[],MATCH($B16,MMWR_RATING_RO_ROLLUP[MMWR_RATING_RO_ROLLUP],0),MATCH(F$9,MMWR_RATING_RO_ROLLUP[#Headers],0)),"ERROR"))</f>
        <v>1075</v>
      </c>
      <c r="G16" s="154">
        <f>IF($B16=" ","",IFERROR(INDEX(MMWR_RATING_RO_ROLLUP[],MATCH($B16,MMWR_RATING_RO_ROLLUP[MMWR_RATING_RO_ROLLUP],0),MATCH(G$9,MMWR_RATING_RO_ROLLUP[#Headers],0)),"ERROR"))</f>
        <v>3733</v>
      </c>
      <c r="H16" s="155">
        <f>IF($B16=" ","",IFERROR(INDEX(MMWR_RATING_RO_ROLLUP[],MATCH($B16,MMWR_RATING_RO_ROLLUP[MMWR_RATING_RO_ROLLUP],0),MATCH(H$9,MMWR_RATING_RO_ROLLUP[#Headers],0)),"ERROR"))</f>
        <v>140.46604651160001</v>
      </c>
      <c r="I16" s="155">
        <f>IF($B16=" ","",IFERROR(INDEX(MMWR_RATING_RO_ROLLUP[],MATCH($B16,MMWR_RATING_RO_ROLLUP[MMWR_RATING_RO_ROLLUP],0),MATCH(I$9,MMWR_RATING_RO_ROLLUP[#Headers],0)),"ERROR"))</f>
        <v>142.69300830430001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3481</v>
      </c>
      <c r="D17" s="155">
        <f>IF($B17=" ","",IFERROR(INDEX(MMWR_RATING_RO_ROLLUP[],MATCH($B17,MMWR_RATING_RO_ROLLUP[MMWR_RATING_RO_ROLLUP],0),MATCH(D$9,MMWR_RATING_RO_ROLLUP[#Headers],0)),"ERROR"))</f>
        <v>98.704395288699999</v>
      </c>
      <c r="E17" s="156">
        <f>IF($B17=" ","",IFERROR(INDEX(MMWR_RATING_RO_ROLLUP[],MATCH($B17,MMWR_RATING_RO_ROLLUP[MMWR_RATING_RO_ROLLUP],0),MATCH(E$9,MMWR_RATING_RO_ROLLUP[#Headers],0))/$C17,"ERROR"))</f>
        <v>0.26141913243320886</v>
      </c>
      <c r="F17" s="154">
        <f>IF($B17=" ","",IFERROR(INDEX(MMWR_RATING_RO_ROLLUP[],MATCH($B17,MMWR_RATING_RO_ROLLUP[MMWR_RATING_RO_ROLLUP],0),MATCH(F$9,MMWR_RATING_RO_ROLLUP[#Headers],0)),"ERROR"))</f>
        <v>824</v>
      </c>
      <c r="G17" s="154">
        <f>IF($B17=" ","",IFERROR(INDEX(MMWR_RATING_RO_ROLLUP[],MATCH($B17,MMWR_RATING_RO_ROLLUP[MMWR_RATING_RO_ROLLUP],0),MATCH(G$9,MMWR_RATING_RO_ROLLUP[#Headers],0)),"ERROR"))</f>
        <v>2744</v>
      </c>
      <c r="H17" s="155">
        <f>IF($B17=" ","",IFERROR(INDEX(MMWR_RATING_RO_ROLLUP[],MATCH($B17,MMWR_RATING_RO_ROLLUP[MMWR_RATING_RO_ROLLUP],0),MATCH(H$9,MMWR_RATING_RO_ROLLUP[#Headers],0)),"ERROR"))</f>
        <v>127.895631068</v>
      </c>
      <c r="I17" s="155">
        <f>IF($B17=" ","",IFERROR(INDEX(MMWR_RATING_RO_ROLLUP[],MATCH($B17,MMWR_RATING_RO_ROLLUP[MMWR_RATING_RO_ROLLUP],0),MATCH(I$9,MMWR_RATING_RO_ROLLUP[#Headers],0)),"ERROR"))</f>
        <v>122.7485422741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3756</v>
      </c>
      <c r="D18" s="155">
        <f>IF($B18=" ","",IFERROR(INDEX(MMWR_RATING_RO_ROLLUP[],MATCH($B18,MMWR_RATING_RO_ROLLUP[MMWR_RATING_RO_ROLLUP],0),MATCH(D$9,MMWR_RATING_RO_ROLLUP[#Headers],0)),"ERROR"))</f>
        <v>90.920394036199994</v>
      </c>
      <c r="E18" s="156">
        <f>IF($B18=" ","",IFERROR(INDEX(MMWR_RATING_RO_ROLLUP[],MATCH($B18,MMWR_RATING_RO_ROLLUP[MMWR_RATING_RO_ROLLUP],0),MATCH(E$9,MMWR_RATING_RO_ROLLUP[#Headers],0))/$C18,"ERROR"))</f>
        <v>0.19435569755058574</v>
      </c>
      <c r="F18" s="154">
        <f>IF($B18=" ","",IFERROR(INDEX(MMWR_RATING_RO_ROLLUP[],MATCH($B18,MMWR_RATING_RO_ROLLUP[MMWR_RATING_RO_ROLLUP],0),MATCH(F$9,MMWR_RATING_RO_ROLLUP[#Headers],0)),"ERROR"))</f>
        <v>803</v>
      </c>
      <c r="G18" s="154">
        <f>IF($B18=" ","",IFERROR(INDEX(MMWR_RATING_RO_ROLLUP[],MATCH($B18,MMWR_RATING_RO_ROLLUP[MMWR_RATING_RO_ROLLUP],0),MATCH(G$9,MMWR_RATING_RO_ROLLUP[#Headers],0)),"ERROR"))</f>
        <v>3016</v>
      </c>
      <c r="H18" s="155">
        <f>IF($B18=" ","",IFERROR(INDEX(MMWR_RATING_RO_ROLLUP[],MATCH($B18,MMWR_RATING_RO_ROLLUP[MMWR_RATING_RO_ROLLUP],0),MATCH(H$9,MMWR_RATING_RO_ROLLUP[#Headers],0)),"ERROR"))</f>
        <v>146.12453300120001</v>
      </c>
      <c r="I18" s="155">
        <f>IF($B18=" ","",IFERROR(INDEX(MMWR_RATING_RO_ROLLUP[],MATCH($B18,MMWR_RATING_RO_ROLLUP[MMWR_RATING_RO_ROLLUP],0),MATCH(I$9,MMWR_RATING_RO_ROLLUP[#Headers],0)),"ERROR"))</f>
        <v>149.650862069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1932</v>
      </c>
      <c r="D19" s="155">
        <f>IF($B19=" ","",IFERROR(INDEX(MMWR_RATING_RO_ROLLUP[],MATCH($B19,MMWR_RATING_RO_ROLLUP[MMWR_RATING_RO_ROLLUP],0),MATCH(D$9,MMWR_RATING_RO_ROLLUP[#Headers],0)),"ERROR"))</f>
        <v>85.825569358199999</v>
      </c>
      <c r="E19" s="156">
        <f>IF($B19=" ","",IFERROR(INDEX(MMWR_RATING_RO_ROLLUP[],MATCH($B19,MMWR_RATING_RO_ROLLUP[MMWR_RATING_RO_ROLLUP],0),MATCH(E$9,MMWR_RATING_RO_ROLLUP[#Headers],0))/$C19,"ERROR"))</f>
        <v>0.16925465838509315</v>
      </c>
      <c r="F19" s="154">
        <f>IF($B19=" ","",IFERROR(INDEX(MMWR_RATING_RO_ROLLUP[],MATCH($B19,MMWR_RATING_RO_ROLLUP[MMWR_RATING_RO_ROLLUP],0),MATCH(F$9,MMWR_RATING_RO_ROLLUP[#Headers],0)),"ERROR"))</f>
        <v>308</v>
      </c>
      <c r="G19" s="154">
        <f>IF($B19=" ","",IFERROR(INDEX(MMWR_RATING_RO_ROLLUP[],MATCH($B19,MMWR_RATING_RO_ROLLUP[MMWR_RATING_RO_ROLLUP],0),MATCH(G$9,MMWR_RATING_RO_ROLLUP[#Headers],0)),"ERROR"))</f>
        <v>1408</v>
      </c>
      <c r="H19" s="155">
        <f>IF($B19=" ","",IFERROR(INDEX(MMWR_RATING_RO_ROLLUP[],MATCH($B19,MMWR_RATING_RO_ROLLUP[MMWR_RATING_RO_ROLLUP],0),MATCH(H$9,MMWR_RATING_RO_ROLLUP[#Headers],0)),"ERROR"))</f>
        <v>124.3831168831</v>
      </c>
      <c r="I19" s="155">
        <f>IF($B19=" ","",IFERROR(INDEX(MMWR_RATING_RO_ROLLUP[],MATCH($B19,MMWR_RATING_RO_ROLLUP[MMWR_RATING_RO_ROLLUP],0),MATCH(I$9,MMWR_RATING_RO_ROLLUP[#Headers],0)),"ERROR"))</f>
        <v>114.49573863640001</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2474</v>
      </c>
      <c r="D20" s="155">
        <f>IF($B20=" ","",IFERROR(INDEX(MMWR_RATING_RO_ROLLUP[],MATCH($B20,MMWR_RATING_RO_ROLLUP[MMWR_RATING_RO_ROLLUP],0),MATCH(D$9,MMWR_RATING_RO_ROLLUP[#Headers],0)),"ERROR"))</f>
        <v>84.037186742100005</v>
      </c>
      <c r="E20" s="156">
        <f>IF($B20=" ","",IFERROR(INDEX(MMWR_RATING_RO_ROLLUP[],MATCH($B20,MMWR_RATING_RO_ROLLUP[MMWR_RATING_RO_ROLLUP],0),MATCH(E$9,MMWR_RATING_RO_ROLLUP[#Headers],0))/$C20,"ERROR"))</f>
        <v>0.14268391269199676</v>
      </c>
      <c r="F20" s="154">
        <f>IF($B20=" ","",IFERROR(INDEX(MMWR_RATING_RO_ROLLUP[],MATCH($B20,MMWR_RATING_RO_ROLLUP[MMWR_RATING_RO_ROLLUP],0),MATCH(F$9,MMWR_RATING_RO_ROLLUP[#Headers],0)),"ERROR"))</f>
        <v>591</v>
      </c>
      <c r="G20" s="154">
        <f>IF($B20=" ","",IFERROR(INDEX(MMWR_RATING_RO_ROLLUP[],MATCH($B20,MMWR_RATING_RO_ROLLUP[MMWR_RATING_RO_ROLLUP],0),MATCH(G$9,MMWR_RATING_RO_ROLLUP[#Headers],0)),"ERROR"))</f>
        <v>1997</v>
      </c>
      <c r="H20" s="155">
        <f>IF($B20=" ","",IFERROR(INDEX(MMWR_RATING_RO_ROLLUP[],MATCH($B20,MMWR_RATING_RO_ROLLUP[MMWR_RATING_RO_ROLLUP],0),MATCH(H$9,MMWR_RATING_RO_ROLLUP[#Headers],0)),"ERROR"))</f>
        <v>122.2808798646</v>
      </c>
      <c r="I20" s="155">
        <f>IF($B20=" ","",IFERROR(INDEX(MMWR_RATING_RO_ROLLUP[],MATCH($B20,MMWR_RATING_RO_ROLLUP[MMWR_RATING_RO_ROLLUP],0),MATCH(I$9,MMWR_RATING_RO_ROLLUP[#Headers],0)),"ERROR"))</f>
        <v>116.7496244367</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1165</v>
      </c>
      <c r="D21" s="155">
        <f>IF($B21=" ","",IFERROR(INDEX(MMWR_RATING_RO_ROLLUP[],MATCH($B21,MMWR_RATING_RO_ROLLUP[MMWR_RATING_RO_ROLLUP],0),MATCH(D$9,MMWR_RATING_RO_ROLLUP[#Headers],0)),"ERROR"))</f>
        <v>98.480686695299994</v>
      </c>
      <c r="E21" s="156">
        <f>IF($B21=" ","",IFERROR(INDEX(MMWR_RATING_RO_ROLLUP[],MATCH($B21,MMWR_RATING_RO_ROLLUP[MMWR_RATING_RO_ROLLUP],0),MATCH(E$9,MMWR_RATING_RO_ROLLUP[#Headers],0))/$C21,"ERROR"))</f>
        <v>0.20686695278969958</v>
      </c>
      <c r="F21" s="154">
        <f>IF($B21=" ","",IFERROR(INDEX(MMWR_RATING_RO_ROLLUP[],MATCH($B21,MMWR_RATING_RO_ROLLUP[MMWR_RATING_RO_ROLLUP],0),MATCH(F$9,MMWR_RATING_RO_ROLLUP[#Headers],0)),"ERROR"))</f>
        <v>348</v>
      </c>
      <c r="G21" s="154">
        <f>IF($B21=" ","",IFERROR(INDEX(MMWR_RATING_RO_ROLLUP[],MATCH($B21,MMWR_RATING_RO_ROLLUP[MMWR_RATING_RO_ROLLUP],0),MATCH(G$9,MMWR_RATING_RO_ROLLUP[#Headers],0)),"ERROR"))</f>
        <v>933</v>
      </c>
      <c r="H21" s="155">
        <f>IF($B21=" ","",IFERROR(INDEX(MMWR_RATING_RO_ROLLUP[],MATCH($B21,MMWR_RATING_RO_ROLLUP[MMWR_RATING_RO_ROLLUP],0),MATCH(H$9,MMWR_RATING_RO_ROLLUP[#Headers],0)),"ERROR"))</f>
        <v>125.48563218389999</v>
      </c>
      <c r="I21" s="155">
        <f>IF($B21=" ","",IFERROR(INDEX(MMWR_RATING_RO_ROLLUP[],MATCH($B21,MMWR_RATING_RO_ROLLUP[MMWR_RATING_RO_ROLLUP],0),MATCH(I$9,MMWR_RATING_RO_ROLLUP[#Headers],0)),"ERROR"))</f>
        <v>128.70525187569999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4926</v>
      </c>
      <c r="D22" s="155">
        <f>IF($B22=" ","",IFERROR(INDEX(MMWR_RATING_RO_ROLLUP[],MATCH($B22,MMWR_RATING_RO_ROLLUP[MMWR_RATING_RO_ROLLUP],0),MATCH(D$9,MMWR_RATING_RO_ROLLUP[#Headers],0)),"ERROR"))</f>
        <v>97.740560292300003</v>
      </c>
      <c r="E22" s="156">
        <f>IF($B22=" ","",IFERROR(INDEX(MMWR_RATING_RO_ROLLUP[],MATCH($B22,MMWR_RATING_RO_ROLLUP[MMWR_RATING_RO_ROLLUP],0),MATCH(E$9,MMWR_RATING_RO_ROLLUP[#Headers],0))/$C22,"ERROR"))</f>
        <v>0.23771822980105561</v>
      </c>
      <c r="F22" s="154">
        <f>IF($B22=" ","",IFERROR(INDEX(MMWR_RATING_RO_ROLLUP[],MATCH($B22,MMWR_RATING_RO_ROLLUP[MMWR_RATING_RO_ROLLUP],0),MATCH(F$9,MMWR_RATING_RO_ROLLUP[#Headers],0)),"ERROR"))</f>
        <v>931</v>
      </c>
      <c r="G22" s="154">
        <f>IF($B22=" ","",IFERROR(INDEX(MMWR_RATING_RO_ROLLUP[],MATCH($B22,MMWR_RATING_RO_ROLLUP[MMWR_RATING_RO_ROLLUP],0),MATCH(G$9,MMWR_RATING_RO_ROLLUP[#Headers],0)),"ERROR"))</f>
        <v>3176</v>
      </c>
      <c r="H22" s="155">
        <f>IF($B22=" ","",IFERROR(INDEX(MMWR_RATING_RO_ROLLUP[],MATCH($B22,MMWR_RATING_RO_ROLLUP[MMWR_RATING_RO_ROLLUP],0),MATCH(H$9,MMWR_RATING_RO_ROLLUP[#Headers],0)),"ERROR"))</f>
        <v>142.97099892590001</v>
      </c>
      <c r="I22" s="155">
        <f>IF($B22=" ","",IFERROR(INDEX(MMWR_RATING_RO_ROLLUP[],MATCH($B22,MMWR_RATING_RO_ROLLUP[MMWR_RATING_RO_ROLLUP],0),MATCH(I$9,MMWR_RATING_RO_ROLLUP[#Headers],0)),"ERROR"))</f>
        <v>140.42789672539999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2760</v>
      </c>
      <c r="D23" s="155">
        <f>IF($B23=" ","",IFERROR(INDEX(MMWR_RATING_RO_ROLLUP[],MATCH($B23,MMWR_RATING_RO_ROLLUP[MMWR_RATING_RO_ROLLUP],0),MATCH(D$9,MMWR_RATING_RO_ROLLUP[#Headers],0)),"ERROR"))</f>
        <v>86.263768115900007</v>
      </c>
      <c r="E23" s="156">
        <f>IF($B23=" ","",IFERROR(INDEX(MMWR_RATING_RO_ROLLUP[],MATCH($B23,MMWR_RATING_RO_ROLLUP[MMWR_RATING_RO_ROLLUP],0),MATCH(E$9,MMWR_RATING_RO_ROLLUP[#Headers],0))/$C23,"ERROR"))</f>
        <v>0.16992753623188406</v>
      </c>
      <c r="F23" s="154">
        <f>IF($B23=" ","",IFERROR(INDEX(MMWR_RATING_RO_ROLLUP[],MATCH($B23,MMWR_RATING_RO_ROLLUP[MMWR_RATING_RO_ROLLUP],0),MATCH(F$9,MMWR_RATING_RO_ROLLUP[#Headers],0)),"ERROR"))</f>
        <v>435</v>
      </c>
      <c r="G23" s="154">
        <f>IF($B23=" ","",IFERROR(INDEX(MMWR_RATING_RO_ROLLUP[],MATCH($B23,MMWR_RATING_RO_ROLLUP[MMWR_RATING_RO_ROLLUP],0),MATCH(G$9,MMWR_RATING_RO_ROLLUP[#Headers],0)),"ERROR"))</f>
        <v>1888</v>
      </c>
      <c r="H23" s="155">
        <f>IF($B23=" ","",IFERROR(INDEX(MMWR_RATING_RO_ROLLUP[],MATCH($B23,MMWR_RATING_RO_ROLLUP[MMWR_RATING_RO_ROLLUP],0),MATCH(H$9,MMWR_RATING_RO_ROLLUP[#Headers],0)),"ERROR"))</f>
        <v>159.724137931</v>
      </c>
      <c r="I23" s="155">
        <f>IF($B23=" ","",IFERROR(INDEX(MMWR_RATING_RO_ROLLUP[],MATCH($B23,MMWR_RATING_RO_ROLLUP[MMWR_RATING_RO_ROLLUP],0),MATCH(I$9,MMWR_RATING_RO_ROLLUP[#Headers],0)),"ERROR"))</f>
        <v>144.7706567797</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7487</v>
      </c>
      <c r="D24" s="155">
        <f>IF($B24=" ","",IFERROR(INDEX(MMWR_RATING_RO_ROLLUP[],MATCH($B24,MMWR_RATING_RO_ROLLUP[MMWR_RATING_RO_ROLLUP],0),MATCH(D$9,MMWR_RATING_RO_ROLLUP[#Headers],0)),"ERROR"))</f>
        <v>111.6704955256</v>
      </c>
      <c r="E24" s="156">
        <f>IF($B24=" ","",IFERROR(INDEX(MMWR_RATING_RO_ROLLUP[],MATCH($B24,MMWR_RATING_RO_ROLLUP[MMWR_RATING_RO_ROLLUP],0),MATCH(E$9,MMWR_RATING_RO_ROLLUP[#Headers],0))/$C24,"ERROR"))</f>
        <v>0.28863363162815547</v>
      </c>
      <c r="F24" s="154">
        <f>IF($B24=" ","",IFERROR(INDEX(MMWR_RATING_RO_ROLLUP[],MATCH($B24,MMWR_RATING_RO_ROLLUP[MMWR_RATING_RO_ROLLUP],0),MATCH(F$9,MMWR_RATING_RO_ROLLUP[#Headers],0)),"ERROR"))</f>
        <v>1815</v>
      </c>
      <c r="G24" s="154">
        <f>IF($B24=" ","",IFERROR(INDEX(MMWR_RATING_RO_ROLLUP[],MATCH($B24,MMWR_RATING_RO_ROLLUP[MMWR_RATING_RO_ROLLUP],0),MATCH(G$9,MMWR_RATING_RO_ROLLUP[#Headers],0)),"ERROR"))</f>
        <v>5829</v>
      </c>
      <c r="H24" s="155">
        <f>IF($B24=" ","",IFERROR(INDEX(MMWR_RATING_RO_ROLLUP[],MATCH($B24,MMWR_RATING_RO_ROLLUP[MMWR_RATING_RO_ROLLUP],0),MATCH(H$9,MMWR_RATING_RO_ROLLUP[#Headers],0)),"ERROR"))</f>
        <v>149.0286501377</v>
      </c>
      <c r="I24" s="155">
        <f>IF($B24=" ","",IFERROR(INDEX(MMWR_RATING_RO_ROLLUP[],MATCH($B24,MMWR_RATING_RO_ROLLUP[MMWR_RATING_RO_ROLLUP],0),MATCH(I$9,MMWR_RATING_RO_ROLLUP[#Headers],0)),"ERROR"))</f>
        <v>156.34242580200001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4886</v>
      </c>
      <c r="D25" s="155">
        <f>IF($B25=" ","",IFERROR(INDEX(MMWR_RATING_RO_ROLLUP[],MATCH($B25,MMWR_RATING_RO_ROLLUP[MMWR_RATING_RO_ROLLUP],0),MATCH(D$9,MMWR_RATING_RO_ROLLUP[#Headers],0)),"ERROR"))</f>
        <v>112.2013917315</v>
      </c>
      <c r="E25" s="156">
        <f>IF($B25=" ","",IFERROR(INDEX(MMWR_RATING_RO_ROLLUP[],MATCH($B25,MMWR_RATING_RO_ROLLUP[MMWR_RATING_RO_ROLLUP],0),MATCH(E$9,MMWR_RATING_RO_ROLLUP[#Headers],0))/$C25,"ERROR"))</f>
        <v>0.29164961113385179</v>
      </c>
      <c r="F25" s="154">
        <f>IF($B25=" ","",IFERROR(INDEX(MMWR_RATING_RO_ROLLUP[],MATCH($B25,MMWR_RATING_RO_ROLLUP[MMWR_RATING_RO_ROLLUP],0),MATCH(F$9,MMWR_RATING_RO_ROLLUP[#Headers],0)),"ERROR"))</f>
        <v>879</v>
      </c>
      <c r="G25" s="154">
        <f>IF($B25=" ","",IFERROR(INDEX(MMWR_RATING_RO_ROLLUP[],MATCH($B25,MMWR_RATING_RO_ROLLUP[MMWR_RATING_RO_ROLLUP],0),MATCH(G$9,MMWR_RATING_RO_ROLLUP[#Headers],0)),"ERROR"))</f>
        <v>3123</v>
      </c>
      <c r="H25" s="155">
        <f>IF($B25=" ","",IFERROR(INDEX(MMWR_RATING_RO_ROLLUP[],MATCH($B25,MMWR_RATING_RO_ROLLUP[MMWR_RATING_RO_ROLLUP],0),MATCH(H$9,MMWR_RATING_RO_ROLLUP[#Headers],0)),"ERROR"))</f>
        <v>174.3003412969</v>
      </c>
      <c r="I25" s="155">
        <f>IF($B25=" ","",IFERROR(INDEX(MMWR_RATING_RO_ROLLUP[],MATCH($B25,MMWR_RATING_RO_ROLLUP[MMWR_RATING_RO_ROLLUP],0),MATCH(I$9,MMWR_RATING_RO_ROLLUP[#Headers],0)),"ERROR"))</f>
        <v>165.93211655459999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2433</v>
      </c>
      <c r="D26" s="155">
        <f>IF($B26=" ","",IFERROR(INDEX(MMWR_RATING_RO_ROLLUP[],MATCH($B26,MMWR_RATING_RO_ROLLUP[MMWR_RATING_RO_ROLLUP],0),MATCH(D$9,MMWR_RATING_RO_ROLLUP[#Headers],0)),"ERROR"))</f>
        <v>78.156596794099997</v>
      </c>
      <c r="E26" s="156">
        <f>IF($B26=" ","",IFERROR(INDEX(MMWR_RATING_RO_ROLLUP[],MATCH($B26,MMWR_RATING_RO_ROLLUP[MMWR_RATING_RO_ROLLUP],0),MATCH(E$9,MMWR_RATING_RO_ROLLUP[#Headers],0))/$C26,"ERROR"))</f>
        <v>0.1570078092889437</v>
      </c>
      <c r="F26" s="154">
        <f>IF($B26=" ","",IFERROR(INDEX(MMWR_RATING_RO_ROLLUP[],MATCH($B26,MMWR_RATING_RO_ROLLUP[MMWR_RATING_RO_ROLLUP],0),MATCH(F$9,MMWR_RATING_RO_ROLLUP[#Headers],0)),"ERROR"))</f>
        <v>1402</v>
      </c>
      <c r="G26" s="154">
        <f>IF($B26=" ","",IFERROR(INDEX(MMWR_RATING_RO_ROLLUP[],MATCH($B26,MMWR_RATING_RO_ROLLUP[MMWR_RATING_RO_ROLLUP],0),MATCH(G$9,MMWR_RATING_RO_ROLLUP[#Headers],0)),"ERROR"))</f>
        <v>4637</v>
      </c>
      <c r="H26" s="155">
        <f>IF($B26=" ","",IFERROR(INDEX(MMWR_RATING_RO_ROLLUP[],MATCH($B26,MMWR_RATING_RO_ROLLUP[MMWR_RATING_RO_ROLLUP],0),MATCH(H$9,MMWR_RATING_RO_ROLLUP[#Headers],0)),"ERROR"))</f>
        <v>58.373038516400001</v>
      </c>
      <c r="I26" s="155">
        <f>IF($B26=" ","",IFERROR(INDEX(MMWR_RATING_RO_ROLLUP[],MATCH($B26,MMWR_RATING_RO_ROLLUP[MMWR_RATING_RO_ROLLUP],0),MATCH(I$9,MMWR_RATING_RO_ROLLUP[#Headers],0)),"ERROR"))</f>
        <v>52.890662065999997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11094</v>
      </c>
      <c r="D27" s="155">
        <f>IF($B27=" ","",IFERROR(INDEX(MMWR_RATING_RO_ROLLUP[],MATCH($B27,MMWR_RATING_RO_ROLLUP[MMWR_RATING_RO_ROLLUP],0),MATCH(D$9,MMWR_RATING_RO_ROLLUP[#Headers],0)),"ERROR"))</f>
        <v>89.326753199899997</v>
      </c>
      <c r="E27" s="156">
        <f>IF($B27=" ","",IFERROR(INDEX(MMWR_RATING_RO_ROLLUP[],MATCH($B27,MMWR_RATING_RO_ROLLUP[MMWR_RATING_RO_ROLLUP],0),MATCH(E$9,MMWR_RATING_RO_ROLLUP[#Headers],0))/$C27,"ERROR"))</f>
        <v>0.18550567874526772</v>
      </c>
      <c r="F27" s="154">
        <f>IF($B27=" ","",IFERROR(INDEX(MMWR_RATING_RO_ROLLUP[],MATCH($B27,MMWR_RATING_RO_ROLLUP[MMWR_RATING_RO_ROLLUP],0),MATCH(F$9,MMWR_RATING_RO_ROLLUP[#Headers],0)),"ERROR"))</f>
        <v>2078</v>
      </c>
      <c r="G27" s="154">
        <f>IF($B27=" ","",IFERROR(INDEX(MMWR_RATING_RO_ROLLUP[],MATCH($B27,MMWR_RATING_RO_ROLLUP[MMWR_RATING_RO_ROLLUP],0),MATCH(G$9,MMWR_RATING_RO_ROLLUP[#Headers],0)),"ERROR"))</f>
        <v>7204</v>
      </c>
      <c r="H27" s="155">
        <f>IF($B27=" ","",IFERROR(INDEX(MMWR_RATING_RO_ROLLUP[],MATCH($B27,MMWR_RATING_RO_ROLLUP[MMWR_RATING_RO_ROLLUP],0),MATCH(H$9,MMWR_RATING_RO_ROLLUP[#Headers],0)),"ERROR"))</f>
        <v>153.98123195380001</v>
      </c>
      <c r="I27" s="155">
        <f>IF($B27=" ","",IFERROR(INDEX(MMWR_RATING_RO_ROLLUP[],MATCH($B27,MMWR_RATING_RO_ROLLUP[MMWR_RATING_RO_ROLLUP],0),MATCH(I$9,MMWR_RATING_RO_ROLLUP[#Headers],0)),"ERROR"))</f>
        <v>146.58425874509999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1260</v>
      </c>
      <c r="D28" s="155">
        <f>IF($B28=" ","",IFERROR(INDEX(MMWR_RATING_RO_ROLLUP[],MATCH($B28,MMWR_RATING_RO_ROLLUP[MMWR_RATING_RO_ROLLUP],0),MATCH(D$9,MMWR_RATING_RO_ROLLUP[#Headers],0)),"ERROR"))</f>
        <v>72.299206349200006</v>
      </c>
      <c r="E28" s="156">
        <f>IF($B28=" ","",IFERROR(INDEX(MMWR_RATING_RO_ROLLUP[],MATCH($B28,MMWR_RATING_RO_ROLLUP[MMWR_RATING_RO_ROLLUP],0),MATCH(E$9,MMWR_RATING_RO_ROLLUP[#Headers],0))/$C28,"ERROR"))</f>
        <v>0.11984126984126985</v>
      </c>
      <c r="F28" s="154">
        <f>IF($B28=" ","",IFERROR(INDEX(MMWR_RATING_RO_ROLLUP[],MATCH($B28,MMWR_RATING_RO_ROLLUP[MMWR_RATING_RO_ROLLUP],0),MATCH(F$9,MMWR_RATING_RO_ROLLUP[#Headers],0)),"ERROR"))</f>
        <v>303</v>
      </c>
      <c r="G28" s="154">
        <f>IF($B28=" ","",IFERROR(INDEX(MMWR_RATING_RO_ROLLUP[],MATCH($B28,MMWR_RATING_RO_ROLLUP[MMWR_RATING_RO_ROLLUP],0),MATCH(G$9,MMWR_RATING_RO_ROLLUP[#Headers],0)),"ERROR"))</f>
        <v>1144</v>
      </c>
      <c r="H28" s="155">
        <f>IF($B28=" ","",IFERROR(INDEX(MMWR_RATING_RO_ROLLUP[],MATCH($B28,MMWR_RATING_RO_ROLLUP[MMWR_RATING_RO_ROLLUP],0),MATCH(H$9,MMWR_RATING_RO_ROLLUP[#Headers],0)),"ERROR"))</f>
        <v>104.8415841584</v>
      </c>
      <c r="I28" s="155">
        <f>IF($B28=" ","",IFERROR(INDEX(MMWR_RATING_RO_ROLLUP[],MATCH($B28,MMWR_RATING_RO_ROLLUP[MMWR_RATING_RO_ROLLUP],0),MATCH(I$9,MMWR_RATING_RO_ROLLUP[#Headers],0)),"ERROR"))</f>
        <v>106.5314685315</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614</v>
      </c>
      <c r="D29" s="155">
        <f>IF($B29=" ","",IFERROR(INDEX(MMWR_RATING_RO_ROLLUP[],MATCH($B29,MMWR_RATING_RO_ROLLUP[MMWR_RATING_RO_ROLLUP],0),MATCH(D$9,MMWR_RATING_RO_ROLLUP[#Headers],0)),"ERROR"))</f>
        <v>95.249185667800006</v>
      </c>
      <c r="E29" s="156">
        <f>IF($B29=" ","",IFERROR(INDEX(MMWR_RATING_RO_ROLLUP[],MATCH($B29,MMWR_RATING_RO_ROLLUP[MMWR_RATING_RO_ROLLUP],0),MATCH(E$9,MMWR_RATING_RO_ROLLUP[#Headers],0))/$C29,"ERROR"))</f>
        <v>0.25244299674267101</v>
      </c>
      <c r="F29" s="154">
        <f>IF($B29=" ","",IFERROR(INDEX(MMWR_RATING_RO_ROLLUP[],MATCH($B29,MMWR_RATING_RO_ROLLUP[MMWR_RATING_RO_ROLLUP],0),MATCH(F$9,MMWR_RATING_RO_ROLLUP[#Headers],0)),"ERROR"))</f>
        <v>100</v>
      </c>
      <c r="G29" s="154">
        <f>IF($B29=" ","",IFERROR(INDEX(MMWR_RATING_RO_ROLLUP[],MATCH($B29,MMWR_RATING_RO_ROLLUP[MMWR_RATING_RO_ROLLUP],0),MATCH(G$9,MMWR_RATING_RO_ROLLUP[#Headers],0)),"ERROR"))</f>
        <v>222</v>
      </c>
      <c r="H29" s="155">
        <f>IF($B29=" ","",IFERROR(INDEX(MMWR_RATING_RO_ROLLUP[],MATCH($B29,MMWR_RATING_RO_ROLLUP[MMWR_RATING_RO_ROLLUP],0),MATCH(H$9,MMWR_RATING_RO_ROLLUP[#Headers],0)),"ERROR"))</f>
        <v>147.72999999999999</v>
      </c>
      <c r="I29" s="155">
        <f>IF($B29=" ","",IFERROR(INDEX(MMWR_RATING_RO_ROLLUP[],MATCH($B29,MMWR_RATING_RO_ROLLUP[MMWR_RATING_RO_ROLLUP],0),MATCH(I$9,MMWR_RATING_RO_ROLLUP[#Headers],0)),"ERROR"))</f>
        <v>137.027027027</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698</v>
      </c>
      <c r="D30" s="155">
        <f>IF($B30=" ","",IFERROR(INDEX(MMWR_RATING_RO_ROLLUP[],MATCH($B30,MMWR_RATING_RO_ROLLUP[MMWR_RATING_RO_ROLLUP],0),MATCH(D$9,MMWR_RATING_RO_ROLLUP[#Headers],0)),"ERROR"))</f>
        <v>112.4957020057</v>
      </c>
      <c r="E30" s="156">
        <f>IF($B30=" ","",IFERROR(INDEX(MMWR_RATING_RO_ROLLUP[],MATCH($B30,MMWR_RATING_RO_ROLLUP[MMWR_RATING_RO_ROLLUP],0),MATCH(E$9,MMWR_RATING_RO_ROLLUP[#Headers],0))/$C30,"ERROR"))</f>
        <v>0.32521489971346706</v>
      </c>
      <c r="F30" s="154">
        <f>IF($B30=" ","",IFERROR(INDEX(MMWR_RATING_RO_ROLLUP[],MATCH($B30,MMWR_RATING_RO_ROLLUP[MMWR_RATING_RO_ROLLUP],0),MATCH(F$9,MMWR_RATING_RO_ROLLUP[#Headers],0)),"ERROR"))</f>
        <v>174</v>
      </c>
      <c r="G30" s="154">
        <f>IF($B30=" ","",IFERROR(INDEX(MMWR_RATING_RO_ROLLUP[],MATCH($B30,MMWR_RATING_RO_ROLLUP[MMWR_RATING_RO_ROLLUP],0),MATCH(G$9,MMWR_RATING_RO_ROLLUP[#Headers],0)),"ERROR"))</f>
        <v>590</v>
      </c>
      <c r="H30" s="155">
        <f>IF($B30=" ","",IFERROR(INDEX(MMWR_RATING_RO_ROLLUP[],MATCH($B30,MMWR_RATING_RO_ROLLUP[MMWR_RATING_RO_ROLLUP],0),MATCH(H$9,MMWR_RATING_RO_ROLLUP[#Headers],0)),"ERROR"))</f>
        <v>144.45977011490001</v>
      </c>
      <c r="I30" s="155">
        <f>IF($B30=" ","",IFERROR(INDEX(MMWR_RATING_RO_ROLLUP[],MATCH($B30,MMWR_RATING_RO_ROLLUP[MMWR_RATING_RO_ROLLUP],0),MATCH(I$9,MMWR_RATING_RO_ROLLUP[#Headers],0)),"ERROR"))</f>
        <v>140.2491525424</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16821</v>
      </c>
      <c r="D31" s="155">
        <f>IF($B31=" ","",IFERROR(INDEX(MMWR_RATING_RO_ROLLUP[],MATCH($B31,MMWR_RATING_RO_ROLLUP[MMWR_RATING_RO_ROLLUP],0),MATCH(D$9,MMWR_RATING_RO_ROLLUP[#Headers],0)),"ERROR"))</f>
        <v>100.88496522200001</v>
      </c>
      <c r="E31" s="156">
        <f>IF($B31=" ","",IFERROR(INDEX(MMWR_RATING_RO_ROLLUP[],MATCH($B31,MMWR_RATING_RO_ROLLUP[MMWR_RATING_RO_ROLLUP],0),MATCH(E$9,MMWR_RATING_RO_ROLLUP[#Headers],0))/$C31,"ERROR"))</f>
        <v>0.25099577908566673</v>
      </c>
      <c r="F31" s="154">
        <f>IF($B31=" ","",IFERROR(INDEX(MMWR_RATING_RO_ROLLUP[],MATCH($B31,MMWR_RATING_RO_ROLLUP[MMWR_RATING_RO_ROLLUP],0),MATCH(F$9,MMWR_RATING_RO_ROLLUP[#Headers],0)),"ERROR"))</f>
        <v>3718</v>
      </c>
      <c r="G31" s="154">
        <f>IF($B31=" ","",IFERROR(INDEX(MMWR_RATING_RO_ROLLUP[],MATCH($B31,MMWR_RATING_RO_ROLLUP[MMWR_RATING_RO_ROLLUP],0),MATCH(G$9,MMWR_RATING_RO_ROLLUP[#Headers],0)),"ERROR"))</f>
        <v>12383</v>
      </c>
      <c r="H31" s="155">
        <f>IF($B31=" ","",IFERROR(INDEX(MMWR_RATING_RO_ROLLUP[],MATCH($B31,MMWR_RATING_RO_ROLLUP[MMWR_RATING_RO_ROLLUP],0),MATCH(H$9,MMWR_RATING_RO_ROLLUP[#Headers],0)),"ERROR"))</f>
        <v>146.912049489</v>
      </c>
      <c r="I31" s="155">
        <f>IF($B31=" ","",IFERROR(INDEX(MMWR_RATING_RO_ROLLUP[],MATCH($B31,MMWR_RATING_RO_ROLLUP[MMWR_RATING_RO_ROLLUP],0),MATCH(I$9,MMWR_RATING_RO_ROLLUP[#Headers],0)),"ERROR"))</f>
        <v>149.73996608249999</v>
      </c>
      <c r="J31" s="42"/>
      <c r="K31" s="42"/>
      <c r="L31" s="42"/>
      <c r="M31" s="42"/>
      <c r="N31" s="28"/>
    </row>
    <row r="32" spans="1:14" x14ac:dyDescent="0.2">
      <c r="A32" s="25"/>
      <c r="B32" s="393" t="s">
        <v>733</v>
      </c>
      <c r="C32" s="394"/>
      <c r="D32" s="394"/>
      <c r="E32" s="394"/>
      <c r="F32" s="394"/>
      <c r="G32" s="394"/>
      <c r="H32" s="394"/>
      <c r="I32" s="394"/>
      <c r="J32" s="394"/>
      <c r="K32" s="394"/>
      <c r="L32" s="394"/>
      <c r="M32" s="403"/>
      <c r="N32" s="28"/>
    </row>
    <row r="33" spans="1:14" x14ac:dyDescent="0.2">
      <c r="A33" s="25"/>
      <c r="B33" s="11" t="s">
        <v>696</v>
      </c>
      <c r="C33" s="154">
        <f>IF($B33=" ","",IFERROR(INDEX(MMWR_RATING_RO_ROLLUP[],MATCH($B33,MMWR_RATING_RO_ROLLUP[MMWR_RATING_RO_ROLLUP],0),MATCH(C$9,MMWR_RATING_RO_ROLLUP[#Headers],0)),"ERROR"))</f>
        <v>26409</v>
      </c>
      <c r="D33" s="155">
        <f>IF($B33=" ","",IFERROR(INDEX(MMWR_RATING_RO_ROLLUP[],MATCH($B33,MMWR_RATING_RO_ROLLUP[MMWR_RATING_RO_ROLLUP],0),MATCH(D$9,MMWR_RATING_RO_ROLLUP[#Headers],0)),"ERROR"))</f>
        <v>66.619258586100003</v>
      </c>
      <c r="E33" s="156">
        <f>IF($B33=" ","",IFERROR(INDEX(MMWR_RATING_RO_ROLLUP[],MATCH($B33,MMWR_RATING_RO_ROLLUP[MMWR_RATING_RO_ROLLUP],0),MATCH(E$9,MMWR_RATING_RO_ROLLUP[#Headers],0))/$C33,"ERROR"))</f>
        <v>9.2733537809080238E-2</v>
      </c>
      <c r="F33" s="154">
        <f>IF($B33=" ","",IFERROR(INDEX(MMWR_RATING_RO_ROLLUP[],MATCH($B33,MMWR_RATING_RO_ROLLUP[MMWR_RATING_RO_ROLLUP],0),MATCH(F$9,MMWR_RATING_RO_ROLLUP[#Headers],0)),"ERROR"))</f>
        <v>10354</v>
      </c>
      <c r="G33" s="154">
        <f>IF($B33=" ","",IFERROR(INDEX(MMWR_RATING_RO_ROLLUP[],MATCH($B33,MMWR_RATING_RO_ROLLUP[MMWR_RATING_RO_ROLLUP],0),MATCH(G$9,MMWR_RATING_RO_ROLLUP[#Headers],0)),"ERROR"))</f>
        <v>33906</v>
      </c>
      <c r="H33" s="155">
        <f>IF($B33=" ","",IFERROR(INDEX(MMWR_RATING_RO_ROLLUP[],MATCH($B33,MMWR_RATING_RO_ROLLUP[MMWR_RATING_RO_ROLLUP],0),MATCH(H$9,MMWR_RATING_RO_ROLLUP[#Headers],0)),"ERROR"))</f>
        <v>75.242708132100006</v>
      </c>
      <c r="I33" s="155">
        <f>IF($B33=" ","",IFERROR(INDEX(MMWR_RATING_RO_ROLLUP[],MATCH($B33,MMWR_RATING_RO_ROLLUP[MMWR_RATING_RO_ROLLUP],0),MATCH(I$9,MMWR_RATING_RO_ROLLUP[#Headers],0)),"ERROR"))</f>
        <v>71.254940128599998</v>
      </c>
      <c r="J33" s="42"/>
      <c r="K33" s="42"/>
      <c r="L33" s="42"/>
      <c r="M33" s="42"/>
      <c r="N33" s="28"/>
    </row>
    <row r="34" spans="1:14" x14ac:dyDescent="0.2">
      <c r="A34" s="25"/>
      <c r="B34" s="12" t="s">
        <v>213</v>
      </c>
      <c r="C34" s="154">
        <f>IF($B34=" ","",IFERROR(INDEX(MMWR_RATING_RO_ROLLUP[],MATCH($B34,MMWR_RATING_RO_ROLLUP[MMWR_RATING_RO_ROLLUP],0),MATCH(C$9,MMWR_RATING_RO_ROLLUP[#Headers],0)),"ERROR"))</f>
        <v>11607</v>
      </c>
      <c r="D34" s="155">
        <f>IF($B34=" ","",IFERROR(INDEX(MMWR_RATING_RO_ROLLUP[],MATCH($B34,MMWR_RATING_RO_ROLLUP[MMWR_RATING_RO_ROLLUP],0),MATCH(D$9,MMWR_RATING_RO_ROLLUP[#Headers],0)),"ERROR"))</f>
        <v>65.869906091199994</v>
      </c>
      <c r="E34" s="156">
        <f>IF($B34=" ","",IFERROR(INDEX(MMWR_RATING_RO_ROLLUP[],MATCH($B34,MMWR_RATING_RO_ROLLUP[MMWR_RATING_RO_ROLLUP],0),MATCH(E$9,MMWR_RATING_RO_ROLLUP[#Headers],0))/$C34,"ERROR"))</f>
        <v>8.537951236322909E-2</v>
      </c>
      <c r="F34" s="154">
        <f>IF($B34=" ","",IFERROR(INDEX(MMWR_RATING_RO_ROLLUP[],MATCH($B34,MMWR_RATING_RO_ROLLUP[MMWR_RATING_RO_ROLLUP],0),MATCH(F$9,MMWR_RATING_RO_ROLLUP[#Headers],0)),"ERROR"))</f>
        <v>3381</v>
      </c>
      <c r="G34" s="154">
        <f>IF($B34=" ","",IFERROR(INDEX(MMWR_RATING_RO_ROLLUP[],MATCH($B34,MMWR_RATING_RO_ROLLUP[MMWR_RATING_RO_ROLLUP],0),MATCH(G$9,MMWR_RATING_RO_ROLLUP[#Headers],0)),"ERROR"))</f>
        <v>10648</v>
      </c>
      <c r="H34" s="155">
        <f>IF($B34=" ","",IFERROR(INDEX(MMWR_RATING_RO_ROLLUP[],MATCH($B34,MMWR_RATING_RO_ROLLUP[MMWR_RATING_RO_ROLLUP],0),MATCH(H$9,MMWR_RATING_RO_ROLLUP[#Headers],0)),"ERROR"))</f>
        <v>86.386867790599993</v>
      </c>
      <c r="I34" s="155">
        <f>IF($B34=" ","",IFERROR(INDEX(MMWR_RATING_RO_ROLLUP[],MATCH($B34,MMWR_RATING_RO_ROLLUP[MMWR_RATING_RO_ROLLUP],0),MATCH(I$9,MMWR_RATING_RO_ROLLUP[#Headers],0)),"ERROR"))</f>
        <v>83.067618332099997</v>
      </c>
      <c r="J34" s="42"/>
      <c r="K34" s="42"/>
      <c r="L34" s="42"/>
      <c r="M34" s="42"/>
      <c r="N34" s="28"/>
    </row>
    <row r="35" spans="1:14" x14ac:dyDescent="0.2">
      <c r="A35" s="43"/>
      <c r="B35" s="12" t="s">
        <v>212</v>
      </c>
      <c r="C35" s="154">
        <f>IF($B35=" ","",IFERROR(INDEX(MMWR_RATING_RO_ROLLUP[],MATCH($B35,MMWR_RATING_RO_ROLLUP[MMWR_RATING_RO_ROLLUP],0),MATCH(C$9,MMWR_RATING_RO_ROLLUP[#Headers],0)),"ERROR"))</f>
        <v>6633</v>
      </c>
      <c r="D35" s="155">
        <f>IF($B35=" ","",IFERROR(INDEX(MMWR_RATING_RO_ROLLUP[],MATCH($B35,MMWR_RATING_RO_ROLLUP[MMWR_RATING_RO_ROLLUP],0),MATCH(D$9,MMWR_RATING_RO_ROLLUP[#Headers],0)),"ERROR"))</f>
        <v>67.835670134200001</v>
      </c>
      <c r="E35" s="156">
        <f>IF($B35=" ","",IFERROR(INDEX(MMWR_RATING_RO_ROLLUP[],MATCH($B35,MMWR_RATING_RO_ROLLUP[MMWR_RATING_RO_ROLLUP],0),MATCH(E$9,MMWR_RATING_RO_ROLLUP[#Headers],0))/$C35,"ERROR"))</f>
        <v>9.6336499321573954E-2</v>
      </c>
      <c r="F35" s="154">
        <f>IF($B35=" ","",IFERROR(INDEX(MMWR_RATING_RO_ROLLUP[],MATCH($B35,MMWR_RATING_RO_ROLLUP[MMWR_RATING_RO_ROLLUP],0),MATCH(F$9,MMWR_RATING_RO_ROLLUP[#Headers],0)),"ERROR"))</f>
        <v>3075</v>
      </c>
      <c r="G35" s="154">
        <f>IF($B35=" ","",IFERROR(INDEX(MMWR_RATING_RO_ROLLUP[],MATCH($B35,MMWR_RATING_RO_ROLLUP[MMWR_RATING_RO_ROLLUP],0),MATCH(G$9,MMWR_RATING_RO_ROLLUP[#Headers],0)),"ERROR"))</f>
        <v>9377</v>
      </c>
      <c r="H35" s="155">
        <f>IF($B35=" ","",IFERROR(INDEX(MMWR_RATING_RO_ROLLUP[],MATCH($B35,MMWR_RATING_RO_ROLLUP[MMWR_RATING_RO_ROLLUP],0),MATCH(H$9,MMWR_RATING_RO_ROLLUP[#Headers],0)),"ERROR"))</f>
        <v>73.185691056899998</v>
      </c>
      <c r="I35" s="155">
        <f>IF($B35=" ","",IFERROR(INDEX(MMWR_RATING_RO_ROLLUP[],MATCH($B35,MMWR_RATING_RO_ROLLUP[MMWR_RATING_RO_ROLLUP],0),MATCH(I$9,MMWR_RATING_RO_ROLLUP[#Headers],0)),"ERROR"))</f>
        <v>68.194838434499999</v>
      </c>
      <c r="J35" s="42"/>
      <c r="K35" s="42"/>
      <c r="L35" s="42"/>
      <c r="M35" s="42"/>
      <c r="N35" s="28"/>
    </row>
    <row r="36" spans="1:14" x14ac:dyDescent="0.2">
      <c r="A36" s="25"/>
      <c r="B36" s="12" t="s">
        <v>215</v>
      </c>
      <c r="C36" s="154">
        <f>IF($B36=" ","",IFERROR(INDEX(MMWR_RATING_RO_ROLLUP[],MATCH($B36,MMWR_RATING_RO_ROLLUP[MMWR_RATING_RO_ROLLUP],0),MATCH(C$9,MMWR_RATING_RO_ROLLUP[#Headers],0)),"ERROR"))</f>
        <v>7531</v>
      </c>
      <c r="D36" s="155">
        <f>IF($B36=" ","",IFERROR(INDEX(MMWR_RATING_RO_ROLLUP[],MATCH($B36,MMWR_RATING_RO_ROLLUP[MMWR_RATING_RO_ROLLUP],0),MATCH(D$9,MMWR_RATING_RO_ROLLUP[#Headers],0)),"ERROR"))</f>
        <v>58.1349090426</v>
      </c>
      <c r="E36" s="156">
        <f>IF($B36=" ","",IFERROR(INDEX(MMWR_RATING_RO_ROLLUP[],MATCH($B36,MMWR_RATING_RO_ROLLUP[MMWR_RATING_RO_ROLLUP],0),MATCH(E$9,MMWR_RATING_RO_ROLLUP[#Headers],0))/$C36,"ERROR"))</f>
        <v>6.9313504182711455E-2</v>
      </c>
      <c r="F36" s="154">
        <f>IF($B36=" ","",IFERROR(INDEX(MMWR_RATING_RO_ROLLUP[],MATCH($B36,MMWR_RATING_RO_ROLLUP[MMWR_RATING_RO_ROLLUP],0),MATCH(F$9,MMWR_RATING_RO_ROLLUP[#Headers],0)),"ERROR"))</f>
        <v>3549</v>
      </c>
      <c r="G36" s="154">
        <f>IF($B36=" ","",IFERROR(INDEX(MMWR_RATING_RO_ROLLUP[],MATCH($B36,MMWR_RATING_RO_ROLLUP[MMWR_RATING_RO_ROLLUP],0),MATCH(G$9,MMWR_RATING_RO_ROLLUP[#Headers],0)),"ERROR"))</f>
        <v>12660</v>
      </c>
      <c r="H36" s="155">
        <f>IF($B36=" ","",IFERROR(INDEX(MMWR_RATING_RO_ROLLUP[],MATCH($B36,MMWR_RATING_RO_ROLLUP[MMWR_RATING_RO_ROLLUP],0),MATCH(H$9,MMWR_RATING_RO_ROLLUP[#Headers],0)),"ERROR"))</f>
        <v>68.443223443199997</v>
      </c>
      <c r="I36" s="155">
        <f>IF($B36=" ","",IFERROR(INDEX(MMWR_RATING_RO_ROLLUP[],MATCH($B36,MMWR_RATING_RO_ROLLUP[MMWR_RATING_RO_ROLLUP],0),MATCH(I$9,MMWR_RATING_RO_ROLLUP[#Headers],0)),"ERROR"))</f>
        <v>65.453633491299996</v>
      </c>
      <c r="J36" s="42"/>
      <c r="K36" s="42"/>
      <c r="L36" s="42"/>
      <c r="M36" s="42"/>
      <c r="N36" s="28"/>
    </row>
    <row r="37" spans="1:14" x14ac:dyDescent="0.2">
      <c r="A37" s="25"/>
      <c r="B37" s="13" t="s">
        <v>227</v>
      </c>
      <c r="C37" s="154">
        <f>IF($B37=" ","",IFERROR(INDEX(MMWR_RATING_RO_ROLLUP[],MATCH($B37,MMWR_RATING_RO_ROLLUP[MMWR_RATING_RO_ROLLUP],0),MATCH(C$9,MMWR_RATING_RO_ROLLUP[#Headers],0)),"ERROR"))</f>
        <v>638</v>
      </c>
      <c r="D37" s="155">
        <f>IF($B37=" ","",IFERROR(INDEX(MMWR_RATING_RO_ROLLUP[],MATCH($B37,MMWR_RATING_RO_ROLLUP[MMWR_RATING_RO_ROLLUP],0),MATCH(D$9,MMWR_RATING_RO_ROLLUP[#Headers],0)),"ERROR"))</f>
        <v>167.75548589339999</v>
      </c>
      <c r="E37" s="156">
        <f>IF($B37=" ","",IFERROR(INDEX(MMWR_RATING_RO_ROLLUP[],MATCH($B37,MMWR_RATING_RO_ROLLUP[MMWR_RATING_RO_ROLLUP],0),MATCH(E$9,MMWR_RATING_RO_ROLLUP[#Headers],0))/$C37,"ERROR"))</f>
        <v>0.46551724137931033</v>
      </c>
      <c r="F37" s="154">
        <f>IF($B37=" ","",IFERROR(INDEX(MMWR_RATING_RO_ROLLUP[],MATCH($B37,MMWR_RATING_RO_ROLLUP[MMWR_RATING_RO_ROLLUP],0),MATCH(F$9,MMWR_RATING_RO_ROLLUP[#Headers],0)),"ERROR"))</f>
        <v>349</v>
      </c>
      <c r="G37" s="154">
        <f>IF($B37=" ","",IFERROR(INDEX(MMWR_RATING_RO_ROLLUP[],MATCH($B37,MMWR_RATING_RO_ROLLUP[MMWR_RATING_RO_ROLLUP],0),MATCH(G$9,MMWR_RATING_RO_ROLLUP[#Headers],0)),"ERROR"))</f>
        <v>1221</v>
      </c>
      <c r="H37" s="155">
        <f>IF($B37=" ","",IFERROR(INDEX(MMWR_RATING_RO_ROLLUP[],MATCH($B37,MMWR_RATING_RO_ROLLUP[MMWR_RATING_RO_ROLLUP],0),MATCH(H$9,MMWR_RATING_RO_ROLLUP[#Headers],0)),"ERROR"))</f>
        <v>54.550143266500001</v>
      </c>
      <c r="I37" s="155">
        <f>IF($B37=" ","",IFERROR(INDEX(MMWR_RATING_RO_ROLLUP[],MATCH($B37,MMWR_RATING_RO_ROLLUP[MMWR_RATING_RO_ROLLUP],0),MATCH(I$9,MMWR_RATING_RO_ROLLUP[#Headers],0)),"ERROR"))</f>
        <v>51.891891891900002</v>
      </c>
      <c r="J37" s="42"/>
      <c r="K37" s="42"/>
      <c r="L37" s="42"/>
      <c r="M37" s="42"/>
      <c r="N37" s="28"/>
    </row>
    <row r="38" spans="1:14" x14ac:dyDescent="0.2">
      <c r="A38" s="25"/>
      <c r="B38" s="393" t="s">
        <v>916</v>
      </c>
      <c r="C38" s="394"/>
      <c r="D38" s="394"/>
      <c r="E38" s="394"/>
      <c r="F38" s="394"/>
      <c r="G38" s="394"/>
      <c r="H38" s="394"/>
      <c r="I38" s="394"/>
      <c r="J38" s="394"/>
      <c r="K38" s="394"/>
      <c r="L38" s="394"/>
      <c r="M38" s="403"/>
      <c r="N38" s="28"/>
    </row>
    <row r="39" spans="1:14" x14ac:dyDescent="0.2">
      <c r="A39" s="25"/>
      <c r="B39" s="44" t="s">
        <v>697</v>
      </c>
      <c r="C39" s="154">
        <f>IF($B39=" ","",IFERROR(INDEX(MMWR_RATING_RO_ROLLUP[],MATCH($B39,MMWR_RATING_RO_ROLLUP[MMWR_RATING_RO_ROLLUP],0),MATCH(C$9,MMWR_RATING_RO_ROLLUP[#Headers],0)),"ERROR"))</f>
        <v>10477</v>
      </c>
      <c r="D39" s="155">
        <f>IF($B39=" ","",IFERROR(INDEX(MMWR_RATING_RO_ROLLUP[],MATCH($B39,MMWR_RATING_RO_ROLLUP[MMWR_RATING_RO_ROLLUP],0),MATCH(D$9,MMWR_RATING_RO_ROLLUP[#Headers],0)),"ERROR"))</f>
        <v>86.1505201871</v>
      </c>
      <c r="E39" s="156">
        <f>IF($B39=" ","",IFERROR(INDEX(MMWR_RATING_RO_ROLLUP[],MATCH($B39,MMWR_RATING_RO_ROLLUP[MMWR_RATING_RO_ROLLUP],0),MATCH(E$9,MMWR_RATING_RO_ROLLUP[#Headers],0))/$C39,"ERROR"))</f>
        <v>0.17600458146415959</v>
      </c>
      <c r="F39" s="154">
        <f>IF($B39=" ","",IFERROR(INDEX(MMWR_RATING_RO_ROLLUP[],MATCH($B39,MMWR_RATING_RO_ROLLUP[MMWR_RATING_RO_ROLLUP],0),MATCH(F$9,MMWR_RATING_RO_ROLLUP[#Headers],0)),"ERROR"))</f>
        <v>1452</v>
      </c>
      <c r="G39" s="154">
        <f>IF($B39=" ","",IFERROR(INDEX(MMWR_RATING_RO_ROLLUP[],MATCH($B39,MMWR_RATING_RO_ROLLUP[MMWR_RATING_RO_ROLLUP],0),MATCH(G$9,MMWR_RATING_RO_ROLLUP[#Headers],0)),"ERROR"))</f>
        <v>4458</v>
      </c>
      <c r="H39" s="155">
        <f>IF($B39=" ","",IFERROR(INDEX(MMWR_RATING_RO_ROLLUP[],MATCH($B39,MMWR_RATING_RO_ROLLUP[MMWR_RATING_RO_ROLLUP],0),MATCH(H$9,MMWR_RATING_RO_ROLLUP[#Headers],0)),"ERROR"))</f>
        <v>145.5282369146</v>
      </c>
      <c r="I39" s="155">
        <f>IF($B39=" ","",IFERROR(INDEX(MMWR_RATING_RO_ROLLUP[],MATCH($B39,MMWR_RATING_RO_ROLLUP[MMWR_RATING_RO_ROLLUP],0),MATCH(I$9,MMWR_RATING_RO_ROLLUP[#Headers],0)),"ERROR"))</f>
        <v>138.9295648273</v>
      </c>
      <c r="J39" s="42"/>
      <c r="K39" s="42"/>
      <c r="L39" s="42"/>
      <c r="M39" s="42"/>
      <c r="N39" s="28"/>
    </row>
    <row r="40" spans="1:14" x14ac:dyDescent="0.2">
      <c r="A40" s="25"/>
      <c r="B40" s="53" t="s">
        <v>956</v>
      </c>
      <c r="C40" s="154">
        <f>IF($B40=" ","",IFERROR(INDEX(MMWR_RATING_RO_ROLLUP[],MATCH($B40,MMWR_RATING_RO_ROLLUP[MMWR_RATING_RO_ROLLUP],0),MATCH(C$9,MMWR_RATING_RO_ROLLUP[#Headers],0)),"ERROR"))</f>
        <v>1706</v>
      </c>
      <c r="D40" s="155">
        <f>IF($B40=" ","",IFERROR(INDEX(MMWR_RATING_RO_ROLLUP[],MATCH($B40,MMWR_RATING_RO_ROLLUP[MMWR_RATING_RO_ROLLUP],0),MATCH(D$9,MMWR_RATING_RO_ROLLUP[#Headers],0)),"ERROR"))</f>
        <v>84.494138335299994</v>
      </c>
      <c r="E40" s="156">
        <f>IF($B40=" ","",IFERROR(INDEX(MMWR_RATING_RO_ROLLUP[],MATCH($B40,MMWR_RATING_RO_ROLLUP[MMWR_RATING_RO_ROLLUP],0),MATCH(E$9,MMWR_RATING_RO_ROLLUP[#Headers],0))/$C40,"ERROR"))</f>
        <v>0.12075029308323564</v>
      </c>
      <c r="F40" s="154">
        <f>IF($B40=" ","",IFERROR(INDEX(MMWR_RATING_RO_ROLLUP[],MATCH($B40,MMWR_RATING_RO_ROLLUP[MMWR_RATING_RO_ROLLUP],0),MATCH(F$9,MMWR_RATING_RO_ROLLUP[#Headers],0)),"ERROR"))</f>
        <v>314</v>
      </c>
      <c r="G40" s="154">
        <f>IF($B40=" ","",IFERROR(INDEX(MMWR_RATING_RO_ROLLUP[],MATCH($B40,MMWR_RATING_RO_ROLLUP[MMWR_RATING_RO_ROLLUP],0),MATCH(G$9,MMWR_RATING_RO_ROLLUP[#Headers],0)),"ERROR"))</f>
        <v>1023</v>
      </c>
      <c r="H40" s="155">
        <f>IF($B40=" ","",IFERROR(INDEX(MMWR_RATING_RO_ROLLUP[],MATCH($B40,MMWR_RATING_RO_ROLLUP[MMWR_RATING_RO_ROLLUP],0),MATCH(H$9,MMWR_RATING_RO_ROLLUP[#Headers],0)),"ERROR"))</f>
        <v>132.03503184709999</v>
      </c>
      <c r="I40" s="155">
        <f>IF($B40=" ","",IFERROR(INDEX(MMWR_RATING_RO_ROLLUP[],MATCH($B40,MMWR_RATING_RO_ROLLUP[MMWR_RATING_RO_ROLLUP],0),MATCH(I$9,MMWR_RATING_RO_ROLLUP[#Headers],0)),"ERROR"))</f>
        <v>122.4467253177</v>
      </c>
      <c r="J40" s="42"/>
      <c r="K40" s="42"/>
      <c r="L40" s="42"/>
      <c r="M40" s="42"/>
      <c r="N40" s="28"/>
    </row>
    <row r="41" spans="1:14" x14ac:dyDescent="0.2">
      <c r="A41" s="25"/>
      <c r="B41" s="53" t="s">
        <v>957</v>
      </c>
      <c r="C41" s="154">
        <f>IF($B41=" ","",IFERROR(INDEX(MMWR_RATING_RO_ROLLUP[],MATCH($B41,MMWR_RATING_RO_ROLLUP[MMWR_RATING_RO_ROLLUP],0),MATCH(C$9,MMWR_RATING_RO_ROLLUP[#Headers],0)),"ERROR"))</f>
        <v>1774</v>
      </c>
      <c r="D41" s="155">
        <f>IF($B41=" ","",IFERROR(INDEX(MMWR_RATING_RO_ROLLUP[],MATCH($B41,MMWR_RATING_RO_ROLLUP[MMWR_RATING_RO_ROLLUP],0),MATCH(D$9,MMWR_RATING_RO_ROLLUP[#Headers],0)),"ERROR"))</f>
        <v>89.515783540000001</v>
      </c>
      <c r="E41" s="156">
        <f>IF($B41=" ","",IFERROR(INDEX(MMWR_RATING_RO_ROLLUP[],MATCH($B41,MMWR_RATING_RO_ROLLUP[MMWR_RATING_RO_ROLLUP],0),MATCH(E$9,MMWR_RATING_RO_ROLLUP[#Headers],0))/$C41,"ERROR"))</f>
        <v>0.22604284103720407</v>
      </c>
      <c r="F41" s="154">
        <f>IF($B41=" ","",IFERROR(INDEX(MMWR_RATING_RO_ROLLUP[],MATCH($B41,MMWR_RATING_RO_ROLLUP[MMWR_RATING_RO_ROLLUP],0),MATCH(F$9,MMWR_RATING_RO_ROLLUP[#Headers],0)),"ERROR"))</f>
        <v>247</v>
      </c>
      <c r="G41" s="154">
        <f>IF($B41=" ","",IFERROR(INDEX(MMWR_RATING_RO_ROLLUP[],MATCH($B41,MMWR_RATING_RO_ROLLUP[MMWR_RATING_RO_ROLLUP],0),MATCH(G$9,MMWR_RATING_RO_ROLLUP[#Headers],0)),"ERROR"))</f>
        <v>803</v>
      </c>
      <c r="H41" s="155">
        <f>IF($B41=" ","",IFERROR(INDEX(MMWR_RATING_RO_ROLLUP[],MATCH($B41,MMWR_RATING_RO_ROLLUP[MMWR_RATING_RO_ROLLUP],0),MATCH(H$9,MMWR_RATING_RO_ROLLUP[#Headers],0)),"ERROR"))</f>
        <v>154.93117408910001</v>
      </c>
      <c r="I41" s="155">
        <f>IF($B41=" ","",IFERROR(INDEX(MMWR_RATING_RO_ROLLUP[],MATCH($B41,MMWR_RATING_RO_ROLLUP[MMWR_RATING_RO_ROLLUP],0),MATCH(I$9,MMWR_RATING_RO_ROLLUP[#Headers],0)),"ERROR"))</f>
        <v>151.20298879200001</v>
      </c>
      <c r="J41" s="42"/>
      <c r="K41" s="42"/>
      <c r="L41" s="42"/>
      <c r="M41" s="42"/>
      <c r="N41" s="28"/>
    </row>
    <row r="42" spans="1:14" x14ac:dyDescent="0.2">
      <c r="A42" s="25"/>
      <c r="B42" s="46" t="s">
        <v>306</v>
      </c>
      <c r="C42" s="154">
        <f>IF($B42=" ","",IFERROR(INDEX(MMWR_RATING_RO_ROLLUP[],MATCH($B42,MMWR_RATING_RO_ROLLUP[MMWR_RATING_RO_ROLLUP],0),MATCH(C$9,MMWR_RATING_RO_ROLLUP[#Headers],0)),"ERROR"))</f>
        <v>6997</v>
      </c>
      <c r="D42" s="155">
        <f>IF($B42=" ","",IFERROR(INDEX(MMWR_RATING_RO_ROLLUP[],MATCH($B42,MMWR_RATING_RO_ROLLUP[MMWR_RATING_RO_ROLLUP],0),MATCH(D$9,MMWR_RATING_RO_ROLLUP[#Headers],0)),"ERROR"))</f>
        <v>85.701157639000002</v>
      </c>
      <c r="E42" s="156">
        <f>IF($B42=" ","",IFERROR(INDEX(MMWR_RATING_RO_ROLLUP[],MATCH($B42,MMWR_RATING_RO_ROLLUP[MMWR_RATING_RO_ROLLUP],0),MATCH(E$9,MMWR_RATING_RO_ROLLUP[#Headers],0))/$C42,"ERROR"))</f>
        <v>0.17679005287980562</v>
      </c>
      <c r="F42" s="154">
        <f>IF($B42=" ","",IFERROR(INDEX(MMWR_RATING_RO_ROLLUP[],MATCH($B42,MMWR_RATING_RO_ROLLUP[MMWR_RATING_RO_ROLLUP],0),MATCH(F$9,MMWR_RATING_RO_ROLLUP[#Headers],0)),"ERROR"))</f>
        <v>891</v>
      </c>
      <c r="G42" s="154">
        <f>IF($B42=" ","",IFERROR(INDEX(MMWR_RATING_RO_ROLLUP[],MATCH($B42,MMWR_RATING_RO_ROLLUP[MMWR_RATING_RO_ROLLUP],0),MATCH(G$9,MMWR_RATING_RO_ROLLUP[#Headers],0)),"ERROR"))</f>
        <v>2632</v>
      </c>
      <c r="H42" s="155">
        <f>IF($B42=" ","",IFERROR(INDEX(MMWR_RATING_RO_ROLLUP[],MATCH($B42,MMWR_RATING_RO_ROLLUP[MMWR_RATING_RO_ROLLUP],0),MATCH(H$9,MMWR_RATING_RO_ROLLUP[#Headers],0)),"ERROR"))</f>
        <v>147.67676767680001</v>
      </c>
      <c r="I42" s="155">
        <f>IF($B42=" ","",IFERROR(INDEX(MMWR_RATING_RO_ROLLUP[],MATCH($B42,MMWR_RATING_RO_ROLLUP[MMWR_RATING_RO_ROLLUP],0),MATCH(I$9,MMWR_RATING_RO_ROLLUP[#Headers],0)),"ERROR"))</f>
        <v>141.5915653495</v>
      </c>
      <c r="J42" s="42"/>
      <c r="K42" s="42"/>
      <c r="L42" s="42"/>
      <c r="M42" s="42"/>
      <c r="N42" s="28"/>
    </row>
    <row r="43" spans="1:14" x14ac:dyDescent="0.2">
      <c r="A43" s="25"/>
      <c r="B43" s="393" t="s">
        <v>734</v>
      </c>
      <c r="C43" s="394"/>
      <c r="D43" s="394"/>
      <c r="E43" s="394"/>
      <c r="F43" s="394"/>
      <c r="G43" s="394"/>
      <c r="H43" s="394"/>
      <c r="I43" s="394"/>
      <c r="J43" s="394"/>
      <c r="K43" s="394"/>
      <c r="L43" s="394"/>
      <c r="M43" s="403"/>
      <c r="N43" s="28"/>
    </row>
    <row r="44" spans="1:14" x14ac:dyDescent="0.2">
      <c r="A44" s="25"/>
      <c r="B44" s="44" t="s">
        <v>695</v>
      </c>
      <c r="C44" s="154">
        <f>IF($B44=" ","",IFERROR(INDEX(MMWR_RATING_RO_ROLLUP[],MATCH($B44,MMWR_RATING_RO_ROLLUP[MMWR_RATING_RO_ROLLUP],0),MATCH(C$9,MMWR_RATING_RO_ROLLUP[#Headers],0)),"ERROR"))</f>
        <v>11242</v>
      </c>
      <c r="D44" s="155">
        <f>IF($B44=" ","",IFERROR(INDEX(MMWR_RATING_RO_ROLLUP[],MATCH($B44,MMWR_RATING_RO_ROLLUP[MMWR_RATING_RO_ROLLUP],0),MATCH(D$9,MMWR_RATING_RO_ROLLUP[#Headers],0)),"ERROR"))</f>
        <v>86.894324853200004</v>
      </c>
      <c r="E44" s="156">
        <f>IF($B44=" ","",IFERROR(INDEX(MMWR_RATING_RO_ROLLUP[],MATCH($B44,MMWR_RATING_RO_ROLLUP[MMWR_RATING_RO_ROLLUP],0),MATCH(E$9,MMWR_RATING_RO_ROLLUP[#Headers],0))/$C44,"ERROR"))</f>
        <v>0.16509517879380894</v>
      </c>
      <c r="F44" s="154">
        <f>IF($B44=" ","",IFERROR(INDEX(MMWR_RATING_RO_ROLLUP[],MATCH($B44,MMWR_RATING_RO_ROLLUP[MMWR_RATING_RO_ROLLUP],0),MATCH(F$9,MMWR_RATING_RO_ROLLUP[#Headers],0)),"ERROR"))</f>
        <v>1815</v>
      </c>
      <c r="G44" s="154">
        <f>IF($B44=" ","",IFERROR(INDEX(MMWR_RATING_RO_ROLLUP[],MATCH($B44,MMWR_RATING_RO_ROLLUP[MMWR_RATING_RO_ROLLUP],0),MATCH(G$9,MMWR_RATING_RO_ROLLUP[#Headers],0)),"ERROR"))</f>
        <v>5396</v>
      </c>
      <c r="H44" s="155">
        <f>IF($B44=" ","",IFERROR(INDEX(MMWR_RATING_RO_ROLLUP[],MATCH($B44,MMWR_RATING_RO_ROLLUP[MMWR_RATING_RO_ROLLUP],0),MATCH(H$9,MMWR_RATING_RO_ROLLUP[#Headers],0)),"ERROR"))</f>
        <v>137.42203856750001</v>
      </c>
      <c r="I44" s="155">
        <f>IF($B44=" ","",IFERROR(INDEX(MMWR_RATING_RO_ROLLUP[],MATCH($B44,MMWR_RATING_RO_ROLLUP[MMWR_RATING_RO_ROLLUP],0),MATCH(I$9,MMWR_RATING_RO_ROLLUP[#Headers],0)),"ERROR"))</f>
        <v>132.08506300959999</v>
      </c>
      <c r="J44" s="42"/>
      <c r="K44" s="42"/>
      <c r="L44" s="42"/>
      <c r="M44" s="42"/>
      <c r="N44" s="28"/>
    </row>
    <row r="45" spans="1:14" x14ac:dyDescent="0.2">
      <c r="A45" s="25"/>
      <c r="B45" s="45" t="s">
        <v>214</v>
      </c>
      <c r="C45" s="154">
        <f>IF($B45=" ","",IFERROR(INDEX(MMWR_RATING_RO_ROLLUP[],MATCH($B45,MMWR_RATING_RO_ROLLUP[MMWR_RATING_RO_ROLLUP],0),MATCH(C$9,MMWR_RATING_RO_ROLLUP[#Headers],0)),"ERROR"))</f>
        <v>68</v>
      </c>
      <c r="D45" s="155">
        <f>IF($B45=" ","",IFERROR(INDEX(MMWR_RATING_RO_ROLLUP[],MATCH($B45,MMWR_RATING_RO_ROLLUP[MMWR_RATING_RO_ROLLUP],0),MATCH(D$9,MMWR_RATING_RO_ROLLUP[#Headers],0)),"ERROR"))</f>
        <v>94.735294117600006</v>
      </c>
      <c r="E45" s="156">
        <f>IF($B45=" ","",IFERROR(INDEX(MMWR_RATING_RO_ROLLUP[],MATCH($B45,MMWR_RATING_RO_ROLLUP[MMWR_RATING_RO_ROLLUP],0),MATCH(E$9,MMWR_RATING_RO_ROLLUP[#Headers],0))/$C45,"ERROR"))</f>
        <v>0.10294117647058823</v>
      </c>
      <c r="F45" s="154">
        <f>IF($B45=" ","",IFERROR(INDEX(MMWR_RATING_RO_ROLLUP[],MATCH($B45,MMWR_RATING_RO_ROLLUP[MMWR_RATING_RO_ROLLUP],0),MATCH(F$9,MMWR_RATING_RO_ROLLUP[#Headers],0)),"ERROR"))</f>
        <v>9</v>
      </c>
      <c r="G45" s="154">
        <f>IF($B45=" ","",IFERROR(INDEX(MMWR_RATING_RO_ROLLUP[],MATCH($B45,MMWR_RATING_RO_ROLLUP[MMWR_RATING_RO_ROLLUP],0),MATCH(G$9,MMWR_RATING_RO_ROLLUP[#Headers],0)),"ERROR"))</f>
        <v>38</v>
      </c>
      <c r="H45" s="155">
        <f>IF($B45=" ","",IFERROR(INDEX(MMWR_RATING_RO_ROLLUP[],MATCH($B45,MMWR_RATING_RO_ROLLUP[MMWR_RATING_RO_ROLLUP],0),MATCH(H$9,MMWR_RATING_RO_ROLLUP[#Headers],0)),"ERROR"))</f>
        <v>142</v>
      </c>
      <c r="I45" s="155">
        <f>IF($B45=" ","",IFERROR(INDEX(MMWR_RATING_RO_ROLLUP[],MATCH($B45,MMWR_RATING_RO_ROLLUP[MMWR_RATING_RO_ROLLUP],0),MATCH(I$9,MMWR_RATING_RO_ROLLUP[#Headers],0)),"ERROR"))</f>
        <v>149.86842105260001</v>
      </c>
      <c r="J45" s="42"/>
      <c r="K45" s="42"/>
      <c r="L45" s="42"/>
      <c r="M45" s="42"/>
      <c r="N45" s="28"/>
    </row>
    <row r="46" spans="1:14" x14ac:dyDescent="0.2">
      <c r="A46" s="25"/>
      <c r="B46" s="45" t="s">
        <v>216</v>
      </c>
      <c r="C46" s="154">
        <f>IF($B46=" ","",IFERROR(INDEX(MMWR_RATING_RO_ROLLUP[],MATCH($B46,MMWR_RATING_RO_ROLLUP[MMWR_RATING_RO_ROLLUP],0),MATCH(C$9,MMWR_RATING_RO_ROLLUP[#Headers],0)),"ERROR"))</f>
        <v>1797</v>
      </c>
      <c r="D46" s="155">
        <f>IF($B46=" ","",IFERROR(INDEX(MMWR_RATING_RO_ROLLUP[],MATCH($B46,MMWR_RATING_RO_ROLLUP[MMWR_RATING_RO_ROLLUP],0),MATCH(D$9,MMWR_RATING_RO_ROLLUP[#Headers],0)),"ERROR"))</f>
        <v>91.881469115200005</v>
      </c>
      <c r="E46" s="156">
        <f>IF($B46=" ","",IFERROR(INDEX(MMWR_RATING_RO_ROLLUP[],MATCH($B46,MMWR_RATING_RO_ROLLUP[MMWR_RATING_RO_ROLLUP],0),MATCH(E$9,MMWR_RATING_RO_ROLLUP[#Headers],0))/$C46,"ERROR"))</f>
        <v>0.21981079577072898</v>
      </c>
      <c r="F46" s="154">
        <f>IF($B46=" ","",IFERROR(INDEX(MMWR_RATING_RO_ROLLUP[],MATCH($B46,MMWR_RATING_RO_ROLLUP[MMWR_RATING_RO_ROLLUP],0),MATCH(F$9,MMWR_RATING_RO_ROLLUP[#Headers],0)),"ERROR"))</f>
        <v>365</v>
      </c>
      <c r="G46" s="154">
        <f>IF($B46=" ","",IFERROR(INDEX(MMWR_RATING_RO_ROLLUP[],MATCH($B46,MMWR_RATING_RO_ROLLUP[MMWR_RATING_RO_ROLLUP],0),MATCH(G$9,MMWR_RATING_RO_ROLLUP[#Headers],0)),"ERROR"))</f>
        <v>1056</v>
      </c>
      <c r="H46" s="155">
        <f>IF($B46=" ","",IFERROR(INDEX(MMWR_RATING_RO_ROLLUP[],MATCH($B46,MMWR_RATING_RO_ROLLUP[MMWR_RATING_RO_ROLLUP],0),MATCH(H$9,MMWR_RATING_RO_ROLLUP[#Headers],0)),"ERROR"))</f>
        <v>141.4547945205</v>
      </c>
      <c r="I46" s="155">
        <f>IF($B46=" ","",IFERROR(INDEX(MMWR_RATING_RO_ROLLUP[],MATCH($B46,MMWR_RATING_RO_ROLLUP[MMWR_RATING_RO_ROLLUP],0),MATCH(I$9,MMWR_RATING_RO_ROLLUP[#Headers],0)),"ERROR"))</f>
        <v>141.5681818182</v>
      </c>
      <c r="J46" s="42"/>
      <c r="K46" s="42"/>
      <c r="L46" s="42"/>
      <c r="M46" s="42"/>
      <c r="N46" s="28"/>
    </row>
    <row r="47" spans="1:14" x14ac:dyDescent="0.2">
      <c r="A47" s="25"/>
      <c r="B47" s="47" t="s">
        <v>307</v>
      </c>
      <c r="C47" s="154">
        <f>IF($B47=" ","",IFERROR(INDEX(MMWR_RATING_RO_ROLLUP[],MATCH($B47,MMWR_RATING_RO_ROLLUP[MMWR_RATING_RO_ROLLUP],0),MATCH(C$9,MMWR_RATING_RO_ROLLUP[#Headers],0)),"ERROR"))</f>
        <v>9377</v>
      </c>
      <c r="D47" s="155">
        <f>IF($B47=" ","",IFERROR(INDEX(MMWR_RATING_RO_ROLLUP[],MATCH($B47,MMWR_RATING_RO_ROLLUP[MMWR_RATING_RO_ROLLUP],0),MATCH(D$9,MMWR_RATING_RO_ROLLUP[#Headers],0)),"ERROR"))</f>
        <v>85.881731897199998</v>
      </c>
      <c r="E47" s="156">
        <f>IF($B47=" ","",IFERROR(INDEX(MMWR_RATING_RO_ROLLUP[],MATCH($B47,MMWR_RATING_RO_ROLLUP[MMWR_RATING_RO_ROLLUP],0),MATCH(E$9,MMWR_RATING_RO_ROLLUP[#Headers],0))/$C47,"ERROR"))</f>
        <v>0.15506025381252</v>
      </c>
      <c r="F47" s="154">
        <f>IF($B47=" ","",IFERROR(INDEX(MMWR_RATING_RO_ROLLUP[],MATCH($B47,MMWR_RATING_RO_ROLLUP[MMWR_RATING_RO_ROLLUP],0),MATCH(F$9,MMWR_RATING_RO_ROLLUP[#Headers],0)),"ERROR"))</f>
        <v>1441</v>
      </c>
      <c r="G47" s="154">
        <f>IF($B47=" ","",IFERROR(INDEX(MMWR_RATING_RO_ROLLUP[],MATCH($B47,MMWR_RATING_RO_ROLLUP[MMWR_RATING_RO_ROLLUP],0),MATCH(G$9,MMWR_RATING_RO_ROLLUP[#Headers],0)),"ERROR"))</f>
        <v>4302</v>
      </c>
      <c r="H47" s="155">
        <f>IF($B47=" ","",IFERROR(INDEX(MMWR_RATING_RO_ROLLUP[],MATCH($B47,MMWR_RATING_RO_ROLLUP[MMWR_RATING_RO_ROLLUP],0),MATCH(H$9,MMWR_RATING_RO_ROLLUP[#Headers],0)),"ERROR"))</f>
        <v>136.3719639139</v>
      </c>
      <c r="I47" s="155">
        <f>IF($B47=" ","",IFERROR(INDEX(MMWR_RATING_RO_ROLLUP[],MATCH($B47,MMWR_RATING_RO_ROLLUP[MMWR_RATING_RO_ROLLUP],0),MATCH(I$9,MMWR_RATING_RO_ROLLUP[#Headers],0)),"ERROR"))</f>
        <v>129.60018596</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2" priority="4">
      <formula>IF(OR(ISERROR(A1048576),A1="ERROR"),TRUE,FALSE)</formula>
    </cfRule>
  </conditionalFormatting>
  <conditionalFormatting sqref="B4">
    <cfRule type="expression" dxfId="431" priority="2">
      <formula>IF(OR(ISERROR(B4),B4="ERROR"),TRUE,FALSE)</formula>
    </cfRule>
  </conditionalFormatting>
  <conditionalFormatting sqref="C5:O5">
    <cfRule type="expression" dxfId="430"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65" t="s">
        <v>978</v>
      </c>
      <c r="D2" s="366"/>
      <c r="E2" s="366"/>
      <c r="F2" s="366"/>
      <c r="G2" s="366"/>
      <c r="H2" s="366"/>
      <c r="I2" s="366"/>
      <c r="J2" s="365" t="s">
        <v>299</v>
      </c>
      <c r="K2" s="366"/>
      <c r="L2" s="366"/>
      <c r="M2" s="367"/>
      <c r="N2" s="28"/>
    </row>
    <row r="3" spans="1:15" ht="24" customHeight="1" thickBot="1" x14ac:dyDescent="0.4">
      <c r="A3" s="25"/>
      <c r="B3" s="29"/>
      <c r="C3" s="368"/>
      <c r="D3" s="369"/>
      <c r="E3" s="369"/>
      <c r="F3" s="369"/>
      <c r="G3" s="369"/>
      <c r="H3" s="369"/>
      <c r="I3" s="369"/>
      <c r="J3" s="368" t="str">
        <f>Transformation!B4</f>
        <v>As of: December 26, 2015</v>
      </c>
      <c r="K3" s="369"/>
      <c r="L3" s="369"/>
      <c r="M3" s="370"/>
      <c r="N3" s="28"/>
    </row>
    <row r="4" spans="1:15" ht="51.75" customHeight="1" thickBot="1" x14ac:dyDescent="0.35">
      <c r="A4" s="30"/>
      <c r="B4" s="247" t="s">
        <v>455</v>
      </c>
      <c r="C4" s="371" t="s">
        <v>431</v>
      </c>
      <c r="D4" s="372"/>
      <c r="E4" s="372"/>
      <c r="F4" s="372"/>
      <c r="G4" s="372"/>
      <c r="H4" s="372"/>
      <c r="I4" s="372"/>
      <c r="J4" s="372"/>
      <c r="K4" s="372"/>
      <c r="L4" s="372"/>
      <c r="M4" s="373"/>
      <c r="N4" s="28"/>
    </row>
    <row r="5" spans="1:15" ht="27" customHeight="1" thickBot="1" x14ac:dyDescent="0.25">
      <c r="A5" s="30"/>
      <c r="B5" s="246" t="s">
        <v>369</v>
      </c>
      <c r="C5" s="374" t="s">
        <v>1042</v>
      </c>
      <c r="D5" s="375"/>
      <c r="E5" s="375"/>
      <c r="F5" s="375"/>
      <c r="G5" s="375"/>
      <c r="H5" s="375"/>
      <c r="I5" s="375"/>
      <c r="J5" s="375"/>
      <c r="K5" s="375"/>
      <c r="L5" s="375"/>
      <c r="M5" s="375"/>
      <c r="N5" s="375"/>
      <c r="O5" s="376"/>
    </row>
    <row r="6" spans="1:15" ht="55.5" customHeight="1" x14ac:dyDescent="0.2">
      <c r="A6" s="30"/>
      <c r="B6" s="31"/>
      <c r="C6" s="32" t="s">
        <v>193</v>
      </c>
      <c r="D6" s="377" t="s">
        <v>16</v>
      </c>
      <c r="E6" s="378"/>
      <c r="F6" s="33" t="s">
        <v>196</v>
      </c>
      <c r="G6" s="377" t="s">
        <v>201</v>
      </c>
      <c r="H6" s="379"/>
      <c r="I6" s="33" t="s">
        <v>199</v>
      </c>
      <c r="J6" s="49" t="s">
        <v>14</v>
      </c>
      <c r="K6" s="33" t="s">
        <v>204</v>
      </c>
      <c r="L6" s="383" t="s">
        <v>88</v>
      </c>
      <c r="M6" s="411"/>
      <c r="N6" s="28"/>
    </row>
    <row r="7" spans="1:15" ht="51.75" customHeight="1" x14ac:dyDescent="0.2">
      <c r="A7" s="30"/>
      <c r="B7" s="34"/>
      <c r="C7" s="35" t="s">
        <v>194</v>
      </c>
      <c r="D7" s="395" t="s">
        <v>0</v>
      </c>
      <c r="E7" s="396"/>
      <c r="F7" s="36" t="s">
        <v>197</v>
      </c>
      <c r="G7" s="397" t="s">
        <v>202</v>
      </c>
      <c r="H7" s="397"/>
      <c r="I7" s="36" t="s">
        <v>200</v>
      </c>
      <c r="J7" s="50" t="s">
        <v>19</v>
      </c>
      <c r="K7" s="36" t="s">
        <v>205</v>
      </c>
      <c r="L7" s="407" t="s">
        <v>90</v>
      </c>
      <c r="M7" s="408"/>
      <c r="N7" s="28"/>
    </row>
    <row r="8" spans="1:15" ht="51.75" customHeight="1" thickBot="1" x14ac:dyDescent="0.25">
      <c r="A8" s="25"/>
      <c r="B8" s="28"/>
      <c r="C8" s="37" t="s">
        <v>195</v>
      </c>
      <c r="D8" s="398" t="s">
        <v>18</v>
      </c>
      <c r="E8" s="399"/>
      <c r="F8" s="38" t="s">
        <v>198</v>
      </c>
      <c r="G8" s="400" t="s">
        <v>17</v>
      </c>
      <c r="H8" s="400"/>
      <c r="I8" s="38" t="s">
        <v>203</v>
      </c>
      <c r="J8" s="51" t="s">
        <v>87</v>
      </c>
      <c r="K8" s="38" t="s">
        <v>206</v>
      </c>
      <c r="L8" s="409" t="s">
        <v>89</v>
      </c>
      <c r="M8" s="410"/>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401" t="s">
        <v>292</v>
      </c>
      <c r="D10" s="401"/>
      <c r="E10" s="401"/>
      <c r="F10" s="401"/>
      <c r="G10" s="401"/>
      <c r="H10" s="401"/>
      <c r="I10" s="401"/>
      <c r="J10" s="401"/>
      <c r="K10" s="401"/>
      <c r="L10" s="401"/>
      <c r="M10" s="402"/>
      <c r="N10" s="28"/>
    </row>
    <row r="11" spans="1:15" ht="63.75" customHeight="1" x14ac:dyDescent="0.2">
      <c r="A11" s="25"/>
      <c r="B11" s="26"/>
      <c r="C11" s="52" t="s">
        <v>229</v>
      </c>
      <c r="D11" s="52" t="s">
        <v>137</v>
      </c>
      <c r="E11" s="52" t="s">
        <v>230</v>
      </c>
      <c r="F11" s="52" t="s">
        <v>192</v>
      </c>
      <c r="G11" s="52" t="s">
        <v>207</v>
      </c>
      <c r="H11" s="52" t="s">
        <v>209</v>
      </c>
      <c r="I11" s="52" t="s">
        <v>210</v>
      </c>
      <c r="J11" s="404" t="s">
        <v>972</v>
      </c>
      <c r="K11" s="405"/>
      <c r="L11" s="405"/>
      <c r="M11" s="406"/>
      <c r="N11" s="28"/>
    </row>
    <row r="12" spans="1:15" x14ac:dyDescent="0.2">
      <c r="A12" s="25"/>
      <c r="B12" s="41" t="s">
        <v>729</v>
      </c>
      <c r="C12" s="154">
        <f>IF($B12=" ","",IFERROR(INDEX(MMWR_RATING_STATE_ROLLUP_VSC[],MATCH($B12,MMWR_RATING_STATE_ROLLUP_VSC[MMWR_RATING_STATE_ROLLUP_VSC],0),MATCH(C$9,MMWR_RATING_STATE_ROLLUP_VSC[#Headers],0)),"ERROR"))</f>
        <v>361973</v>
      </c>
      <c r="D12" s="155">
        <f>IF($B12=" ","",IFERROR(INDEX(MMWR_RATING_STATE_ROLLUP_VSC[],MATCH($B12,MMWR_RATING_STATE_ROLLUP_VSC[MMWR_RATING_STATE_ROLLUP_VSC],0),MATCH(D$9,MMWR_RATING_STATE_ROLLUP_VSC[#Headers],0)),"ERROR"))</f>
        <v>92.097628828699996</v>
      </c>
      <c r="E12" s="158">
        <f>IF($B12=" ","",IFERROR(INDEX(MMWR_RATING_STATE_ROLLUP_VSC[],MATCH($B12,MMWR_RATING_STATE_ROLLUP_VSC[MMWR_RATING_STATE_ROLLUP_VSC],0),MATCH(E$9,MMWR_RATING_STATE_ROLLUP_VSC[#Headers],0))/$C12,"ERROR"))</f>
        <v>0.20539653510068431</v>
      </c>
      <c r="F12" s="154">
        <f>IF($B12=" ","",IFERROR(INDEX(MMWR_RATING_STATE_ROLLUP_VSC[],MATCH($B12,MMWR_RATING_STATE_ROLLUP_VSC[MMWR_RATING_STATE_ROLLUP_VSC],0),MATCH(F$9,MMWR_RATING_STATE_ROLLUP_VSC[#Headers],0)),"ERROR"))</f>
        <v>86880</v>
      </c>
      <c r="G12" s="154">
        <f>IF($B12=" ","",IFERROR(INDEX(MMWR_RATING_STATE_ROLLUP_VSC[],MATCH($B12,MMWR_RATING_STATE_ROLLUP_VSC[MMWR_RATING_STATE_ROLLUP_VSC],0),MATCH(G$9,MMWR_RATING_STATE_ROLLUP_VSC[#Headers],0)),"ERROR"))</f>
        <v>290519</v>
      </c>
      <c r="H12" s="155">
        <f>IF($B12=" ","",IFERROR(INDEX(MMWR_RATING_STATE_ROLLUP_VSC[],MATCH($B12,MMWR_RATING_STATE_ROLLUP_VSC[MMWR_RATING_STATE_ROLLUP_VSC],0),MATCH(H$9,MMWR_RATING_STATE_ROLLUP_VSC[#Headers],0)),"ERROR"))</f>
        <v>128.4278314917</v>
      </c>
      <c r="I12" s="155">
        <f>IF($B12=" ","",IFERROR(INDEX(MMWR_RATING_STATE_ROLLUP_VSC[],MATCH($B12,MMWR_RATING_STATE_ROLLUP_VSC[MMWR_RATING_STATE_ROLLUP_VSC],0),MATCH(I$9,MMWR_RATING_STATE_ROLLUP_VSC[#Headers],0)),"ERROR"))</f>
        <v>128.25655464869999</v>
      </c>
      <c r="J12" s="42"/>
      <c r="K12" s="42"/>
      <c r="L12" s="42"/>
      <c r="M12" s="42"/>
      <c r="N12" s="28"/>
    </row>
    <row r="13" spans="1:15" x14ac:dyDescent="0.2">
      <c r="A13" s="25"/>
      <c r="B13" s="393" t="s">
        <v>958</v>
      </c>
      <c r="C13" s="394"/>
      <c r="D13" s="394"/>
      <c r="E13" s="394"/>
      <c r="F13" s="394"/>
      <c r="G13" s="394"/>
      <c r="H13" s="394"/>
      <c r="I13" s="394"/>
      <c r="J13" s="394"/>
      <c r="K13" s="394"/>
      <c r="L13" s="394"/>
      <c r="M13" s="403"/>
      <c r="N13" s="28"/>
    </row>
    <row r="14" spans="1:15" x14ac:dyDescent="0.2">
      <c r="A14" s="25"/>
      <c r="B14" s="41" t="s">
        <v>1036</v>
      </c>
      <c r="C14" s="154">
        <f>IF($B14=" ","",IFERROR(INDEX(MMWR_RATING_STATE_ROLLUP_VSC[],MATCH($B14,MMWR_RATING_STATE_ROLLUP_VSC[MMWR_RATING_STATE_ROLLUP_VSC],0),MATCH(C$9,MMWR_RATING_STATE_ROLLUP_VSC[#Headers],0)),"ERROR"))</f>
        <v>313845</v>
      </c>
      <c r="D14" s="155">
        <f>IF($B14=" ","",IFERROR(INDEX(MMWR_RATING_STATE_ROLLUP_VSC[],MATCH($B14,MMWR_RATING_STATE_ROLLUP_VSC[MMWR_RATING_STATE_ROLLUP_VSC],0),MATCH(D$9,MMWR_RATING_STATE_ROLLUP_VSC[#Headers],0)),"ERROR"))</f>
        <v>94.626462107099997</v>
      </c>
      <c r="E14" s="156">
        <f>IF($B14=" ","",IFERROR(INDEX(MMWR_RATING_STATE_ROLLUP_VSC[],MATCH($B14,MMWR_RATING_STATE_ROLLUP_VSC[MMWR_RATING_STATE_ROLLUP_VSC],0),MATCH(E$9,MMWR_RATING_STATE_ROLLUP_VSC[#Headers],0))/$C14,"ERROR"))</f>
        <v>0.21730153419681689</v>
      </c>
      <c r="F14" s="154">
        <f>IF($B14=" ","",IFERROR(INDEX(MMWR_RATING_STATE_ROLLUP_VSC[],MATCH($B14,MMWR_RATING_STATE_ROLLUP_VSC[MMWR_RATING_STATE_ROLLUP_VSC],0),MATCH(F$9,MMWR_RATING_STATE_ROLLUP_VSC[#Headers],0)),"ERROR"))</f>
        <v>73259</v>
      </c>
      <c r="G14" s="154">
        <f>IF($B14=" ","",IFERROR(INDEX(MMWR_RATING_STATE_ROLLUP_VSC[],MATCH($B14,MMWR_RATING_STATE_ROLLUP_VSC[MMWR_RATING_STATE_ROLLUP_VSC],0),MATCH(G$9,MMWR_RATING_STATE_ROLLUP_VSC[#Headers],0)),"ERROR"))</f>
        <v>246759</v>
      </c>
      <c r="H14" s="155">
        <f>IF($B14=" ","",IFERROR(INDEX(MMWR_RATING_STATE_ROLLUP_VSC[],MATCH($B14,MMWR_RATING_STATE_ROLLUP_VSC[MMWR_RATING_STATE_ROLLUP_VSC],0),MATCH(H$9,MMWR_RATING_STATE_ROLLUP_VSC[#Headers],0)),"ERROR"))</f>
        <v>135.3829427101</v>
      </c>
      <c r="I14" s="155">
        <f>IF($B14=" ","",IFERROR(INDEX(MMWR_RATING_STATE_ROLLUP_VSC[],MATCH($B14,MMWR_RATING_STATE_ROLLUP_VSC[MMWR_RATING_STATE_ROLLUP_VSC],0),MATCH(I$9,MMWR_RATING_STATE_ROLLUP_VSC[#Headers],0)),"ERROR"))</f>
        <v>135.81233916490001</v>
      </c>
      <c r="J14" s="42"/>
      <c r="K14" s="42"/>
      <c r="L14" s="42"/>
      <c r="M14" s="42"/>
      <c r="N14" s="28"/>
    </row>
    <row r="15" spans="1:15" x14ac:dyDescent="0.2">
      <c r="A15" s="25"/>
      <c r="B15" s="249" t="str">
        <f>INDEX(DISTRICT_STATES[],MATCH($B$5,DISTRICT_RO[District],0),1)</f>
        <v>North Atlantic</v>
      </c>
      <c r="C15" s="154">
        <f>IF($B15=" ","",IFERROR(INDEX(MMWR_RATING_STATE_ROLLUP_VSC[],MATCH($B15,MMWR_RATING_STATE_ROLLUP_VSC[MMWR_RATING_STATE_ROLLUP_VSC],0),MATCH(C$9,MMWR_RATING_STATE_ROLLUP_VSC[#Headers],0)),"ERROR"))</f>
        <v>67507</v>
      </c>
      <c r="D15" s="155">
        <f>IF($B15=" ","",IFERROR(INDEX(MMWR_RATING_STATE_ROLLUP_VSC[],MATCH($B15,MMWR_RATING_STATE_ROLLUP_VSC[MMWR_RATING_STATE_ROLLUP_VSC],0),MATCH(D$9,MMWR_RATING_STATE_ROLLUP_VSC[#Headers],0)),"ERROR"))</f>
        <v>96.503947738799994</v>
      </c>
      <c r="E15" s="156">
        <f>IF($B15=" ","",IFERROR(INDEX(MMWR_RATING_STATE_ROLLUP_VSC[],MATCH($B15,MMWR_RATING_STATE_ROLLUP_VSC[MMWR_RATING_STATE_ROLLUP_VSC],0),MATCH(E$9,MMWR_RATING_STATE_ROLLUP_VSC[#Headers],0))/$C15,"ERROR"))</f>
        <v>0.22359162753492232</v>
      </c>
      <c r="F15" s="154">
        <f>IF($B15=" ","",IFERROR(INDEX(MMWR_RATING_STATE_ROLLUP_VSC[],MATCH($B15,MMWR_RATING_STATE_ROLLUP_VSC[MMWR_RATING_STATE_ROLLUP_VSC],0),MATCH(F$9,MMWR_RATING_STATE_ROLLUP_VSC[#Headers],0)),"ERROR"))</f>
        <v>15113</v>
      </c>
      <c r="G15" s="154">
        <f>IF($B15=" ","",IFERROR(INDEX(MMWR_RATING_STATE_ROLLUP_VSC[],MATCH($B15,MMWR_RATING_STATE_ROLLUP_VSC[MMWR_RATING_STATE_ROLLUP_VSC],0),MATCH(G$9,MMWR_RATING_STATE_ROLLUP_VSC[#Headers],0)),"ERROR"))</f>
        <v>51718</v>
      </c>
      <c r="H15" s="155">
        <f>IF($B15=" ","",IFERROR(INDEX(MMWR_RATING_STATE_ROLLUP_VSC[],MATCH($B15,MMWR_RATING_STATE_ROLLUP_VSC[MMWR_RATING_STATE_ROLLUP_VSC],0),MATCH(H$9,MMWR_RATING_STATE_ROLLUP_VSC[#Headers],0)),"ERROR"))</f>
        <v>137.95553496989999</v>
      </c>
      <c r="I15" s="155">
        <f>IF($B15=" ","",IFERROR(INDEX(MMWR_RATING_STATE_ROLLUP_VSC[],MATCH($B15,MMWR_RATING_STATE_ROLLUP_VSC[MMWR_RATING_STATE_ROLLUP_VSC],0),MATCH(I$9,MMWR_RATING_STATE_ROLLUP_VSC[#Headers],0)),"ERROR"))</f>
        <v>138.050137283</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1976</v>
      </c>
      <c r="D16" s="155">
        <f>IF($B16=" ","",IFERROR(INDEX(MMWR_RATING_STATE_ROLLUP_VSC[],MATCH($B16,MMWR_RATING_STATE_ROLLUP_VSC[MMWR_RATING_STATE_ROLLUP_VSC],0),MATCH(D$9,MMWR_RATING_STATE_ROLLUP_VSC[#Headers],0)),"ERROR"))</f>
        <v>85.515182186199993</v>
      </c>
      <c r="E16" s="156">
        <f>IF($B16=" ","",IFERROR(INDEX(MMWR_RATING_STATE_ROLLUP_VSC[],MATCH($B16,MMWR_RATING_STATE_ROLLUP_VSC[MMWR_RATING_STATE_ROLLUP_VSC],0),MATCH(E$9,MMWR_RATING_STATE_ROLLUP_VSC[#Headers],0))/$C16,"ERROR"))</f>
        <v>0.16953441295546559</v>
      </c>
      <c r="F16" s="154">
        <f>IF($B16=" ","",IFERROR(INDEX(MMWR_RATING_STATE_ROLLUP_VSC[],MATCH($B16,MMWR_RATING_STATE_ROLLUP_VSC[MMWR_RATING_STATE_ROLLUP_VSC],0),MATCH(F$9,MMWR_RATING_STATE_ROLLUP_VSC[#Headers],0)),"ERROR"))</f>
        <v>316</v>
      </c>
      <c r="G16" s="154">
        <f>IF($B16=" ","",IFERROR(INDEX(MMWR_RATING_STATE_ROLLUP_VSC[],MATCH($B16,MMWR_RATING_STATE_ROLLUP_VSC[MMWR_RATING_STATE_ROLLUP_VSC],0),MATCH(G$9,MMWR_RATING_STATE_ROLLUP_VSC[#Headers],0)),"ERROR"))</f>
        <v>1445</v>
      </c>
      <c r="H16" s="155">
        <f>IF($B16=" ","",IFERROR(INDEX(MMWR_RATING_STATE_ROLLUP_VSC[],MATCH($B16,MMWR_RATING_STATE_ROLLUP_VSC[MMWR_RATING_STATE_ROLLUP_VSC],0),MATCH(H$9,MMWR_RATING_STATE_ROLLUP_VSC[#Headers],0)),"ERROR"))</f>
        <v>122.45569620249999</v>
      </c>
      <c r="I16" s="155">
        <f>IF($B16=" ","",IFERROR(INDEX(MMWR_RATING_STATE_ROLLUP_VSC[],MATCH($B16,MMWR_RATING_STATE_ROLLUP_VSC[MMWR_RATING_STATE_ROLLUP_VSC],0),MATCH(I$9,MMWR_RATING_STATE_ROLLUP_VSC[#Headers],0)),"ERROR"))</f>
        <v>112.0643598616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807</v>
      </c>
      <c r="D17" s="155">
        <f>IF($B17=" ","",IFERROR(INDEX(MMWR_RATING_STATE_ROLLUP_VSC[],MATCH($B17,MMWR_RATING_STATE_ROLLUP_VSC[MMWR_RATING_STATE_ROLLUP_VSC],0),MATCH(D$9,MMWR_RATING_STATE_ROLLUP_VSC[#Headers],0)),"ERROR"))</f>
        <v>112.063197026</v>
      </c>
      <c r="E17" s="156">
        <f>IF($B17=" ","",IFERROR(INDEX(MMWR_RATING_STATE_ROLLUP_VSC[],MATCH($B17,MMWR_RATING_STATE_ROLLUP_VSC[MMWR_RATING_STATE_ROLLUP_VSC],0),MATCH(E$9,MMWR_RATING_STATE_ROLLUP_VSC[#Headers],0))/$C17,"ERROR"))</f>
        <v>0.31102850061957871</v>
      </c>
      <c r="F17" s="154">
        <f>IF($B17=" ","",IFERROR(INDEX(MMWR_RATING_STATE_ROLLUP_VSC[],MATCH($B17,MMWR_RATING_STATE_ROLLUP_VSC[MMWR_RATING_STATE_ROLLUP_VSC],0),MATCH(F$9,MMWR_RATING_STATE_ROLLUP_VSC[#Headers],0)),"ERROR"))</f>
        <v>203</v>
      </c>
      <c r="G17" s="154">
        <f>IF($B17=" ","",IFERROR(INDEX(MMWR_RATING_STATE_ROLLUP_VSC[],MATCH($B17,MMWR_RATING_STATE_ROLLUP_VSC[MMWR_RATING_STATE_ROLLUP_VSC],0),MATCH(G$9,MMWR_RATING_STATE_ROLLUP_VSC[#Headers],0)),"ERROR"))</f>
        <v>698</v>
      </c>
      <c r="H17" s="155">
        <f>IF($B17=" ","",IFERROR(INDEX(MMWR_RATING_STATE_ROLLUP_VSC[],MATCH($B17,MMWR_RATING_STATE_ROLLUP_VSC[MMWR_RATING_STATE_ROLLUP_VSC],0),MATCH(H$9,MMWR_RATING_STATE_ROLLUP_VSC[#Headers],0)),"ERROR"))</f>
        <v>143.6157635468</v>
      </c>
      <c r="I17" s="155">
        <f>IF($B17=" ","",IFERROR(INDEX(MMWR_RATING_STATE_ROLLUP_VSC[],MATCH($B17,MMWR_RATING_STATE_ROLLUP_VSC[MMWR_RATING_STATE_ROLLUP_VSC],0),MATCH(I$9,MMWR_RATING_STATE_ROLLUP_VSC[#Headers],0)),"ERROR"))</f>
        <v>141.600286533</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375</v>
      </c>
      <c r="D18" s="155">
        <f>IF($B18=" ","",IFERROR(INDEX(MMWR_RATING_STATE_ROLLUP_VSC[],MATCH($B18,MMWR_RATING_STATE_ROLLUP_VSC[MMWR_RATING_STATE_ROLLUP_VSC],0),MATCH(D$9,MMWR_RATING_STATE_ROLLUP_VSC[#Headers],0)),"ERROR"))</f>
        <v>105.8346666667</v>
      </c>
      <c r="E18" s="156">
        <f>IF($B18=" ","",IFERROR(INDEX(MMWR_RATING_STATE_ROLLUP_VSC[],MATCH($B18,MMWR_RATING_STATE_ROLLUP_VSC[MMWR_RATING_STATE_ROLLUP_VSC],0),MATCH(E$9,MMWR_RATING_STATE_ROLLUP_VSC[#Headers],0))/$C18,"ERROR"))</f>
        <v>0.22933333333333333</v>
      </c>
      <c r="F18" s="154">
        <f>IF($B18=" ","",IFERROR(INDEX(MMWR_RATING_STATE_ROLLUP_VSC[],MATCH($B18,MMWR_RATING_STATE_ROLLUP_VSC[MMWR_RATING_STATE_ROLLUP_VSC],0),MATCH(F$9,MMWR_RATING_STATE_ROLLUP_VSC[#Headers],0)),"ERROR"))</f>
        <v>81</v>
      </c>
      <c r="G18" s="154">
        <f>IF($B18=" ","",IFERROR(INDEX(MMWR_RATING_STATE_ROLLUP_VSC[],MATCH($B18,MMWR_RATING_STATE_ROLLUP_VSC[MMWR_RATING_STATE_ROLLUP_VSC],0),MATCH(G$9,MMWR_RATING_STATE_ROLLUP_VSC[#Headers],0)),"ERROR"))</f>
        <v>307</v>
      </c>
      <c r="H18" s="155">
        <f>IF($B18=" ","",IFERROR(INDEX(MMWR_RATING_STATE_ROLLUP_VSC[],MATCH($B18,MMWR_RATING_STATE_ROLLUP_VSC[MMWR_RATING_STATE_ROLLUP_VSC],0),MATCH(H$9,MMWR_RATING_STATE_ROLLUP_VSC[#Headers],0)),"ERROR"))</f>
        <v>150.02469135800001</v>
      </c>
      <c r="I18" s="155">
        <f>IF($B18=" ","",IFERROR(INDEX(MMWR_RATING_STATE_ROLLUP_VSC[],MATCH($B18,MMWR_RATING_STATE_ROLLUP_VSC[MMWR_RATING_STATE_ROLLUP_VSC],0),MATCH(I$9,MMWR_RATING_STATE_ROLLUP_VSC[#Headers],0)),"ERROR"))</f>
        <v>151.4462540717</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1297</v>
      </c>
      <c r="D19" s="155">
        <f>IF($B19=" ","",IFERROR(INDEX(MMWR_RATING_STATE_ROLLUP_VSC[],MATCH($B19,MMWR_RATING_STATE_ROLLUP_VSC[MMWR_RATING_STATE_ROLLUP_VSC],0),MATCH(D$9,MMWR_RATING_STATE_ROLLUP_VSC[#Headers],0)),"ERROR"))</f>
        <v>75.007710100200001</v>
      </c>
      <c r="E19" s="156">
        <f>IF($B19=" ","",IFERROR(INDEX(MMWR_RATING_STATE_ROLLUP_VSC[],MATCH($B19,MMWR_RATING_STATE_ROLLUP_VSC[MMWR_RATING_STATE_ROLLUP_VSC],0),MATCH(E$9,MMWR_RATING_STATE_ROLLUP_VSC[#Headers],0))/$C19,"ERROR"))</f>
        <v>0.13184271395528141</v>
      </c>
      <c r="F19" s="154">
        <f>IF($B19=" ","",IFERROR(INDEX(MMWR_RATING_STATE_ROLLUP_VSC[],MATCH($B19,MMWR_RATING_STATE_ROLLUP_VSC[MMWR_RATING_STATE_ROLLUP_VSC],0),MATCH(F$9,MMWR_RATING_STATE_ROLLUP_VSC[#Headers],0)),"ERROR"))</f>
        <v>319</v>
      </c>
      <c r="G19" s="154">
        <f>IF($B19=" ","",IFERROR(INDEX(MMWR_RATING_STATE_ROLLUP_VSC[],MATCH($B19,MMWR_RATING_STATE_ROLLUP_VSC[MMWR_RATING_STATE_ROLLUP_VSC],0),MATCH(G$9,MMWR_RATING_STATE_ROLLUP_VSC[#Headers],0)),"ERROR"))</f>
        <v>1184</v>
      </c>
      <c r="H19" s="155">
        <f>IF($B19=" ","",IFERROR(INDEX(MMWR_RATING_STATE_ROLLUP_VSC[],MATCH($B19,MMWR_RATING_STATE_ROLLUP_VSC[MMWR_RATING_STATE_ROLLUP_VSC],0),MATCH(H$9,MMWR_RATING_STATE_ROLLUP_VSC[#Headers],0)),"ERROR"))</f>
        <v>104.3040752351</v>
      </c>
      <c r="I19" s="155">
        <f>IF($B19=" ","",IFERROR(INDEX(MMWR_RATING_STATE_ROLLUP_VSC[],MATCH($B19,MMWR_RATING_STATE_ROLLUP_VSC[MMWR_RATING_STATE_ROLLUP_VSC],0),MATCH(I$9,MMWR_RATING_STATE_ROLLUP_VSC[#Headers],0)),"ERROR"))</f>
        <v>105.06756756759999</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5128</v>
      </c>
      <c r="D20" s="155">
        <f>IF($B20=" ","",IFERROR(INDEX(MMWR_RATING_STATE_ROLLUP_VSC[],MATCH($B20,MMWR_RATING_STATE_ROLLUP_VSC[MMWR_RATING_STATE_ROLLUP_VSC],0),MATCH(D$9,MMWR_RATING_STATE_ROLLUP_VSC[#Headers],0)),"ERROR"))</f>
        <v>94.050897035899993</v>
      </c>
      <c r="E20" s="156">
        <f>IF($B20=" ","",IFERROR(INDEX(MMWR_RATING_STATE_ROLLUP_VSC[],MATCH($B20,MMWR_RATING_STATE_ROLLUP_VSC[MMWR_RATING_STATE_ROLLUP_VSC],0),MATCH(E$9,MMWR_RATING_STATE_ROLLUP_VSC[#Headers],0))/$C20,"ERROR"))</f>
        <v>0.19422776911076442</v>
      </c>
      <c r="F20" s="154">
        <f>IF($B20=" ","",IFERROR(INDEX(MMWR_RATING_STATE_ROLLUP_VSC[],MATCH($B20,MMWR_RATING_STATE_ROLLUP_VSC[MMWR_RATING_STATE_ROLLUP_VSC],0),MATCH(F$9,MMWR_RATING_STATE_ROLLUP_VSC[#Headers],0)),"ERROR"))</f>
        <v>1237</v>
      </c>
      <c r="G20" s="154">
        <f>IF($B20=" ","",IFERROR(INDEX(MMWR_RATING_STATE_ROLLUP_VSC[],MATCH($B20,MMWR_RATING_STATE_ROLLUP_VSC[MMWR_RATING_STATE_ROLLUP_VSC],0),MATCH(G$9,MMWR_RATING_STATE_ROLLUP_VSC[#Headers],0)),"ERROR"))</f>
        <v>4281</v>
      </c>
      <c r="H20" s="155">
        <f>IF($B20=" ","",IFERROR(INDEX(MMWR_RATING_STATE_ROLLUP_VSC[],MATCH($B20,MMWR_RATING_STATE_ROLLUP_VSC[MMWR_RATING_STATE_ROLLUP_VSC],0),MATCH(H$9,MMWR_RATING_STATE_ROLLUP_VSC[#Headers],0)),"ERROR"))</f>
        <v>135.9304769604</v>
      </c>
      <c r="I20" s="155">
        <f>IF($B20=" ","",IFERROR(INDEX(MMWR_RATING_STATE_ROLLUP_VSC[],MATCH($B20,MMWR_RATING_STATE_ROLLUP_VSC[MMWR_RATING_STATE_ROLLUP_VSC],0),MATCH(I$9,MMWR_RATING_STATE_ROLLUP_VSC[#Headers],0)),"ERROR"))</f>
        <v>137.1217005373</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4272</v>
      </c>
      <c r="D21" s="155">
        <f>IF($B21=" ","",IFERROR(INDEX(MMWR_RATING_STATE_ROLLUP_VSC[],MATCH($B21,MMWR_RATING_STATE_ROLLUP_VSC[MMWR_RATING_STATE_ROLLUP_VSC],0),MATCH(D$9,MMWR_RATING_STATE_ROLLUP_VSC[#Headers],0)),"ERROR"))</f>
        <v>98.641619850200001</v>
      </c>
      <c r="E21" s="156">
        <f>IF($B21=" ","",IFERROR(INDEX(MMWR_RATING_STATE_ROLLUP_VSC[],MATCH($B21,MMWR_RATING_STATE_ROLLUP_VSC[MMWR_RATING_STATE_ROLLUP_VSC],0),MATCH(E$9,MMWR_RATING_STATE_ROLLUP_VSC[#Headers],0))/$C21,"ERROR"))</f>
        <v>0.25491573033707865</v>
      </c>
      <c r="F21" s="154">
        <f>IF($B21=" ","",IFERROR(INDEX(MMWR_RATING_STATE_ROLLUP_VSC[],MATCH($B21,MMWR_RATING_STATE_ROLLUP_VSC[MMWR_RATING_STATE_ROLLUP_VSC],0),MATCH(F$9,MMWR_RATING_STATE_ROLLUP_VSC[#Headers],0)),"ERROR"))</f>
        <v>997</v>
      </c>
      <c r="G21" s="154">
        <f>IF($B21=" ","",IFERROR(INDEX(MMWR_RATING_STATE_ROLLUP_VSC[],MATCH($B21,MMWR_RATING_STATE_ROLLUP_VSC[MMWR_RATING_STATE_ROLLUP_VSC],0),MATCH(G$9,MMWR_RATING_STATE_ROLLUP_VSC[#Headers],0)),"ERROR"))</f>
        <v>3304</v>
      </c>
      <c r="H21" s="155">
        <f>IF($B21=" ","",IFERROR(INDEX(MMWR_RATING_STATE_ROLLUP_VSC[],MATCH($B21,MMWR_RATING_STATE_ROLLUP_VSC[MMWR_RATING_STATE_ROLLUP_VSC],0),MATCH(H$9,MMWR_RATING_STATE_ROLLUP_VSC[#Headers],0)),"ERROR"))</f>
        <v>124.71514543630001</v>
      </c>
      <c r="I21" s="155">
        <f>IF($B21=" ","",IFERROR(INDEX(MMWR_RATING_STATE_ROLLUP_VSC[],MATCH($B21,MMWR_RATING_STATE_ROLLUP_VSC[MMWR_RATING_STATE_ROLLUP_VSC],0),MATCH(I$9,MMWR_RATING_STATE_ROLLUP_VSC[#Headers],0)),"ERROR"))</f>
        <v>121.5626513317</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1230</v>
      </c>
      <c r="D22" s="155">
        <f>IF($B22=" ","",IFERROR(INDEX(MMWR_RATING_STATE_ROLLUP_VSC[],MATCH($B22,MMWR_RATING_STATE_ROLLUP_VSC[MMWR_RATING_STATE_ROLLUP_VSC],0),MATCH(D$9,MMWR_RATING_STATE_ROLLUP_VSC[#Headers],0)),"ERROR"))</f>
        <v>99.626016260200004</v>
      </c>
      <c r="E22" s="156">
        <f>IF($B22=" ","",IFERROR(INDEX(MMWR_RATING_STATE_ROLLUP_VSC[],MATCH($B22,MMWR_RATING_STATE_ROLLUP_VSC[MMWR_RATING_STATE_ROLLUP_VSC],0),MATCH(E$9,MMWR_RATING_STATE_ROLLUP_VSC[#Headers],0))/$C22,"ERROR"))</f>
        <v>0.21951219512195122</v>
      </c>
      <c r="F22" s="154">
        <f>IF($B22=" ","",IFERROR(INDEX(MMWR_RATING_STATE_ROLLUP_VSC[],MATCH($B22,MMWR_RATING_STATE_ROLLUP_VSC[MMWR_RATING_STATE_ROLLUP_VSC],0),MATCH(F$9,MMWR_RATING_STATE_ROLLUP_VSC[#Headers],0)),"ERROR"))</f>
        <v>360</v>
      </c>
      <c r="G22" s="154">
        <f>IF($B22=" ","",IFERROR(INDEX(MMWR_RATING_STATE_ROLLUP_VSC[],MATCH($B22,MMWR_RATING_STATE_ROLLUP_VSC[MMWR_RATING_STATE_ROLLUP_VSC],0),MATCH(G$9,MMWR_RATING_STATE_ROLLUP_VSC[#Headers],0)),"ERROR"))</f>
        <v>980</v>
      </c>
      <c r="H22" s="155">
        <f>IF($B22=" ","",IFERROR(INDEX(MMWR_RATING_STATE_ROLLUP_VSC[],MATCH($B22,MMWR_RATING_STATE_ROLLUP_VSC[MMWR_RATING_STATE_ROLLUP_VSC],0),MATCH(H$9,MMWR_RATING_STATE_ROLLUP_VSC[#Headers],0)),"ERROR"))</f>
        <v>124.51944444439999</v>
      </c>
      <c r="I22" s="155">
        <f>IF($B22=" ","",IFERROR(INDEX(MMWR_RATING_STATE_ROLLUP_VSC[],MATCH($B22,MMWR_RATING_STATE_ROLLUP_VSC[MMWR_RATING_STATE_ROLLUP_VSC],0),MATCH(I$9,MMWR_RATING_STATE_ROLLUP_VSC[#Headers],0)),"ERROR"))</f>
        <v>128.07142857139999</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4062</v>
      </c>
      <c r="D23" s="155">
        <f>IF($B23=" ","",IFERROR(INDEX(MMWR_RATING_STATE_ROLLUP_VSC[],MATCH($B23,MMWR_RATING_STATE_ROLLUP_VSC[MMWR_RATING_STATE_ROLLUP_VSC],0),MATCH(D$9,MMWR_RATING_STATE_ROLLUP_VSC[#Headers],0)),"ERROR"))</f>
        <v>95.828902018700006</v>
      </c>
      <c r="E23" s="156">
        <f>IF($B23=" ","",IFERROR(INDEX(MMWR_RATING_STATE_ROLLUP_VSC[],MATCH($B23,MMWR_RATING_STATE_ROLLUP_VSC[MMWR_RATING_STATE_ROLLUP_VSC],0),MATCH(E$9,MMWR_RATING_STATE_ROLLUP_VSC[#Headers],0))/$C23,"ERROR"))</f>
        <v>0.21048744460856722</v>
      </c>
      <c r="F23" s="154">
        <f>IF($B23=" ","",IFERROR(INDEX(MMWR_RATING_STATE_ROLLUP_VSC[],MATCH($B23,MMWR_RATING_STATE_ROLLUP_VSC[MMWR_RATING_STATE_ROLLUP_VSC],0),MATCH(F$9,MMWR_RATING_STATE_ROLLUP_VSC[#Headers],0)),"ERROR"))</f>
        <v>785</v>
      </c>
      <c r="G23" s="154">
        <f>IF($B23=" ","",IFERROR(INDEX(MMWR_RATING_STATE_ROLLUP_VSC[],MATCH($B23,MMWR_RATING_STATE_ROLLUP_VSC[MMWR_RATING_STATE_ROLLUP_VSC],0),MATCH(G$9,MMWR_RATING_STATE_ROLLUP_VSC[#Headers],0)),"ERROR"))</f>
        <v>3011</v>
      </c>
      <c r="H23" s="155">
        <f>IF($B23=" ","",IFERROR(INDEX(MMWR_RATING_STATE_ROLLUP_VSC[],MATCH($B23,MMWR_RATING_STATE_ROLLUP_VSC[MMWR_RATING_STATE_ROLLUP_VSC],0),MATCH(H$9,MMWR_RATING_STATE_ROLLUP_VSC[#Headers],0)),"ERROR"))</f>
        <v>150.9006369427</v>
      </c>
      <c r="I23" s="155">
        <f>IF($B23=" ","",IFERROR(INDEX(MMWR_RATING_STATE_ROLLUP_VSC[],MATCH($B23,MMWR_RATING_STATE_ROLLUP_VSC[MMWR_RATING_STATE_ROLLUP_VSC],0),MATCH(I$9,MMWR_RATING_STATE_ROLLUP_VSC[#Headers],0)),"ERROR"))</f>
        <v>143.90302225170001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8665</v>
      </c>
      <c r="D24" s="155">
        <f>IF($B24=" ","",IFERROR(INDEX(MMWR_RATING_STATE_ROLLUP_VSC[],MATCH($B24,MMWR_RATING_STATE_ROLLUP_VSC[MMWR_RATING_STATE_ROLLUP_VSC],0),MATCH(D$9,MMWR_RATING_STATE_ROLLUP_VSC[#Headers],0)),"ERROR"))</f>
        <v>93.589497980399997</v>
      </c>
      <c r="E24" s="156">
        <f>IF($B24=" ","",IFERROR(INDEX(MMWR_RATING_STATE_ROLLUP_VSC[],MATCH($B24,MMWR_RATING_STATE_ROLLUP_VSC[MMWR_RATING_STATE_ROLLUP_VSC],0),MATCH(E$9,MMWR_RATING_STATE_ROLLUP_VSC[#Headers],0))/$C24,"ERROR"))</f>
        <v>0.21142527409117137</v>
      </c>
      <c r="F24" s="154">
        <f>IF($B24=" ","",IFERROR(INDEX(MMWR_RATING_STATE_ROLLUP_VSC[],MATCH($B24,MMWR_RATING_STATE_ROLLUP_VSC[MMWR_RATING_STATE_ROLLUP_VSC],0),MATCH(F$9,MMWR_RATING_STATE_ROLLUP_VSC[#Headers],0)),"ERROR"))</f>
        <v>1836</v>
      </c>
      <c r="G24" s="154">
        <f>IF($B24=" ","",IFERROR(INDEX(MMWR_RATING_STATE_ROLLUP_VSC[],MATCH($B24,MMWR_RATING_STATE_ROLLUP_VSC[MMWR_RATING_STATE_ROLLUP_VSC],0),MATCH(G$9,MMWR_RATING_STATE_ROLLUP_VSC[#Headers],0)),"ERROR"))</f>
        <v>6467</v>
      </c>
      <c r="H24" s="155">
        <f>IF($B24=" ","",IFERROR(INDEX(MMWR_RATING_STATE_ROLLUP_VSC[],MATCH($B24,MMWR_RATING_STATE_ROLLUP_VSC[MMWR_RATING_STATE_ROLLUP_VSC],0),MATCH(H$9,MMWR_RATING_STATE_ROLLUP_VSC[#Headers],0)),"ERROR"))</f>
        <v>135.74183006539999</v>
      </c>
      <c r="I24" s="155">
        <f>IF($B24=" ","",IFERROR(INDEX(MMWR_RATING_STATE_ROLLUP_VSC[],MATCH($B24,MMWR_RATING_STATE_ROLLUP_VSC[MMWR_RATING_STATE_ROLLUP_VSC],0),MATCH(I$9,MMWR_RATING_STATE_ROLLUP_VSC[#Headers],0)),"ERROR"))</f>
        <v>138.86608937680001</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16002</v>
      </c>
      <c r="D25" s="155">
        <f>IF($B25=" ","",IFERROR(INDEX(MMWR_RATING_STATE_ROLLUP_VSC[],MATCH($B25,MMWR_RATING_STATE_ROLLUP_VSC[MMWR_RATING_STATE_ROLLUP_VSC],0),MATCH(D$9,MMWR_RATING_STATE_ROLLUP_VSC[#Headers],0)),"ERROR"))</f>
        <v>101.1610423697</v>
      </c>
      <c r="E25" s="156">
        <f>IF($B25=" ","",IFERROR(INDEX(MMWR_RATING_STATE_ROLLUP_VSC[],MATCH($B25,MMWR_RATING_STATE_ROLLUP_VSC[MMWR_RATING_STATE_ROLLUP_VSC],0),MATCH(E$9,MMWR_RATING_STATE_ROLLUP_VSC[#Headers],0))/$C25,"ERROR"))</f>
        <v>0.25334333208348958</v>
      </c>
      <c r="F25" s="154">
        <f>IF($B25=" ","",IFERROR(INDEX(MMWR_RATING_STATE_ROLLUP_VSC[],MATCH($B25,MMWR_RATING_STATE_ROLLUP_VSC[MMWR_RATING_STATE_ROLLUP_VSC],0),MATCH(F$9,MMWR_RATING_STATE_ROLLUP_VSC[#Headers],0)),"ERROR"))</f>
        <v>3774</v>
      </c>
      <c r="G25" s="154">
        <f>IF($B25=" ","",IFERROR(INDEX(MMWR_RATING_STATE_ROLLUP_VSC[],MATCH($B25,MMWR_RATING_STATE_ROLLUP_VSC[MMWR_RATING_STATE_ROLLUP_VSC],0),MATCH(G$9,MMWR_RATING_STATE_ROLLUP_VSC[#Headers],0)),"ERROR"))</f>
        <v>12235</v>
      </c>
      <c r="H25" s="155">
        <f>IF($B25=" ","",IFERROR(INDEX(MMWR_RATING_STATE_ROLLUP_VSC[],MATCH($B25,MMWR_RATING_STATE_ROLLUP_VSC[MMWR_RATING_STATE_ROLLUP_VSC],0),MATCH(H$9,MMWR_RATING_STATE_ROLLUP_VSC[#Headers],0)),"ERROR"))</f>
        <v>139.26523582409999</v>
      </c>
      <c r="I25" s="155">
        <f>IF($B25=" ","",IFERROR(INDEX(MMWR_RATING_STATE_ROLLUP_VSC[],MATCH($B25,MMWR_RATING_STATE_ROLLUP_VSC[MMWR_RATING_STATE_ROLLUP_VSC],0),MATCH(I$9,MMWR_RATING_STATE_ROLLUP_VSC[#Headers],0)),"ERROR"))</f>
        <v>143.4961176951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9005</v>
      </c>
      <c r="D26" s="155">
        <f>IF($B26=" ","",IFERROR(INDEX(MMWR_RATING_STATE_ROLLUP_VSC[],MATCH($B26,MMWR_RATING_STATE_ROLLUP_VSC[MMWR_RATING_STATE_ROLLUP_VSC],0),MATCH(D$9,MMWR_RATING_STATE_ROLLUP_VSC[#Headers],0)),"ERROR"))</f>
        <v>105.26285396999999</v>
      </c>
      <c r="E26" s="156">
        <f>IF($B26=" ","",IFERROR(INDEX(MMWR_RATING_STATE_ROLLUP_VSC[],MATCH($B26,MMWR_RATING_STATE_ROLLUP_VSC[MMWR_RATING_STATE_ROLLUP_VSC],0),MATCH(E$9,MMWR_RATING_STATE_ROLLUP_VSC[#Headers],0))/$C26,"ERROR"))</f>
        <v>0.26374236535258189</v>
      </c>
      <c r="F26" s="154">
        <f>IF($B26=" ","",IFERROR(INDEX(MMWR_RATING_STATE_ROLLUP_VSC[],MATCH($B26,MMWR_RATING_STATE_ROLLUP_VSC[MMWR_RATING_STATE_ROLLUP_VSC],0),MATCH(F$9,MMWR_RATING_STATE_ROLLUP_VSC[#Headers],0)),"ERROR"))</f>
        <v>2093</v>
      </c>
      <c r="G26" s="154">
        <f>IF($B26=" ","",IFERROR(INDEX(MMWR_RATING_STATE_ROLLUP_VSC[],MATCH($B26,MMWR_RATING_STATE_ROLLUP_VSC[MMWR_RATING_STATE_ROLLUP_VSC],0),MATCH(G$9,MMWR_RATING_STATE_ROLLUP_VSC[#Headers],0)),"ERROR"))</f>
        <v>7105</v>
      </c>
      <c r="H26" s="155">
        <f>IF($B26=" ","",IFERROR(INDEX(MMWR_RATING_STATE_ROLLUP_VSC[],MATCH($B26,MMWR_RATING_STATE_ROLLUP_VSC[MMWR_RATING_STATE_ROLLUP_VSC],0),MATCH(H$9,MMWR_RATING_STATE_ROLLUP_VSC[#Headers],0)),"ERROR"))</f>
        <v>145.87482083130001</v>
      </c>
      <c r="I26" s="155">
        <f>IF($B26=" ","",IFERROR(INDEX(MMWR_RATING_STATE_ROLLUP_VSC[],MATCH($B26,MMWR_RATING_STATE_ROLLUP_VSC[MMWR_RATING_STATE_ROLLUP_VSC],0),MATCH(I$9,MMWR_RATING_STATE_ROLLUP_VSC[#Headers],0)),"ERROR"))</f>
        <v>149.15665024629999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891</v>
      </c>
      <c r="D27" s="155">
        <f>IF($B27=" ","",IFERROR(INDEX(MMWR_RATING_STATE_ROLLUP_VSC[],MATCH($B27,MMWR_RATING_STATE_ROLLUP_VSC[MMWR_RATING_STATE_ROLLUP_VSC],0),MATCH(D$9,MMWR_RATING_STATE_ROLLUP_VSC[#Headers],0)),"ERROR"))</f>
        <v>90.406285073000006</v>
      </c>
      <c r="E27" s="156">
        <f>IF($B27=" ","",IFERROR(INDEX(MMWR_RATING_STATE_ROLLUP_VSC[],MATCH($B27,MMWR_RATING_STATE_ROLLUP_VSC[MMWR_RATING_STATE_ROLLUP_VSC],0),MATCH(E$9,MMWR_RATING_STATE_ROLLUP_VSC[#Headers],0))/$C27,"ERROR"))</f>
        <v>0.19304152637485972</v>
      </c>
      <c r="F27" s="154">
        <f>IF($B27=" ","",IFERROR(INDEX(MMWR_RATING_STATE_ROLLUP_VSC[],MATCH($B27,MMWR_RATING_STATE_ROLLUP_VSC[MMWR_RATING_STATE_ROLLUP_VSC],0),MATCH(F$9,MMWR_RATING_STATE_ROLLUP_VSC[#Headers],0)),"ERROR"))</f>
        <v>225</v>
      </c>
      <c r="G27" s="154">
        <f>IF($B27=" ","",IFERROR(INDEX(MMWR_RATING_STATE_ROLLUP_VSC[],MATCH($B27,MMWR_RATING_STATE_ROLLUP_VSC[MMWR_RATING_STATE_ROLLUP_VSC],0),MATCH(G$9,MMWR_RATING_STATE_ROLLUP_VSC[#Headers],0)),"ERROR"))</f>
        <v>741</v>
      </c>
      <c r="H27" s="155">
        <f>IF($B27=" ","",IFERROR(INDEX(MMWR_RATING_STATE_ROLLUP_VSC[],MATCH($B27,MMWR_RATING_STATE_ROLLUP_VSC[MMWR_RATING_STATE_ROLLUP_VSC],0),MATCH(H$9,MMWR_RATING_STATE_ROLLUP_VSC[#Headers],0)),"ERROR"))</f>
        <v>117.29777777779999</v>
      </c>
      <c r="I27" s="155">
        <f>IF($B27=" ","",IFERROR(INDEX(MMWR_RATING_STATE_ROLLUP_VSC[],MATCH($B27,MMWR_RATING_STATE_ROLLUP_VSC[MMWR_RATING_STATE_ROLLUP_VSC],0),MATCH(I$9,MMWR_RATING_STATE_ROLLUP_VSC[#Headers],0)),"ERROR"))</f>
        <v>113.49122807019999</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553</v>
      </c>
      <c r="D28" s="155">
        <f>IF($B28=" ","",IFERROR(INDEX(MMWR_RATING_STATE_ROLLUP_VSC[],MATCH($B28,MMWR_RATING_STATE_ROLLUP_VSC[MMWR_RATING_STATE_ROLLUP_VSC],0),MATCH(D$9,MMWR_RATING_STATE_ROLLUP_VSC[#Headers],0)),"ERROR"))</f>
        <v>93.757685352600006</v>
      </c>
      <c r="E28" s="156">
        <f>IF($B28=" ","",IFERROR(INDEX(MMWR_RATING_STATE_ROLLUP_VSC[],MATCH($B28,MMWR_RATING_STATE_ROLLUP_VSC[MMWR_RATING_STATE_ROLLUP_VSC],0),MATCH(E$9,MMWR_RATING_STATE_ROLLUP_VSC[#Headers],0))/$C28,"ERROR"))</f>
        <v>0.24050632911392406</v>
      </c>
      <c r="F28" s="154">
        <f>IF($B28=" ","",IFERROR(INDEX(MMWR_RATING_STATE_ROLLUP_VSC[],MATCH($B28,MMWR_RATING_STATE_ROLLUP_VSC[MMWR_RATING_STATE_ROLLUP_VSC],0),MATCH(F$9,MMWR_RATING_STATE_ROLLUP_VSC[#Headers],0)),"ERROR"))</f>
        <v>105</v>
      </c>
      <c r="G28" s="154">
        <f>IF($B28=" ","",IFERROR(INDEX(MMWR_RATING_STATE_ROLLUP_VSC[],MATCH($B28,MMWR_RATING_STATE_ROLLUP_VSC[MMWR_RATING_STATE_ROLLUP_VSC],0),MATCH(G$9,MMWR_RATING_STATE_ROLLUP_VSC[#Headers],0)),"ERROR"))</f>
        <v>260</v>
      </c>
      <c r="H28" s="155">
        <f>IF($B28=" ","",IFERROR(INDEX(MMWR_RATING_STATE_ROLLUP_VSC[],MATCH($B28,MMWR_RATING_STATE_ROLLUP_VSC[MMWR_RATING_STATE_ROLLUP_VSC],0),MATCH(H$9,MMWR_RATING_STATE_ROLLUP_VSC[#Headers],0)),"ERROR"))</f>
        <v>142.8571428571</v>
      </c>
      <c r="I28" s="155">
        <f>IF($B28=" ","",IFERROR(INDEX(MMWR_RATING_STATE_ROLLUP_VSC[],MATCH($B28,MMWR_RATING_STATE_ROLLUP_VSC[MMWR_RATING_STATE_ROLLUP_VSC],0),MATCH(I$9,MMWR_RATING_STATE_ROLLUP_VSC[#Headers],0)),"ERROR"))</f>
        <v>135.4</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10788</v>
      </c>
      <c r="D29" s="155">
        <f>IF($B29=" ","",IFERROR(INDEX(MMWR_RATING_STATE_ROLLUP_VSC[],MATCH($B29,MMWR_RATING_STATE_ROLLUP_VSC[MMWR_RATING_STATE_ROLLUP_VSC],0),MATCH(D$9,MMWR_RATING_STATE_ROLLUP_VSC[#Headers],0)),"ERROR"))</f>
        <v>90.730348535399997</v>
      </c>
      <c r="E29" s="156">
        <f>IF($B29=" ","",IFERROR(INDEX(MMWR_RATING_STATE_ROLLUP_VSC[],MATCH($B29,MMWR_RATING_STATE_ROLLUP_VSC[MMWR_RATING_STATE_ROLLUP_VSC],0),MATCH(E$9,MMWR_RATING_STATE_ROLLUP_VSC[#Headers],0))/$C29,"ERROR"))</f>
        <v>0.19382647385984428</v>
      </c>
      <c r="F29" s="154">
        <f>IF($B29=" ","",IFERROR(INDEX(MMWR_RATING_STATE_ROLLUP_VSC[],MATCH($B29,MMWR_RATING_STATE_ROLLUP_VSC[MMWR_RATING_STATE_ROLLUP_VSC],0),MATCH(F$9,MMWR_RATING_STATE_ROLLUP_VSC[#Headers],0)),"ERROR"))</f>
        <v>2176</v>
      </c>
      <c r="G29" s="154">
        <f>IF($B29=" ","",IFERROR(INDEX(MMWR_RATING_STATE_ROLLUP_VSC[],MATCH($B29,MMWR_RATING_STATE_ROLLUP_VSC[MMWR_RATING_STATE_ROLLUP_VSC],0),MATCH(G$9,MMWR_RATING_STATE_ROLLUP_VSC[#Headers],0)),"ERROR"))</f>
        <v>7664</v>
      </c>
      <c r="H29" s="155">
        <f>IF($B29=" ","",IFERROR(INDEX(MMWR_RATING_STATE_ROLLUP_VSC[],MATCH($B29,MMWR_RATING_STATE_ROLLUP_VSC[MMWR_RATING_STATE_ROLLUP_VSC],0),MATCH(H$9,MMWR_RATING_STATE_ROLLUP_VSC[#Headers],0)),"ERROR"))</f>
        <v>145.8147977941</v>
      </c>
      <c r="I29" s="155">
        <f>IF($B29=" ","",IFERROR(INDEX(MMWR_RATING_STATE_ROLLUP_VSC[],MATCH($B29,MMWR_RATING_STATE_ROLLUP_VSC[MMWR_RATING_STATE_ROLLUP_VSC],0),MATCH(I$9,MMWR_RATING_STATE_ROLLUP_VSC[#Headers],0)),"ERROR"))</f>
        <v>141.2623956159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2456</v>
      </c>
      <c r="D30" s="155">
        <f>IF($B30=" ","",IFERROR(INDEX(MMWR_RATING_STATE_ROLLUP_VSC[],MATCH($B30,MMWR_RATING_STATE_ROLLUP_VSC[MMWR_RATING_STATE_ROLLUP_VSC],0),MATCH(D$9,MMWR_RATING_STATE_ROLLUP_VSC[#Headers],0)),"ERROR"))</f>
        <v>87.131921824100004</v>
      </c>
      <c r="E30" s="156">
        <f>IF($B30=" ","",IFERROR(INDEX(MMWR_RATING_STATE_ROLLUP_VSC[],MATCH($B30,MMWR_RATING_STATE_ROLLUP_VSC[MMWR_RATING_STATE_ROLLUP_VSC],0),MATCH(E$9,MMWR_RATING_STATE_ROLLUP_VSC[#Headers],0))/$C30,"ERROR"))</f>
        <v>0.15635179153094461</v>
      </c>
      <c r="F30" s="154">
        <f>IF($B30=" ","",IFERROR(INDEX(MMWR_RATING_STATE_ROLLUP_VSC[],MATCH($B30,MMWR_RATING_STATE_ROLLUP_VSC[MMWR_RATING_STATE_ROLLUP_VSC],0),MATCH(F$9,MMWR_RATING_STATE_ROLLUP_VSC[#Headers],0)),"ERROR"))</f>
        <v>606</v>
      </c>
      <c r="G30" s="154">
        <f>IF($B30=" ","",IFERROR(INDEX(MMWR_RATING_STATE_ROLLUP_VSC[],MATCH($B30,MMWR_RATING_STATE_ROLLUP_VSC[MMWR_RATING_STATE_ROLLUP_VSC],0),MATCH(G$9,MMWR_RATING_STATE_ROLLUP_VSC[#Headers],0)),"ERROR"))</f>
        <v>2036</v>
      </c>
      <c r="H30" s="155">
        <f>IF($B30=" ","",IFERROR(INDEX(MMWR_RATING_STATE_ROLLUP_VSC[],MATCH($B30,MMWR_RATING_STATE_ROLLUP_VSC[MMWR_RATING_STATE_ROLLUP_VSC],0),MATCH(H$9,MMWR_RATING_STATE_ROLLUP_VSC[#Headers],0)),"ERROR"))</f>
        <v>127.1716171617</v>
      </c>
      <c r="I30" s="155">
        <f>IF($B30=" ","",IFERROR(INDEX(MMWR_RATING_STATE_ROLLUP_VSC[],MATCH($B30,MMWR_RATING_STATE_ROLLUP_VSC[MMWR_RATING_STATE_ROLLUP_VSC],0),MATCH(I$9,MMWR_RATING_STATE_ROLLUP_VSC[#Headers],0)),"ERROR"))</f>
        <v>120.3998035363</v>
      </c>
      <c r="J30" s="42"/>
      <c r="K30" s="42"/>
      <c r="L30" s="42"/>
      <c r="M30" s="42"/>
      <c r="N30" s="28"/>
    </row>
    <row r="31" spans="1:14" x14ac:dyDescent="0.2">
      <c r="A31" s="25"/>
      <c r="B31" s="393" t="s">
        <v>959</v>
      </c>
      <c r="C31" s="394"/>
      <c r="D31" s="394"/>
      <c r="E31" s="394"/>
      <c r="F31" s="394"/>
      <c r="G31" s="394"/>
      <c r="H31" s="394"/>
      <c r="I31" s="394"/>
      <c r="J31" s="394"/>
      <c r="K31" s="394"/>
      <c r="L31" s="394"/>
      <c r="M31" s="403"/>
      <c r="N31" s="28"/>
    </row>
    <row r="32" spans="1:14" x14ac:dyDescent="0.2">
      <c r="A32" s="25"/>
      <c r="B32" s="41" t="s">
        <v>1038</v>
      </c>
      <c r="C32" s="154">
        <f>IF($B32=" ","",IFERROR(INDEX(MMWR_RATING_STATE_ROLLUP_PMC[],MATCH($B32,MMWR_RATING_STATE_ROLLUP_PMC[MMWR_RATING_STATE_ROLLUP_PMC],0),MATCH(C$9,MMWR_RATING_STATE_ROLLUP_PMC[#Headers],0)),"ERROR"))</f>
        <v>26409</v>
      </c>
      <c r="D32" s="155">
        <f>IF($B32=" ","",IFERROR(INDEX(MMWR_RATING_STATE_ROLLUP_PMC[],MATCH($B32,MMWR_RATING_STATE_ROLLUP_PMC[MMWR_RATING_STATE_ROLLUP_PMC],0),MATCH(D$9,MMWR_RATING_STATE_ROLLUP_PMC[#Headers],0)),"ERROR"))</f>
        <v>66.619258586100003</v>
      </c>
      <c r="E32" s="156">
        <f>IF($B32=" ","",IFERROR(INDEX(MMWR_RATING_STATE_ROLLUP_PMC[],MATCH($B32,MMWR_RATING_STATE_ROLLUP_PMC[MMWR_RATING_STATE_ROLLUP_PMC],0),MATCH(E$9,MMWR_RATING_STATE_ROLLUP_PMC[#Headers],0))/$C32,"ERROR"))</f>
        <v>9.2733537809080238E-2</v>
      </c>
      <c r="F32" s="154">
        <f>IF($B32=" ","",IFERROR(INDEX(MMWR_RATING_STATE_ROLLUP_PMC[],MATCH($B32,MMWR_RATING_STATE_ROLLUP_PMC[MMWR_RATING_STATE_ROLLUP_PMC],0),MATCH(F$9,MMWR_RATING_STATE_ROLLUP_PMC[#Headers],0)),"ERROR"))</f>
        <v>10354</v>
      </c>
      <c r="G32" s="154">
        <f>IF($B32=" ","",IFERROR(INDEX(MMWR_RATING_STATE_ROLLUP_PMC[],MATCH($B32,MMWR_RATING_STATE_ROLLUP_PMC[MMWR_RATING_STATE_ROLLUP_PMC],0),MATCH(G$9,MMWR_RATING_STATE_ROLLUP_PMC[#Headers],0)),"ERROR"))</f>
        <v>33906</v>
      </c>
      <c r="H32" s="155">
        <f>IF($B32=" ","",IFERROR(INDEX(MMWR_RATING_STATE_ROLLUP_PMC[],MATCH($B32,MMWR_RATING_STATE_ROLLUP_PMC[MMWR_RATING_STATE_ROLLUP_PMC],0),MATCH(H$9,MMWR_RATING_STATE_ROLLUP_PMC[#Headers],0)),"ERROR"))</f>
        <v>75.242708132100006</v>
      </c>
      <c r="I32" s="155">
        <f>IF($B32=" ","",IFERROR(INDEX(MMWR_RATING_STATE_ROLLUP_PMC[],MATCH($B32,MMWR_RATING_STATE_ROLLUP_PMC[MMWR_RATING_STATE_ROLLUP_PMC],0),MATCH(I$9,MMWR_RATING_STATE_ROLLUP_PMC[#Headers],0)),"ERROR"))</f>
        <v>71.254940128599998</v>
      </c>
      <c r="J32" s="42"/>
      <c r="K32" s="42"/>
      <c r="L32" s="42"/>
      <c r="M32" s="42"/>
      <c r="N32" s="28"/>
    </row>
    <row r="33" spans="1:14" x14ac:dyDescent="0.2">
      <c r="A33" s="25"/>
      <c r="B33" s="249" t="str">
        <f>INDEX(DISTRICT_STATES[],MATCH($B$5,DISTRICT_RO[District],0),1)</f>
        <v>North Atlantic</v>
      </c>
      <c r="C33" s="154">
        <f>IF($B33=" ","",IFERROR(INDEX(MMWR_RATING_STATE_ROLLUP_PMC[],MATCH($B33,MMWR_RATING_STATE_ROLLUP_PMC[MMWR_RATING_STATE_ROLLUP_PMC],0),MATCH(C$9,MMWR_RATING_STATE_ROLLUP_PMC[#Headers],0)),"ERROR"))</f>
        <v>7085</v>
      </c>
      <c r="D33" s="155">
        <f>IF($B33=" ","",IFERROR(INDEX(MMWR_RATING_STATE_ROLLUP_PMC[],MATCH($B33,MMWR_RATING_STATE_ROLLUP_PMC[MMWR_RATING_STATE_ROLLUP_PMC],0),MATCH(D$9,MMWR_RATING_STATE_ROLLUP_PMC[#Headers],0)),"ERROR"))</f>
        <v>69.955681016200003</v>
      </c>
      <c r="E33" s="156">
        <f>IF($B33=" ","",IFERROR(INDEX(MMWR_RATING_STATE_ROLLUP_PMC[],MATCH($B33,MMWR_RATING_STATE_ROLLUP_PMC[MMWR_RATING_STATE_ROLLUP_PMC],0),MATCH(E$9,MMWR_RATING_STATE_ROLLUP_PMC[#Headers],0))/$C33,"ERROR"))</f>
        <v>0.10007057163020466</v>
      </c>
      <c r="F33" s="154">
        <f>IF($B33=" ","",IFERROR(INDEX(MMWR_RATING_STATE_ROLLUP_PMC[],MATCH($B33,MMWR_RATING_STATE_ROLLUP_PMC[MMWR_RATING_STATE_ROLLUP_PMC],0),MATCH(F$9,MMWR_RATING_STATE_ROLLUP_PMC[#Headers],0)),"ERROR"))</f>
        <v>2087</v>
      </c>
      <c r="G33" s="154">
        <f>IF($B33=" ","",IFERROR(INDEX(MMWR_RATING_STATE_ROLLUP_PMC[],MATCH($B33,MMWR_RATING_STATE_ROLLUP_PMC[MMWR_RATING_STATE_ROLLUP_PMC],0),MATCH(G$9,MMWR_RATING_STATE_ROLLUP_PMC[#Headers],0)),"ERROR"))</f>
        <v>6660</v>
      </c>
      <c r="H33" s="155">
        <f>IF($B33=" ","",IFERROR(INDEX(MMWR_RATING_STATE_ROLLUP_PMC[],MATCH($B33,MMWR_RATING_STATE_ROLLUP_PMC[MMWR_RATING_STATE_ROLLUP_PMC],0),MATCH(H$9,MMWR_RATING_STATE_ROLLUP_PMC[#Headers],0)),"ERROR"))</f>
        <v>85.386679444199999</v>
      </c>
      <c r="I33" s="155">
        <f>IF($B33=" ","",IFERROR(INDEX(MMWR_RATING_STATE_ROLLUP_PMC[],MATCH($B33,MMWR_RATING_STATE_ROLLUP_PMC[MMWR_RATING_STATE_ROLLUP_PMC],0),MATCH(I$9,MMWR_RATING_STATE_ROLLUP_PMC[#Headers],0)),"ERROR"))</f>
        <v>82.659009009000002</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214</v>
      </c>
      <c r="D34" s="155">
        <f>IF($B34=" ","",IFERROR(INDEX(MMWR_RATING_STATE_ROLLUP_PMC[],MATCH($B34,MMWR_RATING_STATE_ROLLUP_PMC[MMWR_RATING_STATE_ROLLUP_PMC],0),MATCH(D$9,MMWR_RATING_STATE_ROLLUP_PMC[#Headers],0)),"ERROR"))</f>
        <v>75.504672897199995</v>
      </c>
      <c r="E34" s="156">
        <f>IF($B34=" ","",IFERROR(INDEX(MMWR_RATING_STATE_ROLLUP_PMC[],MATCH($B34,MMWR_RATING_STATE_ROLLUP_PMC[MMWR_RATING_STATE_ROLLUP_PMC],0),MATCH(E$9,MMWR_RATING_STATE_ROLLUP_PMC[#Headers],0))/$C34,"ERROR"))</f>
        <v>0.13084112149532709</v>
      </c>
      <c r="F34" s="154">
        <f>IF($B34=" ","",IFERROR(INDEX(MMWR_RATING_STATE_ROLLUP_PMC[],MATCH($B34,MMWR_RATING_STATE_ROLLUP_PMC[MMWR_RATING_STATE_ROLLUP_PMC],0),MATCH(F$9,MMWR_RATING_STATE_ROLLUP_PMC[#Headers],0)),"ERROR"))</f>
        <v>58</v>
      </c>
      <c r="G34" s="154">
        <f>IF($B34=" ","",IFERROR(INDEX(MMWR_RATING_STATE_ROLLUP_PMC[],MATCH($B34,MMWR_RATING_STATE_ROLLUP_PMC[MMWR_RATING_STATE_ROLLUP_PMC],0),MATCH(G$9,MMWR_RATING_STATE_ROLLUP_PMC[#Headers],0)),"ERROR"))</f>
        <v>192</v>
      </c>
      <c r="H34" s="155">
        <f>IF($B34=" ","",IFERROR(INDEX(MMWR_RATING_STATE_ROLLUP_PMC[],MATCH($B34,MMWR_RATING_STATE_ROLLUP_PMC[MMWR_RATING_STATE_ROLLUP_PMC],0),MATCH(H$9,MMWR_RATING_STATE_ROLLUP_PMC[#Headers],0)),"ERROR"))</f>
        <v>76.482758620699997</v>
      </c>
      <c r="I34" s="155">
        <f>IF($B34=" ","",IFERROR(INDEX(MMWR_RATING_STATE_ROLLUP_PMC[],MATCH($B34,MMWR_RATING_STATE_ROLLUP_PMC[MMWR_RATING_STATE_ROLLUP_PMC],0),MATCH(I$9,MMWR_RATING_STATE_ROLLUP_PMC[#Headers],0)),"ERROR"))</f>
        <v>77.994791666699996</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68</v>
      </c>
      <c r="D35" s="155">
        <f>IF($B35=" ","",IFERROR(INDEX(MMWR_RATING_STATE_ROLLUP_PMC[],MATCH($B35,MMWR_RATING_STATE_ROLLUP_PMC[MMWR_RATING_STATE_ROLLUP_PMC],0),MATCH(D$9,MMWR_RATING_STATE_ROLLUP_PMC[#Headers],0)),"ERROR"))</f>
        <v>86.044117647099995</v>
      </c>
      <c r="E35" s="156">
        <f>IF($B35=" ","",IFERROR(INDEX(MMWR_RATING_STATE_ROLLUP_PMC[],MATCH($B35,MMWR_RATING_STATE_ROLLUP_PMC[MMWR_RATING_STATE_ROLLUP_PMC],0),MATCH(E$9,MMWR_RATING_STATE_ROLLUP_PMC[#Headers],0))/$C35,"ERROR"))</f>
        <v>0.10294117647058823</v>
      </c>
      <c r="F35" s="154">
        <f>IF($B35=" ","",IFERROR(INDEX(MMWR_RATING_STATE_ROLLUP_PMC[],MATCH($B35,MMWR_RATING_STATE_ROLLUP_PMC[MMWR_RATING_STATE_ROLLUP_PMC],0),MATCH(F$9,MMWR_RATING_STATE_ROLLUP_PMC[#Headers],0)),"ERROR"))</f>
        <v>23</v>
      </c>
      <c r="G35" s="154">
        <f>IF($B35=" ","",IFERROR(INDEX(MMWR_RATING_STATE_ROLLUP_PMC[],MATCH($B35,MMWR_RATING_STATE_ROLLUP_PMC[MMWR_RATING_STATE_ROLLUP_PMC],0),MATCH(G$9,MMWR_RATING_STATE_ROLLUP_PMC[#Headers],0)),"ERROR"))</f>
        <v>64</v>
      </c>
      <c r="H35" s="155">
        <f>IF($B35=" ","",IFERROR(INDEX(MMWR_RATING_STATE_ROLLUP_PMC[],MATCH($B35,MMWR_RATING_STATE_ROLLUP_PMC[MMWR_RATING_STATE_ROLLUP_PMC],0),MATCH(H$9,MMWR_RATING_STATE_ROLLUP_PMC[#Headers],0)),"ERROR"))</f>
        <v>107.652173913</v>
      </c>
      <c r="I35" s="155">
        <f>IF($B35=" ","",IFERROR(INDEX(MMWR_RATING_STATE_ROLLUP_PMC[],MATCH($B35,MMWR_RATING_STATE_ROLLUP_PMC[MMWR_RATING_STATE_ROLLUP_PMC],0),MATCH(I$9,MMWR_RATING_STATE_ROLLUP_PMC[#Headers],0)),"ERROR"))</f>
        <v>82.4375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64</v>
      </c>
      <c r="D36" s="155">
        <f>IF($B36=" ","",IFERROR(INDEX(MMWR_RATING_STATE_ROLLUP_PMC[],MATCH($B36,MMWR_RATING_STATE_ROLLUP_PMC[MMWR_RATING_STATE_ROLLUP_PMC],0),MATCH(D$9,MMWR_RATING_STATE_ROLLUP_PMC[#Headers],0)),"ERROR"))</f>
        <v>72.109375</v>
      </c>
      <c r="E36" s="156">
        <f>IF($B36=" ","",IFERROR(INDEX(MMWR_RATING_STATE_ROLLUP_PMC[],MATCH($B36,MMWR_RATING_STATE_ROLLUP_PMC[MMWR_RATING_STATE_ROLLUP_PMC],0),MATCH(E$9,MMWR_RATING_STATE_ROLLUP_PMC[#Headers],0))/$C36,"ERROR"))</f>
        <v>7.8125E-2</v>
      </c>
      <c r="F36" s="154">
        <f>IF($B36=" ","",IFERROR(INDEX(MMWR_RATING_STATE_ROLLUP_PMC[],MATCH($B36,MMWR_RATING_STATE_ROLLUP_PMC[MMWR_RATING_STATE_ROLLUP_PMC],0),MATCH(F$9,MMWR_RATING_STATE_ROLLUP_PMC[#Headers],0)),"ERROR"))</f>
        <v>17</v>
      </c>
      <c r="G36" s="154">
        <f>IF($B36=" ","",IFERROR(INDEX(MMWR_RATING_STATE_ROLLUP_PMC[],MATCH($B36,MMWR_RATING_STATE_ROLLUP_PMC[MMWR_RATING_STATE_ROLLUP_PMC],0),MATCH(G$9,MMWR_RATING_STATE_ROLLUP_PMC[#Headers],0)),"ERROR"))</f>
        <v>68</v>
      </c>
      <c r="H36" s="155">
        <f>IF($B36=" ","",IFERROR(INDEX(MMWR_RATING_STATE_ROLLUP_PMC[],MATCH($B36,MMWR_RATING_STATE_ROLLUP_PMC[MMWR_RATING_STATE_ROLLUP_PMC],0),MATCH(H$9,MMWR_RATING_STATE_ROLLUP_PMC[#Headers],0)),"ERROR"))</f>
        <v>88.411764705899998</v>
      </c>
      <c r="I36" s="155">
        <f>IF($B36=" ","",IFERROR(INDEX(MMWR_RATING_STATE_ROLLUP_PMC[],MATCH($B36,MMWR_RATING_STATE_ROLLUP_PMC[MMWR_RATING_STATE_ROLLUP_PMC],0),MATCH(I$9,MMWR_RATING_STATE_ROLLUP_PMC[#Headers],0)),"ERROR"))</f>
        <v>87.308823529400001</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112</v>
      </c>
      <c r="D37" s="155">
        <f>IF($B37=" ","",IFERROR(INDEX(MMWR_RATING_STATE_ROLLUP_PMC[],MATCH($B37,MMWR_RATING_STATE_ROLLUP_PMC[MMWR_RATING_STATE_ROLLUP_PMC],0),MATCH(D$9,MMWR_RATING_STATE_ROLLUP_PMC[#Headers],0)),"ERROR"))</f>
        <v>69.241071428599994</v>
      </c>
      <c r="E37" s="156">
        <f>IF($B37=" ","",IFERROR(INDEX(MMWR_RATING_STATE_ROLLUP_PMC[],MATCH($B37,MMWR_RATING_STATE_ROLLUP_PMC[MMWR_RATING_STATE_ROLLUP_PMC],0),MATCH(E$9,MMWR_RATING_STATE_ROLLUP_PMC[#Headers],0))/$C37,"ERROR"))</f>
        <v>0.11607142857142858</v>
      </c>
      <c r="F37" s="154">
        <f>IF($B37=" ","",IFERROR(INDEX(MMWR_RATING_STATE_ROLLUP_PMC[],MATCH($B37,MMWR_RATING_STATE_ROLLUP_PMC[MMWR_RATING_STATE_ROLLUP_PMC],0),MATCH(F$9,MMWR_RATING_STATE_ROLLUP_PMC[#Headers],0)),"ERROR"))</f>
        <v>42</v>
      </c>
      <c r="G37" s="154">
        <f>IF($B37=" ","",IFERROR(INDEX(MMWR_RATING_STATE_ROLLUP_PMC[],MATCH($B37,MMWR_RATING_STATE_ROLLUP_PMC[MMWR_RATING_STATE_ROLLUP_PMC],0),MATCH(G$9,MMWR_RATING_STATE_ROLLUP_PMC[#Headers],0)),"ERROR"))</f>
        <v>135</v>
      </c>
      <c r="H37" s="155">
        <f>IF($B37=" ","",IFERROR(INDEX(MMWR_RATING_STATE_ROLLUP_PMC[],MATCH($B37,MMWR_RATING_STATE_ROLLUP_PMC[MMWR_RATING_STATE_ROLLUP_PMC],0),MATCH(H$9,MMWR_RATING_STATE_ROLLUP_PMC[#Headers],0)),"ERROR"))</f>
        <v>105.6428571429</v>
      </c>
      <c r="I37" s="155">
        <f>IF($B37=" ","",IFERROR(INDEX(MMWR_RATING_STATE_ROLLUP_PMC[],MATCH($B37,MMWR_RATING_STATE_ROLLUP_PMC[MMWR_RATING_STATE_ROLLUP_PMC],0),MATCH(I$9,MMWR_RATING_STATE_ROLLUP_PMC[#Headers],0)),"ERROR"))</f>
        <v>80.585185185200004</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492</v>
      </c>
      <c r="D38" s="155">
        <f>IF($B38=" ","",IFERROR(INDEX(MMWR_RATING_STATE_ROLLUP_PMC[],MATCH($B38,MMWR_RATING_STATE_ROLLUP_PMC[MMWR_RATING_STATE_ROLLUP_PMC],0),MATCH(D$9,MMWR_RATING_STATE_ROLLUP_PMC[#Headers],0)),"ERROR"))</f>
        <v>68.813008130100002</v>
      </c>
      <c r="E38" s="156">
        <f>IF($B38=" ","",IFERROR(INDEX(MMWR_RATING_STATE_ROLLUP_PMC[],MATCH($B38,MMWR_RATING_STATE_ROLLUP_PMC[MMWR_RATING_STATE_ROLLUP_PMC],0),MATCH(E$9,MMWR_RATING_STATE_ROLLUP_PMC[#Headers],0))/$C38,"ERROR"))</f>
        <v>9.7560975609756101E-2</v>
      </c>
      <c r="F38" s="154">
        <f>IF($B38=" ","",IFERROR(INDEX(MMWR_RATING_STATE_ROLLUP_PMC[],MATCH($B38,MMWR_RATING_STATE_ROLLUP_PMC[MMWR_RATING_STATE_ROLLUP_PMC],0),MATCH(F$9,MMWR_RATING_STATE_ROLLUP_PMC[#Headers],0)),"ERROR"))</f>
        <v>159</v>
      </c>
      <c r="G38" s="154">
        <f>IF($B38=" ","",IFERROR(INDEX(MMWR_RATING_STATE_ROLLUP_PMC[],MATCH($B38,MMWR_RATING_STATE_ROLLUP_PMC[MMWR_RATING_STATE_ROLLUP_PMC],0),MATCH(G$9,MMWR_RATING_STATE_ROLLUP_PMC[#Headers],0)),"ERROR"))</f>
        <v>432</v>
      </c>
      <c r="H38" s="155">
        <f>IF($B38=" ","",IFERROR(INDEX(MMWR_RATING_STATE_ROLLUP_PMC[],MATCH($B38,MMWR_RATING_STATE_ROLLUP_PMC[MMWR_RATING_STATE_ROLLUP_PMC],0),MATCH(H$9,MMWR_RATING_STATE_ROLLUP_PMC[#Headers],0)),"ERROR"))</f>
        <v>80.811320754700006</v>
      </c>
      <c r="I38" s="155">
        <f>IF($B38=" ","",IFERROR(INDEX(MMWR_RATING_STATE_ROLLUP_PMC[],MATCH($B38,MMWR_RATING_STATE_ROLLUP_PMC[MMWR_RATING_STATE_ROLLUP_PMC],0),MATCH(I$9,MMWR_RATING_STATE_ROLLUP_PMC[#Headers],0)),"ERROR"))</f>
        <v>82.462962962999995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435</v>
      </c>
      <c r="D39" s="155">
        <f>IF($B39=" ","",IFERROR(INDEX(MMWR_RATING_STATE_ROLLUP_PMC[],MATCH($B39,MMWR_RATING_STATE_ROLLUP_PMC[MMWR_RATING_STATE_ROLLUP_PMC],0),MATCH(D$9,MMWR_RATING_STATE_ROLLUP_PMC[#Headers],0)),"ERROR"))</f>
        <v>68.475862069000001</v>
      </c>
      <c r="E39" s="156">
        <f>IF($B39=" ","",IFERROR(INDEX(MMWR_RATING_STATE_ROLLUP_PMC[],MATCH($B39,MMWR_RATING_STATE_ROLLUP_PMC[MMWR_RATING_STATE_ROLLUP_PMC],0),MATCH(E$9,MMWR_RATING_STATE_ROLLUP_PMC[#Headers],0))/$C39,"ERROR"))</f>
        <v>8.0459770114942528E-2</v>
      </c>
      <c r="F39" s="154">
        <f>IF($B39=" ","",IFERROR(INDEX(MMWR_RATING_STATE_ROLLUP_PMC[],MATCH($B39,MMWR_RATING_STATE_ROLLUP_PMC[MMWR_RATING_STATE_ROLLUP_PMC],0),MATCH(F$9,MMWR_RATING_STATE_ROLLUP_PMC[#Headers],0)),"ERROR"))</f>
        <v>131</v>
      </c>
      <c r="G39" s="154">
        <f>IF($B39=" ","",IFERROR(INDEX(MMWR_RATING_STATE_ROLLUP_PMC[],MATCH($B39,MMWR_RATING_STATE_ROLLUP_PMC[MMWR_RATING_STATE_ROLLUP_PMC],0),MATCH(G$9,MMWR_RATING_STATE_ROLLUP_PMC[#Headers],0)),"ERROR"))</f>
        <v>427</v>
      </c>
      <c r="H39" s="155">
        <f>IF($B39=" ","",IFERROR(INDEX(MMWR_RATING_STATE_ROLLUP_PMC[],MATCH($B39,MMWR_RATING_STATE_ROLLUP_PMC[MMWR_RATING_STATE_ROLLUP_PMC],0),MATCH(H$9,MMWR_RATING_STATE_ROLLUP_PMC[#Headers],0)),"ERROR"))</f>
        <v>78.450381679399996</v>
      </c>
      <c r="I39" s="155">
        <f>IF($B39=" ","",IFERROR(INDEX(MMWR_RATING_STATE_ROLLUP_PMC[],MATCH($B39,MMWR_RATING_STATE_ROLLUP_PMC[MMWR_RATING_STATE_ROLLUP_PMC],0),MATCH(I$9,MMWR_RATING_STATE_ROLLUP_PMC[#Headers],0)),"ERROR"))</f>
        <v>81.018735363000005</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97</v>
      </c>
      <c r="D40" s="155">
        <f>IF($B40=" ","",IFERROR(INDEX(MMWR_RATING_STATE_ROLLUP_PMC[],MATCH($B40,MMWR_RATING_STATE_ROLLUP_PMC[MMWR_RATING_STATE_ROLLUP_PMC],0),MATCH(D$9,MMWR_RATING_STATE_ROLLUP_PMC[#Headers],0)),"ERROR"))</f>
        <v>68.164948453600005</v>
      </c>
      <c r="E40" s="156">
        <f>IF($B40=" ","",IFERROR(INDEX(MMWR_RATING_STATE_ROLLUP_PMC[],MATCH($B40,MMWR_RATING_STATE_ROLLUP_PMC[MMWR_RATING_STATE_ROLLUP_PMC],0),MATCH(E$9,MMWR_RATING_STATE_ROLLUP_PMC[#Headers],0))/$C40,"ERROR"))</f>
        <v>7.2164948453608241E-2</v>
      </c>
      <c r="F40" s="154">
        <f>IF($B40=" ","",IFERROR(INDEX(MMWR_RATING_STATE_ROLLUP_PMC[],MATCH($B40,MMWR_RATING_STATE_ROLLUP_PMC[MMWR_RATING_STATE_ROLLUP_PMC],0),MATCH(F$9,MMWR_RATING_STATE_ROLLUP_PMC[#Headers],0)),"ERROR"))</f>
        <v>24</v>
      </c>
      <c r="G40" s="154">
        <f>IF($B40=" ","",IFERROR(INDEX(MMWR_RATING_STATE_ROLLUP_PMC[],MATCH($B40,MMWR_RATING_STATE_ROLLUP_PMC[MMWR_RATING_STATE_ROLLUP_PMC],0),MATCH(G$9,MMWR_RATING_STATE_ROLLUP_PMC[#Headers],0)),"ERROR"))</f>
        <v>97</v>
      </c>
      <c r="H40" s="155">
        <f>IF($B40=" ","",IFERROR(INDEX(MMWR_RATING_STATE_ROLLUP_PMC[],MATCH($B40,MMWR_RATING_STATE_ROLLUP_PMC[MMWR_RATING_STATE_ROLLUP_PMC],0),MATCH(H$9,MMWR_RATING_STATE_ROLLUP_PMC[#Headers],0)),"ERROR"))</f>
        <v>91.208333333300004</v>
      </c>
      <c r="I40" s="155">
        <f>IF($B40=" ","",IFERROR(INDEX(MMWR_RATING_STATE_ROLLUP_PMC[],MATCH($B40,MMWR_RATING_STATE_ROLLUP_PMC[MMWR_RATING_STATE_ROLLUP_PMC],0),MATCH(I$9,MMWR_RATING_STATE_ROLLUP_PMC[#Headers],0)),"ERROR"))</f>
        <v>85.113402061900004</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477</v>
      </c>
      <c r="D41" s="155">
        <f>IF($B41=" ","",IFERROR(INDEX(MMWR_RATING_STATE_ROLLUP_PMC[],MATCH($B41,MMWR_RATING_STATE_ROLLUP_PMC[MMWR_RATING_STATE_ROLLUP_PMC],0),MATCH(D$9,MMWR_RATING_STATE_ROLLUP_PMC[#Headers],0)),"ERROR"))</f>
        <v>70.115303983199993</v>
      </c>
      <c r="E41" s="156">
        <f>IF($B41=" ","",IFERROR(INDEX(MMWR_RATING_STATE_ROLLUP_PMC[],MATCH($B41,MMWR_RATING_STATE_ROLLUP_PMC[MMWR_RATING_STATE_ROLLUP_PMC],0),MATCH(E$9,MMWR_RATING_STATE_ROLLUP_PMC[#Headers],0))/$C41,"ERROR"))</f>
        <v>0.11740041928721175</v>
      </c>
      <c r="F41" s="154">
        <f>IF($B41=" ","",IFERROR(INDEX(MMWR_RATING_STATE_ROLLUP_PMC[],MATCH($B41,MMWR_RATING_STATE_ROLLUP_PMC[MMWR_RATING_STATE_ROLLUP_PMC],0),MATCH(F$9,MMWR_RATING_STATE_ROLLUP_PMC[#Headers],0)),"ERROR"))</f>
        <v>131</v>
      </c>
      <c r="G41" s="154">
        <f>IF($B41=" ","",IFERROR(INDEX(MMWR_RATING_STATE_ROLLUP_PMC[],MATCH($B41,MMWR_RATING_STATE_ROLLUP_PMC[MMWR_RATING_STATE_ROLLUP_PMC],0),MATCH(G$9,MMWR_RATING_STATE_ROLLUP_PMC[#Headers],0)),"ERROR"))</f>
        <v>466</v>
      </c>
      <c r="H41" s="155">
        <f>IF($B41=" ","",IFERROR(INDEX(MMWR_RATING_STATE_ROLLUP_PMC[],MATCH($B41,MMWR_RATING_STATE_ROLLUP_PMC[MMWR_RATING_STATE_ROLLUP_PMC],0),MATCH(H$9,MMWR_RATING_STATE_ROLLUP_PMC[#Headers],0)),"ERROR"))</f>
        <v>78.938931297699995</v>
      </c>
      <c r="I41" s="155">
        <f>IF($B41=" ","",IFERROR(INDEX(MMWR_RATING_STATE_ROLLUP_PMC[],MATCH($B41,MMWR_RATING_STATE_ROLLUP_PMC[MMWR_RATING_STATE_ROLLUP_PMC],0),MATCH(I$9,MMWR_RATING_STATE_ROLLUP_PMC[#Headers],0)),"ERROR"))</f>
        <v>77.070815450599994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1268</v>
      </c>
      <c r="D42" s="155">
        <f>IF($B42=" ","",IFERROR(INDEX(MMWR_RATING_STATE_ROLLUP_PMC[],MATCH($B42,MMWR_RATING_STATE_ROLLUP_PMC[MMWR_RATING_STATE_ROLLUP_PMC],0),MATCH(D$9,MMWR_RATING_STATE_ROLLUP_PMC[#Headers],0)),"ERROR"))</f>
        <v>70.511041009500005</v>
      </c>
      <c r="E42" s="156">
        <f>IF($B42=" ","",IFERROR(INDEX(MMWR_RATING_STATE_ROLLUP_PMC[],MATCH($B42,MMWR_RATING_STATE_ROLLUP_PMC[MMWR_RATING_STATE_ROLLUP_PMC],0),MATCH(E$9,MMWR_RATING_STATE_ROLLUP_PMC[#Headers],0))/$C42,"ERROR"))</f>
        <v>8.5173501577287064E-2</v>
      </c>
      <c r="F42" s="154">
        <f>IF($B42=" ","",IFERROR(INDEX(MMWR_RATING_STATE_ROLLUP_PMC[],MATCH($B42,MMWR_RATING_STATE_ROLLUP_PMC[MMWR_RATING_STATE_ROLLUP_PMC],0),MATCH(F$9,MMWR_RATING_STATE_ROLLUP_PMC[#Headers],0)),"ERROR"))</f>
        <v>362</v>
      </c>
      <c r="G42" s="154">
        <f>IF($B42=" ","",IFERROR(INDEX(MMWR_RATING_STATE_ROLLUP_PMC[],MATCH($B42,MMWR_RATING_STATE_ROLLUP_PMC[MMWR_RATING_STATE_ROLLUP_PMC],0),MATCH(G$9,MMWR_RATING_STATE_ROLLUP_PMC[#Headers],0)),"ERROR"))</f>
        <v>1147</v>
      </c>
      <c r="H42" s="155">
        <f>IF($B42=" ","",IFERROR(INDEX(MMWR_RATING_STATE_ROLLUP_PMC[],MATCH($B42,MMWR_RATING_STATE_ROLLUP_PMC[MMWR_RATING_STATE_ROLLUP_PMC],0),MATCH(H$9,MMWR_RATING_STATE_ROLLUP_PMC[#Headers],0)),"ERROR"))</f>
        <v>89.580110497199996</v>
      </c>
      <c r="I42" s="155">
        <f>IF($B42=" ","",IFERROR(INDEX(MMWR_RATING_STATE_ROLLUP_PMC[],MATCH($B42,MMWR_RATING_STATE_ROLLUP_PMC[MMWR_RATING_STATE_ROLLUP_PMC],0),MATCH(I$9,MMWR_RATING_STATE_ROLLUP_PMC[#Headers],0)),"ERROR"))</f>
        <v>82.602441150800004</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1189</v>
      </c>
      <c r="D43" s="155">
        <f>IF($B43=" ","",IFERROR(INDEX(MMWR_RATING_STATE_ROLLUP_PMC[],MATCH($B43,MMWR_RATING_STATE_ROLLUP_PMC[MMWR_RATING_STATE_ROLLUP_PMC],0),MATCH(D$9,MMWR_RATING_STATE_ROLLUP_PMC[#Headers],0)),"ERROR"))</f>
        <v>70.091673675400003</v>
      </c>
      <c r="E43" s="156">
        <f>IF($B43=" ","",IFERROR(INDEX(MMWR_RATING_STATE_ROLLUP_PMC[],MATCH($B43,MMWR_RATING_STATE_ROLLUP_PMC[MMWR_RATING_STATE_ROLLUP_PMC],0),MATCH(E$9,MMWR_RATING_STATE_ROLLUP_PMC[#Headers],0))/$C43,"ERROR"))</f>
        <v>0.1118587047939445</v>
      </c>
      <c r="F43" s="154">
        <f>IF($B43=" ","",IFERROR(INDEX(MMWR_RATING_STATE_ROLLUP_PMC[],MATCH($B43,MMWR_RATING_STATE_ROLLUP_PMC[MMWR_RATING_STATE_ROLLUP_PMC],0),MATCH(F$9,MMWR_RATING_STATE_ROLLUP_PMC[#Headers],0)),"ERROR"))</f>
        <v>363</v>
      </c>
      <c r="G43" s="154">
        <f>IF($B43=" ","",IFERROR(INDEX(MMWR_RATING_STATE_ROLLUP_PMC[],MATCH($B43,MMWR_RATING_STATE_ROLLUP_PMC[MMWR_RATING_STATE_ROLLUP_PMC],0),MATCH(G$9,MMWR_RATING_STATE_ROLLUP_PMC[#Headers],0)),"ERROR"))</f>
        <v>1124</v>
      </c>
      <c r="H43" s="155">
        <f>IF($B43=" ","",IFERROR(INDEX(MMWR_RATING_STATE_ROLLUP_PMC[],MATCH($B43,MMWR_RATING_STATE_ROLLUP_PMC[MMWR_RATING_STATE_ROLLUP_PMC],0),MATCH(H$9,MMWR_RATING_STATE_ROLLUP_PMC[#Headers],0)),"ERROR"))</f>
        <v>85.586776859500006</v>
      </c>
      <c r="I43" s="155">
        <f>IF($B43=" ","",IFERROR(INDEX(MMWR_RATING_STATE_ROLLUP_PMC[],MATCH($B43,MMWR_RATING_STATE_ROLLUP_PMC[MMWR_RATING_STATE_ROLLUP_PMC],0),MATCH(I$9,MMWR_RATING_STATE_ROLLUP_PMC[#Headers],0)),"ERROR"))</f>
        <v>81.180604982199995</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1510</v>
      </c>
      <c r="D44" s="155">
        <f>IF($B44=" ","",IFERROR(INDEX(MMWR_RATING_STATE_ROLLUP_PMC[],MATCH($B44,MMWR_RATING_STATE_ROLLUP_PMC[MMWR_RATING_STATE_ROLLUP_PMC],0),MATCH(D$9,MMWR_RATING_STATE_ROLLUP_PMC[#Headers],0)),"ERROR"))</f>
        <v>67.413245033099997</v>
      </c>
      <c r="E44" s="156">
        <f>IF($B44=" ","",IFERROR(INDEX(MMWR_RATING_STATE_ROLLUP_PMC[],MATCH($B44,MMWR_RATING_STATE_ROLLUP_PMC[MMWR_RATING_STATE_ROLLUP_PMC],0),MATCH(E$9,MMWR_RATING_STATE_ROLLUP_PMC[#Headers],0))/$C44,"ERROR"))</f>
        <v>8.7417218543046363E-2</v>
      </c>
      <c r="F44" s="154">
        <f>IF($B44=" ","",IFERROR(INDEX(MMWR_RATING_STATE_ROLLUP_PMC[],MATCH($B44,MMWR_RATING_STATE_ROLLUP_PMC[MMWR_RATING_STATE_ROLLUP_PMC],0),MATCH(F$9,MMWR_RATING_STATE_ROLLUP_PMC[#Headers],0)),"ERROR"))</f>
        <v>441</v>
      </c>
      <c r="G44" s="154">
        <f>IF($B44=" ","",IFERROR(INDEX(MMWR_RATING_STATE_ROLLUP_PMC[],MATCH($B44,MMWR_RATING_STATE_ROLLUP_PMC[MMWR_RATING_STATE_ROLLUP_PMC],0),MATCH(G$9,MMWR_RATING_STATE_ROLLUP_PMC[#Headers],0)),"ERROR"))</f>
        <v>1369</v>
      </c>
      <c r="H44" s="155">
        <f>IF($B44=" ","",IFERROR(INDEX(MMWR_RATING_STATE_ROLLUP_PMC[],MATCH($B44,MMWR_RATING_STATE_ROLLUP_PMC[MMWR_RATING_STATE_ROLLUP_PMC],0),MATCH(H$9,MMWR_RATING_STATE_ROLLUP_PMC[#Headers],0)),"ERROR"))</f>
        <v>79.535147392300004</v>
      </c>
      <c r="I44" s="155">
        <f>IF($B44=" ","",IFERROR(INDEX(MMWR_RATING_STATE_ROLLUP_PMC[],MATCH($B44,MMWR_RATING_STATE_ROLLUP_PMC[MMWR_RATING_STATE_ROLLUP_PMC],0),MATCH(I$9,MMWR_RATING_STATE_ROLLUP_PMC[#Headers],0)),"ERROR"))</f>
        <v>81.371073776499998</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107</v>
      </c>
      <c r="D45" s="155">
        <f>IF($B45=" ","",IFERROR(INDEX(MMWR_RATING_STATE_ROLLUP_PMC[],MATCH($B45,MMWR_RATING_STATE_ROLLUP_PMC[MMWR_RATING_STATE_ROLLUP_PMC],0),MATCH(D$9,MMWR_RATING_STATE_ROLLUP_PMC[#Headers],0)),"ERROR"))</f>
        <v>69.467289719600004</v>
      </c>
      <c r="E45" s="156">
        <f>IF($B45=" ","",IFERROR(INDEX(MMWR_RATING_STATE_ROLLUP_PMC[],MATCH($B45,MMWR_RATING_STATE_ROLLUP_PMC[MMWR_RATING_STATE_ROLLUP_PMC],0),MATCH(E$9,MMWR_RATING_STATE_ROLLUP_PMC[#Headers],0))/$C45,"ERROR"))</f>
        <v>0.14018691588785046</v>
      </c>
      <c r="F45" s="154">
        <f>IF($B45=" ","",IFERROR(INDEX(MMWR_RATING_STATE_ROLLUP_PMC[],MATCH($B45,MMWR_RATING_STATE_ROLLUP_PMC[MMWR_RATING_STATE_ROLLUP_PMC],0),MATCH(F$9,MMWR_RATING_STATE_ROLLUP_PMC[#Headers],0)),"ERROR"))</f>
        <v>36</v>
      </c>
      <c r="G45" s="154">
        <f>IF($B45=" ","",IFERROR(INDEX(MMWR_RATING_STATE_ROLLUP_PMC[],MATCH($B45,MMWR_RATING_STATE_ROLLUP_PMC[MMWR_RATING_STATE_ROLLUP_PMC],0),MATCH(G$9,MMWR_RATING_STATE_ROLLUP_PMC[#Headers],0)),"ERROR"))</f>
        <v>123</v>
      </c>
      <c r="H45" s="155">
        <f>IF($B45=" ","",IFERROR(INDEX(MMWR_RATING_STATE_ROLLUP_PMC[],MATCH($B45,MMWR_RATING_STATE_ROLLUP_PMC[MMWR_RATING_STATE_ROLLUP_PMC],0),MATCH(H$9,MMWR_RATING_STATE_ROLLUP_PMC[#Headers],0)),"ERROR"))</f>
        <v>104.80555555559999</v>
      </c>
      <c r="I45" s="155">
        <f>IF($B45=" ","",IFERROR(INDEX(MMWR_RATING_STATE_ROLLUP_PMC[],MATCH($B45,MMWR_RATING_STATE_ROLLUP_PMC[MMWR_RATING_STATE_ROLLUP_PMC],0),MATCH(I$9,MMWR_RATING_STATE_ROLLUP_PMC[#Headers],0)),"ERROR"))</f>
        <v>90.186991869899998</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47</v>
      </c>
      <c r="D46" s="155">
        <f>IF($B46=" ","",IFERROR(INDEX(MMWR_RATING_STATE_ROLLUP_PMC[],MATCH($B46,MMWR_RATING_STATE_ROLLUP_PMC[MMWR_RATING_STATE_ROLLUP_PMC],0),MATCH(D$9,MMWR_RATING_STATE_ROLLUP_PMC[#Headers],0)),"ERROR"))</f>
        <v>62.340425531900003</v>
      </c>
      <c r="E46" s="156">
        <f>IF($B46=" ","",IFERROR(INDEX(MMWR_RATING_STATE_ROLLUP_PMC[],MATCH($B46,MMWR_RATING_STATE_ROLLUP_PMC[MMWR_RATING_STATE_ROLLUP_PMC],0),MATCH(E$9,MMWR_RATING_STATE_ROLLUP_PMC[#Headers],0))/$C46,"ERROR"))</f>
        <v>6.3829787234042548E-2</v>
      </c>
      <c r="F46" s="154">
        <f>IF($B46=" ","",IFERROR(INDEX(MMWR_RATING_STATE_ROLLUP_PMC[],MATCH($B46,MMWR_RATING_STATE_ROLLUP_PMC[MMWR_RATING_STATE_ROLLUP_PMC],0),MATCH(F$9,MMWR_RATING_STATE_ROLLUP_PMC[#Headers],0)),"ERROR"))</f>
        <v>6</v>
      </c>
      <c r="G46" s="154">
        <f>IF($B46=" ","",IFERROR(INDEX(MMWR_RATING_STATE_ROLLUP_PMC[],MATCH($B46,MMWR_RATING_STATE_ROLLUP_PMC[MMWR_RATING_STATE_ROLLUP_PMC],0),MATCH(G$9,MMWR_RATING_STATE_ROLLUP_PMC[#Headers],0)),"ERROR"))</f>
        <v>26</v>
      </c>
      <c r="H46" s="155">
        <f>IF($B46=" ","",IFERROR(INDEX(MMWR_RATING_STATE_ROLLUP_PMC[],MATCH($B46,MMWR_RATING_STATE_ROLLUP_PMC[MMWR_RATING_STATE_ROLLUP_PMC],0),MATCH(H$9,MMWR_RATING_STATE_ROLLUP_PMC[#Headers],0)),"ERROR"))</f>
        <v>101.6666666667</v>
      </c>
      <c r="I46" s="155">
        <f>IF($B46=" ","",IFERROR(INDEX(MMWR_RATING_STATE_ROLLUP_PMC[],MATCH($B46,MMWR_RATING_STATE_ROLLUP_PMC[MMWR_RATING_STATE_ROLLUP_PMC],0),MATCH(I$9,MMWR_RATING_STATE_ROLLUP_PMC[#Headers],0)),"ERROR"))</f>
        <v>93.384615384599996</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755</v>
      </c>
      <c r="D47" s="155">
        <f>IF($B47=" ","",IFERROR(INDEX(MMWR_RATING_STATE_ROLLUP_PMC[],MATCH($B47,MMWR_RATING_STATE_ROLLUP_PMC[MMWR_RATING_STATE_ROLLUP_PMC],0),MATCH(D$9,MMWR_RATING_STATE_ROLLUP_PMC[#Headers],0)),"ERROR"))</f>
        <v>72.275496688700002</v>
      </c>
      <c r="E47" s="156">
        <f>IF($B47=" ","",IFERROR(INDEX(MMWR_RATING_STATE_ROLLUP_PMC[],MATCH($B47,MMWR_RATING_STATE_ROLLUP_PMC[MMWR_RATING_STATE_ROLLUP_PMC],0),MATCH(E$9,MMWR_RATING_STATE_ROLLUP_PMC[#Headers],0))/$C47,"ERROR"))</f>
        <v>0.11655629139072848</v>
      </c>
      <c r="F47" s="154">
        <f>IF($B47=" ","",IFERROR(INDEX(MMWR_RATING_STATE_ROLLUP_PMC[],MATCH($B47,MMWR_RATING_STATE_ROLLUP_PMC[MMWR_RATING_STATE_ROLLUP_PMC],0),MATCH(F$9,MMWR_RATING_STATE_ROLLUP_PMC[#Headers],0)),"ERROR"))</f>
        <v>219</v>
      </c>
      <c r="G47" s="154">
        <f>IF($B47=" ","",IFERROR(INDEX(MMWR_RATING_STATE_ROLLUP_PMC[],MATCH($B47,MMWR_RATING_STATE_ROLLUP_PMC[MMWR_RATING_STATE_ROLLUP_PMC],0),MATCH(G$9,MMWR_RATING_STATE_ROLLUP_PMC[#Headers],0)),"ERROR"))</f>
        <v>744</v>
      </c>
      <c r="H47" s="155">
        <f>IF($B47=" ","",IFERROR(INDEX(MMWR_RATING_STATE_ROLLUP_PMC[],MATCH($B47,MMWR_RATING_STATE_ROLLUP_PMC[MMWR_RATING_STATE_ROLLUP_PMC],0),MATCH(H$9,MMWR_RATING_STATE_ROLLUP_PMC[#Headers],0)),"ERROR"))</f>
        <v>89.013698630099995</v>
      </c>
      <c r="I47" s="155">
        <f>IF($B47=" ","",IFERROR(INDEX(MMWR_RATING_STATE_ROLLUP_PMC[],MATCH($B47,MMWR_RATING_STATE_ROLLUP_PMC[MMWR_RATING_STATE_ROLLUP_PMC],0),MATCH(I$9,MMWR_RATING_STATE_ROLLUP_PMC[#Headers],0)),"ERROR"))</f>
        <v>89.879032258099997</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250</v>
      </c>
      <c r="D48" s="155">
        <f>IF($B48=" ","",IFERROR(INDEX(MMWR_RATING_STATE_ROLLUP_PMC[],MATCH($B48,MMWR_RATING_STATE_ROLLUP_PMC[MMWR_RATING_STATE_ROLLUP_PMC],0),MATCH(D$9,MMWR_RATING_STATE_ROLLUP_PMC[#Headers],0)),"ERROR"))</f>
        <v>72.34</v>
      </c>
      <c r="E48" s="156">
        <f>IF($B48=" ","",IFERROR(INDEX(MMWR_RATING_STATE_ROLLUP_PMC[],MATCH($B48,MMWR_RATING_STATE_ROLLUP_PMC[MMWR_RATING_STATE_ROLLUP_PMC],0),MATCH(E$9,MMWR_RATING_STATE_ROLLUP_PMC[#Headers],0))/$C48,"ERROR"))</f>
        <v>0.124</v>
      </c>
      <c r="F48" s="154">
        <f>IF($B48=" ","",IFERROR(INDEX(MMWR_RATING_STATE_ROLLUP_PMC[],MATCH($B48,MMWR_RATING_STATE_ROLLUP_PMC[MMWR_RATING_STATE_ROLLUP_PMC],0),MATCH(F$9,MMWR_RATING_STATE_ROLLUP_PMC[#Headers],0)),"ERROR"))</f>
        <v>75</v>
      </c>
      <c r="G48" s="154">
        <f>IF($B48=" ","",IFERROR(INDEX(MMWR_RATING_STATE_ROLLUP_PMC[],MATCH($B48,MMWR_RATING_STATE_ROLLUP_PMC[MMWR_RATING_STATE_ROLLUP_PMC],0),MATCH(G$9,MMWR_RATING_STATE_ROLLUP_PMC[#Headers],0)),"ERROR"))</f>
        <v>246</v>
      </c>
      <c r="H48" s="155">
        <f>IF($B48=" ","",IFERROR(INDEX(MMWR_RATING_STATE_ROLLUP_PMC[],MATCH($B48,MMWR_RATING_STATE_ROLLUP_PMC[MMWR_RATING_STATE_ROLLUP_PMC],0),MATCH(H$9,MMWR_RATING_STATE_ROLLUP_PMC[#Headers],0)),"ERROR"))</f>
        <v>96.613333333300005</v>
      </c>
      <c r="I48" s="155">
        <f>IF($B48=" ","",IFERROR(INDEX(MMWR_RATING_STATE_ROLLUP_PMC[],MATCH($B48,MMWR_RATING_STATE_ROLLUP_PMC[MMWR_RATING_STATE_ROLLUP_PMC],0),MATCH(I$9,MMWR_RATING_STATE_ROLLUP_PMC[#Headers],0)),"ERROR"))</f>
        <v>86.4715447154</v>
      </c>
      <c r="J48" s="42"/>
      <c r="K48" s="42"/>
      <c r="L48" s="42"/>
      <c r="M48" s="42"/>
      <c r="N48" s="28"/>
    </row>
    <row r="49" spans="1:14" x14ac:dyDescent="0.2">
      <c r="A49" s="25"/>
      <c r="B49" s="393" t="s">
        <v>1040</v>
      </c>
      <c r="C49" s="394"/>
      <c r="D49" s="394"/>
      <c r="E49" s="394"/>
      <c r="F49" s="394"/>
      <c r="G49" s="394"/>
      <c r="H49" s="394"/>
      <c r="I49" s="394"/>
      <c r="J49" s="394"/>
      <c r="K49" s="394"/>
      <c r="L49" s="394"/>
      <c r="M49" s="403"/>
      <c r="N49" s="28"/>
    </row>
    <row r="50" spans="1:14" x14ac:dyDescent="0.2">
      <c r="A50" s="25"/>
      <c r="B50" s="41" t="s">
        <v>1039</v>
      </c>
      <c r="C50" s="154">
        <f>IF($B50=" ","",IFERROR(INDEX(MMWR_RATING_STATE_ROLLUP_QST[],MATCH($B50,MMWR_RATING_STATE_ROLLUP_QST[MMWR_RATING_STATE_ROLLUP_QST],0),MATCH(C$9,MMWR_RATING_STATE_ROLLUP_QST[#Headers],0)),"ERROR"))</f>
        <v>10477</v>
      </c>
      <c r="D50" s="155">
        <f>IF($B50=" ","",IFERROR(INDEX(MMWR_RATING_STATE_ROLLUP_QST[],MATCH($B50,MMWR_RATING_STATE_ROLLUP_QST[MMWR_RATING_STATE_ROLLUP_QST],0),MATCH(D$9,MMWR_RATING_STATE_ROLLUP_QST[#Headers],0)),"ERROR"))</f>
        <v>86.1505201871</v>
      </c>
      <c r="E50" s="156">
        <f>IF($B50=" ","",IFERROR(INDEX(MMWR_RATING_STATE_ROLLUP_QST[],MATCH($B50,MMWR_RATING_STATE_ROLLUP_QST[MMWR_RATING_STATE_ROLLUP_QST],0),MATCH(E$9,MMWR_RATING_STATE_ROLLUP_QST[#Headers],0))/$C50,"ERROR"))</f>
        <v>0.17600458146415959</v>
      </c>
      <c r="F50" s="154">
        <f>IF($B50=" ","",IFERROR(INDEX(MMWR_RATING_STATE_ROLLUP_QST[],MATCH($B50,MMWR_RATING_STATE_ROLLUP_QST[MMWR_RATING_STATE_ROLLUP_QST],0),MATCH(F$9,MMWR_RATING_STATE_ROLLUP_QST[#Headers],0)),"ERROR"))</f>
        <v>1452</v>
      </c>
      <c r="G50" s="154">
        <f>IF($B50=" ","",IFERROR(INDEX(MMWR_RATING_STATE_ROLLUP_QST[],MATCH($B50,MMWR_RATING_STATE_ROLLUP_QST[MMWR_RATING_STATE_ROLLUP_QST],0),MATCH(G$9,MMWR_RATING_STATE_ROLLUP_QST[#Headers],0)),"ERROR"))</f>
        <v>4458</v>
      </c>
      <c r="H50" s="155">
        <f>IF($B50=" ","",IFERROR(INDEX(MMWR_RATING_STATE_ROLLUP_QST[],MATCH($B50,MMWR_RATING_STATE_ROLLUP_QST[MMWR_RATING_STATE_ROLLUP_QST],0),MATCH(H$9,MMWR_RATING_STATE_ROLLUP_QST[#Headers],0)),"ERROR"))</f>
        <v>145.5282369146</v>
      </c>
      <c r="I50" s="155">
        <f>IF($B50=" ","",IFERROR(INDEX(MMWR_RATING_STATE_ROLLUP_QST[],MATCH($B50,MMWR_RATING_STATE_ROLLUP_QST[MMWR_RATING_STATE_ROLLUP_QST],0),MATCH(I$9,MMWR_RATING_STATE_ROLLUP_QST[#Headers],0)),"ERROR"))</f>
        <v>138.9295648273</v>
      </c>
      <c r="J50" s="42"/>
      <c r="K50" s="42"/>
      <c r="L50" s="42"/>
      <c r="M50" s="42"/>
      <c r="N50" s="28"/>
    </row>
    <row r="51" spans="1:14" x14ac:dyDescent="0.2">
      <c r="A51" s="25"/>
      <c r="B51" s="249" t="str">
        <f>INDEX(DISTRICT_STATES[],MATCH($B$5,DISTRICT_RO[District],0),1)</f>
        <v>North Atlantic</v>
      </c>
      <c r="C51" s="154">
        <f>IF($B51=" ","",IFERROR(INDEX(MMWR_RATING_STATE_ROLLUP_QST[],MATCH($B51,MMWR_RATING_STATE_ROLLUP_QST[MMWR_RATING_STATE_ROLLUP_QST],0),MATCH(C$9,MMWR_RATING_STATE_ROLLUP_QST[#Headers],0)),"ERROR"))</f>
        <v>2467</v>
      </c>
      <c r="D51" s="155">
        <f>IF($B51=" ","",IFERROR(INDEX(MMWR_RATING_STATE_ROLLUP_QST[],MATCH($B51,MMWR_RATING_STATE_ROLLUP_QST[MMWR_RATING_STATE_ROLLUP_QST],0),MATCH(D$9,MMWR_RATING_STATE_ROLLUP_QST[#Headers],0)),"ERROR"))</f>
        <v>89.107823267100002</v>
      </c>
      <c r="E51" s="156">
        <f>IF($B51=" ","",IFERROR(INDEX(MMWR_RATING_STATE_ROLLUP_QST[],MATCH($B51,MMWR_RATING_STATE_ROLLUP_QST[MMWR_RATING_STATE_ROLLUP_QST],0),MATCH(E$9,MMWR_RATING_STATE_ROLLUP_QST[#Headers],0))/$C51,"ERROR"))</f>
        <v>0.2030806647750304</v>
      </c>
      <c r="F51" s="154">
        <f>IF($B51=" ","",IFERROR(INDEX(MMWR_RATING_STATE_ROLLUP_QST[],MATCH($B51,MMWR_RATING_STATE_ROLLUP_QST[MMWR_RATING_STATE_ROLLUP_QST],0),MATCH(F$9,MMWR_RATING_STATE_ROLLUP_QST[#Headers],0)),"ERROR"))</f>
        <v>353</v>
      </c>
      <c r="G51" s="154">
        <f>IF($B51=" ","",IFERROR(INDEX(MMWR_RATING_STATE_ROLLUP_QST[],MATCH($B51,MMWR_RATING_STATE_ROLLUP_QST[MMWR_RATING_STATE_ROLLUP_QST],0),MATCH(G$9,MMWR_RATING_STATE_ROLLUP_QST[#Headers],0)),"ERROR"))</f>
        <v>1020</v>
      </c>
      <c r="H51" s="155">
        <f>IF($B51=" ","",IFERROR(INDEX(MMWR_RATING_STATE_ROLLUP_QST[],MATCH($B51,MMWR_RATING_STATE_ROLLUP_QST[MMWR_RATING_STATE_ROLLUP_QST],0),MATCH(H$9,MMWR_RATING_STATE_ROLLUP_QST[#Headers],0)),"ERROR"))</f>
        <v>151.94900849859999</v>
      </c>
      <c r="I51" s="155">
        <f>IF($B51=" ","",IFERROR(INDEX(MMWR_RATING_STATE_ROLLUP_QST[],MATCH($B51,MMWR_RATING_STATE_ROLLUP_QST[MMWR_RATING_STATE_ROLLUP_QST],0),MATCH(I$9,MMWR_RATING_STATE_ROLLUP_QST[#Headers],0)),"ERROR"))</f>
        <v>145.75882352939999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51</v>
      </c>
      <c r="D52" s="155">
        <f>IF($B52=" ","",IFERROR(INDEX(MMWR_RATING_STATE_ROLLUP_QST[],MATCH($B52,MMWR_RATING_STATE_ROLLUP_QST[MMWR_RATING_STATE_ROLLUP_QST],0),MATCH(D$9,MMWR_RATING_STATE_ROLLUP_QST[#Headers],0)),"ERROR"))</f>
        <v>91.882352941199997</v>
      </c>
      <c r="E52" s="156">
        <f>IF($B52=" ","",IFERROR(INDEX(MMWR_RATING_STATE_ROLLUP_QST[],MATCH($B52,MMWR_RATING_STATE_ROLLUP_QST[MMWR_RATING_STATE_ROLLUP_QST],0),MATCH(E$9,MMWR_RATING_STATE_ROLLUP_QST[#Headers],0))/$C52,"ERROR"))</f>
        <v>0.21568627450980393</v>
      </c>
      <c r="F52" s="154">
        <f>IF($B52=" ","",IFERROR(INDEX(MMWR_RATING_STATE_ROLLUP_QST[],MATCH($B52,MMWR_RATING_STATE_ROLLUP_QST[MMWR_RATING_STATE_ROLLUP_QST],0),MATCH(F$9,MMWR_RATING_STATE_ROLLUP_QST[#Headers],0)),"ERROR"))</f>
        <v>10</v>
      </c>
      <c r="G52" s="154">
        <f>IF($B52=" ","",IFERROR(INDEX(MMWR_RATING_STATE_ROLLUP_QST[],MATCH($B52,MMWR_RATING_STATE_ROLLUP_QST[MMWR_RATING_STATE_ROLLUP_QST],0),MATCH(G$9,MMWR_RATING_STATE_ROLLUP_QST[#Headers],0)),"ERROR"))</f>
        <v>29</v>
      </c>
      <c r="H52" s="155">
        <f>IF($B52=" ","",IFERROR(INDEX(MMWR_RATING_STATE_ROLLUP_QST[],MATCH($B52,MMWR_RATING_STATE_ROLLUP_QST[MMWR_RATING_STATE_ROLLUP_QST],0),MATCH(H$9,MMWR_RATING_STATE_ROLLUP_QST[#Headers],0)),"ERROR"))</f>
        <v>132.80000000000001</v>
      </c>
      <c r="I52" s="155">
        <f>IF($B52=" ","",IFERROR(INDEX(MMWR_RATING_STATE_ROLLUP_QST[],MATCH($B52,MMWR_RATING_STATE_ROLLUP_QST[MMWR_RATING_STATE_ROLLUP_QST],0),MATCH(I$9,MMWR_RATING_STATE_ROLLUP_QST[#Headers],0)),"ERROR"))</f>
        <v>125.03448275860001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20</v>
      </c>
      <c r="D53" s="155">
        <f>IF($B53=" ","",IFERROR(INDEX(MMWR_RATING_STATE_ROLLUP_QST[],MATCH($B53,MMWR_RATING_STATE_ROLLUP_QST[MMWR_RATING_STATE_ROLLUP_QST],0),MATCH(D$9,MMWR_RATING_STATE_ROLLUP_QST[#Headers],0)),"ERROR"))</f>
        <v>89</v>
      </c>
      <c r="E53" s="156">
        <f>IF($B53=" ","",IFERROR(INDEX(MMWR_RATING_STATE_ROLLUP_QST[],MATCH($B53,MMWR_RATING_STATE_ROLLUP_QST[MMWR_RATING_STATE_ROLLUP_QST],0),MATCH(E$9,MMWR_RATING_STATE_ROLLUP_QST[#Headers],0))/$C53,"ERROR"))</f>
        <v>0.15</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10</v>
      </c>
      <c r="H53" s="155">
        <f>IF($B53=" ","",IFERROR(INDEX(MMWR_RATING_STATE_ROLLUP_QST[],MATCH($B53,MMWR_RATING_STATE_ROLLUP_QST[MMWR_RATING_STATE_ROLLUP_QST],0),MATCH(H$9,MMWR_RATING_STATE_ROLLUP_QST[#Headers],0)),"ERROR"))</f>
        <v>142.5</v>
      </c>
      <c r="I53" s="155">
        <f>IF($B53=" ","",IFERROR(INDEX(MMWR_RATING_STATE_ROLLUP_QST[],MATCH($B53,MMWR_RATING_STATE_ROLLUP_QST[MMWR_RATING_STATE_ROLLUP_QST],0),MATCH(I$9,MMWR_RATING_STATE_ROLLUP_QST[#Headers],0)),"ERROR"))</f>
        <v>148.1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25</v>
      </c>
      <c r="D54" s="155">
        <f>IF($B54=" ","",IFERROR(INDEX(MMWR_RATING_STATE_ROLLUP_QST[],MATCH($B54,MMWR_RATING_STATE_ROLLUP_QST[MMWR_RATING_STATE_ROLLUP_QST],0),MATCH(D$9,MMWR_RATING_STATE_ROLLUP_QST[#Headers],0)),"ERROR"))</f>
        <v>85.92</v>
      </c>
      <c r="E54" s="156">
        <f>IF($B54=" ","",IFERROR(INDEX(MMWR_RATING_STATE_ROLLUP_QST[],MATCH($B54,MMWR_RATING_STATE_ROLLUP_QST[MMWR_RATING_STATE_ROLLUP_QST],0),MATCH(E$9,MMWR_RATING_STATE_ROLLUP_QST[#Headers],0))/$C54,"ERROR"))</f>
        <v>0.2</v>
      </c>
      <c r="F54" s="154">
        <f>IF($B54=" ","",IFERROR(INDEX(MMWR_RATING_STATE_ROLLUP_QST[],MATCH($B54,MMWR_RATING_STATE_ROLLUP_QST[MMWR_RATING_STATE_ROLLUP_QST],0),MATCH(F$9,MMWR_RATING_STATE_ROLLUP_QST[#Headers],0)),"ERROR"))</f>
        <v>3</v>
      </c>
      <c r="G54" s="154">
        <f>IF($B54=" ","",IFERROR(INDEX(MMWR_RATING_STATE_ROLLUP_QST[],MATCH($B54,MMWR_RATING_STATE_ROLLUP_QST[MMWR_RATING_STATE_ROLLUP_QST],0),MATCH(G$9,MMWR_RATING_STATE_ROLLUP_QST[#Headers],0)),"ERROR"))</f>
        <v>7</v>
      </c>
      <c r="H54" s="155">
        <f>IF($B54=" ","",IFERROR(INDEX(MMWR_RATING_STATE_ROLLUP_QST[],MATCH($B54,MMWR_RATING_STATE_ROLLUP_QST[MMWR_RATING_STATE_ROLLUP_QST],0),MATCH(H$9,MMWR_RATING_STATE_ROLLUP_QST[#Headers],0)),"ERROR"))</f>
        <v>147.3333333333</v>
      </c>
      <c r="I54" s="155">
        <f>IF($B54=" ","",IFERROR(INDEX(MMWR_RATING_STATE_ROLLUP_QST[],MATCH($B54,MMWR_RATING_STATE_ROLLUP_QST[MMWR_RATING_STATE_ROLLUP_QST],0),MATCH(I$9,MMWR_RATING_STATE_ROLLUP_QST[#Headers],0)),"ERROR"))</f>
        <v>145.28571428570001</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34</v>
      </c>
      <c r="D55" s="155">
        <f>IF($B55=" ","",IFERROR(INDEX(MMWR_RATING_STATE_ROLLUP_QST[],MATCH($B55,MMWR_RATING_STATE_ROLLUP_QST[MMWR_RATING_STATE_ROLLUP_QST],0),MATCH(D$9,MMWR_RATING_STATE_ROLLUP_QST[#Headers],0)),"ERROR"))</f>
        <v>86.764705882399994</v>
      </c>
      <c r="E55" s="156">
        <f>IF($B55=" ","",IFERROR(INDEX(MMWR_RATING_STATE_ROLLUP_QST[],MATCH($B55,MMWR_RATING_STATE_ROLLUP_QST[MMWR_RATING_STATE_ROLLUP_QST],0),MATCH(E$9,MMWR_RATING_STATE_ROLLUP_QST[#Headers],0))/$C55,"ERROR"))</f>
        <v>0.14705882352941177</v>
      </c>
      <c r="F55" s="154">
        <f>IF($B55=" ","",IFERROR(INDEX(MMWR_RATING_STATE_ROLLUP_QST[],MATCH($B55,MMWR_RATING_STATE_ROLLUP_QST[MMWR_RATING_STATE_ROLLUP_QST],0),MATCH(F$9,MMWR_RATING_STATE_ROLLUP_QST[#Headers],0)),"ERROR"))</f>
        <v>3</v>
      </c>
      <c r="G55" s="154">
        <f>IF($B55=" ","",IFERROR(INDEX(MMWR_RATING_STATE_ROLLUP_QST[],MATCH($B55,MMWR_RATING_STATE_ROLLUP_QST[MMWR_RATING_STATE_ROLLUP_QST],0),MATCH(G$9,MMWR_RATING_STATE_ROLLUP_QST[#Headers],0)),"ERROR"))</f>
        <v>7</v>
      </c>
      <c r="H55" s="155">
        <f>IF($B55=" ","",IFERROR(INDEX(MMWR_RATING_STATE_ROLLUP_QST[],MATCH($B55,MMWR_RATING_STATE_ROLLUP_QST[MMWR_RATING_STATE_ROLLUP_QST],0),MATCH(H$9,MMWR_RATING_STATE_ROLLUP_QST[#Headers],0)),"ERROR"))</f>
        <v>153.6666666667</v>
      </c>
      <c r="I55" s="155">
        <f>IF($B55=" ","",IFERROR(INDEX(MMWR_RATING_STATE_ROLLUP_QST[],MATCH($B55,MMWR_RATING_STATE_ROLLUP_QST[MMWR_RATING_STATE_ROLLUP_QST],0),MATCH(I$9,MMWR_RATING_STATE_ROLLUP_QST[#Headers],0)),"ERROR"))</f>
        <v>150.1428571429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258</v>
      </c>
      <c r="D56" s="155">
        <f>IF($B56=" ","",IFERROR(INDEX(MMWR_RATING_STATE_ROLLUP_QST[],MATCH($B56,MMWR_RATING_STATE_ROLLUP_QST[MMWR_RATING_STATE_ROLLUP_QST],0),MATCH(D$9,MMWR_RATING_STATE_ROLLUP_QST[#Headers],0)),"ERROR"))</f>
        <v>93.976744186000005</v>
      </c>
      <c r="E56" s="156">
        <f>IF($B56=" ","",IFERROR(INDEX(MMWR_RATING_STATE_ROLLUP_QST[],MATCH($B56,MMWR_RATING_STATE_ROLLUP_QST[MMWR_RATING_STATE_ROLLUP_QST],0),MATCH(E$9,MMWR_RATING_STATE_ROLLUP_QST[#Headers],0))/$C56,"ERROR"))</f>
        <v>0.24031007751937986</v>
      </c>
      <c r="F56" s="154">
        <f>IF($B56=" ","",IFERROR(INDEX(MMWR_RATING_STATE_ROLLUP_QST[],MATCH($B56,MMWR_RATING_STATE_ROLLUP_QST[MMWR_RATING_STATE_ROLLUP_QST],0),MATCH(F$9,MMWR_RATING_STATE_ROLLUP_QST[#Headers],0)),"ERROR"))</f>
        <v>38</v>
      </c>
      <c r="G56" s="154">
        <f>IF($B56=" ","",IFERROR(INDEX(MMWR_RATING_STATE_ROLLUP_QST[],MATCH($B56,MMWR_RATING_STATE_ROLLUP_QST[MMWR_RATING_STATE_ROLLUP_QST],0),MATCH(G$9,MMWR_RATING_STATE_ROLLUP_QST[#Headers],0)),"ERROR"))</f>
        <v>110</v>
      </c>
      <c r="H56" s="155">
        <f>IF($B56=" ","",IFERROR(INDEX(MMWR_RATING_STATE_ROLLUP_QST[],MATCH($B56,MMWR_RATING_STATE_ROLLUP_QST[MMWR_RATING_STATE_ROLLUP_QST],0),MATCH(H$9,MMWR_RATING_STATE_ROLLUP_QST[#Headers],0)),"ERROR"))</f>
        <v>154.1052631579</v>
      </c>
      <c r="I56" s="155">
        <f>IF($B56=" ","",IFERROR(INDEX(MMWR_RATING_STATE_ROLLUP_QST[],MATCH($B56,MMWR_RATING_STATE_ROLLUP_QST[MMWR_RATING_STATE_ROLLUP_QST],0),MATCH(I$9,MMWR_RATING_STATE_ROLLUP_QST[#Headers],0)),"ERROR"))</f>
        <v>142.20909090910001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89</v>
      </c>
      <c r="D57" s="155">
        <f>IF($B57=" ","",IFERROR(INDEX(MMWR_RATING_STATE_ROLLUP_QST[],MATCH($B57,MMWR_RATING_STATE_ROLLUP_QST[MMWR_RATING_STATE_ROLLUP_QST],0),MATCH(D$9,MMWR_RATING_STATE_ROLLUP_QST[#Headers],0)),"ERROR"))</f>
        <v>90.898876404500001</v>
      </c>
      <c r="E57" s="156">
        <f>IF($B57=" ","",IFERROR(INDEX(MMWR_RATING_STATE_ROLLUP_QST[],MATCH($B57,MMWR_RATING_STATE_ROLLUP_QST[MMWR_RATING_STATE_ROLLUP_QST],0),MATCH(E$9,MMWR_RATING_STATE_ROLLUP_QST[#Headers],0))/$C57,"ERROR"))</f>
        <v>0.21348314606741572</v>
      </c>
      <c r="F57" s="154">
        <f>IF($B57=" ","",IFERROR(INDEX(MMWR_RATING_STATE_ROLLUP_QST[],MATCH($B57,MMWR_RATING_STATE_ROLLUP_QST[MMWR_RATING_STATE_ROLLUP_QST],0),MATCH(F$9,MMWR_RATING_STATE_ROLLUP_QST[#Headers],0)),"ERROR"))</f>
        <v>18</v>
      </c>
      <c r="G57" s="154">
        <f>IF($B57=" ","",IFERROR(INDEX(MMWR_RATING_STATE_ROLLUP_QST[],MATCH($B57,MMWR_RATING_STATE_ROLLUP_QST[MMWR_RATING_STATE_ROLLUP_QST],0),MATCH(G$9,MMWR_RATING_STATE_ROLLUP_QST[#Headers],0)),"ERROR"))</f>
        <v>55</v>
      </c>
      <c r="H57" s="155">
        <f>IF($B57=" ","",IFERROR(INDEX(MMWR_RATING_STATE_ROLLUP_QST[],MATCH($B57,MMWR_RATING_STATE_ROLLUP_QST[MMWR_RATING_STATE_ROLLUP_QST],0),MATCH(H$9,MMWR_RATING_STATE_ROLLUP_QST[#Headers],0)),"ERROR"))</f>
        <v>127.7222222222</v>
      </c>
      <c r="I57" s="155">
        <f>IF($B57=" ","",IFERROR(INDEX(MMWR_RATING_STATE_ROLLUP_QST[],MATCH($B57,MMWR_RATING_STATE_ROLLUP_QST[MMWR_RATING_STATE_ROLLUP_QST],0),MATCH(I$9,MMWR_RATING_STATE_ROLLUP_QST[#Headers],0)),"ERROR"))</f>
        <v>133.92727272729999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27</v>
      </c>
      <c r="D58" s="155">
        <f>IF($B58=" ","",IFERROR(INDEX(MMWR_RATING_STATE_ROLLUP_QST[],MATCH($B58,MMWR_RATING_STATE_ROLLUP_QST[MMWR_RATING_STATE_ROLLUP_QST],0),MATCH(D$9,MMWR_RATING_STATE_ROLLUP_QST[#Headers],0)),"ERROR"))</f>
        <v>87.629629629600004</v>
      </c>
      <c r="E58" s="156">
        <f>IF($B58=" ","",IFERROR(INDEX(MMWR_RATING_STATE_ROLLUP_QST[],MATCH($B58,MMWR_RATING_STATE_ROLLUP_QST[MMWR_RATING_STATE_ROLLUP_QST],0),MATCH(E$9,MMWR_RATING_STATE_ROLLUP_QST[#Headers],0))/$C58,"ERROR"))</f>
        <v>0.18518518518518517</v>
      </c>
      <c r="F58" s="154">
        <f>IF($B58=" ","",IFERROR(INDEX(MMWR_RATING_STATE_ROLLUP_QST[],MATCH($B58,MMWR_RATING_STATE_ROLLUP_QST[MMWR_RATING_STATE_ROLLUP_QST],0),MATCH(F$9,MMWR_RATING_STATE_ROLLUP_QST[#Headers],0)),"ERROR"))</f>
        <v>2</v>
      </c>
      <c r="G58" s="154">
        <f>IF($B58=" ","",IFERROR(INDEX(MMWR_RATING_STATE_ROLLUP_QST[],MATCH($B58,MMWR_RATING_STATE_ROLLUP_QST[MMWR_RATING_STATE_ROLLUP_QST],0),MATCH(G$9,MMWR_RATING_STATE_ROLLUP_QST[#Headers],0)),"ERROR"))</f>
        <v>7</v>
      </c>
      <c r="H58" s="155">
        <f>IF($B58=" ","",IFERROR(INDEX(MMWR_RATING_STATE_ROLLUP_QST[],MATCH($B58,MMWR_RATING_STATE_ROLLUP_QST[MMWR_RATING_STATE_ROLLUP_QST],0),MATCH(H$9,MMWR_RATING_STATE_ROLLUP_QST[#Headers],0)),"ERROR"))</f>
        <v>123</v>
      </c>
      <c r="I58" s="155">
        <f>IF($B58=" ","",IFERROR(INDEX(MMWR_RATING_STATE_ROLLUP_QST[],MATCH($B58,MMWR_RATING_STATE_ROLLUP_QST[MMWR_RATING_STATE_ROLLUP_QST],0),MATCH(I$9,MMWR_RATING_STATE_ROLLUP_QST[#Headers],0)),"ERROR"))</f>
        <v>137.28571428570001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127</v>
      </c>
      <c r="D59" s="155">
        <f>IF($B59=" ","",IFERROR(INDEX(MMWR_RATING_STATE_ROLLUP_QST[],MATCH($B59,MMWR_RATING_STATE_ROLLUP_QST[MMWR_RATING_STATE_ROLLUP_QST],0),MATCH(D$9,MMWR_RATING_STATE_ROLLUP_QST[#Headers],0)),"ERROR"))</f>
        <v>83.4173228346</v>
      </c>
      <c r="E59" s="156">
        <f>IF($B59=" ","",IFERROR(INDEX(MMWR_RATING_STATE_ROLLUP_QST[],MATCH($B59,MMWR_RATING_STATE_ROLLUP_QST[MMWR_RATING_STATE_ROLLUP_QST],0),MATCH(E$9,MMWR_RATING_STATE_ROLLUP_QST[#Headers],0))/$C59,"ERROR"))</f>
        <v>0.22047244094488189</v>
      </c>
      <c r="F59" s="154">
        <f>IF($B59=" ","",IFERROR(INDEX(MMWR_RATING_STATE_ROLLUP_QST[],MATCH($B59,MMWR_RATING_STATE_ROLLUP_QST[MMWR_RATING_STATE_ROLLUP_QST],0),MATCH(F$9,MMWR_RATING_STATE_ROLLUP_QST[#Headers],0)),"ERROR"))</f>
        <v>14</v>
      </c>
      <c r="G59" s="154">
        <f>IF($B59=" ","",IFERROR(INDEX(MMWR_RATING_STATE_ROLLUP_QST[],MATCH($B59,MMWR_RATING_STATE_ROLLUP_QST[MMWR_RATING_STATE_ROLLUP_QST],0),MATCH(G$9,MMWR_RATING_STATE_ROLLUP_QST[#Headers],0)),"ERROR"))</f>
        <v>36</v>
      </c>
      <c r="H59" s="155">
        <f>IF($B59=" ","",IFERROR(INDEX(MMWR_RATING_STATE_ROLLUP_QST[],MATCH($B59,MMWR_RATING_STATE_ROLLUP_QST[MMWR_RATING_STATE_ROLLUP_QST],0),MATCH(H$9,MMWR_RATING_STATE_ROLLUP_QST[#Headers],0)),"ERROR"))</f>
        <v>157.07142857139999</v>
      </c>
      <c r="I59" s="155">
        <f>IF($B59=" ","",IFERROR(INDEX(MMWR_RATING_STATE_ROLLUP_QST[],MATCH($B59,MMWR_RATING_STATE_ROLLUP_QST[MMWR_RATING_STATE_ROLLUP_QST],0),MATCH(I$9,MMWR_RATING_STATE_ROLLUP_QST[#Headers],0)),"ERROR"))</f>
        <v>145.6388888889</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258</v>
      </c>
      <c r="D60" s="155">
        <f>IF($B60=" ","",IFERROR(INDEX(MMWR_RATING_STATE_ROLLUP_QST[],MATCH($B60,MMWR_RATING_STATE_ROLLUP_QST[MMWR_RATING_STATE_ROLLUP_QST],0),MATCH(D$9,MMWR_RATING_STATE_ROLLUP_QST[#Headers],0)),"ERROR"))</f>
        <v>84.2325581395</v>
      </c>
      <c r="E60" s="156">
        <f>IF($B60=" ","",IFERROR(INDEX(MMWR_RATING_STATE_ROLLUP_QST[],MATCH($B60,MMWR_RATING_STATE_ROLLUP_QST[MMWR_RATING_STATE_ROLLUP_QST],0),MATCH(E$9,MMWR_RATING_STATE_ROLLUP_QST[#Headers],0))/$C60,"ERROR"))</f>
        <v>0.1744186046511628</v>
      </c>
      <c r="F60" s="154">
        <f>IF($B60=" ","",IFERROR(INDEX(MMWR_RATING_STATE_ROLLUP_QST[],MATCH($B60,MMWR_RATING_STATE_ROLLUP_QST[MMWR_RATING_STATE_ROLLUP_QST],0),MATCH(F$9,MMWR_RATING_STATE_ROLLUP_QST[#Headers],0)),"ERROR"))</f>
        <v>38</v>
      </c>
      <c r="G60" s="154">
        <f>IF($B60=" ","",IFERROR(INDEX(MMWR_RATING_STATE_ROLLUP_QST[],MATCH($B60,MMWR_RATING_STATE_ROLLUP_QST[MMWR_RATING_STATE_ROLLUP_QST],0),MATCH(G$9,MMWR_RATING_STATE_ROLLUP_QST[#Headers],0)),"ERROR"))</f>
        <v>111</v>
      </c>
      <c r="H60" s="155">
        <f>IF($B60=" ","",IFERROR(INDEX(MMWR_RATING_STATE_ROLLUP_QST[],MATCH($B60,MMWR_RATING_STATE_ROLLUP_QST[MMWR_RATING_STATE_ROLLUP_QST],0),MATCH(H$9,MMWR_RATING_STATE_ROLLUP_QST[#Headers],0)),"ERROR"))</f>
        <v>132.7894736842</v>
      </c>
      <c r="I60" s="155">
        <f>IF($B60=" ","",IFERROR(INDEX(MMWR_RATING_STATE_ROLLUP_QST[],MATCH($B60,MMWR_RATING_STATE_ROLLUP_QST[MMWR_RATING_STATE_ROLLUP_QST],0),MATCH(I$9,MMWR_RATING_STATE_ROLLUP_QST[#Headers],0)),"ERROR"))</f>
        <v>121.6486486486</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651</v>
      </c>
      <c r="D61" s="155">
        <f>IF($B61=" ","",IFERROR(INDEX(MMWR_RATING_STATE_ROLLUP_QST[],MATCH($B61,MMWR_RATING_STATE_ROLLUP_QST[MMWR_RATING_STATE_ROLLUP_QST],0),MATCH(D$9,MMWR_RATING_STATE_ROLLUP_QST[#Headers],0)),"ERROR"))</f>
        <v>88.761904761899999</v>
      </c>
      <c r="E61" s="156">
        <f>IF($B61=" ","",IFERROR(INDEX(MMWR_RATING_STATE_ROLLUP_QST[],MATCH($B61,MMWR_RATING_STATE_ROLLUP_QST[MMWR_RATING_STATE_ROLLUP_QST],0),MATCH(E$9,MMWR_RATING_STATE_ROLLUP_QST[#Headers],0))/$C61,"ERROR"))</f>
        <v>0.2119815668202765</v>
      </c>
      <c r="F61" s="154">
        <f>IF($B61=" ","",IFERROR(INDEX(MMWR_RATING_STATE_ROLLUP_QST[],MATCH($B61,MMWR_RATING_STATE_ROLLUP_QST[MMWR_RATING_STATE_ROLLUP_QST],0),MATCH(F$9,MMWR_RATING_STATE_ROLLUP_QST[#Headers],0)),"ERROR"))</f>
        <v>83</v>
      </c>
      <c r="G61" s="154">
        <f>IF($B61=" ","",IFERROR(INDEX(MMWR_RATING_STATE_ROLLUP_QST[],MATCH($B61,MMWR_RATING_STATE_ROLLUP_QST[MMWR_RATING_STATE_ROLLUP_QST],0),MATCH(G$9,MMWR_RATING_STATE_ROLLUP_QST[#Headers],0)),"ERROR"))</f>
        <v>257</v>
      </c>
      <c r="H61" s="155">
        <f>IF($B61=" ","",IFERROR(INDEX(MMWR_RATING_STATE_ROLLUP_QST[],MATCH($B61,MMWR_RATING_STATE_ROLLUP_QST[MMWR_RATING_STATE_ROLLUP_QST],0),MATCH(H$9,MMWR_RATING_STATE_ROLLUP_QST[#Headers],0)),"ERROR"))</f>
        <v>147.8554216867</v>
      </c>
      <c r="I61" s="155">
        <f>IF($B61=" ","",IFERROR(INDEX(MMWR_RATING_STATE_ROLLUP_QST[],MATCH($B61,MMWR_RATING_STATE_ROLLUP_QST[MMWR_RATING_STATE_ROLLUP_QST],0),MATCH(I$9,MMWR_RATING_STATE_ROLLUP_QST[#Headers],0)),"ERROR"))</f>
        <v>146.6498054475</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197</v>
      </c>
      <c r="D62" s="155">
        <f>IF($B62=" ","",IFERROR(INDEX(MMWR_RATING_STATE_ROLLUP_QST[],MATCH($B62,MMWR_RATING_STATE_ROLLUP_QST[MMWR_RATING_STATE_ROLLUP_QST],0),MATCH(D$9,MMWR_RATING_STATE_ROLLUP_QST[#Headers],0)),"ERROR"))</f>
        <v>86.715736040600007</v>
      </c>
      <c r="E62" s="156">
        <f>IF($B62=" ","",IFERROR(INDEX(MMWR_RATING_STATE_ROLLUP_QST[],MATCH($B62,MMWR_RATING_STATE_ROLLUP_QST[MMWR_RATING_STATE_ROLLUP_QST],0),MATCH(E$9,MMWR_RATING_STATE_ROLLUP_QST[#Headers],0))/$C62,"ERROR"))</f>
        <v>0.16243654822335024</v>
      </c>
      <c r="F62" s="154">
        <f>IF($B62=" ","",IFERROR(INDEX(MMWR_RATING_STATE_ROLLUP_QST[],MATCH($B62,MMWR_RATING_STATE_ROLLUP_QST[MMWR_RATING_STATE_ROLLUP_QST],0),MATCH(F$9,MMWR_RATING_STATE_ROLLUP_QST[#Headers],0)),"ERROR"))</f>
        <v>38</v>
      </c>
      <c r="G62" s="154">
        <f>IF($B62=" ","",IFERROR(INDEX(MMWR_RATING_STATE_ROLLUP_QST[],MATCH($B62,MMWR_RATING_STATE_ROLLUP_QST[MMWR_RATING_STATE_ROLLUP_QST],0),MATCH(G$9,MMWR_RATING_STATE_ROLLUP_QST[#Headers],0)),"ERROR"))</f>
        <v>102</v>
      </c>
      <c r="H62" s="155">
        <f>IF($B62=" ","",IFERROR(INDEX(MMWR_RATING_STATE_ROLLUP_QST[],MATCH($B62,MMWR_RATING_STATE_ROLLUP_QST[MMWR_RATING_STATE_ROLLUP_QST],0),MATCH(H$9,MMWR_RATING_STATE_ROLLUP_QST[#Headers],0)),"ERROR"))</f>
        <v>149.65789473679999</v>
      </c>
      <c r="I62" s="155">
        <f>IF($B62=" ","",IFERROR(INDEX(MMWR_RATING_STATE_ROLLUP_QST[],MATCH($B62,MMWR_RATING_STATE_ROLLUP_QST[MMWR_RATING_STATE_ROLLUP_QST],0),MATCH(I$9,MMWR_RATING_STATE_ROLLUP_QST[#Headers],0)),"ERROR"))</f>
        <v>134.8431372549</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10</v>
      </c>
      <c r="D63" s="155">
        <f>IF($B63=" ","",IFERROR(INDEX(MMWR_RATING_STATE_ROLLUP_QST[],MATCH($B63,MMWR_RATING_STATE_ROLLUP_QST[MMWR_RATING_STATE_ROLLUP_QST],0),MATCH(D$9,MMWR_RATING_STATE_ROLLUP_QST[#Headers],0)),"ERROR"))</f>
        <v>95.3</v>
      </c>
      <c r="E63" s="156">
        <f>IF($B63=" ","",IFERROR(INDEX(MMWR_RATING_STATE_ROLLUP_QST[],MATCH($B63,MMWR_RATING_STATE_ROLLUP_QST[MMWR_RATING_STATE_ROLLUP_QST],0),MATCH(E$9,MMWR_RATING_STATE_ROLLUP_QST[#Headers],0))/$C63,"ERROR"))</f>
        <v>0.2</v>
      </c>
      <c r="F63" s="154">
        <f>IF($B63=" ","",IFERROR(INDEX(MMWR_RATING_STATE_ROLLUP_QST[],MATCH($B63,MMWR_RATING_STATE_ROLLUP_QST[MMWR_RATING_STATE_ROLLUP_QST],0),MATCH(F$9,MMWR_RATING_STATE_ROLLUP_QST[#Headers],0)),"ERROR"))</f>
        <v>4</v>
      </c>
      <c r="G63" s="154">
        <f>IF($B63=" ","",IFERROR(INDEX(MMWR_RATING_STATE_ROLLUP_QST[],MATCH($B63,MMWR_RATING_STATE_ROLLUP_QST[MMWR_RATING_STATE_ROLLUP_QST],0),MATCH(G$9,MMWR_RATING_STATE_ROLLUP_QST[#Headers],0)),"ERROR"))</f>
        <v>7</v>
      </c>
      <c r="H63" s="155">
        <f>IF($B63=" ","",IFERROR(INDEX(MMWR_RATING_STATE_ROLLUP_QST[],MATCH($B63,MMWR_RATING_STATE_ROLLUP_QST[MMWR_RATING_STATE_ROLLUP_QST],0),MATCH(H$9,MMWR_RATING_STATE_ROLLUP_QST[#Headers],0)),"ERROR"))</f>
        <v>146.75</v>
      </c>
      <c r="I63" s="155">
        <f>IF($B63=" ","",IFERROR(INDEX(MMWR_RATING_STATE_ROLLUP_QST[],MATCH($B63,MMWR_RATING_STATE_ROLLUP_QST[MMWR_RATING_STATE_ROLLUP_QST],0),MATCH(I$9,MMWR_RATING_STATE_ROLLUP_QST[#Headers],0)),"ERROR"))</f>
        <v>158.1428571429</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112.5</v>
      </c>
      <c r="E64" s="156">
        <f>IF($B64=" ","",IFERROR(INDEX(MMWR_RATING_STATE_ROLLUP_QST[],MATCH($B64,MMWR_RATING_STATE_ROLLUP_QST[MMWR_RATING_STATE_ROLLUP_QST],0),MATCH(E$9,MMWR_RATING_STATE_ROLLUP_QST[#Headers],0))/$C64,"ERROR"))</f>
        <v>0.25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3</v>
      </c>
      <c r="H64" s="155">
        <f>IF($B64=" ","",IFERROR(INDEX(MMWR_RATING_STATE_ROLLUP_QST[],MATCH($B64,MMWR_RATING_STATE_ROLLUP_QST[MMWR_RATING_STATE_ROLLUP_QST],0),MATCH(H$9,MMWR_RATING_STATE_ROLLUP_QST[#Headers],0)),"ERROR"))</f>
        <v>132</v>
      </c>
      <c r="I64" s="155">
        <f>IF($B64=" ","",IFERROR(INDEX(MMWR_RATING_STATE_ROLLUP_QST[],MATCH($B64,MMWR_RATING_STATE_ROLLUP_QST[MMWR_RATING_STATE_ROLLUP_QST],0),MATCH(I$9,MMWR_RATING_STATE_ROLLUP_QST[#Headers],0)),"ERROR"))</f>
        <v>108</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693</v>
      </c>
      <c r="D65" s="155">
        <f>IF($B65=" ","",IFERROR(INDEX(MMWR_RATING_STATE_ROLLUP_QST[],MATCH($B65,MMWR_RATING_STATE_ROLLUP_QST[MMWR_RATING_STATE_ROLLUP_QST],0),MATCH(D$9,MMWR_RATING_STATE_ROLLUP_QST[#Headers],0)),"ERROR"))</f>
        <v>90.865800865799997</v>
      </c>
      <c r="E65" s="156">
        <f>IF($B65=" ","",IFERROR(INDEX(MMWR_RATING_STATE_ROLLUP_QST[],MATCH($B65,MMWR_RATING_STATE_ROLLUP_QST[MMWR_RATING_STATE_ROLLUP_QST],0),MATCH(E$9,MMWR_RATING_STATE_ROLLUP_QST[#Headers],0))/$C65,"ERROR"))</f>
        <v>0.2049062049062049</v>
      </c>
      <c r="F65" s="154">
        <f>IF($B65=" ","",IFERROR(INDEX(MMWR_RATING_STATE_ROLLUP_QST[],MATCH($B65,MMWR_RATING_STATE_ROLLUP_QST[MMWR_RATING_STATE_ROLLUP_QST],0),MATCH(F$9,MMWR_RATING_STATE_ROLLUP_QST[#Headers],0)),"ERROR"))</f>
        <v>95</v>
      </c>
      <c r="G65" s="154">
        <f>IF($B65=" ","",IFERROR(INDEX(MMWR_RATING_STATE_ROLLUP_QST[],MATCH($B65,MMWR_RATING_STATE_ROLLUP_QST[MMWR_RATING_STATE_ROLLUP_QST],0),MATCH(G$9,MMWR_RATING_STATE_ROLLUP_QST[#Headers],0)),"ERROR"))</f>
        <v>269</v>
      </c>
      <c r="H65" s="155">
        <f>IF($B65=" ","",IFERROR(INDEX(MMWR_RATING_STATE_ROLLUP_QST[],MATCH($B65,MMWR_RATING_STATE_ROLLUP_QST[MMWR_RATING_STATE_ROLLUP_QST],0),MATCH(H$9,MMWR_RATING_STATE_ROLLUP_QST[#Headers],0)),"ERROR"))</f>
        <v>170.8842105263</v>
      </c>
      <c r="I65" s="155">
        <f>IF($B65=" ","",IFERROR(INDEX(MMWR_RATING_STATE_ROLLUP_QST[],MATCH($B65,MMWR_RATING_STATE_ROLLUP_QST[MMWR_RATING_STATE_ROLLUP_QST],0),MATCH(I$9,MMWR_RATING_STATE_ROLLUP_QST[#Headers],0)),"ERROR"))</f>
        <v>165.2118959108</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23</v>
      </c>
      <c r="D66" s="155">
        <f>IF($B66=" ","",IFERROR(INDEX(MMWR_RATING_STATE_ROLLUP_QST[],MATCH($B66,MMWR_RATING_STATE_ROLLUP_QST[MMWR_RATING_STATE_ROLLUP_QST],0),MATCH(D$9,MMWR_RATING_STATE_ROLLUP_QST[#Headers],0)),"ERROR"))</f>
        <v>86.826086956500006</v>
      </c>
      <c r="E66" s="156">
        <f>IF($B66=" ","",IFERROR(INDEX(MMWR_RATING_STATE_ROLLUP_QST[],MATCH($B66,MMWR_RATING_STATE_ROLLUP_QST[MMWR_RATING_STATE_ROLLUP_QST],0),MATCH(E$9,MMWR_RATING_STATE_ROLLUP_QST[#Headers],0))/$C66,"ERROR"))</f>
        <v>0.13043478260869565</v>
      </c>
      <c r="F66" s="154">
        <f>IF($B66=" ","",IFERROR(INDEX(MMWR_RATING_STATE_ROLLUP_QST[],MATCH($B66,MMWR_RATING_STATE_ROLLUP_QST[MMWR_RATING_STATE_ROLLUP_QST],0),MATCH(F$9,MMWR_RATING_STATE_ROLLUP_QST[#Headers],0)),"ERROR"))</f>
        <v>4</v>
      </c>
      <c r="G66" s="154">
        <f>IF($B66=" ","",IFERROR(INDEX(MMWR_RATING_STATE_ROLLUP_QST[],MATCH($B66,MMWR_RATING_STATE_ROLLUP_QST[MMWR_RATING_STATE_ROLLUP_QST],0),MATCH(G$9,MMWR_RATING_STATE_ROLLUP_QST[#Headers],0)),"ERROR"))</f>
        <v>10</v>
      </c>
      <c r="H66" s="155">
        <f>IF($B66=" ","",IFERROR(INDEX(MMWR_RATING_STATE_ROLLUP_QST[],MATCH($B66,MMWR_RATING_STATE_ROLLUP_QST[MMWR_RATING_STATE_ROLLUP_QST],0),MATCH(H$9,MMWR_RATING_STATE_ROLLUP_QST[#Headers],0)),"ERROR"))</f>
        <v>141</v>
      </c>
      <c r="I66" s="155">
        <f>IF($B66=" ","",IFERROR(INDEX(MMWR_RATING_STATE_ROLLUP_QST[],MATCH($B66,MMWR_RATING_STATE_ROLLUP_QST[MMWR_RATING_STATE_ROLLUP_QST],0),MATCH(I$9,MMWR_RATING_STATE_ROLLUP_QST[#Headers],0)),"ERROR"))</f>
        <v>146.69999999999999</v>
      </c>
      <c r="J66" s="42"/>
      <c r="K66" s="42"/>
      <c r="L66" s="42"/>
      <c r="M66" s="42"/>
      <c r="N66" s="28"/>
    </row>
    <row r="67" spans="1:14" x14ac:dyDescent="0.2">
      <c r="A67" s="25"/>
      <c r="B67" s="393" t="s">
        <v>1041</v>
      </c>
      <c r="C67" s="394"/>
      <c r="D67" s="394"/>
      <c r="E67" s="394"/>
      <c r="F67" s="394"/>
      <c r="G67" s="394"/>
      <c r="H67" s="394"/>
      <c r="I67" s="394"/>
      <c r="J67" s="394"/>
      <c r="K67" s="394"/>
      <c r="L67" s="394"/>
      <c r="M67" s="403"/>
      <c r="N67" s="28"/>
    </row>
    <row r="68" spans="1:14" ht="25.5" x14ac:dyDescent="0.2">
      <c r="A68" s="25"/>
      <c r="B68" s="251" t="s">
        <v>1037</v>
      </c>
      <c r="C68" s="154">
        <f>IF($B68=" ","",IFERROR(INDEX(MMWR_RATING_STATE_ROLLUP_BDD[],MATCH($B68,MMWR_RATING_STATE_ROLLUP_BDD[MMWR_RATING_STATE_ROLLUP_BDD],0),MATCH(C$9,MMWR_RATING_STATE_ROLLUP_BDD[#Headers],0)),"ERROR"))</f>
        <v>11242</v>
      </c>
      <c r="D68" s="155">
        <f>IF($B68=" ","",IFERROR(INDEX(MMWR_RATING_STATE_ROLLUP_BDD[],MATCH($B68,MMWR_RATING_STATE_ROLLUP_BDD[MMWR_RATING_STATE_ROLLUP_BDD],0),MATCH(D$9,MMWR_RATING_STATE_ROLLUP_BDD[#Headers],0)),"ERROR"))</f>
        <v>86.894324853200004</v>
      </c>
      <c r="E68" s="156">
        <f>IF($B68=" ","",IFERROR(INDEX(MMWR_RATING_STATE_ROLLUP_BDD[],MATCH($B68,MMWR_RATING_STATE_ROLLUP_BDD[MMWR_RATING_STATE_ROLLUP_BDD],0),MATCH(E$9,MMWR_RATING_STATE_ROLLUP_BDD[#Headers],0))/$C68,"ERROR"))</f>
        <v>0.16509517879380894</v>
      </c>
      <c r="F68" s="154">
        <f>IF($B68=" ","",IFERROR(INDEX(MMWR_RATING_STATE_ROLLUP_BDD[],MATCH($B68,MMWR_RATING_STATE_ROLLUP_BDD[MMWR_RATING_STATE_ROLLUP_BDD],0),MATCH(F$9,MMWR_RATING_STATE_ROLLUP_BDD[#Headers],0)),"ERROR"))</f>
        <v>1815</v>
      </c>
      <c r="G68" s="154">
        <f>IF($B68=" ","",IFERROR(INDEX(MMWR_RATING_STATE_ROLLUP_BDD[],MATCH($B68,MMWR_RATING_STATE_ROLLUP_BDD[MMWR_RATING_STATE_ROLLUP_BDD],0),MATCH(G$9,MMWR_RATING_STATE_ROLLUP_BDD[#Headers],0)),"ERROR"))</f>
        <v>5396</v>
      </c>
      <c r="H68" s="155">
        <f>IF($B68=" ","",IFERROR(INDEX(MMWR_RATING_STATE_ROLLUP_BDD[],MATCH($B68,MMWR_RATING_STATE_ROLLUP_BDD[MMWR_RATING_STATE_ROLLUP_BDD],0),MATCH(H$9,MMWR_RATING_STATE_ROLLUP_BDD[#Headers],0)),"ERROR"))</f>
        <v>137.42203856750001</v>
      </c>
      <c r="I68" s="155">
        <f>IF($B68=" ","",IFERROR(INDEX(MMWR_RATING_STATE_ROLLUP_BDD[],MATCH($B68,MMWR_RATING_STATE_ROLLUP_BDD[MMWR_RATING_STATE_ROLLUP_BDD],0),MATCH(I$9,MMWR_RATING_STATE_ROLLUP_BDD[#Headers],0)),"ERROR"))</f>
        <v>132.08506300959999</v>
      </c>
      <c r="J68" s="42"/>
      <c r="K68" s="42"/>
      <c r="L68" s="42"/>
      <c r="M68" s="42"/>
      <c r="N68" s="28"/>
    </row>
    <row r="69" spans="1:14" x14ac:dyDescent="0.2">
      <c r="A69" s="25"/>
      <c r="B69" s="249" t="str">
        <f>INDEX(DISTRICT_STATES[],MATCH($B$5,DISTRICT_RO[District],0),1)</f>
        <v>North Atlantic</v>
      </c>
      <c r="C69" s="154">
        <f>IF($B69=" ","",IFERROR(INDEX(MMWR_RATING_STATE_ROLLUP_BDD[],MATCH($B69,MMWR_RATING_STATE_ROLLUP_BDD[MMWR_RATING_STATE_ROLLUP_BDD],0),MATCH(C$9,MMWR_RATING_STATE_ROLLUP_BDD[#Headers],0)),"ERROR"))</f>
        <v>3423</v>
      </c>
      <c r="D69" s="155">
        <f>IF($B69=" ","",IFERROR(INDEX(MMWR_RATING_STATE_ROLLUP_BDD[],MATCH($B69,MMWR_RATING_STATE_ROLLUP_BDD[MMWR_RATING_STATE_ROLLUP_BDD],0),MATCH(D$9,MMWR_RATING_STATE_ROLLUP_BDD[#Headers],0)),"ERROR"))</f>
        <v>90.902132632199994</v>
      </c>
      <c r="E69" s="156">
        <f>IF($B69=" ","",IFERROR(INDEX(MMWR_RATING_STATE_ROLLUP_BDD[],MATCH($B69,MMWR_RATING_STATE_ROLLUP_BDD[MMWR_RATING_STATE_ROLLUP_BDD],0),MATCH(E$9,MMWR_RATING_STATE_ROLLUP_BDD[#Headers],0))/$C69,"ERROR"))</f>
        <v>0.19398188723342097</v>
      </c>
      <c r="F69" s="154">
        <f>IF($B69=" ","",IFERROR(INDEX(MMWR_RATING_STATE_ROLLUP_BDD[],MATCH($B69,MMWR_RATING_STATE_ROLLUP_BDD[MMWR_RATING_STATE_ROLLUP_BDD],0),MATCH(F$9,MMWR_RATING_STATE_ROLLUP_BDD[#Headers],0)),"ERROR"))</f>
        <v>488</v>
      </c>
      <c r="G69" s="154">
        <f>IF($B69=" ","",IFERROR(INDEX(MMWR_RATING_STATE_ROLLUP_BDD[],MATCH($B69,MMWR_RATING_STATE_ROLLUP_BDD[MMWR_RATING_STATE_ROLLUP_BDD],0),MATCH(G$9,MMWR_RATING_STATE_ROLLUP_BDD[#Headers],0)),"ERROR"))</f>
        <v>1348</v>
      </c>
      <c r="H69" s="155">
        <f>IF($B69=" ","",IFERROR(INDEX(MMWR_RATING_STATE_ROLLUP_BDD[],MATCH($B69,MMWR_RATING_STATE_ROLLUP_BDD[MMWR_RATING_STATE_ROLLUP_BDD],0),MATCH(H$9,MMWR_RATING_STATE_ROLLUP_BDD[#Headers],0)),"ERROR"))</f>
        <v>144.79508196719999</v>
      </c>
      <c r="I69" s="155">
        <f>IF($B69=" ","",IFERROR(INDEX(MMWR_RATING_STATE_ROLLUP_BDD[],MATCH($B69,MMWR_RATING_STATE_ROLLUP_BDD[MMWR_RATING_STATE_ROLLUP_BDD],0),MATCH(I$9,MMWR_RATING_STATE_ROLLUP_BDD[#Headers],0)),"ERROR"))</f>
        <v>142.07715133529999</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59</v>
      </c>
      <c r="D70" s="155">
        <f>IF($B70=" ","",IFERROR(INDEX(MMWR_RATING_STATE_ROLLUP_BDD[],MATCH($B70,MMWR_RATING_STATE_ROLLUP_BDD[MMWR_RATING_STATE_ROLLUP_BDD],0),MATCH(D$9,MMWR_RATING_STATE_ROLLUP_BDD[#Headers],0)),"ERROR"))</f>
        <v>96.288135593199996</v>
      </c>
      <c r="E70" s="156">
        <f>IF($B70=" ","",IFERROR(INDEX(MMWR_RATING_STATE_ROLLUP_BDD[],MATCH($B70,MMWR_RATING_STATE_ROLLUP_BDD[MMWR_RATING_STATE_ROLLUP_BDD],0),MATCH(E$9,MMWR_RATING_STATE_ROLLUP_BDD[#Headers],0))/$C70,"ERROR"))</f>
        <v>0.25423728813559321</v>
      </c>
      <c r="F70" s="154">
        <f>IF($B70=" ","",IFERROR(INDEX(MMWR_RATING_STATE_ROLLUP_BDD[],MATCH($B70,MMWR_RATING_STATE_ROLLUP_BDD[MMWR_RATING_STATE_ROLLUP_BDD],0),MATCH(F$9,MMWR_RATING_STATE_ROLLUP_BDD[#Headers],0)),"ERROR"))</f>
        <v>14</v>
      </c>
      <c r="G70" s="154">
        <f>IF($B70=" ","",IFERROR(INDEX(MMWR_RATING_STATE_ROLLUP_BDD[],MATCH($B70,MMWR_RATING_STATE_ROLLUP_BDD[MMWR_RATING_STATE_ROLLUP_BDD],0),MATCH(G$9,MMWR_RATING_STATE_ROLLUP_BDD[#Headers],0)),"ERROR"))</f>
        <v>30</v>
      </c>
      <c r="H70" s="155">
        <f>IF($B70=" ","",IFERROR(INDEX(MMWR_RATING_STATE_ROLLUP_BDD[],MATCH($B70,MMWR_RATING_STATE_ROLLUP_BDD[MMWR_RATING_STATE_ROLLUP_BDD],0),MATCH(H$9,MMWR_RATING_STATE_ROLLUP_BDD[#Headers],0)),"ERROR"))</f>
        <v>146.3571428571</v>
      </c>
      <c r="I70" s="155">
        <f>IF($B70=" ","",IFERROR(INDEX(MMWR_RATING_STATE_ROLLUP_BDD[],MATCH($B70,MMWR_RATING_STATE_ROLLUP_BDD[MMWR_RATING_STATE_ROLLUP_BDD],0),MATCH(I$9,MMWR_RATING_STATE_ROLLUP_BDD[#Headers],0)),"ERROR"))</f>
        <v>137.96666666670001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27</v>
      </c>
      <c r="D71" s="155">
        <f>IF($B71=" ","",IFERROR(INDEX(MMWR_RATING_STATE_ROLLUP_BDD[],MATCH($B71,MMWR_RATING_STATE_ROLLUP_BDD[MMWR_RATING_STATE_ROLLUP_BDD],0),MATCH(D$9,MMWR_RATING_STATE_ROLLUP_BDD[#Headers],0)),"ERROR"))</f>
        <v>101</v>
      </c>
      <c r="E71" s="156">
        <f>IF($B71=" ","",IFERROR(INDEX(MMWR_RATING_STATE_ROLLUP_BDD[],MATCH($B71,MMWR_RATING_STATE_ROLLUP_BDD[MMWR_RATING_STATE_ROLLUP_BDD],0),MATCH(E$9,MMWR_RATING_STATE_ROLLUP_BDD[#Headers],0))/$C71,"ERROR"))</f>
        <v>0.18518518518518517</v>
      </c>
      <c r="F71" s="154">
        <f>IF($B71=" ","",IFERROR(INDEX(MMWR_RATING_STATE_ROLLUP_BDD[],MATCH($B71,MMWR_RATING_STATE_ROLLUP_BDD[MMWR_RATING_STATE_ROLLUP_BDD],0),MATCH(F$9,MMWR_RATING_STATE_ROLLUP_BDD[#Headers],0)),"ERROR"))</f>
        <v>7</v>
      </c>
      <c r="G71" s="154">
        <f>IF($B71=" ","",IFERROR(INDEX(MMWR_RATING_STATE_ROLLUP_BDD[],MATCH($B71,MMWR_RATING_STATE_ROLLUP_BDD[MMWR_RATING_STATE_ROLLUP_BDD],0),MATCH(G$9,MMWR_RATING_STATE_ROLLUP_BDD[#Headers],0)),"ERROR"))</f>
        <v>8</v>
      </c>
      <c r="H71" s="155">
        <f>IF($B71=" ","",IFERROR(INDEX(MMWR_RATING_STATE_ROLLUP_BDD[],MATCH($B71,MMWR_RATING_STATE_ROLLUP_BDD[MMWR_RATING_STATE_ROLLUP_BDD],0),MATCH(H$9,MMWR_RATING_STATE_ROLLUP_BDD[#Headers],0)),"ERROR"))</f>
        <v>163.71428571429999</v>
      </c>
      <c r="I71" s="155">
        <f>IF($B71=" ","",IFERROR(INDEX(MMWR_RATING_STATE_ROLLUP_BDD[],MATCH($B71,MMWR_RATING_STATE_ROLLUP_BDD[MMWR_RATING_STATE_ROLLUP_BDD],0),MATCH(I$9,MMWR_RATING_STATE_ROLLUP_BDD[#Headers],0)),"ERROR"))</f>
        <v>171.125</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26</v>
      </c>
      <c r="D72" s="155">
        <f>IF($B72=" ","",IFERROR(INDEX(MMWR_RATING_STATE_ROLLUP_BDD[],MATCH($B72,MMWR_RATING_STATE_ROLLUP_BDD[MMWR_RATING_STATE_ROLLUP_BDD],0),MATCH(D$9,MMWR_RATING_STATE_ROLLUP_BDD[#Headers],0)),"ERROR"))</f>
        <v>96.653846153800004</v>
      </c>
      <c r="E72" s="156">
        <f>IF($B72=" ","",IFERROR(INDEX(MMWR_RATING_STATE_ROLLUP_BDD[],MATCH($B72,MMWR_RATING_STATE_ROLLUP_BDD[MMWR_RATING_STATE_ROLLUP_BDD],0),MATCH(E$9,MMWR_RATING_STATE_ROLLUP_BDD[#Headers],0))/$C72,"ERROR"))</f>
        <v>0.23076923076923078</v>
      </c>
      <c r="F72" s="154">
        <f>IF($B72=" ","",IFERROR(INDEX(MMWR_RATING_STATE_ROLLUP_BDD[],MATCH($B72,MMWR_RATING_STATE_ROLLUP_BDD[MMWR_RATING_STATE_ROLLUP_BDD],0),MATCH(F$9,MMWR_RATING_STATE_ROLLUP_BDD[#Headers],0)),"ERROR"))</f>
        <v>5</v>
      </c>
      <c r="G72" s="154">
        <f>IF($B72=" ","",IFERROR(INDEX(MMWR_RATING_STATE_ROLLUP_BDD[],MATCH($B72,MMWR_RATING_STATE_ROLLUP_BDD[MMWR_RATING_STATE_ROLLUP_BDD],0),MATCH(G$9,MMWR_RATING_STATE_ROLLUP_BDD[#Headers],0)),"ERROR"))</f>
        <v>14</v>
      </c>
      <c r="H72" s="155">
        <f>IF($B72=" ","",IFERROR(INDEX(MMWR_RATING_STATE_ROLLUP_BDD[],MATCH($B72,MMWR_RATING_STATE_ROLLUP_BDD[MMWR_RATING_STATE_ROLLUP_BDD],0),MATCH(H$9,MMWR_RATING_STATE_ROLLUP_BDD[#Headers],0)),"ERROR"))</f>
        <v>161.4</v>
      </c>
      <c r="I72" s="155">
        <f>IF($B72=" ","",IFERROR(INDEX(MMWR_RATING_STATE_ROLLUP_BDD[],MATCH($B72,MMWR_RATING_STATE_ROLLUP_BDD[MMWR_RATING_STATE_ROLLUP_BDD],0),MATCH(I$9,MMWR_RATING_STATE_ROLLUP_BDD[#Headers],0)),"ERROR"))</f>
        <v>136.92857142860001</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22</v>
      </c>
      <c r="D73" s="155">
        <f>IF($B73=" ","",IFERROR(INDEX(MMWR_RATING_STATE_ROLLUP_BDD[],MATCH($B73,MMWR_RATING_STATE_ROLLUP_BDD[MMWR_RATING_STATE_ROLLUP_BDD],0),MATCH(D$9,MMWR_RATING_STATE_ROLLUP_BDD[#Headers],0)),"ERROR"))</f>
        <v>103.2727272727</v>
      </c>
      <c r="E73" s="156">
        <f>IF($B73=" ","",IFERROR(INDEX(MMWR_RATING_STATE_ROLLUP_BDD[],MATCH($B73,MMWR_RATING_STATE_ROLLUP_BDD[MMWR_RATING_STATE_ROLLUP_BDD],0),MATCH(E$9,MMWR_RATING_STATE_ROLLUP_BDD[#Headers],0))/$C73,"ERROR"))</f>
        <v>0.27272727272727271</v>
      </c>
      <c r="F73" s="154">
        <f>IF($B73=" ","",IFERROR(INDEX(MMWR_RATING_STATE_ROLLUP_BDD[],MATCH($B73,MMWR_RATING_STATE_ROLLUP_BDD[MMWR_RATING_STATE_ROLLUP_BDD],0),MATCH(F$9,MMWR_RATING_STATE_ROLLUP_BDD[#Headers],0)),"ERROR"))</f>
        <v>1</v>
      </c>
      <c r="G73" s="154">
        <f>IF($B73=" ","",IFERROR(INDEX(MMWR_RATING_STATE_ROLLUP_BDD[],MATCH($B73,MMWR_RATING_STATE_ROLLUP_BDD[MMWR_RATING_STATE_ROLLUP_BDD],0),MATCH(G$9,MMWR_RATING_STATE_ROLLUP_BDD[#Headers],0)),"ERROR"))</f>
        <v>9</v>
      </c>
      <c r="H73" s="155">
        <f>IF($B73=" ","",IFERROR(INDEX(MMWR_RATING_STATE_ROLLUP_BDD[],MATCH($B73,MMWR_RATING_STATE_ROLLUP_BDD[MMWR_RATING_STATE_ROLLUP_BDD],0),MATCH(H$9,MMWR_RATING_STATE_ROLLUP_BDD[#Headers],0)),"ERROR"))</f>
        <v>113</v>
      </c>
      <c r="I73" s="155">
        <f>IF($B73=" ","",IFERROR(INDEX(MMWR_RATING_STATE_ROLLUP_BDD[],MATCH($B73,MMWR_RATING_STATE_ROLLUP_BDD[MMWR_RATING_STATE_ROLLUP_BDD],0),MATCH(I$9,MMWR_RATING_STATE_ROLLUP_BDD[#Headers],0)),"ERROR"))</f>
        <v>161.55555555559999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367</v>
      </c>
      <c r="D74" s="155">
        <f>IF($B74=" ","",IFERROR(INDEX(MMWR_RATING_STATE_ROLLUP_BDD[],MATCH($B74,MMWR_RATING_STATE_ROLLUP_BDD[MMWR_RATING_STATE_ROLLUP_BDD],0),MATCH(D$9,MMWR_RATING_STATE_ROLLUP_BDD[#Headers],0)),"ERROR"))</f>
        <v>90.498637602200006</v>
      </c>
      <c r="E74" s="156">
        <f>IF($B74=" ","",IFERROR(INDEX(MMWR_RATING_STATE_ROLLUP_BDD[],MATCH($B74,MMWR_RATING_STATE_ROLLUP_BDD[MMWR_RATING_STATE_ROLLUP_BDD],0),MATCH(E$9,MMWR_RATING_STATE_ROLLUP_BDD[#Headers],0))/$C74,"ERROR"))</f>
        <v>0.20163487738419619</v>
      </c>
      <c r="F74" s="154">
        <f>IF($B74=" ","",IFERROR(INDEX(MMWR_RATING_STATE_ROLLUP_BDD[],MATCH($B74,MMWR_RATING_STATE_ROLLUP_BDD[MMWR_RATING_STATE_ROLLUP_BDD],0),MATCH(F$9,MMWR_RATING_STATE_ROLLUP_BDD[#Headers],0)),"ERROR"))</f>
        <v>55</v>
      </c>
      <c r="G74" s="154">
        <f>IF($B74=" ","",IFERROR(INDEX(MMWR_RATING_STATE_ROLLUP_BDD[],MATCH($B74,MMWR_RATING_STATE_ROLLUP_BDD[MMWR_RATING_STATE_ROLLUP_BDD],0),MATCH(G$9,MMWR_RATING_STATE_ROLLUP_BDD[#Headers],0)),"ERROR"))</f>
        <v>130</v>
      </c>
      <c r="H74" s="155">
        <f>IF($B74=" ","",IFERROR(INDEX(MMWR_RATING_STATE_ROLLUP_BDD[],MATCH($B74,MMWR_RATING_STATE_ROLLUP_BDD[MMWR_RATING_STATE_ROLLUP_BDD],0),MATCH(H$9,MMWR_RATING_STATE_ROLLUP_BDD[#Headers],0)),"ERROR"))</f>
        <v>146.05454545449999</v>
      </c>
      <c r="I74" s="155">
        <f>IF($B74=" ","",IFERROR(INDEX(MMWR_RATING_STATE_ROLLUP_BDD[],MATCH($B74,MMWR_RATING_STATE_ROLLUP_BDD[MMWR_RATING_STATE_ROLLUP_BDD],0),MATCH(I$9,MMWR_RATING_STATE_ROLLUP_BDD[#Headers],0)),"ERROR"))</f>
        <v>144.7538461538</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58</v>
      </c>
      <c r="D75" s="155">
        <f>IF($B75=" ","",IFERROR(INDEX(MMWR_RATING_STATE_ROLLUP_BDD[],MATCH($B75,MMWR_RATING_STATE_ROLLUP_BDD[MMWR_RATING_STATE_ROLLUP_BDD],0),MATCH(D$9,MMWR_RATING_STATE_ROLLUP_BDD[#Headers],0)),"ERROR"))</f>
        <v>97.034482758600006</v>
      </c>
      <c r="E75" s="156">
        <f>IF($B75=" ","",IFERROR(INDEX(MMWR_RATING_STATE_ROLLUP_BDD[],MATCH($B75,MMWR_RATING_STATE_ROLLUP_BDD[MMWR_RATING_STATE_ROLLUP_BDD],0),MATCH(E$9,MMWR_RATING_STATE_ROLLUP_BDD[#Headers],0))/$C75,"ERROR"))</f>
        <v>0.20689655172413793</v>
      </c>
      <c r="F75" s="154">
        <f>IF($B75=" ","",IFERROR(INDEX(MMWR_RATING_STATE_ROLLUP_BDD[],MATCH($B75,MMWR_RATING_STATE_ROLLUP_BDD[MMWR_RATING_STATE_ROLLUP_BDD],0),MATCH(F$9,MMWR_RATING_STATE_ROLLUP_BDD[#Headers],0)),"ERROR"))</f>
        <v>5</v>
      </c>
      <c r="G75" s="154">
        <f>IF($B75=" ","",IFERROR(INDEX(MMWR_RATING_STATE_ROLLUP_BDD[],MATCH($B75,MMWR_RATING_STATE_ROLLUP_BDD[MMWR_RATING_STATE_ROLLUP_BDD],0),MATCH(G$9,MMWR_RATING_STATE_ROLLUP_BDD[#Headers],0)),"ERROR"))</f>
        <v>24</v>
      </c>
      <c r="H75" s="155">
        <f>IF($B75=" ","",IFERROR(INDEX(MMWR_RATING_STATE_ROLLUP_BDD[],MATCH($B75,MMWR_RATING_STATE_ROLLUP_BDD[MMWR_RATING_STATE_ROLLUP_BDD],0),MATCH(H$9,MMWR_RATING_STATE_ROLLUP_BDD[#Headers],0)),"ERROR"))</f>
        <v>69.400000000000006</v>
      </c>
      <c r="I75" s="155">
        <f>IF($B75=" ","",IFERROR(INDEX(MMWR_RATING_STATE_ROLLUP_BDD[],MATCH($B75,MMWR_RATING_STATE_ROLLUP_BDD[MMWR_RATING_STATE_ROLLUP_BDD],0),MATCH(I$9,MMWR_RATING_STATE_ROLLUP_BDD[#Headers],0)),"ERROR"))</f>
        <v>113.0833333333</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20</v>
      </c>
      <c r="D76" s="155">
        <f>IF($B76=" ","",IFERROR(INDEX(MMWR_RATING_STATE_ROLLUP_BDD[],MATCH($B76,MMWR_RATING_STATE_ROLLUP_BDD[MMWR_RATING_STATE_ROLLUP_BDD],0),MATCH(D$9,MMWR_RATING_STATE_ROLLUP_BDD[#Headers],0)),"ERROR"))</f>
        <v>85.95</v>
      </c>
      <c r="E76" s="156">
        <f>IF($B76=" ","",IFERROR(INDEX(MMWR_RATING_STATE_ROLLUP_BDD[],MATCH($B76,MMWR_RATING_STATE_ROLLUP_BDD[MMWR_RATING_STATE_ROLLUP_BDD],0),MATCH(E$9,MMWR_RATING_STATE_ROLLUP_BDD[#Headers],0))/$C76,"ERROR"))</f>
        <v>0.15</v>
      </c>
      <c r="F76" s="154">
        <f>IF($B76=" ","",IFERROR(INDEX(MMWR_RATING_STATE_ROLLUP_BDD[],MATCH($B76,MMWR_RATING_STATE_ROLLUP_BDD[MMWR_RATING_STATE_ROLLUP_BDD],0),MATCH(F$9,MMWR_RATING_STATE_ROLLUP_BDD[#Headers],0)),"ERROR"))</f>
        <v>4</v>
      </c>
      <c r="G76" s="154">
        <f>IF($B76=" ","",IFERROR(INDEX(MMWR_RATING_STATE_ROLLUP_BDD[],MATCH($B76,MMWR_RATING_STATE_ROLLUP_BDD[MMWR_RATING_STATE_ROLLUP_BDD],0),MATCH(G$9,MMWR_RATING_STATE_ROLLUP_BDD[#Headers],0)),"ERROR"))</f>
        <v>14</v>
      </c>
      <c r="H76" s="155">
        <f>IF($B76=" ","",IFERROR(INDEX(MMWR_RATING_STATE_ROLLUP_BDD[],MATCH($B76,MMWR_RATING_STATE_ROLLUP_BDD[MMWR_RATING_STATE_ROLLUP_BDD],0),MATCH(H$9,MMWR_RATING_STATE_ROLLUP_BDD[#Headers],0)),"ERROR"))</f>
        <v>75.25</v>
      </c>
      <c r="I76" s="155">
        <f>IF($B76=" ","",IFERROR(INDEX(MMWR_RATING_STATE_ROLLUP_BDD[],MATCH($B76,MMWR_RATING_STATE_ROLLUP_BDD[MMWR_RATING_STATE_ROLLUP_BDD],0),MATCH(I$9,MMWR_RATING_STATE_ROLLUP_BDD[#Headers],0)),"ERROR"))</f>
        <v>131.42857142860001</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89</v>
      </c>
      <c r="D77" s="155">
        <f>IF($B77=" ","",IFERROR(INDEX(MMWR_RATING_STATE_ROLLUP_BDD[],MATCH($B77,MMWR_RATING_STATE_ROLLUP_BDD[MMWR_RATING_STATE_ROLLUP_BDD],0),MATCH(D$9,MMWR_RATING_STATE_ROLLUP_BDD[#Headers],0)),"ERROR"))</f>
        <v>84.730337078700003</v>
      </c>
      <c r="E77" s="156">
        <f>IF($B77=" ","",IFERROR(INDEX(MMWR_RATING_STATE_ROLLUP_BDD[],MATCH($B77,MMWR_RATING_STATE_ROLLUP_BDD[MMWR_RATING_STATE_ROLLUP_BDD],0),MATCH(E$9,MMWR_RATING_STATE_ROLLUP_BDD[#Headers],0))/$C77,"ERROR"))</f>
        <v>0.1797752808988764</v>
      </c>
      <c r="F77" s="154">
        <f>IF($B77=" ","",IFERROR(INDEX(MMWR_RATING_STATE_ROLLUP_BDD[],MATCH($B77,MMWR_RATING_STATE_ROLLUP_BDD[MMWR_RATING_STATE_ROLLUP_BDD],0),MATCH(F$9,MMWR_RATING_STATE_ROLLUP_BDD[#Headers],0)),"ERROR"))</f>
        <v>15</v>
      </c>
      <c r="G77" s="154">
        <f>IF($B77=" ","",IFERROR(INDEX(MMWR_RATING_STATE_ROLLUP_BDD[],MATCH($B77,MMWR_RATING_STATE_ROLLUP_BDD[MMWR_RATING_STATE_ROLLUP_BDD],0),MATCH(G$9,MMWR_RATING_STATE_ROLLUP_BDD[#Headers],0)),"ERROR"))</f>
        <v>47</v>
      </c>
      <c r="H77" s="155">
        <f>IF($B77=" ","",IFERROR(INDEX(MMWR_RATING_STATE_ROLLUP_BDD[],MATCH($B77,MMWR_RATING_STATE_ROLLUP_BDD[MMWR_RATING_STATE_ROLLUP_BDD],0),MATCH(H$9,MMWR_RATING_STATE_ROLLUP_BDD[#Headers],0)),"ERROR"))</f>
        <v>143.46666666670001</v>
      </c>
      <c r="I77" s="155">
        <f>IF($B77=" ","",IFERROR(INDEX(MMWR_RATING_STATE_ROLLUP_BDD[],MATCH($B77,MMWR_RATING_STATE_ROLLUP_BDD[MMWR_RATING_STATE_ROLLUP_BDD],0),MATCH(I$9,MMWR_RATING_STATE_ROLLUP_BDD[#Headers],0)),"ERROR"))</f>
        <v>132.02127659569999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142</v>
      </c>
      <c r="D78" s="155">
        <f>IF($B78=" ","",IFERROR(INDEX(MMWR_RATING_STATE_ROLLUP_BDD[],MATCH($B78,MMWR_RATING_STATE_ROLLUP_BDD[MMWR_RATING_STATE_ROLLUP_BDD],0),MATCH(D$9,MMWR_RATING_STATE_ROLLUP_BDD[#Headers],0)),"ERROR"))</f>
        <v>86.253521126799995</v>
      </c>
      <c r="E78" s="156">
        <f>IF($B78=" ","",IFERROR(INDEX(MMWR_RATING_STATE_ROLLUP_BDD[],MATCH($B78,MMWR_RATING_STATE_ROLLUP_BDD[MMWR_RATING_STATE_ROLLUP_BDD],0),MATCH(E$9,MMWR_RATING_STATE_ROLLUP_BDD[#Headers],0))/$C78,"ERROR"))</f>
        <v>0.176056338028169</v>
      </c>
      <c r="F78" s="154">
        <f>IF($B78=" ","",IFERROR(INDEX(MMWR_RATING_STATE_ROLLUP_BDD[],MATCH($B78,MMWR_RATING_STATE_ROLLUP_BDD[MMWR_RATING_STATE_ROLLUP_BDD],0),MATCH(F$9,MMWR_RATING_STATE_ROLLUP_BDD[#Headers],0)),"ERROR"))</f>
        <v>34</v>
      </c>
      <c r="G78" s="154">
        <f>IF($B78=" ","",IFERROR(INDEX(MMWR_RATING_STATE_ROLLUP_BDD[],MATCH($B78,MMWR_RATING_STATE_ROLLUP_BDD[MMWR_RATING_STATE_ROLLUP_BDD],0),MATCH(G$9,MMWR_RATING_STATE_ROLLUP_BDD[#Headers],0)),"ERROR"))</f>
        <v>86</v>
      </c>
      <c r="H78" s="155">
        <f>IF($B78=" ","",IFERROR(INDEX(MMWR_RATING_STATE_ROLLUP_BDD[],MATCH($B78,MMWR_RATING_STATE_ROLLUP_BDD[MMWR_RATING_STATE_ROLLUP_BDD],0),MATCH(H$9,MMWR_RATING_STATE_ROLLUP_BDD[#Headers],0)),"ERROR"))</f>
        <v>139.4411764706</v>
      </c>
      <c r="I78" s="155">
        <f>IF($B78=" ","",IFERROR(INDEX(MMWR_RATING_STATE_ROLLUP_BDD[],MATCH($B78,MMWR_RATING_STATE_ROLLUP_BDD[MMWR_RATING_STATE_ROLLUP_BDD],0),MATCH(I$9,MMWR_RATING_STATE_ROLLUP_BDD[#Headers],0)),"ERROR"))</f>
        <v>141.8953488372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1229</v>
      </c>
      <c r="D79" s="155">
        <f>IF($B79=" ","",IFERROR(INDEX(MMWR_RATING_STATE_ROLLUP_BDD[],MATCH($B79,MMWR_RATING_STATE_ROLLUP_BDD[MMWR_RATING_STATE_ROLLUP_BDD],0),MATCH(D$9,MMWR_RATING_STATE_ROLLUP_BDD[#Headers],0)),"ERROR"))</f>
        <v>85.9218877136</v>
      </c>
      <c r="E79" s="156">
        <f>IF($B79=" ","",IFERROR(INDEX(MMWR_RATING_STATE_ROLLUP_BDD[],MATCH($B79,MMWR_RATING_STATE_ROLLUP_BDD[MMWR_RATING_STATE_ROLLUP_BDD],0),MATCH(E$9,MMWR_RATING_STATE_ROLLUP_BDD[#Headers],0))/$C79,"ERROR"))</f>
        <v>0.17087062652563059</v>
      </c>
      <c r="F79" s="154">
        <f>IF($B79=" ","",IFERROR(INDEX(MMWR_RATING_STATE_ROLLUP_BDD[],MATCH($B79,MMWR_RATING_STATE_ROLLUP_BDD[MMWR_RATING_STATE_ROLLUP_BDD],0),MATCH(F$9,MMWR_RATING_STATE_ROLLUP_BDD[#Headers],0)),"ERROR"))</f>
        <v>149</v>
      </c>
      <c r="G79" s="154">
        <f>IF($B79=" ","",IFERROR(INDEX(MMWR_RATING_STATE_ROLLUP_BDD[],MATCH($B79,MMWR_RATING_STATE_ROLLUP_BDD[MMWR_RATING_STATE_ROLLUP_BDD],0),MATCH(G$9,MMWR_RATING_STATE_ROLLUP_BDD[#Headers],0)),"ERROR"))</f>
        <v>453</v>
      </c>
      <c r="H79" s="155">
        <f>IF($B79=" ","",IFERROR(INDEX(MMWR_RATING_STATE_ROLLUP_BDD[],MATCH($B79,MMWR_RATING_STATE_ROLLUP_BDD[MMWR_RATING_STATE_ROLLUP_BDD],0),MATCH(H$9,MMWR_RATING_STATE_ROLLUP_BDD[#Headers],0)),"ERROR"))</f>
        <v>144.8053691275</v>
      </c>
      <c r="I79" s="155">
        <f>IF($B79=" ","",IFERROR(INDEX(MMWR_RATING_STATE_ROLLUP_BDD[],MATCH($B79,MMWR_RATING_STATE_ROLLUP_BDD[MMWR_RATING_STATE_ROLLUP_BDD],0),MATCH(I$9,MMWR_RATING_STATE_ROLLUP_BDD[#Headers],0)),"ERROR"))</f>
        <v>141.55408388519999</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134</v>
      </c>
      <c r="D80" s="155">
        <f>IF($B80=" ","",IFERROR(INDEX(MMWR_RATING_STATE_ROLLUP_BDD[],MATCH($B80,MMWR_RATING_STATE_ROLLUP_BDD[MMWR_RATING_STATE_ROLLUP_BDD],0),MATCH(D$9,MMWR_RATING_STATE_ROLLUP_BDD[#Headers],0)),"ERROR"))</f>
        <v>89.164179104499993</v>
      </c>
      <c r="E80" s="156">
        <f>IF($B80=" ","",IFERROR(INDEX(MMWR_RATING_STATE_ROLLUP_BDD[],MATCH($B80,MMWR_RATING_STATE_ROLLUP_BDD[MMWR_RATING_STATE_ROLLUP_BDD],0),MATCH(E$9,MMWR_RATING_STATE_ROLLUP_BDD[#Headers],0))/$C80,"ERROR"))</f>
        <v>0.19402985074626866</v>
      </c>
      <c r="F80" s="154">
        <f>IF($B80=" ","",IFERROR(INDEX(MMWR_RATING_STATE_ROLLUP_BDD[],MATCH($B80,MMWR_RATING_STATE_ROLLUP_BDD[MMWR_RATING_STATE_ROLLUP_BDD],0),MATCH(F$9,MMWR_RATING_STATE_ROLLUP_BDD[#Headers],0)),"ERROR"))</f>
        <v>33</v>
      </c>
      <c r="G80" s="154">
        <f>IF($B80=" ","",IFERROR(INDEX(MMWR_RATING_STATE_ROLLUP_BDD[],MATCH($B80,MMWR_RATING_STATE_ROLLUP_BDD[MMWR_RATING_STATE_ROLLUP_BDD],0),MATCH(G$9,MMWR_RATING_STATE_ROLLUP_BDD[#Headers],0)),"ERROR"))</f>
        <v>92</v>
      </c>
      <c r="H80" s="155">
        <f>IF($B80=" ","",IFERROR(INDEX(MMWR_RATING_STATE_ROLLUP_BDD[],MATCH($B80,MMWR_RATING_STATE_ROLLUP_BDD[MMWR_RATING_STATE_ROLLUP_BDD],0),MATCH(H$9,MMWR_RATING_STATE_ROLLUP_BDD[#Headers],0)),"ERROR"))</f>
        <v>139.54545454550001</v>
      </c>
      <c r="I80" s="155">
        <f>IF($B80=" ","",IFERROR(INDEX(MMWR_RATING_STATE_ROLLUP_BDD[],MATCH($B80,MMWR_RATING_STATE_ROLLUP_BDD[MMWR_RATING_STATE_ROLLUP_BDD],0),MATCH(I$9,MMWR_RATING_STATE_ROLLUP_BDD[#Headers],0)),"ERROR"))</f>
        <v>127.67391304349999</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9</v>
      </c>
      <c r="D81" s="155">
        <f>IF($B81=" ","",IFERROR(INDEX(MMWR_RATING_STATE_ROLLUP_BDD[],MATCH($B81,MMWR_RATING_STATE_ROLLUP_BDD[MMWR_RATING_STATE_ROLLUP_BDD],0),MATCH(D$9,MMWR_RATING_STATE_ROLLUP_BDD[#Headers],0)),"ERROR"))</f>
        <v>94.777777777799997</v>
      </c>
      <c r="E81" s="156">
        <f>IF($B81=" ","",IFERROR(INDEX(MMWR_RATING_STATE_ROLLUP_BDD[],MATCH($B81,MMWR_RATING_STATE_ROLLUP_BDD[MMWR_RATING_STATE_ROLLUP_BDD],0),MATCH(E$9,MMWR_RATING_STATE_ROLLUP_BDD[#Headers],0))/$C81,"ERROR"))</f>
        <v>0.1111111111111111</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8</v>
      </c>
      <c r="H81" s="155">
        <f>IF($B81=" ","",IFERROR(INDEX(MMWR_RATING_STATE_ROLLUP_BDD[],MATCH($B81,MMWR_RATING_STATE_ROLLUP_BDD[MMWR_RATING_STATE_ROLLUP_BDD],0),MATCH(H$9,MMWR_RATING_STATE_ROLLUP_BDD[#Headers],0)),"ERROR"))</f>
        <v>93.5</v>
      </c>
      <c r="I81" s="155">
        <f>IF($B81=" ","",IFERROR(INDEX(MMWR_RATING_STATE_ROLLUP_BDD[],MATCH($B81,MMWR_RATING_STATE_ROLLUP_BDD[MMWR_RATING_STATE_ROLLUP_BDD],0),MATCH(I$9,MMWR_RATING_STATE_ROLLUP_BDD[#Headers],0)),"ERROR"))</f>
        <v>111.5</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4</v>
      </c>
      <c r="D82" s="155">
        <f>IF($B82=" ","",IFERROR(INDEX(MMWR_RATING_STATE_ROLLUP_BDD[],MATCH($B82,MMWR_RATING_STATE_ROLLUP_BDD[MMWR_RATING_STATE_ROLLUP_BDD],0),MATCH(D$9,MMWR_RATING_STATE_ROLLUP_BDD[#Headers],0)),"ERROR"))</f>
        <v>87.75</v>
      </c>
      <c r="E82" s="156">
        <f>IF($B82=" ","",IFERROR(INDEX(MMWR_RATING_STATE_ROLLUP_BDD[],MATCH($B82,MMWR_RATING_STATE_ROLLUP_BDD[MMWR_RATING_STATE_ROLLUP_BDD],0),MATCH(E$9,MMWR_RATING_STATE_ROLLUP_BDD[#Headers],0))/$C82,"ERROR"))</f>
        <v>0.25</v>
      </c>
      <c r="F82" s="154">
        <f>IF($B82=" ","",IFERROR(INDEX(MMWR_RATING_STATE_ROLLUP_BDD[],MATCH($B82,MMWR_RATING_STATE_ROLLUP_BDD[MMWR_RATING_STATE_ROLLUP_BDD],0),MATCH(F$9,MMWR_RATING_STATE_ROLLUP_BDD[#Headers],0)),"ERROR"))</f>
        <v>1</v>
      </c>
      <c r="G82" s="154">
        <f>IF($B82=" ","",IFERROR(INDEX(MMWR_RATING_STATE_ROLLUP_BDD[],MATCH($B82,MMWR_RATING_STATE_ROLLUP_BDD[MMWR_RATING_STATE_ROLLUP_BDD],0),MATCH(G$9,MMWR_RATING_STATE_ROLLUP_BDD[#Headers],0)),"ERROR"))</f>
        <v>5</v>
      </c>
      <c r="H82" s="155">
        <f>IF($B82=" ","",IFERROR(INDEX(MMWR_RATING_STATE_ROLLUP_BDD[],MATCH($B82,MMWR_RATING_STATE_ROLLUP_BDD[MMWR_RATING_STATE_ROLLUP_BDD],0),MATCH(H$9,MMWR_RATING_STATE_ROLLUP_BDD[#Headers],0)),"ERROR"))</f>
        <v>129</v>
      </c>
      <c r="I82" s="155">
        <f>IF($B82=" ","",IFERROR(INDEX(MMWR_RATING_STATE_ROLLUP_BDD[],MATCH($B82,MMWR_RATING_STATE_ROLLUP_BDD[MMWR_RATING_STATE_ROLLUP_BDD],0),MATCH(I$9,MMWR_RATING_STATE_ROLLUP_BDD[#Headers],0)),"ERROR"))</f>
        <v>93.2</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1209</v>
      </c>
      <c r="D83" s="155">
        <f>IF($B83=" ","",IFERROR(INDEX(MMWR_RATING_STATE_ROLLUP_BDD[],MATCH($B83,MMWR_RATING_STATE_ROLLUP_BDD[MMWR_RATING_STATE_ROLLUP_BDD],0),MATCH(D$9,MMWR_RATING_STATE_ROLLUP_BDD[#Headers],0)),"ERROR"))</f>
        <v>95.717948717900001</v>
      </c>
      <c r="E83" s="156">
        <f>IF($B83=" ","",IFERROR(INDEX(MMWR_RATING_STATE_ROLLUP_BDD[],MATCH($B83,MMWR_RATING_STATE_ROLLUP_BDD[MMWR_RATING_STATE_ROLLUP_BDD],0),MATCH(E$9,MMWR_RATING_STATE_ROLLUP_BDD[#Headers],0))/$C83,"ERROR"))</f>
        <v>0.21009098428453268</v>
      </c>
      <c r="F83" s="154">
        <f>IF($B83=" ","",IFERROR(INDEX(MMWR_RATING_STATE_ROLLUP_BDD[],MATCH($B83,MMWR_RATING_STATE_ROLLUP_BDD[MMWR_RATING_STATE_ROLLUP_BDD],0),MATCH(F$9,MMWR_RATING_STATE_ROLLUP_BDD[#Headers],0)),"ERROR"))</f>
        <v>157</v>
      </c>
      <c r="G83" s="154">
        <f>IF($B83=" ","",IFERROR(INDEX(MMWR_RATING_STATE_ROLLUP_BDD[],MATCH($B83,MMWR_RATING_STATE_ROLLUP_BDD[MMWR_RATING_STATE_ROLLUP_BDD],0),MATCH(G$9,MMWR_RATING_STATE_ROLLUP_BDD[#Headers],0)),"ERROR"))</f>
        <v>415</v>
      </c>
      <c r="H83" s="155">
        <f>IF($B83=" ","",IFERROR(INDEX(MMWR_RATING_STATE_ROLLUP_BDD[],MATCH($B83,MMWR_RATING_STATE_ROLLUP_BDD[MMWR_RATING_STATE_ROLLUP_BDD],0),MATCH(H$9,MMWR_RATING_STATE_ROLLUP_BDD[#Headers],0)),"ERROR"))</f>
        <v>151.71337579620001</v>
      </c>
      <c r="I83" s="155">
        <f>IF($B83=" ","",IFERROR(INDEX(MMWR_RATING_STATE_ROLLUP_BDD[],MATCH($B83,MMWR_RATING_STATE_ROLLUP_BDD[MMWR_RATING_STATE_ROLLUP_BDD],0),MATCH(I$9,MMWR_RATING_STATE_ROLLUP_BDD[#Headers],0)),"ERROR"))</f>
        <v>149.55903614459999</v>
      </c>
      <c r="J83" s="42"/>
      <c r="K83" s="42"/>
      <c r="L83" s="42"/>
      <c r="M83" s="42"/>
      <c r="N83" s="28"/>
    </row>
    <row r="84" spans="1:14" x14ac:dyDescent="0.2">
      <c r="A84" s="25"/>
      <c r="B84" s="250" t="str">
        <f>VLOOKUP($B$15,DISTRICT_STATES[],16,0)</f>
        <v>West Virginia</v>
      </c>
      <c r="C84" s="154">
        <f>IF($B84=" ","",IFERROR(INDEX(MMWR_RATING_STATE_ROLLUP_BDD[],MATCH($B84,MMWR_RATING_STATE_ROLLUP_BDD[MMWR_RATING_STATE_ROLLUP_BDD],0),MATCH(C$9,MMWR_RATING_STATE_ROLLUP_BDD[#Headers],0)),"ERROR"))</f>
        <v>28</v>
      </c>
      <c r="D84" s="155">
        <f>IF($B84=" ","",IFERROR(INDEX(MMWR_RATING_STATE_ROLLUP_BDD[],MATCH($B84,MMWR_RATING_STATE_ROLLUP_BDD[MMWR_RATING_STATE_ROLLUP_BDD],0),MATCH(D$9,MMWR_RATING_STATE_ROLLUP_BDD[#Headers],0)),"ERROR"))</f>
        <v>112.25</v>
      </c>
      <c r="E84" s="156">
        <f>IF($B84=" ","",IFERROR(INDEX(MMWR_RATING_STATE_ROLLUP_BDD[],MATCH($B84,MMWR_RATING_STATE_ROLLUP_BDD[MMWR_RATING_STATE_ROLLUP_BDD],0),MATCH(E$9,MMWR_RATING_STATE_ROLLUP_BDD[#Headers],0))/$C84,"ERROR"))</f>
        <v>0.35714285714285715</v>
      </c>
      <c r="F84" s="154">
        <f>IF($B84=" ","",IFERROR(INDEX(MMWR_RATING_STATE_ROLLUP_BDD[],MATCH($B84,MMWR_RATING_STATE_ROLLUP_BDD[MMWR_RATING_STATE_ROLLUP_BDD],0),MATCH(F$9,MMWR_RATING_STATE_ROLLUP_BDD[#Headers],0)),"ERROR"))</f>
        <v>6</v>
      </c>
      <c r="G84" s="154">
        <f>IF($B84=" ","",IFERROR(INDEX(MMWR_RATING_STATE_ROLLUP_BDD[],MATCH($B84,MMWR_RATING_STATE_ROLLUP_BDD[MMWR_RATING_STATE_ROLLUP_BDD],0),MATCH(G$9,MMWR_RATING_STATE_ROLLUP_BDD[#Headers],0)),"ERROR"))</f>
        <v>13</v>
      </c>
      <c r="H84" s="155">
        <f>IF($B84=" ","",IFERROR(INDEX(MMWR_RATING_STATE_ROLLUP_BDD[],MATCH($B84,MMWR_RATING_STATE_ROLLUP_BDD[MMWR_RATING_STATE_ROLLUP_BDD],0),MATCH(H$9,MMWR_RATING_STATE_ROLLUP_BDD[#Headers],0)),"ERROR"))</f>
        <v>109.1666666667</v>
      </c>
      <c r="I84" s="155">
        <f>IF($B84=" ","",IFERROR(INDEX(MMWR_RATING_STATE_ROLLUP_BDD[],MATCH($B84,MMWR_RATING_STATE_ROLLUP_BDD[MMWR_RATING_STATE_ROLLUP_BDD],0),MATCH(I$9,MMWR_RATING_STATE_ROLLUP_BDD[#Headers],0)),"ERROR"))</f>
        <v>120.4615384615</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29" priority="18">
      <formula>IF(OR(ISERROR(A1),A1="ERROR"),TRUE,FALSE)</formula>
    </cfRule>
  </conditionalFormatting>
  <conditionalFormatting sqref="A30 J30:N30">
    <cfRule type="expression" dxfId="428" priority="17">
      <formula>IF(OR(ISERROR(A30),A30="ERROR"),TRUE,FALSE)</formula>
    </cfRule>
  </conditionalFormatting>
  <conditionalFormatting sqref="B4">
    <cfRule type="expression" dxfId="427" priority="16">
      <formula>IF(OR(ISERROR(B4),B4="ERROR"),TRUE,FALSE)</formula>
    </cfRule>
  </conditionalFormatting>
  <conditionalFormatting sqref="B33:B48">
    <cfRule type="expression" dxfId="426" priority="14">
      <formula>IF(OR(ISERROR(B33),B33="ERROR"),TRUE,FALSE)</formula>
    </cfRule>
  </conditionalFormatting>
  <conditionalFormatting sqref="B51:B66">
    <cfRule type="expression" dxfId="425" priority="13">
      <formula>IF(OR(ISERROR(B51),B51="ERROR"),TRUE,FALSE)</formula>
    </cfRule>
  </conditionalFormatting>
  <conditionalFormatting sqref="B69:B84">
    <cfRule type="expression" dxfId="424" priority="12">
      <formula>IF(OR(ISERROR(B69),B69="ERROR"),TRUE,FALSE)</formula>
    </cfRule>
  </conditionalFormatting>
  <conditionalFormatting sqref="B14:I14">
    <cfRule type="expression" dxfId="423" priority="8">
      <formula>IF(OR(ISERROR(B13),B14="ERROR"),TRUE,FALSE)</formula>
    </cfRule>
  </conditionalFormatting>
  <conditionalFormatting sqref="C33:I48">
    <cfRule type="expression" dxfId="422" priority="7">
      <formula>IF(OR(ISERROR(C33),C33="ERROR"),TRUE,FALSE)</formula>
    </cfRule>
  </conditionalFormatting>
  <conditionalFormatting sqref="C32:I32">
    <cfRule type="expression" dxfId="421" priority="6">
      <formula>IF(OR(ISERROR(C31),C32="ERROR"),TRUE,FALSE)</formula>
    </cfRule>
  </conditionalFormatting>
  <conditionalFormatting sqref="C51:I66">
    <cfRule type="expression" dxfId="420" priority="5">
      <formula>IF(OR(ISERROR(C51),C51="ERROR"),TRUE,FALSE)</formula>
    </cfRule>
  </conditionalFormatting>
  <conditionalFormatting sqref="C50:I50">
    <cfRule type="expression" dxfId="419" priority="4">
      <formula>IF(OR(ISERROR(C49),C50="ERROR"),TRUE,FALSE)</formula>
    </cfRule>
  </conditionalFormatting>
  <conditionalFormatting sqref="C69:I84">
    <cfRule type="expression" dxfId="418" priority="3">
      <formula>IF(OR(ISERROR(C69),C69="ERROR"),TRUE,FALSE)</formula>
    </cfRule>
  </conditionalFormatting>
  <conditionalFormatting sqref="C68:I68">
    <cfRule type="expression" dxfId="417" priority="2">
      <formula>IF(OR(ISERROR(C67),C68="ERROR"),TRUE,FALSE)</formula>
    </cfRule>
  </conditionalFormatting>
  <conditionalFormatting sqref="C5:O5">
    <cfRule type="expression" dxfId="416"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8"/>
  <sheetViews>
    <sheetView zoomScale="60" zoomScaleNormal="60" zoomScaleSheetLayoutView="55" workbookViewId="0"/>
  </sheetViews>
  <sheetFormatPr defaultColWidth="0" defaultRowHeight="12.75" zeroHeight="1" x14ac:dyDescent="0.2"/>
  <cols>
    <col min="1" max="1" width="2.85546875" customWidth="1"/>
    <col min="2" max="2" width="50.7109375" customWidth="1"/>
    <col min="3" max="5" width="15.42578125" customWidth="1"/>
    <col min="6" max="6" width="10.7109375" customWidth="1"/>
    <col min="7" max="7" width="40.7109375" customWidth="1"/>
    <col min="8" max="10" width="15.42578125" customWidth="1"/>
    <col min="11" max="11" width="10.7109375" customWidth="1"/>
    <col min="12" max="12" width="40.7109375" customWidth="1"/>
    <col min="13" max="13" width="15.42578125" customWidth="1"/>
    <col min="14" max="14" width="40.7109375" customWidth="1"/>
    <col min="15" max="15" width="15.42578125" customWidth="1"/>
    <col min="16" max="16" width="3" customWidth="1"/>
    <col min="17" max="22" width="0" hidden="1" customWidth="1"/>
    <col min="23" max="16384" width="9.140625" hidden="1"/>
  </cols>
  <sheetData>
    <row r="1" spans="1:16" s="21" customFormat="1" ht="14.25" customHeight="1" thickBot="1" x14ac:dyDescent="0.25">
      <c r="A1" s="25"/>
      <c r="B1" s="26"/>
      <c r="C1" s="54"/>
      <c r="D1" s="54"/>
      <c r="E1" s="54"/>
      <c r="F1" s="54"/>
      <c r="G1" s="54"/>
      <c r="H1" s="54"/>
      <c r="I1" s="54"/>
      <c r="J1" s="54"/>
      <c r="K1" s="54"/>
      <c r="L1" s="54"/>
      <c r="M1" s="54"/>
      <c r="N1" s="54"/>
      <c r="O1" s="54"/>
      <c r="P1" s="25"/>
    </row>
    <row r="2" spans="1:16" s="1" customFormat="1" ht="27" thickBot="1" x14ac:dyDescent="0.45">
      <c r="A2" s="25"/>
      <c r="B2" s="413" t="s">
        <v>295</v>
      </c>
      <c r="C2" s="414"/>
      <c r="D2" s="414"/>
      <c r="E2" s="414"/>
      <c r="F2" s="414"/>
      <c r="G2" s="414"/>
      <c r="H2" s="414"/>
      <c r="I2" s="414"/>
      <c r="J2" s="414"/>
      <c r="K2" s="414"/>
      <c r="L2" s="414"/>
      <c r="M2" s="414"/>
      <c r="N2" s="414"/>
      <c r="O2" s="415"/>
      <c r="P2" s="25"/>
    </row>
    <row r="3" spans="1:16" s="1" customFormat="1" ht="63" customHeight="1" thickBot="1" x14ac:dyDescent="0.25">
      <c r="A3" s="25"/>
      <c r="B3" s="419" t="s">
        <v>310</v>
      </c>
      <c r="C3" s="420"/>
      <c r="D3" s="420"/>
      <c r="E3" s="420"/>
      <c r="F3" s="420"/>
      <c r="G3" s="420"/>
      <c r="H3" s="420"/>
      <c r="I3" s="420"/>
      <c r="J3" s="420"/>
      <c r="K3" s="420"/>
      <c r="L3" s="420"/>
      <c r="M3" s="420"/>
      <c r="N3" s="420"/>
      <c r="O3" s="421"/>
      <c r="P3" s="25"/>
    </row>
    <row r="4" spans="1:16" s="1" customFormat="1" ht="32.25" customHeight="1" thickBot="1" x14ac:dyDescent="0.25">
      <c r="A4" s="25"/>
      <c r="B4" s="416" t="str">
        <f>Transformation!B4</f>
        <v>As of: December 26, 2015</v>
      </c>
      <c r="C4" s="417"/>
      <c r="D4" s="417"/>
      <c r="E4" s="417"/>
      <c r="F4" s="417"/>
      <c r="G4" s="417"/>
      <c r="H4" s="417"/>
      <c r="I4" s="417"/>
      <c r="J4" s="417"/>
      <c r="K4" s="417"/>
      <c r="L4" s="417"/>
      <c r="M4" s="417"/>
      <c r="N4" s="417"/>
      <c r="O4" s="418"/>
      <c r="P4" s="25"/>
    </row>
    <row r="5" spans="1:16" s="1" customFormat="1" ht="27" customHeight="1" thickBot="1" x14ac:dyDescent="0.45">
      <c r="A5" s="25"/>
      <c r="B5" s="422" t="s">
        <v>242</v>
      </c>
      <c r="C5" s="423"/>
      <c r="D5" s="423"/>
      <c r="E5" s="424"/>
      <c r="F5" s="55"/>
      <c r="G5" s="422" t="s">
        <v>239</v>
      </c>
      <c r="H5" s="423"/>
      <c r="I5" s="423"/>
      <c r="J5" s="424"/>
      <c r="K5" s="56"/>
      <c r="L5" s="425" t="s">
        <v>11</v>
      </c>
      <c r="M5" s="426"/>
      <c r="N5" s="426"/>
      <c r="O5" s="427"/>
      <c r="P5" s="25"/>
    </row>
    <row r="6" spans="1:16" s="1" customFormat="1" ht="65.25" customHeight="1" thickBot="1" x14ac:dyDescent="0.25">
      <c r="A6" s="25"/>
      <c r="B6" s="275" t="s">
        <v>282</v>
      </c>
      <c r="C6" s="57" t="s">
        <v>12</v>
      </c>
      <c r="D6" s="58" t="s">
        <v>3</v>
      </c>
      <c r="E6" s="59" t="s">
        <v>4</v>
      </c>
      <c r="F6" s="25"/>
      <c r="G6" s="280" t="s">
        <v>282</v>
      </c>
      <c r="H6" s="60" t="s">
        <v>12</v>
      </c>
      <c r="I6" s="61" t="s">
        <v>3</v>
      </c>
      <c r="J6" s="62" t="s">
        <v>4</v>
      </c>
      <c r="K6" s="63"/>
      <c r="L6" s="276" t="s">
        <v>282</v>
      </c>
      <c r="M6" s="64" t="s">
        <v>488</v>
      </c>
      <c r="N6" s="277" t="s">
        <v>282</v>
      </c>
      <c r="O6" s="65" t="s">
        <v>137</v>
      </c>
      <c r="P6" s="25"/>
    </row>
    <row r="7" spans="1:16" s="1" customFormat="1" ht="35.1" customHeight="1" thickBot="1" x14ac:dyDescent="0.25">
      <c r="A7" s="25"/>
      <c r="B7" s="273" t="s">
        <v>297</v>
      </c>
      <c r="C7" s="167">
        <f>SUM(C8:C10)</f>
        <v>121162</v>
      </c>
      <c r="D7" s="168">
        <f>SUM(D8:D10)</f>
        <v>31929</v>
      </c>
      <c r="E7" s="169">
        <f t="shared" ref="E7:E44" si="0">IF(D7="--", 0, D7/C7)</f>
        <v>0.26352321685016755</v>
      </c>
      <c r="F7" s="25"/>
      <c r="G7" s="273" t="s">
        <v>267</v>
      </c>
      <c r="H7" s="168">
        <f>SUM(H8:H10)</f>
        <v>32986</v>
      </c>
      <c r="I7" s="168">
        <f>SUM(I8:I10)</f>
        <v>4702</v>
      </c>
      <c r="J7" s="179">
        <f>IF(I7="--", 0, I7/H7)</f>
        <v>0.1425453222579276</v>
      </c>
      <c r="K7" s="66"/>
      <c r="L7" s="273" t="s">
        <v>966</v>
      </c>
      <c r="M7" s="180">
        <f>M8+M9+M10+M11+M12</f>
        <v>325918</v>
      </c>
      <c r="N7" s="273"/>
      <c r="O7" s="67"/>
      <c r="P7" s="25"/>
    </row>
    <row r="8" spans="1:16" s="1" customFormat="1" ht="35.1" customHeight="1" x14ac:dyDescent="0.2">
      <c r="A8" s="25"/>
      <c r="B8" s="266" t="s">
        <v>252</v>
      </c>
      <c r="C8" s="170">
        <f>IFERROR(VLOOKUP(MID(B8,4,3),MMWR_TRAD_AGG_NATIONAL[],2,0),"--")</f>
        <v>285</v>
      </c>
      <c r="D8" s="171">
        <f>IFERROR(VLOOKUP(MID(B8,4,3),MMWR_TRAD_AGG_NATIONAL[],3,0),"--")</f>
        <v>164</v>
      </c>
      <c r="E8" s="172">
        <f t="shared" si="0"/>
        <v>0.57543859649122808</v>
      </c>
      <c r="F8" s="25"/>
      <c r="G8" s="274" t="s">
        <v>269</v>
      </c>
      <c r="H8" s="170">
        <f>IFERROR(VLOOKUP(MID(G8,4,3),MMWR_TRAD_AGG_NATIONAL[],2,0),"--")</f>
        <v>8573</v>
      </c>
      <c r="I8" s="171">
        <f>IFERROR(VLOOKUP(MID(G8,4,3),MMWR_TRAD_AGG_NATIONAL[],3,0),"--")</f>
        <v>438</v>
      </c>
      <c r="J8" s="172">
        <f>IF(I8="--", 0, I8/H8)</f>
        <v>5.1090633383879619E-2</v>
      </c>
      <c r="K8" s="68" t="s">
        <v>309</v>
      </c>
      <c r="L8" s="278" t="s">
        <v>243</v>
      </c>
      <c r="M8" s="181">
        <f>VLOOKUP(L8,MMWR_APP_NATIONAL[],2,0)</f>
        <v>234684</v>
      </c>
      <c r="N8" s="279" t="s">
        <v>232</v>
      </c>
      <c r="O8" s="182">
        <f>VLOOKUP(L8,MMWR_APP_NATIONAL[],3,0)</f>
        <v>398.73424410029997</v>
      </c>
      <c r="P8" s="25"/>
    </row>
    <row r="9" spans="1:16" s="1" customFormat="1" ht="35.1" customHeight="1" x14ac:dyDescent="0.2">
      <c r="A9" s="25"/>
      <c r="B9" s="266" t="s">
        <v>250</v>
      </c>
      <c r="C9" s="170">
        <f>IFERROR(VLOOKUP(MID(B9,4,3),MMWR_TRAD_AGG_NATIONAL[],2,0),"--")</f>
        <v>40251</v>
      </c>
      <c r="D9" s="171">
        <f>IFERROR(VLOOKUP(MID(B9,4,3),MMWR_TRAD_AGG_NATIONAL[],3,0),"--")</f>
        <v>12019</v>
      </c>
      <c r="E9" s="172">
        <f t="shared" si="0"/>
        <v>0.29860127698690714</v>
      </c>
      <c r="F9" s="68" t="s">
        <v>309</v>
      </c>
      <c r="G9" s="266" t="s">
        <v>268</v>
      </c>
      <c r="H9" s="170">
        <f>IFERROR(VLOOKUP(MID(G9,4,3),MMWR_TRAD_AGG_NATIONAL[],2,0),"--")</f>
        <v>7948</v>
      </c>
      <c r="I9" s="171">
        <f>IFERROR(VLOOKUP(MID(G9,4,3),MMWR_TRAD_AGG_NATIONAL[],3,0),"--")</f>
        <v>346</v>
      </c>
      <c r="J9" s="172">
        <f>IF(I9="--", 0, I9/H9)</f>
        <v>4.3532964267740309E-2</v>
      </c>
      <c r="K9" s="68" t="s">
        <v>309</v>
      </c>
      <c r="L9" s="271" t="s">
        <v>244</v>
      </c>
      <c r="M9" s="183">
        <f>VLOOKUP(L9,MMWR_APP_NATIONAL[],2,0)</f>
        <v>54667</v>
      </c>
      <c r="N9" s="269" t="s">
        <v>233</v>
      </c>
      <c r="O9" s="184">
        <f>VLOOKUP(L9,MMWR_APP_NATIONAL[],3,0)</f>
        <v>611.94879909270003</v>
      </c>
      <c r="P9" s="25"/>
    </row>
    <row r="10" spans="1:16" s="1" customFormat="1" ht="35.1" customHeight="1" thickBot="1" x14ac:dyDescent="0.25">
      <c r="A10" s="25"/>
      <c r="B10" s="266" t="s">
        <v>251</v>
      </c>
      <c r="C10" s="170">
        <f>IFERROR(VLOOKUP(MID(B10,4,3),MMWR_TRAD_AGG_NATIONAL[],2,0),"--")</f>
        <v>80626</v>
      </c>
      <c r="D10" s="171">
        <f>IFERROR(VLOOKUP(MID(B10,4,3),MMWR_TRAD_AGG_NATIONAL[],3,0),"--")</f>
        <v>19746</v>
      </c>
      <c r="E10" s="172">
        <f t="shared" si="0"/>
        <v>0.24490859028105078</v>
      </c>
      <c r="F10" s="68" t="s">
        <v>309</v>
      </c>
      <c r="G10" s="267" t="s">
        <v>270</v>
      </c>
      <c r="H10" s="170">
        <f>IFERROR(VLOOKUP(MID(G10,4,3),MMWR_TRAD_AGG_NATIONAL[],2,0),"--")</f>
        <v>16465</v>
      </c>
      <c r="I10" s="171">
        <f>IFERROR(VLOOKUP(MID(G10,4,3),MMWR_TRAD_AGG_NATIONAL[],3,0),"--")</f>
        <v>3918</v>
      </c>
      <c r="J10" s="172">
        <f>IF(I10="--", 0, I10/H10)</f>
        <v>0.23795930762222897</v>
      </c>
      <c r="K10" s="69"/>
      <c r="L10" s="271" t="s">
        <v>245</v>
      </c>
      <c r="M10" s="183">
        <f>VLOOKUP(L10,MMWR_APP_NATIONAL[],2,0)</f>
        <v>25106</v>
      </c>
      <c r="N10" s="269" t="s">
        <v>234</v>
      </c>
      <c r="O10" s="184">
        <f>VLOOKUP(L10,MMWR_APP_NATIONAL[],3,0)</f>
        <v>519.50760895550002</v>
      </c>
      <c r="P10" s="25"/>
    </row>
    <row r="11" spans="1:16" s="1" customFormat="1" ht="35.1" customHeight="1" thickBot="1" x14ac:dyDescent="0.25">
      <c r="A11" s="25"/>
      <c r="B11" s="273" t="s">
        <v>298</v>
      </c>
      <c r="C11" s="167">
        <f>SUM(C12:C13)</f>
        <v>9060</v>
      </c>
      <c r="D11" s="168">
        <f>SUM(D12:D13)</f>
        <v>1988</v>
      </c>
      <c r="E11" s="169">
        <f t="shared" si="0"/>
        <v>0.21942604856512141</v>
      </c>
      <c r="F11" s="25"/>
      <c r="G11" s="273" t="s">
        <v>240</v>
      </c>
      <c r="H11" s="167">
        <f>SUM(H12:H17)</f>
        <v>27246</v>
      </c>
      <c r="I11" s="167">
        <f>SUM(I12:I17)</f>
        <v>7057</v>
      </c>
      <c r="J11" s="160">
        <f>IF(I11="--", 0, I11/H11)</f>
        <v>0.25901049695368128</v>
      </c>
      <c r="K11" s="69"/>
      <c r="L11" s="271" t="s">
        <v>967</v>
      </c>
      <c r="M11" s="183">
        <f>VLOOKUP(L11,MMWR_APP_NATIONAL[],2,0)</f>
        <v>11006</v>
      </c>
      <c r="N11" s="269" t="s">
        <v>235</v>
      </c>
      <c r="O11" s="184">
        <f>VLOOKUP(L11,MMWR_APP_NATIONAL[],3,0)</f>
        <v>182.87557938739999</v>
      </c>
      <c r="P11" s="25"/>
    </row>
    <row r="12" spans="1:16" s="1" customFormat="1" ht="35.1" customHeight="1" thickBot="1" x14ac:dyDescent="0.25">
      <c r="A12" s="25"/>
      <c r="B12" s="272" t="s">
        <v>272</v>
      </c>
      <c r="C12" s="170">
        <f>IFERROR(VLOOKUP(MID(B12,4,3),MMWR_TRAD_AGG_NATIONAL[],2,0),"--")</f>
        <v>8038</v>
      </c>
      <c r="D12" s="171">
        <f>IFERROR(VLOOKUP(MID(B12,4,3),MMWR_TRAD_AGG_NATIONAL[],3,0),"--")</f>
        <v>1384</v>
      </c>
      <c r="E12" s="172">
        <f t="shared" si="0"/>
        <v>0.17218213485941777</v>
      </c>
      <c r="F12" s="68" t="s">
        <v>309</v>
      </c>
      <c r="G12" s="267" t="s">
        <v>262</v>
      </c>
      <c r="H12" s="170">
        <f>IFERROR(VLOOKUP(MID(G12,4,3)&amp;"p",MMWR_TRAD_AGG_NATIONAL[],2,0),"--")</f>
        <v>1420</v>
      </c>
      <c r="I12" s="171">
        <f>IFERROR(VLOOKUP(MID(G12,4,3)&amp;"p",MMWR_TRAD_AGG_NATIONAL[],3,0),"--")</f>
        <v>300</v>
      </c>
      <c r="J12" s="172">
        <f t="shared" ref="J12:J17" si="1">IF(H12="--", 0,I12/H12)</f>
        <v>0.21126760563380281</v>
      </c>
      <c r="K12" s="69"/>
      <c r="L12" s="271" t="s">
        <v>948</v>
      </c>
      <c r="M12" s="183">
        <f>VLOOKUP(L12,MMWR_APP_NATIONAL[],2,0)</f>
        <v>455</v>
      </c>
      <c r="N12" s="270" t="s">
        <v>965</v>
      </c>
      <c r="O12" s="184">
        <f>VLOOKUP(L12,MMWR_APP_NATIONAL[],3,0)</f>
        <v>446.6835164835</v>
      </c>
      <c r="P12" s="25"/>
    </row>
    <row r="13" spans="1:16" s="1" customFormat="1" ht="35.1" customHeight="1" thickBot="1" x14ac:dyDescent="0.25">
      <c r="A13" s="25"/>
      <c r="B13" s="272" t="s">
        <v>1058</v>
      </c>
      <c r="C13" s="170">
        <f>IFERROR(VLOOKUP(MID(B13,4,3),MMWR_TRAD_AGG_NATIONAL[],2,0),"--")</f>
        <v>1022</v>
      </c>
      <c r="D13" s="171">
        <f>IFERROR(VLOOKUP(MID(B13,4,3),MMWR_TRAD_AGG_NATIONAL[],3,0),"--")</f>
        <v>604</v>
      </c>
      <c r="E13" s="172">
        <f t="shared" si="0"/>
        <v>0.59099804305283754</v>
      </c>
      <c r="F13" s="25"/>
      <c r="G13" s="267" t="s">
        <v>271</v>
      </c>
      <c r="H13" s="170">
        <f>IFERROR(VLOOKUP(MID(G13,4,3),MMWR_TRAD_AGG_NATIONAL[],2,0),"--")</f>
        <v>4127</v>
      </c>
      <c r="I13" s="171">
        <f>IFERROR(VLOOKUP(MID(G13,4,3),MMWR_TRAD_AGG_NATIONAL[],3,0),"--")</f>
        <v>928</v>
      </c>
      <c r="J13" s="172">
        <f t="shared" si="1"/>
        <v>0.2248606736127938</v>
      </c>
      <c r="K13" s="69"/>
      <c r="L13" s="434" t="s">
        <v>977</v>
      </c>
      <c r="M13" s="435"/>
      <c r="N13" s="436">
        <f>VLOOKUP(L13,MMWR_APP_NATIONAL[],2,0)</f>
        <v>22675</v>
      </c>
      <c r="O13" s="437"/>
      <c r="P13" s="25"/>
    </row>
    <row r="14" spans="1:16" s="1" customFormat="1" ht="35.1" customHeight="1" thickBot="1" x14ac:dyDescent="0.25">
      <c r="A14" s="25"/>
      <c r="B14" s="273" t="s">
        <v>1</v>
      </c>
      <c r="C14" s="167">
        <f>SUM(C15:C21)</f>
        <v>201715</v>
      </c>
      <c r="D14" s="168">
        <f>SUM(D15:D21)</f>
        <v>39063</v>
      </c>
      <c r="E14" s="169">
        <f t="shared" si="0"/>
        <v>0.19365441340505168</v>
      </c>
      <c r="F14" s="25"/>
      <c r="G14" s="267" t="s">
        <v>273</v>
      </c>
      <c r="H14" s="170">
        <f>IFERROR(VLOOKUP(MID(G14,4,3),MMWR_TRAD_AGG_NATIONAL[],2,0),"--")</f>
        <v>11439</v>
      </c>
      <c r="I14" s="171">
        <f>IFERROR(VLOOKUP(MID(G14,4,3),MMWR_TRAD_AGG_NATIONAL[],3,0),"--")</f>
        <v>3006</v>
      </c>
      <c r="J14" s="172">
        <f t="shared" si="1"/>
        <v>0.26278520849724624</v>
      </c>
      <c r="K14" s="69"/>
      <c r="L14" s="21"/>
      <c r="M14" s="21"/>
      <c r="N14" s="28"/>
      <c r="O14" s="70"/>
      <c r="P14" s="25"/>
    </row>
    <row r="15" spans="1:16" s="1" customFormat="1" ht="35.1" customHeight="1" thickBot="1" x14ac:dyDescent="0.25">
      <c r="A15" s="25"/>
      <c r="B15" s="266" t="s">
        <v>253</v>
      </c>
      <c r="C15" s="170">
        <f>IFERROR(VLOOKUP(MID(B15,4,3),MMWR_TRAD_AGG_NATIONAL[],2,0),"--")</f>
        <v>200696</v>
      </c>
      <c r="D15" s="171">
        <f>IFERROR(VLOOKUP(MID(B15,4,3),MMWR_TRAD_AGG_NATIONAL[],3,0),"--")</f>
        <v>38562</v>
      </c>
      <c r="E15" s="172">
        <f t="shared" si="0"/>
        <v>0.19214134810858213</v>
      </c>
      <c r="F15" s="68" t="s">
        <v>309</v>
      </c>
      <c r="G15" s="267" t="s">
        <v>274</v>
      </c>
      <c r="H15" s="170">
        <f>IFERROR(VLOOKUP(MID(G15,4,3),MMWR_TRAD_AGG_NATIONAL[],2,0),"--")</f>
        <v>1</v>
      </c>
      <c r="I15" s="171">
        <f>IFERROR(VLOOKUP(MID(G15,4,3),MMWR_TRAD_AGG_NATIONAL[],3,0),"--")</f>
        <v>1</v>
      </c>
      <c r="J15" s="172">
        <f t="shared" si="1"/>
        <v>1</v>
      </c>
      <c r="K15" s="69"/>
      <c r="L15" s="25"/>
      <c r="M15" s="25"/>
      <c r="N15" s="25"/>
      <c r="O15" s="71"/>
      <c r="P15" s="25"/>
    </row>
    <row r="16" spans="1:16" s="1" customFormat="1" ht="35.1" customHeight="1" thickBot="1" x14ac:dyDescent="0.25">
      <c r="A16" s="25"/>
      <c r="B16" s="267" t="s">
        <v>254</v>
      </c>
      <c r="C16" s="170">
        <f>IFERROR(VLOOKUP(MID(B16,4,3),MMWR_TRAD_AGG_NATIONAL[],2,0),"--")</f>
        <v>806</v>
      </c>
      <c r="D16" s="171">
        <f>IFERROR(VLOOKUP(MID(B16,4,3),MMWR_TRAD_AGG_NATIONAL[],3,0),"--")</f>
        <v>335</v>
      </c>
      <c r="E16" s="172">
        <f t="shared" si="0"/>
        <v>0.41563275434243174</v>
      </c>
      <c r="F16" s="68" t="s">
        <v>309</v>
      </c>
      <c r="G16" s="267" t="s">
        <v>275</v>
      </c>
      <c r="H16" s="170">
        <f>IFERROR(VLOOKUP(MID(G16,4,3),MMWR_TRAD_AGG_NATIONAL[],2,0),"--")</f>
        <v>3355</v>
      </c>
      <c r="I16" s="171">
        <f>IFERROR(VLOOKUP(MID(G16,4,3),MMWR_TRAD_AGG_NATIONAL[],3,0),"--")</f>
        <v>1137</v>
      </c>
      <c r="J16" s="172">
        <f t="shared" si="1"/>
        <v>0.3388971684053651</v>
      </c>
      <c r="K16" s="69"/>
      <c r="L16" s="425" t="s">
        <v>949</v>
      </c>
      <c r="M16" s="426"/>
      <c r="N16" s="427"/>
      <c r="O16" s="71"/>
      <c r="P16" s="25"/>
    </row>
    <row r="17" spans="1:16" s="1" customFormat="1" ht="35.1" customHeight="1" thickBot="1" x14ac:dyDescent="0.25">
      <c r="A17" s="25"/>
      <c r="B17" s="267" t="s">
        <v>255</v>
      </c>
      <c r="C17" s="170">
        <f>IFERROR(VLOOKUP(MID(B17,4,3),MMWR_TRAD_AGG_NATIONAL[],2,0),"--")</f>
        <v>187</v>
      </c>
      <c r="D17" s="171">
        <f>IFERROR(VLOOKUP(MID(B17,4,3),MMWR_TRAD_AGG_NATIONAL[],3,0),"--")</f>
        <v>160</v>
      </c>
      <c r="E17" s="172">
        <f t="shared" si="0"/>
        <v>0.85561497326203206</v>
      </c>
      <c r="F17" s="25"/>
      <c r="G17" s="267" t="s">
        <v>276</v>
      </c>
      <c r="H17" s="170">
        <f>IFERROR(VLOOKUP(MID(G17,4,3),MMWR_TRAD_AGG_NATIONAL[],2,0),"--")</f>
        <v>6904</v>
      </c>
      <c r="I17" s="171">
        <f>IFERROR(VLOOKUP(MID(G17,4,3),MMWR_TRAD_AGG_NATIONAL[],3,0),"--")</f>
        <v>1685</v>
      </c>
      <c r="J17" s="172">
        <f t="shared" si="1"/>
        <v>0.24406141367323292</v>
      </c>
      <c r="K17" s="72"/>
      <c r="L17" s="438" t="s">
        <v>248</v>
      </c>
      <c r="M17" s="439"/>
      <c r="N17" s="185">
        <f>IFERROR(VLOOKUP("160",MMWR_TRAD_AGG_NATIONAL[],2,0),"--")</f>
        <v>28007</v>
      </c>
      <c r="O17" s="71"/>
      <c r="P17" s="25"/>
    </row>
    <row r="18" spans="1:16" s="1" customFormat="1" ht="35.1" customHeight="1" thickBot="1" x14ac:dyDescent="0.25">
      <c r="A18" s="25"/>
      <c r="B18" s="267" t="s">
        <v>256</v>
      </c>
      <c r="C18" s="170">
        <f>IFERROR(VLOOKUP(MID(B18,4,3),MMWR_TRAD_AGG_NATIONAL[],2,0),"--")</f>
        <v>17</v>
      </c>
      <c r="D18" s="171">
        <f>IFERROR(VLOOKUP(MID(B18,4,3),MMWR_TRAD_AGG_NATIONAL[],3,0),"--")</f>
        <v>2</v>
      </c>
      <c r="E18" s="172">
        <f t="shared" si="0"/>
        <v>0.11764705882352941</v>
      </c>
      <c r="F18" s="68" t="s">
        <v>309</v>
      </c>
      <c r="G18" s="273" t="s">
        <v>15</v>
      </c>
      <c r="H18" s="167">
        <f>SUM(H19:H21)</f>
        <v>608</v>
      </c>
      <c r="I18" s="167">
        <f>SUM(I19:I21)</f>
        <v>570</v>
      </c>
      <c r="J18" s="160">
        <f t="shared" ref="J18:J26" si="2">IF(I18="--", 0, I18/H18)</f>
        <v>0.9375</v>
      </c>
      <c r="K18" s="73"/>
      <c r="L18" s="440" t="s">
        <v>249</v>
      </c>
      <c r="M18" s="441"/>
      <c r="N18" s="186">
        <f>IFERROR(VLOOKUP("165",MMWR_TRAD_AGG_NATIONAL[],2,0),"--")</f>
        <v>9862</v>
      </c>
      <c r="O18" s="71"/>
      <c r="P18" s="25"/>
    </row>
    <row r="19" spans="1:16" s="1" customFormat="1" ht="35.1" customHeight="1" x14ac:dyDescent="0.4">
      <c r="A19" s="25"/>
      <c r="B19" s="267" t="s">
        <v>257</v>
      </c>
      <c r="C19" s="170">
        <f>IFERROR(VLOOKUP(MID(B19,4,3),MMWR_TRAD_AGG_NATIONAL[],2,0),"--")</f>
        <v>1</v>
      </c>
      <c r="D19" s="171">
        <f>IFERROR(VLOOKUP(MID(B19,4,3),MMWR_TRAD_AGG_NATIONAL[],3,0),"--")</f>
        <v>0</v>
      </c>
      <c r="E19" s="172">
        <f t="shared" si="0"/>
        <v>0</v>
      </c>
      <c r="F19" s="68" t="s">
        <v>309</v>
      </c>
      <c r="G19" s="267" t="s">
        <v>277</v>
      </c>
      <c r="H19" s="170">
        <f>IFERROR(VLOOKUP(MID(G19,4,3),MMWR_TRAD_AGG_NATIONAL[],2,0),"--")</f>
        <v>518</v>
      </c>
      <c r="I19" s="171">
        <f>IFERROR(VLOOKUP(MID(G19,4,3),MMWR_TRAD_AGG_NATIONAL[],3,0),"--")</f>
        <v>515</v>
      </c>
      <c r="J19" s="172">
        <f t="shared" si="2"/>
        <v>0.99420849420849422</v>
      </c>
      <c r="K19" s="56"/>
      <c r="L19" s="25"/>
      <c r="M19" s="25"/>
      <c r="N19" s="25"/>
      <c r="O19" s="71"/>
      <c r="P19" s="25"/>
    </row>
    <row r="20" spans="1:16" s="1" customFormat="1" ht="35.1" customHeight="1" x14ac:dyDescent="0.4">
      <c r="A20" s="25"/>
      <c r="B20" s="267" t="s">
        <v>258</v>
      </c>
      <c r="C20" s="170">
        <f>IFERROR(VLOOKUP(MID(B20,4,3),MMWR_TRAD_AGG_NATIONAL[],2,0),"--")</f>
        <v>4</v>
      </c>
      <c r="D20" s="171">
        <f>IFERROR(VLOOKUP(MID(B20,4,3),MMWR_TRAD_AGG_NATIONAL[],3,0),"--")</f>
        <v>1</v>
      </c>
      <c r="E20" s="172">
        <f t="shared" si="0"/>
        <v>0.25</v>
      </c>
      <c r="F20" s="68" t="s">
        <v>309</v>
      </c>
      <c r="G20" s="267" t="s">
        <v>296</v>
      </c>
      <c r="H20" s="170">
        <f>IFERROR(VLOOKUP(MID(G20,4,3),MMWR_TRAD_AGG_NATIONAL[],2,0),"--")</f>
        <v>66</v>
      </c>
      <c r="I20" s="171">
        <f>IFERROR(VLOOKUP(MID(G20,4,3),MMWR_TRAD_AGG_NATIONAL[],3,0),"--")</f>
        <v>45</v>
      </c>
      <c r="J20" s="172">
        <f t="shared" si="2"/>
        <v>0.68181818181818177</v>
      </c>
      <c r="K20" s="56"/>
      <c r="L20" s="56"/>
      <c r="M20" s="56"/>
      <c r="N20" s="56"/>
      <c r="O20" s="74"/>
      <c r="P20" s="25"/>
    </row>
    <row r="21" spans="1:16" s="1" customFormat="1" ht="35.1" customHeight="1" thickBot="1" x14ac:dyDescent="0.45">
      <c r="A21" s="25"/>
      <c r="B21" s="267" t="s">
        <v>259</v>
      </c>
      <c r="C21" s="170">
        <f>IFERROR(VLOOKUP(MID(B21,4,3),MMWR_TRAD_AGG_NATIONAL[],2,0),"--")</f>
        <v>4</v>
      </c>
      <c r="D21" s="171">
        <f>IFERROR(VLOOKUP(MID(B21,4,3),MMWR_TRAD_AGG_NATIONAL[],3,0),"--")</f>
        <v>3</v>
      </c>
      <c r="E21" s="172">
        <f t="shared" si="0"/>
        <v>0.75</v>
      </c>
      <c r="F21" s="68" t="s">
        <v>309</v>
      </c>
      <c r="G21" s="267" t="s">
        <v>278</v>
      </c>
      <c r="H21" s="170">
        <f>IFERROR(VLOOKUP(MID(G21,4,3),MMWR_TRAD_AGG_NATIONAL[],2,0),"--")</f>
        <v>24</v>
      </c>
      <c r="I21" s="171">
        <f>IFERROR(VLOOKUP(MID(G21,4,3),MMWR_TRAD_AGG_NATIONAL[],3,0),"--")</f>
        <v>10</v>
      </c>
      <c r="J21" s="172">
        <f t="shared" si="2"/>
        <v>0.41666666666666669</v>
      </c>
      <c r="K21" s="56"/>
      <c r="L21" s="56"/>
      <c r="M21" s="56"/>
      <c r="N21" s="56"/>
      <c r="O21" s="74"/>
      <c r="P21" s="25"/>
    </row>
    <row r="22" spans="1:16" s="1" customFormat="1" ht="35.1" customHeight="1" thickBot="1" x14ac:dyDescent="0.45">
      <c r="A22" s="25"/>
      <c r="B22" s="273" t="s">
        <v>13</v>
      </c>
      <c r="C22" s="167">
        <f>SUM(C23:C29)</f>
        <v>470112</v>
      </c>
      <c r="D22" s="168">
        <f>SUM(D23:D29)</f>
        <v>308597</v>
      </c>
      <c r="E22" s="169">
        <f t="shared" si="0"/>
        <v>0.65643293513035195</v>
      </c>
      <c r="F22" s="25"/>
      <c r="G22" s="273" t="s">
        <v>227</v>
      </c>
      <c r="H22" s="167">
        <f>SUM(H23:H26)</f>
        <v>1698</v>
      </c>
      <c r="I22" s="167">
        <f>SUM(I23:I26)</f>
        <v>519</v>
      </c>
      <c r="J22" s="160">
        <f t="shared" si="2"/>
        <v>0.30565371024734983</v>
      </c>
      <c r="K22" s="56"/>
      <c r="L22" s="25"/>
      <c r="M22" s="25"/>
      <c r="N22" s="25"/>
      <c r="O22" s="74"/>
      <c r="P22" s="25"/>
    </row>
    <row r="23" spans="1:16" s="1" customFormat="1" ht="35.1" customHeight="1" x14ac:dyDescent="0.4">
      <c r="A23" s="25"/>
      <c r="B23" s="272" t="s">
        <v>260</v>
      </c>
      <c r="C23" s="170">
        <f>IFERROR(VLOOKUP(MID(B23,4,3),MMWR_TRAD_AGG_NATIONAL[],2,0),"--")</f>
        <v>214154</v>
      </c>
      <c r="D23" s="171">
        <f>IFERROR(VLOOKUP(MID(B23,4,3),MMWR_TRAD_AGG_NATIONAL[],3,0),"--")</f>
        <v>152302</v>
      </c>
      <c r="E23" s="172">
        <f t="shared" si="0"/>
        <v>0.71117980518692159</v>
      </c>
      <c r="F23" s="25"/>
      <c r="G23" s="274" t="s">
        <v>281</v>
      </c>
      <c r="H23" s="173">
        <f>IFERROR(VLOOKUP(MID(G23,4,3),MMWR_TRAD_AGG_NATIONAL[],2,0),"--")</f>
        <v>206</v>
      </c>
      <c r="I23" s="174">
        <f>IFERROR(VLOOKUP(MID(G23,4,3),MMWR_TRAD_AGG_NATIONAL[],3,0),"--")</f>
        <v>96</v>
      </c>
      <c r="J23" s="175">
        <f t="shared" si="2"/>
        <v>0.46601941747572817</v>
      </c>
      <c r="K23" s="56"/>
      <c r="L23" s="25"/>
      <c r="M23" s="25"/>
      <c r="N23" s="25"/>
      <c r="O23" s="74"/>
      <c r="P23" s="25"/>
    </row>
    <row r="24" spans="1:16" s="1" customFormat="1" ht="35.1" customHeight="1" x14ac:dyDescent="0.4">
      <c r="A24" s="25"/>
      <c r="B24" s="272" t="s">
        <v>261</v>
      </c>
      <c r="C24" s="170">
        <f>IFERROR(VLOOKUP(MID(B24,4,3),MMWR_TRAD_AGG_NATIONAL[],2,0),"--")</f>
        <v>212</v>
      </c>
      <c r="D24" s="171">
        <f>IFERROR(VLOOKUP(MID(B24,4,3),MMWR_TRAD_AGG_NATIONAL[],3,0),"--")</f>
        <v>133</v>
      </c>
      <c r="E24" s="172">
        <f t="shared" si="0"/>
        <v>0.62735849056603776</v>
      </c>
      <c r="F24" s="25"/>
      <c r="G24" s="267" t="s">
        <v>280</v>
      </c>
      <c r="H24" s="170">
        <f>IFERROR(VLOOKUP(MID(G24,4,3),MMWR_TRAD_AGG_NATIONAL[],2,0),"--")</f>
        <v>717</v>
      </c>
      <c r="I24" s="171">
        <f>IFERROR(VLOOKUP(MID(G24,4,3),MMWR_TRAD_AGG_NATIONAL[],3,0),"--")</f>
        <v>20</v>
      </c>
      <c r="J24" s="172">
        <f t="shared" si="2"/>
        <v>2.7894002789400279E-2</v>
      </c>
      <c r="K24" s="56"/>
      <c r="L24" s="25"/>
      <c r="M24" s="25"/>
      <c r="N24" s="25"/>
      <c r="O24" s="74"/>
      <c r="P24" s="25"/>
    </row>
    <row r="25" spans="1:16" s="1" customFormat="1" ht="35.1" customHeight="1" x14ac:dyDescent="0.4">
      <c r="A25" s="25"/>
      <c r="B25" s="272" t="s">
        <v>262</v>
      </c>
      <c r="C25" s="170">
        <f>IFERROR(VLOOKUP(MID(B25,4,3),MMWR_TRAD_AGG_NATIONAL[],2,0),"--")</f>
        <v>290</v>
      </c>
      <c r="D25" s="171">
        <f>IFERROR(VLOOKUP(MID(B25,4,3),MMWR_TRAD_AGG_NATIONAL[],3,0),"--")</f>
        <v>192</v>
      </c>
      <c r="E25" s="172">
        <f t="shared" si="0"/>
        <v>0.66206896551724137</v>
      </c>
      <c r="F25" s="25"/>
      <c r="G25" s="267" t="s">
        <v>279</v>
      </c>
      <c r="H25" s="170">
        <f>IFERROR(VLOOKUP(MID(G25,4,3),MMWR_TRAD_AGG_NATIONAL[],2,0),"--")</f>
        <v>737</v>
      </c>
      <c r="I25" s="171">
        <f>IFERROR(VLOOKUP(MID(G25,4,3),MMWR_TRAD_AGG_NATIONAL[],3,0),"--")</f>
        <v>375</v>
      </c>
      <c r="J25" s="172">
        <f t="shared" si="2"/>
        <v>0.50881953867028495</v>
      </c>
      <c r="K25" s="56"/>
      <c r="L25" s="56"/>
      <c r="M25" s="56"/>
      <c r="N25" s="56"/>
      <c r="O25" s="74"/>
      <c r="P25" s="25"/>
    </row>
    <row r="26" spans="1:16" s="1" customFormat="1" ht="35.1" customHeight="1" thickBot="1" x14ac:dyDescent="0.45">
      <c r="A26" s="25"/>
      <c r="B26" s="272" t="s">
        <v>263</v>
      </c>
      <c r="C26" s="170">
        <f>IFERROR(VLOOKUP(MID(B26,4,3),MMWR_TRAD_AGG_NATIONAL[],2,0),"--")</f>
        <v>109424</v>
      </c>
      <c r="D26" s="171">
        <f>IFERROR(VLOOKUP(MID(B26,4,3),MMWR_TRAD_AGG_NATIONAL[],3,0),"--")</f>
        <v>87061</v>
      </c>
      <c r="E26" s="172">
        <f t="shared" si="0"/>
        <v>0.79562984354437782</v>
      </c>
      <c r="F26" s="56"/>
      <c r="G26" s="268" t="s">
        <v>312</v>
      </c>
      <c r="H26" s="176">
        <f>IFERROR(VLOOKUP(MID(G26,4,3),MMWR_TRAD_AGG_NATIONAL[],2,0),"--")</f>
        <v>38</v>
      </c>
      <c r="I26" s="177">
        <f>IFERROR(VLOOKUP(MID(G26,4,3),MMWR_TRAD_AGG_NATIONAL[],3,0),"--")</f>
        <v>28</v>
      </c>
      <c r="J26" s="178">
        <f t="shared" si="2"/>
        <v>0.73684210526315785</v>
      </c>
      <c r="K26" s="56"/>
      <c r="L26" s="56"/>
      <c r="M26" s="56"/>
      <c r="N26" s="56"/>
      <c r="O26" s="74"/>
      <c r="P26" s="25"/>
    </row>
    <row r="27" spans="1:16" s="1" customFormat="1" ht="35.1" customHeight="1" thickBot="1" x14ac:dyDescent="0.45">
      <c r="A27" s="25"/>
      <c r="B27" s="272" t="s">
        <v>264</v>
      </c>
      <c r="C27" s="170">
        <f>IFERROR(VLOOKUP(MID(B27,4,3),MMWR_TRAD_AGG_NATIONAL[],2,0),"--")</f>
        <v>364</v>
      </c>
      <c r="D27" s="171">
        <f>IFERROR(VLOOKUP(MID(B27,4,3),MMWR_TRAD_AGG_NATIONAL[],3,0),"--")</f>
        <v>27</v>
      </c>
      <c r="E27" s="172">
        <f t="shared" si="0"/>
        <v>7.4175824175824176E-2</v>
      </c>
      <c r="F27" s="56"/>
      <c r="G27" s="56"/>
      <c r="H27" s="56"/>
      <c r="I27" s="56"/>
      <c r="J27" s="56"/>
      <c r="K27" s="56"/>
      <c r="L27" s="56"/>
      <c r="M27" s="56"/>
      <c r="N27" s="56"/>
      <c r="O27" s="74"/>
      <c r="P27" s="25"/>
    </row>
    <row r="28" spans="1:16" s="1" customFormat="1" ht="35.1" customHeight="1" x14ac:dyDescent="0.4">
      <c r="A28" s="25"/>
      <c r="B28" s="272" t="s">
        <v>265</v>
      </c>
      <c r="C28" s="170">
        <f>IFERROR(VLOOKUP(MID(B28,4,3),MMWR_TRAD_AGG_NATIONAL[],2,0),"--")</f>
        <v>15009</v>
      </c>
      <c r="D28" s="171">
        <f>IFERROR(VLOOKUP(MID(B28,4,3),MMWR_TRAD_AGG_NATIONAL[],3,0),"--")</f>
        <v>1512</v>
      </c>
      <c r="E28" s="172">
        <f t="shared" si="0"/>
        <v>0.10073955626624026</v>
      </c>
      <c r="F28" s="68" t="s">
        <v>309</v>
      </c>
      <c r="G28" s="428" t="s">
        <v>311</v>
      </c>
      <c r="H28" s="429"/>
      <c r="I28" s="429"/>
      <c r="J28" s="430"/>
      <c r="K28" s="412" t="s">
        <v>309</v>
      </c>
      <c r="L28" s="75"/>
      <c r="M28" s="56"/>
      <c r="N28" s="56"/>
      <c r="O28" s="74"/>
      <c r="P28" s="25"/>
    </row>
    <row r="29" spans="1:16" s="1" customFormat="1" ht="35.1" customHeight="1" thickBot="1" x14ac:dyDescent="0.45">
      <c r="A29" s="25"/>
      <c r="B29" s="272" t="s">
        <v>266</v>
      </c>
      <c r="C29" s="170">
        <f>IFERROR(VLOOKUP(MID(B29,4,3),MMWR_TRAD_AGG_NATIONAL[],2,0),"--")</f>
        <v>130659</v>
      </c>
      <c r="D29" s="171">
        <f>IFERROR(VLOOKUP(MID(B29,4,3),MMWR_TRAD_AGG_NATIONAL[],3,0),"--")</f>
        <v>67370</v>
      </c>
      <c r="E29" s="172">
        <f t="shared" si="0"/>
        <v>0.51561698773142306</v>
      </c>
      <c r="F29" s="56"/>
      <c r="G29" s="431"/>
      <c r="H29" s="432"/>
      <c r="I29" s="432"/>
      <c r="J29" s="433"/>
      <c r="K29" s="412"/>
      <c r="L29" s="76"/>
      <c r="M29" s="56"/>
      <c r="N29" s="56"/>
      <c r="O29" s="74"/>
      <c r="P29" s="25"/>
    </row>
    <row r="30" spans="1:16" s="1" customFormat="1" ht="35.1" customHeight="1" thickBot="1" x14ac:dyDescent="0.45">
      <c r="A30" s="25"/>
      <c r="B30" s="273" t="s">
        <v>32</v>
      </c>
      <c r="C30" s="168">
        <f>SUM(C31:C35)</f>
        <v>129572</v>
      </c>
      <c r="D30" s="168">
        <f>SUM(D31:D35)</f>
        <v>86294</v>
      </c>
      <c r="E30" s="160">
        <f t="shared" si="0"/>
        <v>0.6659926527336153</v>
      </c>
      <c r="F30" s="56"/>
      <c r="G30" s="28"/>
      <c r="H30" s="28"/>
      <c r="I30" s="28"/>
      <c r="J30" s="28"/>
      <c r="K30" s="28"/>
      <c r="L30" s="56"/>
      <c r="M30" s="56"/>
      <c r="N30" s="56"/>
      <c r="O30" s="74"/>
      <c r="P30" s="25"/>
    </row>
    <row r="31" spans="1:16" s="1" customFormat="1" ht="35.1" customHeight="1" x14ac:dyDescent="0.4">
      <c r="A31" s="25"/>
      <c r="B31" s="267" t="s">
        <v>283</v>
      </c>
      <c r="C31" s="170">
        <f>IFERROR(VLOOKUP(MID(B31,4,3),MMWR_TRAD_AGG_NATIONAL[],2,0),"--")</f>
        <v>55</v>
      </c>
      <c r="D31" s="171">
        <f>IFERROR(VLOOKUP(MID(B31,4,3),MMWR_TRAD_AGG_NATIONAL[],3,0),"--")</f>
        <v>46</v>
      </c>
      <c r="E31" s="172">
        <f t="shared" si="0"/>
        <v>0.83636363636363631</v>
      </c>
      <c r="F31" s="56"/>
      <c r="G31" s="56"/>
      <c r="H31" s="56"/>
      <c r="I31" s="56"/>
      <c r="J31" s="56"/>
      <c r="K31" s="56"/>
      <c r="L31" s="56"/>
      <c r="M31" s="56"/>
      <c r="N31" s="56"/>
      <c r="O31" s="74"/>
      <c r="P31" s="25"/>
    </row>
    <row r="32" spans="1:16" s="1" customFormat="1" ht="35.1" customHeight="1" x14ac:dyDescent="0.4">
      <c r="A32" s="25"/>
      <c r="B32" s="267" t="s">
        <v>1059</v>
      </c>
      <c r="C32" s="170">
        <f>IFERROR(VLOOKUP(MID(B32,4,3),MMWR_TRAD_AGG_NATIONAL[],2,0),"--")</f>
        <v>4178</v>
      </c>
      <c r="D32" s="171">
        <f>IFERROR(VLOOKUP(MID(B32,4,3),MMWR_TRAD_AGG_NATIONAL[],3,0),"--")</f>
        <v>3990</v>
      </c>
      <c r="E32" s="172">
        <f t="shared" si="0"/>
        <v>0.95500239348970795</v>
      </c>
      <c r="F32" s="56"/>
      <c r="G32" s="56"/>
      <c r="H32" s="56"/>
      <c r="I32" s="56"/>
      <c r="J32" s="56"/>
      <c r="K32" s="56"/>
      <c r="L32" s="56"/>
      <c r="M32" s="56"/>
      <c r="N32" s="56"/>
      <c r="O32" s="74"/>
      <c r="P32" s="25"/>
    </row>
    <row r="33" spans="1:16" s="1" customFormat="1" ht="35.1" customHeight="1" x14ac:dyDescent="0.4">
      <c r="A33" s="25"/>
      <c r="B33" s="267" t="s">
        <v>1060</v>
      </c>
      <c r="C33" s="170">
        <f>IFERROR(VLOOKUP(MID(B33,4,3),MMWR_TRAD_AGG_NATIONAL[],2,0),"--")</f>
        <v>43221</v>
      </c>
      <c r="D33" s="171">
        <f>IFERROR(VLOOKUP(MID(B33,4,3),MMWR_TRAD_AGG_NATIONAL[],3,0),"--")</f>
        <v>10923</v>
      </c>
      <c r="E33" s="172">
        <f t="shared" si="0"/>
        <v>0.25272437009786908</v>
      </c>
      <c r="F33" s="56"/>
      <c r="G33" s="56"/>
      <c r="H33" s="28"/>
      <c r="I33" s="28"/>
      <c r="J33" s="28"/>
      <c r="K33" s="28"/>
      <c r="L33" s="28"/>
      <c r="M33" s="56"/>
      <c r="N33" s="56"/>
      <c r="O33" s="74"/>
      <c r="P33" s="25"/>
    </row>
    <row r="34" spans="1:16" s="1" customFormat="1" ht="35.1" customHeight="1" x14ac:dyDescent="0.4">
      <c r="A34" s="25"/>
      <c r="B34" s="267" t="s">
        <v>284</v>
      </c>
      <c r="C34" s="170">
        <f>IFERROR(VLOOKUP(MID(B34,4,3),MMWR_TRAD_AGG_NATIONAL[],2,0),"--")</f>
        <v>19951</v>
      </c>
      <c r="D34" s="171">
        <f>IFERROR(VLOOKUP(MID(B34,4,3),MMWR_TRAD_AGG_NATIONAL[],3,0),"--")</f>
        <v>14703</v>
      </c>
      <c r="E34" s="172">
        <f t="shared" si="0"/>
        <v>0.73695554107563532</v>
      </c>
      <c r="F34" s="56"/>
      <c r="G34" s="56"/>
      <c r="H34" s="28"/>
      <c r="I34" s="28"/>
      <c r="J34" s="28"/>
      <c r="K34" s="28"/>
      <c r="L34" s="28"/>
      <c r="M34" s="56"/>
      <c r="N34" s="56"/>
      <c r="O34" s="74"/>
      <c r="P34" s="25"/>
    </row>
    <row r="35" spans="1:16" s="1" customFormat="1" ht="35.1" customHeight="1" thickBot="1" x14ac:dyDescent="0.45">
      <c r="A35" s="25"/>
      <c r="B35" s="267" t="s">
        <v>285</v>
      </c>
      <c r="C35" s="170">
        <f>IFERROR(VLOOKUP(MID(B35,4,3)&amp;"G",MMWR_TRAD_AGG_NATIONAL[],2,0),"--")</f>
        <v>62167</v>
      </c>
      <c r="D35" s="171">
        <f>IFERROR(VLOOKUP(MID(B35,4,3)&amp;"G",MMWR_TRAD_AGG_NATIONAL[],3,0),"--")</f>
        <v>56632</v>
      </c>
      <c r="E35" s="172">
        <f t="shared" si="0"/>
        <v>0.91096562484919652</v>
      </c>
      <c r="F35" s="56"/>
      <c r="G35" s="56"/>
      <c r="H35" s="56"/>
      <c r="I35" s="56"/>
      <c r="J35" s="56"/>
      <c r="K35" s="56"/>
      <c r="L35" s="56"/>
      <c r="M35" s="56"/>
      <c r="N35" s="56"/>
      <c r="O35" s="74"/>
      <c r="P35" s="25"/>
    </row>
    <row r="36" spans="1:16" s="1" customFormat="1" ht="35.1" customHeight="1" thickBot="1" x14ac:dyDescent="0.45">
      <c r="A36" s="25"/>
      <c r="B36" s="273" t="s">
        <v>241</v>
      </c>
      <c r="C36" s="167">
        <f>SUM(C37:C44)</f>
        <v>163561</v>
      </c>
      <c r="D36" s="168">
        <f>SUM(D37:D44)</f>
        <v>101324</v>
      </c>
      <c r="E36" s="169">
        <f t="shared" si="0"/>
        <v>0.61948753064605866</v>
      </c>
      <c r="F36" s="56"/>
      <c r="G36" s="56"/>
      <c r="H36" s="56"/>
      <c r="I36" s="56"/>
      <c r="J36" s="56"/>
      <c r="K36" s="56"/>
      <c r="L36" s="56"/>
      <c r="M36" s="56"/>
      <c r="N36" s="56"/>
      <c r="O36" s="74"/>
      <c r="P36" s="25"/>
    </row>
    <row r="37" spans="1:16" s="1" customFormat="1" ht="35.1" customHeight="1" x14ac:dyDescent="0.4">
      <c r="A37" s="25"/>
      <c r="B37" s="267" t="s">
        <v>286</v>
      </c>
      <c r="C37" s="173">
        <f>IFERROR(VLOOKUP(MID(B37,4,3),MMWR_TRAD_AGG_NATIONAL[],2,0),"--")</f>
        <v>7158</v>
      </c>
      <c r="D37" s="174">
        <f>IFERROR(VLOOKUP(MID(B37,4,3),MMWR_TRAD_AGG_NATIONAL[],3,0),"--")</f>
        <v>5677</v>
      </c>
      <c r="E37" s="175">
        <f t="shared" si="0"/>
        <v>0.79309863090248678</v>
      </c>
      <c r="F37" s="56"/>
      <c r="G37" s="56"/>
      <c r="H37" s="56"/>
      <c r="I37" s="56"/>
      <c r="J37" s="56"/>
      <c r="K37" s="56"/>
      <c r="L37" s="56"/>
      <c r="M37" s="56"/>
      <c r="N37" s="56"/>
      <c r="O37" s="74"/>
      <c r="P37" s="25"/>
    </row>
    <row r="38" spans="1:16" s="1" customFormat="1" ht="35.1" customHeight="1" x14ac:dyDescent="0.4">
      <c r="A38" s="25"/>
      <c r="B38" s="267" t="s">
        <v>1061</v>
      </c>
      <c r="C38" s="170">
        <f>IFERROR(VLOOKUP(MID(B38,4,3),MMWR_TRAD_AGG_NATIONAL[],2,0),"--")</f>
        <v>114</v>
      </c>
      <c r="D38" s="171">
        <f>IFERROR(VLOOKUP(MID(B38,4,3),MMWR_TRAD_AGG_NATIONAL[],3,0),"--")</f>
        <v>111</v>
      </c>
      <c r="E38" s="172">
        <f t="shared" ref="E38:E39" si="3">IF(D38="--", 0, D38/C38)</f>
        <v>0.97368421052631582</v>
      </c>
      <c r="F38" s="56"/>
      <c r="G38" s="56"/>
      <c r="H38" s="75"/>
      <c r="I38" s="75"/>
      <c r="J38" s="75"/>
      <c r="K38" s="75"/>
      <c r="L38" s="56"/>
      <c r="M38" s="56"/>
      <c r="N38" s="56"/>
      <c r="O38" s="74"/>
      <c r="P38" s="25"/>
    </row>
    <row r="39" spans="1:16" s="1" customFormat="1" ht="35.1" customHeight="1" x14ac:dyDescent="0.4">
      <c r="A39" s="25"/>
      <c r="B39" s="267" t="s">
        <v>1062</v>
      </c>
      <c r="C39" s="170">
        <f>IFERROR(VLOOKUP(MID(B39,4,3),MMWR_TRAD_AGG_NATIONAL[],2,0),"--")</f>
        <v>1156</v>
      </c>
      <c r="D39" s="171">
        <f>IFERROR(VLOOKUP(MID(B39,4,3),MMWR_TRAD_AGG_NATIONAL[],3,0),"--")</f>
        <v>739</v>
      </c>
      <c r="E39" s="172">
        <f t="shared" si="3"/>
        <v>0.63927335640138405</v>
      </c>
      <c r="F39" s="56"/>
      <c r="G39" s="56"/>
      <c r="H39" s="75"/>
      <c r="I39" s="75"/>
      <c r="J39" s="75"/>
      <c r="K39" s="75"/>
      <c r="L39" s="56"/>
      <c r="M39" s="56"/>
      <c r="N39" s="56"/>
      <c r="O39" s="74"/>
      <c r="P39" s="25"/>
    </row>
    <row r="40" spans="1:16" s="1" customFormat="1" ht="35.1" customHeight="1" x14ac:dyDescent="0.4">
      <c r="A40" s="25"/>
      <c r="B40" s="267" t="s">
        <v>287</v>
      </c>
      <c r="C40" s="170">
        <f>IFERROR(VLOOKUP(MID(B40,4,3),MMWR_TRAD_AGG_NATIONAL[],2,0),"--")</f>
        <v>73792</v>
      </c>
      <c r="D40" s="171">
        <f>IFERROR(VLOOKUP(MID(B40,4,3),MMWR_TRAD_AGG_NATIONAL[],3,0),"--")</f>
        <v>57295</v>
      </c>
      <c r="E40" s="172">
        <f t="shared" si="0"/>
        <v>0.77643918039895921</v>
      </c>
      <c r="F40" s="56"/>
      <c r="G40" s="56"/>
      <c r="H40" s="56"/>
      <c r="I40" s="56"/>
      <c r="J40" s="56"/>
      <c r="K40" s="56"/>
      <c r="L40" s="56"/>
      <c r="M40" s="56"/>
      <c r="N40" s="56"/>
      <c r="O40" s="74"/>
      <c r="P40" s="25"/>
    </row>
    <row r="41" spans="1:16" s="1" customFormat="1" ht="35.1" customHeight="1" x14ac:dyDescent="0.4">
      <c r="A41" s="25"/>
      <c r="B41" s="267" t="s">
        <v>288</v>
      </c>
      <c r="C41" s="170">
        <f>IFERROR(VLOOKUP(MID(B41,4,3),MMWR_TRAD_AGG_NATIONAL[],2,0),"--")</f>
        <v>1691</v>
      </c>
      <c r="D41" s="171">
        <f>IFERROR(VLOOKUP(MID(B41,4,3),MMWR_TRAD_AGG_NATIONAL[],3,0),"--")</f>
        <v>588</v>
      </c>
      <c r="E41" s="172">
        <f t="shared" si="0"/>
        <v>0.34772324068598465</v>
      </c>
      <c r="F41" s="56"/>
      <c r="G41" s="56"/>
      <c r="H41" s="56"/>
      <c r="I41" s="56"/>
      <c r="J41" s="56"/>
      <c r="K41" s="56"/>
      <c r="L41" s="56"/>
      <c r="M41" s="56"/>
      <c r="N41" s="56"/>
      <c r="O41" s="74"/>
      <c r="P41" s="25"/>
    </row>
    <row r="42" spans="1:16" s="1" customFormat="1" ht="35.1" customHeight="1" x14ac:dyDescent="0.4">
      <c r="A42" s="25"/>
      <c r="B42" s="267" t="s">
        <v>289</v>
      </c>
      <c r="C42" s="170">
        <f>IFERROR(VLOOKUP(MID(B42,4,3),MMWR_TRAD_AGG_NATIONAL[],2,0),"--")</f>
        <v>56015</v>
      </c>
      <c r="D42" s="171">
        <f>IFERROR(VLOOKUP(MID(B42,4,3),MMWR_TRAD_AGG_NATIONAL[],3,0),"--")</f>
        <v>24575</v>
      </c>
      <c r="E42" s="172">
        <f t="shared" si="0"/>
        <v>0.43872177095420867</v>
      </c>
      <c r="F42" s="56"/>
      <c r="G42" s="56"/>
      <c r="H42" s="56"/>
      <c r="I42" s="56"/>
      <c r="J42" s="56"/>
      <c r="K42" s="56"/>
      <c r="L42" s="56"/>
      <c r="M42" s="56"/>
      <c r="N42" s="56"/>
      <c r="O42" s="74"/>
      <c r="P42" s="25"/>
    </row>
    <row r="43" spans="1:16" s="1" customFormat="1" ht="35.1" customHeight="1" x14ac:dyDescent="0.4">
      <c r="A43" s="25"/>
      <c r="B43" s="267" t="s">
        <v>290</v>
      </c>
      <c r="C43" s="170">
        <f>IFERROR(VLOOKUP(MID(B43,4,3),MMWR_TRAD_AGG_NATIONAL[],2,0),"--")</f>
        <v>23092</v>
      </c>
      <c r="D43" s="171">
        <f>IFERROR(VLOOKUP(MID(B43,4,3),MMWR_TRAD_AGG_NATIONAL[],3,0),"--")</f>
        <v>11887</v>
      </c>
      <c r="E43" s="172">
        <f t="shared" si="0"/>
        <v>0.51476701888099774</v>
      </c>
      <c r="F43" s="56"/>
      <c r="G43" s="56"/>
      <c r="H43" s="56"/>
      <c r="I43" s="56"/>
      <c r="J43" s="56"/>
      <c r="K43" s="56"/>
      <c r="L43" s="56"/>
      <c r="M43" s="56"/>
      <c r="N43" s="56"/>
      <c r="O43" s="74"/>
      <c r="P43" s="25"/>
    </row>
    <row r="44" spans="1:16" s="1" customFormat="1" ht="35.1" customHeight="1" thickBot="1" x14ac:dyDescent="0.45">
      <c r="A44" s="25"/>
      <c r="B44" s="268" t="s">
        <v>291</v>
      </c>
      <c r="C44" s="176">
        <f>IFERROR(VLOOKUP(MID(B44,4,3),MMWR_TRAD_AGG_NATIONAL[],2,0),"--")</f>
        <v>543</v>
      </c>
      <c r="D44" s="177">
        <f>IFERROR(VLOOKUP(MID(B44,4,3),MMWR_TRAD_AGG_NATIONAL[],3,0),"--")</f>
        <v>452</v>
      </c>
      <c r="E44" s="178">
        <f t="shared" si="0"/>
        <v>0.83241252302025781</v>
      </c>
      <c r="F44" s="77"/>
      <c r="G44" s="77"/>
      <c r="H44" s="77"/>
      <c r="I44" s="77"/>
      <c r="J44" s="77"/>
      <c r="K44" s="77"/>
      <c r="L44" s="77"/>
      <c r="M44" s="77"/>
      <c r="N44" s="77"/>
      <c r="O44" s="78"/>
      <c r="P44" s="25"/>
    </row>
    <row r="45" spans="1:16" s="1" customFormat="1" ht="15" customHeight="1" x14ac:dyDescent="0.2">
      <c r="A45" s="28"/>
      <c r="B45" s="28"/>
      <c r="C45" s="28"/>
      <c r="D45" s="28"/>
      <c r="E45" s="28"/>
      <c r="F45" s="28"/>
      <c r="G45" s="28"/>
      <c r="H45" s="28"/>
      <c r="I45" s="28"/>
      <c r="J45" s="28"/>
      <c r="K45" s="28"/>
      <c r="L45" s="28"/>
      <c r="M45" s="28"/>
      <c r="N45" s="28"/>
      <c r="O45" s="28"/>
      <c r="P45" s="28"/>
    </row>
    <row r="46" spans="1:16" hidden="1" x14ac:dyDescent="0.2"/>
    <row r="47" spans="1:16" hidden="1" x14ac:dyDescent="0.2"/>
    <row r="48" spans="1:16" hidden="1" x14ac:dyDescent="0.2"/>
  </sheetData>
  <sheetProtection password="BD20" sheet="1" autoFilter="0"/>
  <mergeCells count="13">
    <mergeCell ref="K28:K29"/>
    <mergeCell ref="B2:O2"/>
    <mergeCell ref="B4:O4"/>
    <mergeCell ref="B3:O3"/>
    <mergeCell ref="G5:J5"/>
    <mergeCell ref="B5:E5"/>
    <mergeCell ref="L5:O5"/>
    <mergeCell ref="G28:J29"/>
    <mergeCell ref="L16:N16"/>
    <mergeCell ref="L13:M13"/>
    <mergeCell ref="N13:O13"/>
    <mergeCell ref="L17:M17"/>
    <mergeCell ref="L18:M18"/>
  </mergeCells>
  <conditionalFormatting sqref="E30 E38:E39">
    <cfRule type="expression" dxfId="415" priority="89" stopIfTrue="1">
      <formula>ISERROR(E30)</formula>
    </cfRule>
  </conditionalFormatting>
  <conditionalFormatting sqref="G8">
    <cfRule type="expression" dxfId="414" priority="83" stopIfTrue="1">
      <formula>ISERROR(G8)</formula>
    </cfRule>
  </conditionalFormatting>
  <conditionalFormatting sqref="G10">
    <cfRule type="expression" dxfId="413" priority="79" stopIfTrue="1">
      <formula>ISERROR(G10)</formula>
    </cfRule>
  </conditionalFormatting>
  <conditionalFormatting sqref="J11">
    <cfRule type="expression" dxfId="412" priority="76" stopIfTrue="1">
      <formula>ISERROR(J11)</formula>
    </cfRule>
  </conditionalFormatting>
  <conditionalFormatting sqref="J18">
    <cfRule type="expression" dxfId="411" priority="75" stopIfTrue="1">
      <formula>ISERROR(J18)</formula>
    </cfRule>
  </conditionalFormatting>
  <conditionalFormatting sqref="J22">
    <cfRule type="expression" dxfId="410" priority="73" stopIfTrue="1">
      <formula>ISERROR(J22)</formula>
    </cfRule>
  </conditionalFormatting>
  <conditionalFormatting sqref="C6">
    <cfRule type="expression" dxfId="409" priority="58" stopIfTrue="1">
      <formula>ISERROR(C6)</formula>
    </cfRule>
  </conditionalFormatting>
  <conditionalFormatting sqref="H6">
    <cfRule type="expression" dxfId="408" priority="57" stopIfTrue="1">
      <formula>ISERROR(H6)</formula>
    </cfRule>
  </conditionalFormatting>
  <conditionalFormatting sqref="M6">
    <cfRule type="expression" dxfId="407" priority="51" stopIfTrue="1">
      <formula>ISERROR(M6)</formula>
    </cfRule>
  </conditionalFormatting>
  <conditionalFormatting sqref="O6">
    <cfRule type="expression" dxfId="406" priority="50" stopIfTrue="1">
      <formula>ISERROR(O6)</formula>
    </cfRule>
  </conditionalFormatting>
  <conditionalFormatting sqref="E8">
    <cfRule type="expression" dxfId="405" priority="49" stopIfTrue="1">
      <formula>ISERROR(E8)</formula>
    </cfRule>
  </conditionalFormatting>
  <conditionalFormatting sqref="E9">
    <cfRule type="expression" dxfId="404" priority="48" stopIfTrue="1">
      <formula>ISERROR(E9)</formula>
    </cfRule>
  </conditionalFormatting>
  <conditionalFormatting sqref="E10">
    <cfRule type="expression" dxfId="403" priority="47" stopIfTrue="1">
      <formula>ISERROR(E10)</formula>
    </cfRule>
  </conditionalFormatting>
  <conditionalFormatting sqref="E12">
    <cfRule type="expression" dxfId="402" priority="46" stopIfTrue="1">
      <formula>ISERROR(E12)</formula>
    </cfRule>
  </conditionalFormatting>
  <conditionalFormatting sqref="E13">
    <cfRule type="expression" dxfId="401" priority="45" stopIfTrue="1">
      <formula>ISERROR(E13)</formula>
    </cfRule>
  </conditionalFormatting>
  <conditionalFormatting sqref="E15">
    <cfRule type="expression" dxfId="400" priority="44" stopIfTrue="1">
      <formula>ISERROR(E15)</formula>
    </cfRule>
  </conditionalFormatting>
  <conditionalFormatting sqref="E16">
    <cfRule type="expression" dxfId="399" priority="43" stopIfTrue="1">
      <formula>ISERROR(E16)</formula>
    </cfRule>
  </conditionalFormatting>
  <conditionalFormatting sqref="E17">
    <cfRule type="expression" dxfId="398" priority="42" stopIfTrue="1">
      <formula>ISERROR(E17)</formula>
    </cfRule>
  </conditionalFormatting>
  <conditionalFormatting sqref="E18">
    <cfRule type="expression" dxfId="397" priority="41" stopIfTrue="1">
      <formula>ISERROR(E18)</formula>
    </cfRule>
  </conditionalFormatting>
  <conditionalFormatting sqref="E19">
    <cfRule type="expression" dxfId="396" priority="40" stopIfTrue="1">
      <formula>ISERROR(E19)</formula>
    </cfRule>
  </conditionalFormatting>
  <conditionalFormatting sqref="E20">
    <cfRule type="expression" dxfId="395" priority="38" stopIfTrue="1">
      <formula>ISERROR(E20)</formula>
    </cfRule>
  </conditionalFormatting>
  <conditionalFormatting sqref="E21">
    <cfRule type="expression" dxfId="394" priority="37" stopIfTrue="1">
      <formula>ISERROR(E21)</formula>
    </cfRule>
  </conditionalFormatting>
  <conditionalFormatting sqref="E23">
    <cfRule type="expression" dxfId="393" priority="36" stopIfTrue="1">
      <formula>ISERROR(E23)</formula>
    </cfRule>
  </conditionalFormatting>
  <conditionalFormatting sqref="E24">
    <cfRule type="expression" dxfId="392" priority="35" stopIfTrue="1">
      <formula>ISERROR(E24)</formula>
    </cfRule>
  </conditionalFormatting>
  <conditionalFormatting sqref="E25">
    <cfRule type="expression" dxfId="391" priority="34" stopIfTrue="1">
      <formula>ISERROR(E25)</formula>
    </cfRule>
  </conditionalFormatting>
  <conditionalFormatting sqref="E26">
    <cfRule type="expression" dxfId="390" priority="33" stopIfTrue="1">
      <formula>ISERROR(E26)</formula>
    </cfRule>
  </conditionalFormatting>
  <conditionalFormatting sqref="E27">
    <cfRule type="expression" dxfId="389" priority="32" stopIfTrue="1">
      <formula>ISERROR(E27)</formula>
    </cfRule>
  </conditionalFormatting>
  <conditionalFormatting sqref="E28">
    <cfRule type="expression" dxfId="388" priority="31" stopIfTrue="1">
      <formula>ISERROR(E28)</formula>
    </cfRule>
  </conditionalFormatting>
  <conditionalFormatting sqref="E29">
    <cfRule type="expression" dxfId="387" priority="30" stopIfTrue="1">
      <formula>ISERROR(E29)</formula>
    </cfRule>
  </conditionalFormatting>
  <conditionalFormatting sqref="E31">
    <cfRule type="expression" dxfId="386" priority="29" stopIfTrue="1">
      <formula>ISERROR(E31)</formula>
    </cfRule>
  </conditionalFormatting>
  <conditionalFormatting sqref="E32">
    <cfRule type="expression" dxfId="385" priority="28" stopIfTrue="1">
      <formula>ISERROR(E32)</formula>
    </cfRule>
  </conditionalFormatting>
  <conditionalFormatting sqref="E33">
    <cfRule type="expression" dxfId="384" priority="27" stopIfTrue="1">
      <formula>ISERROR(E33)</formula>
    </cfRule>
  </conditionalFormatting>
  <conditionalFormatting sqref="E34">
    <cfRule type="expression" dxfId="383" priority="24" stopIfTrue="1">
      <formula>ISERROR(E34)</formula>
    </cfRule>
  </conditionalFormatting>
  <conditionalFormatting sqref="E35">
    <cfRule type="expression" dxfId="382" priority="23" stopIfTrue="1">
      <formula>ISERROR(E35)</formula>
    </cfRule>
  </conditionalFormatting>
  <conditionalFormatting sqref="E37">
    <cfRule type="expression" dxfId="381" priority="22" stopIfTrue="1">
      <formula>ISERROR(E37)</formula>
    </cfRule>
  </conditionalFormatting>
  <conditionalFormatting sqref="E40">
    <cfRule type="expression" dxfId="380" priority="21" stopIfTrue="1">
      <formula>ISERROR(E40)</formula>
    </cfRule>
  </conditionalFormatting>
  <conditionalFormatting sqref="E41">
    <cfRule type="expression" dxfId="379" priority="20" stopIfTrue="1">
      <formula>ISERROR(E41)</formula>
    </cfRule>
  </conditionalFormatting>
  <conditionalFormatting sqref="E42">
    <cfRule type="expression" dxfId="378" priority="19" stopIfTrue="1">
      <formula>ISERROR(E42)</formula>
    </cfRule>
  </conditionalFormatting>
  <conditionalFormatting sqref="E43">
    <cfRule type="expression" dxfId="377" priority="18" stopIfTrue="1">
      <formula>ISERROR(E43)</formula>
    </cfRule>
  </conditionalFormatting>
  <conditionalFormatting sqref="E44">
    <cfRule type="expression" dxfId="376" priority="17" stopIfTrue="1">
      <formula>ISERROR(E44)</formula>
    </cfRule>
  </conditionalFormatting>
  <conditionalFormatting sqref="J8">
    <cfRule type="expression" dxfId="375" priority="16" stopIfTrue="1">
      <formula>ISERROR(J8)</formula>
    </cfRule>
  </conditionalFormatting>
  <conditionalFormatting sqref="J9">
    <cfRule type="expression" dxfId="374" priority="15" stopIfTrue="1">
      <formula>ISERROR(J9)</formula>
    </cfRule>
  </conditionalFormatting>
  <conditionalFormatting sqref="J10">
    <cfRule type="expression" dxfId="373" priority="14" stopIfTrue="1">
      <formula>ISERROR(J10)</formula>
    </cfRule>
  </conditionalFormatting>
  <conditionalFormatting sqref="J12">
    <cfRule type="expression" dxfId="372" priority="13" stopIfTrue="1">
      <formula>ISERROR(J12)</formula>
    </cfRule>
  </conditionalFormatting>
  <conditionalFormatting sqref="J13">
    <cfRule type="expression" dxfId="371" priority="12" stopIfTrue="1">
      <formula>ISERROR(J13)</formula>
    </cfRule>
  </conditionalFormatting>
  <conditionalFormatting sqref="J14">
    <cfRule type="expression" dxfId="370" priority="11" stopIfTrue="1">
      <formula>ISERROR(J14)</formula>
    </cfRule>
  </conditionalFormatting>
  <conditionalFormatting sqref="J15">
    <cfRule type="expression" dxfId="369" priority="10" stopIfTrue="1">
      <formula>ISERROR(J15)</formula>
    </cfRule>
  </conditionalFormatting>
  <conditionalFormatting sqref="J16">
    <cfRule type="expression" dxfId="368" priority="9" stopIfTrue="1">
      <formula>ISERROR(J16)</formula>
    </cfRule>
  </conditionalFormatting>
  <conditionalFormatting sqref="J17">
    <cfRule type="expression" dxfId="367" priority="8" stopIfTrue="1">
      <formula>ISERROR(J17)</formula>
    </cfRule>
  </conditionalFormatting>
  <conditionalFormatting sqref="J19">
    <cfRule type="expression" dxfId="366" priority="7" stopIfTrue="1">
      <formula>ISERROR(J19)</formula>
    </cfRule>
  </conditionalFormatting>
  <conditionalFormatting sqref="J20">
    <cfRule type="expression" dxfId="365" priority="6" stopIfTrue="1">
      <formula>ISERROR(J20)</formula>
    </cfRule>
  </conditionalFormatting>
  <conditionalFormatting sqref="J21">
    <cfRule type="expression" dxfId="364" priority="5" stopIfTrue="1">
      <formula>ISERROR(J21)</formula>
    </cfRule>
  </conditionalFormatting>
  <conditionalFormatting sqref="J23">
    <cfRule type="expression" dxfId="363" priority="4" stopIfTrue="1">
      <formula>ISERROR(J23)</formula>
    </cfRule>
  </conditionalFormatting>
  <conditionalFormatting sqref="J24">
    <cfRule type="expression" dxfId="362" priority="3" stopIfTrue="1">
      <formula>ISERROR(J24)</formula>
    </cfRule>
  </conditionalFormatting>
  <conditionalFormatting sqref="J25">
    <cfRule type="expression" dxfId="361" priority="2" stopIfTrue="1">
      <formula>ISERROR(J25)</formula>
    </cfRule>
  </conditionalFormatting>
  <conditionalFormatting sqref="J26">
    <cfRule type="expression" dxfId="360" priority="1" stopIfTrue="1">
      <formula>ISERROR(J26)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C11:D11 C14:D14 H18:I18 C22:D22 H22:I22 C30:D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42" t="str">
        <f>UPPER("INVENTORY BY REGIONAL OFFICE "&amp;Transformation!B4)</f>
        <v>INVENTORY BY REGIONAL OFFICE AS OF: DECEMBER 26, 2015</v>
      </c>
      <c r="D2" s="443"/>
      <c r="E2" s="443"/>
      <c r="F2" s="443"/>
      <c r="G2" s="443"/>
      <c r="H2" s="443"/>
      <c r="I2" s="443"/>
      <c r="J2" s="443"/>
      <c r="K2" s="443"/>
      <c r="L2" s="443"/>
      <c r="M2" s="443"/>
      <c r="N2" s="443"/>
      <c r="O2" s="443"/>
      <c r="P2" s="443"/>
      <c r="Q2" s="443"/>
      <c r="R2" s="443"/>
      <c r="S2" s="444"/>
      <c r="T2" s="25"/>
    </row>
    <row r="3" spans="1:20" x14ac:dyDescent="0.2">
      <c r="A3" s="25"/>
      <c r="B3" s="26"/>
      <c r="C3" s="445" t="s">
        <v>228</v>
      </c>
      <c r="D3" s="446"/>
      <c r="E3" s="447" t="s">
        <v>208</v>
      </c>
      <c r="F3" s="448"/>
      <c r="G3" s="449"/>
      <c r="H3" s="447" t="s">
        <v>7</v>
      </c>
      <c r="I3" s="448"/>
      <c r="J3" s="449"/>
      <c r="K3" s="447" t="s">
        <v>33</v>
      </c>
      <c r="L3" s="448"/>
      <c r="M3" s="449"/>
      <c r="N3" s="447" t="s">
        <v>8</v>
      </c>
      <c r="O3" s="448"/>
      <c r="P3" s="449"/>
      <c r="Q3" s="81" t="s">
        <v>9</v>
      </c>
      <c r="R3" s="82" t="s">
        <v>10</v>
      </c>
      <c r="S3" s="82" t="s">
        <v>11</v>
      </c>
      <c r="T3" s="25"/>
    </row>
    <row r="4" spans="1:20"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42" t="s">
        <v>486</v>
      </c>
      <c r="D5" s="443"/>
      <c r="E5" s="443"/>
      <c r="F5" s="443"/>
      <c r="G5" s="443"/>
      <c r="H5" s="443"/>
      <c r="I5" s="443"/>
      <c r="J5" s="443"/>
      <c r="K5" s="443"/>
      <c r="L5" s="443"/>
      <c r="M5" s="443"/>
      <c r="N5" s="443"/>
      <c r="O5" s="443"/>
      <c r="P5" s="443"/>
      <c r="Q5" s="443"/>
      <c r="R5" s="443"/>
      <c r="S5" s="444"/>
      <c r="T5" s="25"/>
    </row>
    <row r="6" spans="1:20" x14ac:dyDescent="0.2">
      <c r="A6" s="92"/>
      <c r="B6" s="93" t="s">
        <v>461</v>
      </c>
      <c r="C6" s="209">
        <f>IFERROR(VLOOKUP($B6,MMWR_TRAD_AGG_DISTRICT_COMP[],C$1,0),"ERROR")</f>
        <v>323771</v>
      </c>
      <c r="D6" s="187">
        <f>IFERROR(VLOOKUP($B6,MMWR_TRAD_AGG_DISTRICT_COMP[],D$1,0),"ERROR")</f>
        <v>384.4743105467</v>
      </c>
      <c r="E6" s="195">
        <f>IFERROR(VLOOKUP($B6,MMWR_TRAD_AGG_DISTRICT_COMP[],E$1,0),"ERROR")</f>
        <v>331937</v>
      </c>
      <c r="F6" s="189">
        <f>IFERROR(VLOOKUP($B6,MMWR_TRAD_AGG_DISTRICT_COMP[],F$1,0),"ERROR")</f>
        <v>72980</v>
      </c>
      <c r="G6" s="212">
        <f t="shared" ref="G6:G69" si="0">IFERROR(F6/E6,"0%")</f>
        <v>0.21986099771944675</v>
      </c>
      <c r="H6" s="188">
        <f>IFERROR(VLOOKUP($B6,MMWR_TRAD_AGG_DISTRICT_COMP[],H$1,0),"ERROR")</f>
        <v>470112</v>
      </c>
      <c r="I6" s="189">
        <f>IFERROR(VLOOKUP($B6,MMWR_TRAD_AGG_DISTRICT_COMP[],I$1,0),"ERROR")</f>
        <v>308597</v>
      </c>
      <c r="J6" s="212">
        <f t="shared" ref="J6:J69" si="1">IFERROR(I6/H6,"0%")</f>
        <v>0.65643293513035195</v>
      </c>
      <c r="K6" s="188">
        <f>IFERROR(VLOOKUP($B6,MMWR_TRAD_AGG_DISTRICT_COMP[],K$1,0),"ERROR")</f>
        <v>129572</v>
      </c>
      <c r="L6" s="189">
        <f>IFERROR(VLOOKUP($B6,MMWR_TRAD_AGG_DISTRICT_COMP[],L$1,0),"ERROR")</f>
        <v>86294</v>
      </c>
      <c r="M6" s="212">
        <f t="shared" ref="M6:M69" si="2">IFERROR(L6/K6,"0%")</f>
        <v>0.6659926527336153</v>
      </c>
      <c r="N6" s="188">
        <f>IFERROR(VLOOKUP($B6,MMWR_TRAD_AGG_DISTRICT_COMP[],N$1,0),"ERROR")</f>
        <v>163561</v>
      </c>
      <c r="O6" s="189">
        <f>IFERROR(VLOOKUP($B6,MMWR_TRAD_AGG_DISTRICT_COMP[],O$1,0),"ERROR")</f>
        <v>101324</v>
      </c>
      <c r="P6" s="212">
        <f t="shared" ref="P6:P69" si="3">IFERROR(O6/N6,"0%")</f>
        <v>0.61948753064605866</v>
      </c>
      <c r="Q6" s="201">
        <f>IFERROR(VLOOKUP($B6,MMWR_TRAD_AGG_DISTRICT_COMP[],Q$1,0),"ERROR")</f>
        <v>18690</v>
      </c>
      <c r="R6" s="201">
        <f>IFERROR(VLOOKUP($B6,MMWR_TRAD_AGG_DISTRICT_COMP[],R$1,0),"ERROR")</f>
        <v>4014</v>
      </c>
      <c r="S6" s="204">
        <f>S7+S25+S38+S49+S62+S70</f>
        <v>318266</v>
      </c>
      <c r="T6" s="25"/>
    </row>
    <row r="7" spans="1:20" x14ac:dyDescent="0.2">
      <c r="A7" s="92"/>
      <c r="B7" s="101" t="s">
        <v>369</v>
      </c>
      <c r="C7" s="213">
        <f>IFERROR(VLOOKUP($B7,MMWR_TRAD_AGG_DISTRICT_COMP[],C$1,0),"ERROR")</f>
        <v>104748</v>
      </c>
      <c r="D7" s="198">
        <f>IFERROR(VLOOKUP($B7,MMWR_TRAD_AGG_DISTRICT_COMP[],D$1,0),"ERROR")</f>
        <v>452.31794401799999</v>
      </c>
      <c r="E7" s="214">
        <f>IFERROR(VLOOKUP($B7,MMWR_TRAD_AGG_DISTRICT_COMP[],E$1,0),"ERROR")</f>
        <v>78707</v>
      </c>
      <c r="F7" s="213">
        <f>IFERROR(VLOOKUP($B7,MMWR_TRAD_AGG_DISTRICT_COMP[],F$1,0),"ERROR")</f>
        <v>18187</v>
      </c>
      <c r="G7" s="215">
        <f t="shared" si="0"/>
        <v>0.23107220450531718</v>
      </c>
      <c r="H7" s="213">
        <f>IFERROR(VLOOKUP($B7,MMWR_TRAD_AGG_DISTRICT_COMP[],H$1,0),"ERROR")</f>
        <v>137941</v>
      </c>
      <c r="I7" s="213">
        <f>IFERROR(VLOOKUP($B7,MMWR_TRAD_AGG_DISTRICT_COMP[],I$1,0),"ERROR")</f>
        <v>101703</v>
      </c>
      <c r="J7" s="215">
        <f t="shared" si="1"/>
        <v>0.7372934805460305</v>
      </c>
      <c r="K7" s="213">
        <f>IFERROR(VLOOKUP($B7,MMWR_TRAD_AGG_DISTRICT_COMP[],K$1,0),"ERROR")</f>
        <v>37915</v>
      </c>
      <c r="L7" s="213">
        <f>IFERROR(VLOOKUP($B7,MMWR_TRAD_AGG_DISTRICT_COMP[],L$1,0),"ERROR")</f>
        <v>26229</v>
      </c>
      <c r="M7" s="215">
        <f t="shared" si="2"/>
        <v>0.69178425425293422</v>
      </c>
      <c r="N7" s="213">
        <f>IFERROR(VLOOKUP($B7,MMWR_TRAD_AGG_DISTRICT_COMP[],N$1,0),"ERROR")</f>
        <v>32720</v>
      </c>
      <c r="O7" s="213">
        <f>IFERROR(VLOOKUP($B7,MMWR_TRAD_AGG_DISTRICT_COMP[],O$1,0),"ERROR")</f>
        <v>25197</v>
      </c>
      <c r="P7" s="215">
        <f t="shared" si="3"/>
        <v>0.77007946210268952</v>
      </c>
      <c r="Q7" s="213">
        <f>IFERROR(VLOOKUP($B7,MMWR_TRAD_AGG_DISTRICT_COMP[],Q$1,0),"ERROR")</f>
        <v>12652</v>
      </c>
      <c r="R7" s="216">
        <f>IFERROR(VLOOKUP($B7,MMWR_TRAD_AGG_DISTRICT_COMP[],R$1,0),"ERROR")</f>
        <v>51</v>
      </c>
      <c r="S7" s="216">
        <f>IFERROR(VLOOKUP($B7,MMWR_APP_RO[],S$1,0),"ERROR")</f>
        <v>56480</v>
      </c>
      <c r="T7" s="25"/>
    </row>
    <row r="8" spans="1:20" x14ac:dyDescent="0.2">
      <c r="A8" s="107"/>
      <c r="B8" s="108" t="s">
        <v>36</v>
      </c>
      <c r="C8" s="210">
        <f>IFERROR(VLOOKUP($B8,MMWR_TRAD_AGG_RO_COMP[],C$1,0),"ERROR")</f>
        <v>7964</v>
      </c>
      <c r="D8" s="199">
        <f>IFERROR(VLOOKUP($B8,MMWR_TRAD_AGG_RO_COMP[],D$1,0),"ERROR")</f>
        <v>716.57973380210001</v>
      </c>
      <c r="E8" s="196">
        <f>IFERROR(VLOOKUP($B8,MMWR_TRAD_AGG_RO_COMP[],E$1,0),"ERROR")</f>
        <v>4819</v>
      </c>
      <c r="F8" s="192">
        <f>IFERROR(VLOOKUP($B8,MMWR_TRAD_AGG_RO_COMP[],F$1,0),"ERROR")</f>
        <v>967</v>
      </c>
      <c r="G8" s="217">
        <f t="shared" si="0"/>
        <v>0.20066403818219547</v>
      </c>
      <c r="H8" s="191">
        <f>IFERROR(VLOOKUP($B8,MMWR_TRAD_AGG_RO_COMP[],H$1,0),"ERROR")</f>
        <v>9313</v>
      </c>
      <c r="I8" s="192">
        <f>IFERROR(VLOOKUP($B8,MMWR_TRAD_AGG_RO_COMP[],I$1,0),"ERROR")</f>
        <v>7641</v>
      </c>
      <c r="J8" s="217">
        <f t="shared" si="1"/>
        <v>0.82046601524750351</v>
      </c>
      <c r="K8" s="205">
        <f>IFERROR(VLOOKUP($B8,MMWR_TRAD_AGG_RO_COMP[],K$1,0),"ERROR")</f>
        <v>1448</v>
      </c>
      <c r="L8" s="206">
        <f>IFERROR(VLOOKUP($B8,MMWR_TRAD_AGG_RO_COMP[],L$1,0),"ERROR")</f>
        <v>1088</v>
      </c>
      <c r="M8" s="217">
        <f t="shared" si="2"/>
        <v>0.75138121546961323</v>
      </c>
      <c r="N8" s="205">
        <f>IFERROR(VLOOKUP($B8,MMWR_TRAD_AGG_RO_COMP[],N$1,0),"ERROR")</f>
        <v>6062</v>
      </c>
      <c r="O8" s="206">
        <f>IFERROR(VLOOKUP($B8,MMWR_TRAD_AGG_RO_COMP[],O$1,0),"ERROR")</f>
        <v>5172</v>
      </c>
      <c r="P8" s="217">
        <f t="shared" si="3"/>
        <v>0.85318376773342131</v>
      </c>
      <c r="Q8" s="202">
        <f>IFERROR(VLOOKUP($B8,MMWR_TRAD_AGG_RO_COMP[],Q$1,0),"ERROR")</f>
        <v>0</v>
      </c>
      <c r="R8" s="202">
        <f>IFERROR(VLOOKUP($B8,MMWR_TRAD_AGG_RO_COMP[],R$1,0),"ERROR")</f>
        <v>3</v>
      </c>
      <c r="S8" s="202">
        <f>IFERROR(VLOOKUP($B8,MMWR_APP_RO[],S$1,0),"ERROR")</f>
        <v>5713</v>
      </c>
      <c r="T8" s="25"/>
    </row>
    <row r="9" spans="1:20" x14ac:dyDescent="0.2">
      <c r="A9" s="107"/>
      <c r="B9" s="108" t="s">
        <v>38</v>
      </c>
      <c r="C9" s="210">
        <f>IFERROR(VLOOKUP($B9,MMWR_TRAD_AGG_RO_COMP[],C$1,0),"ERROR")</f>
        <v>4271</v>
      </c>
      <c r="D9" s="199">
        <f>IFERROR(VLOOKUP($B9,MMWR_TRAD_AGG_RO_COMP[],D$1,0),"ERROR")</f>
        <v>598.53921798169995</v>
      </c>
      <c r="E9" s="196">
        <f>IFERROR(VLOOKUP($B9,MMWR_TRAD_AGG_RO_COMP[],E$1,0),"ERROR")</f>
        <v>3376</v>
      </c>
      <c r="F9" s="192">
        <f>IFERROR(VLOOKUP($B9,MMWR_TRAD_AGG_RO_COMP[],F$1,0),"ERROR")</f>
        <v>899</v>
      </c>
      <c r="G9" s="217">
        <f t="shared" si="0"/>
        <v>0.26629146919431279</v>
      </c>
      <c r="H9" s="191">
        <f>IFERROR(VLOOKUP($B9,MMWR_TRAD_AGG_RO_COMP[],H$1,0),"ERROR")</f>
        <v>5602</v>
      </c>
      <c r="I9" s="192">
        <f>IFERROR(VLOOKUP($B9,MMWR_TRAD_AGG_RO_COMP[],I$1,0),"ERROR")</f>
        <v>4448</v>
      </c>
      <c r="J9" s="217">
        <f t="shared" si="1"/>
        <v>0.79400214209210995</v>
      </c>
      <c r="K9" s="205">
        <f>IFERROR(VLOOKUP($B9,MMWR_TRAD_AGG_RO_COMP[],K$1,0),"ERROR")</f>
        <v>2588</v>
      </c>
      <c r="L9" s="206">
        <f>IFERROR(VLOOKUP($B9,MMWR_TRAD_AGG_RO_COMP[],L$1,0),"ERROR")</f>
        <v>2113</v>
      </c>
      <c r="M9" s="217">
        <f t="shared" si="2"/>
        <v>0.81646058732612059</v>
      </c>
      <c r="N9" s="205">
        <f>IFERROR(VLOOKUP($B9,MMWR_TRAD_AGG_RO_COMP[],N$1,0),"ERROR")</f>
        <v>973</v>
      </c>
      <c r="O9" s="206">
        <f>IFERROR(VLOOKUP($B9,MMWR_TRAD_AGG_RO_COMP[],O$1,0),"ERROR")</f>
        <v>757</v>
      </c>
      <c r="P9" s="217">
        <f t="shared" si="3"/>
        <v>0.77800616649537513</v>
      </c>
      <c r="Q9" s="202">
        <f>IFERROR(VLOOKUP($B9,MMWR_TRAD_AGG_RO_COMP[],Q$1,0),"ERROR")</f>
        <v>0</v>
      </c>
      <c r="R9" s="202">
        <f>IFERROR(VLOOKUP($B9,MMWR_TRAD_AGG_RO_COMP[],R$1,0),"ERROR")</f>
        <v>2</v>
      </c>
      <c r="S9" s="202">
        <f>IFERROR(VLOOKUP($B9,MMWR_APP_RO[],S$1,0),"ERROR")</f>
        <v>3278</v>
      </c>
      <c r="T9" s="25"/>
    </row>
    <row r="10" spans="1:20" x14ac:dyDescent="0.2">
      <c r="A10" s="107"/>
      <c r="B10" s="108" t="s">
        <v>24</v>
      </c>
      <c r="C10" s="210">
        <f>IFERROR(VLOOKUP($B10,MMWR_TRAD_AGG_RO_COMP[],C$1,0),"ERROR")</f>
        <v>1594</v>
      </c>
      <c r="D10" s="199">
        <f>IFERROR(VLOOKUP($B10,MMWR_TRAD_AGG_RO_COMP[],D$1,0),"ERROR")</f>
        <v>170.64178168129999</v>
      </c>
      <c r="E10" s="196">
        <f>IFERROR(VLOOKUP($B10,MMWR_TRAD_AGG_RO_COMP[],E$1,0),"ERROR")</f>
        <v>3940</v>
      </c>
      <c r="F10" s="192">
        <f>IFERROR(VLOOKUP($B10,MMWR_TRAD_AGG_RO_COMP[],F$1,0),"ERROR")</f>
        <v>783</v>
      </c>
      <c r="G10" s="217">
        <f t="shared" si="0"/>
        <v>0.19873096446700508</v>
      </c>
      <c r="H10" s="191">
        <f>IFERROR(VLOOKUP($B10,MMWR_TRAD_AGG_RO_COMP[],H$1,0),"ERROR")</f>
        <v>2632</v>
      </c>
      <c r="I10" s="192">
        <f>IFERROR(VLOOKUP($B10,MMWR_TRAD_AGG_RO_COMP[],I$1,0),"ERROR")</f>
        <v>1120</v>
      </c>
      <c r="J10" s="217">
        <f t="shared" si="1"/>
        <v>0.42553191489361702</v>
      </c>
      <c r="K10" s="205">
        <f>IFERROR(VLOOKUP($B10,MMWR_TRAD_AGG_RO_COMP[],K$1,0),"ERROR")</f>
        <v>1016</v>
      </c>
      <c r="L10" s="206">
        <f>IFERROR(VLOOKUP($B10,MMWR_TRAD_AGG_RO_COMP[],L$1,0),"ERROR")</f>
        <v>495</v>
      </c>
      <c r="M10" s="217">
        <f t="shared" si="2"/>
        <v>0.48720472440944884</v>
      </c>
      <c r="N10" s="205">
        <f>IFERROR(VLOOKUP($B10,MMWR_TRAD_AGG_RO_COMP[],N$1,0),"ERROR")</f>
        <v>485</v>
      </c>
      <c r="O10" s="206">
        <f>IFERROR(VLOOKUP($B10,MMWR_TRAD_AGG_RO_COMP[],O$1,0),"ERROR")</f>
        <v>252</v>
      </c>
      <c r="P10" s="217">
        <f t="shared" si="3"/>
        <v>0.51958762886597942</v>
      </c>
      <c r="Q10" s="202">
        <f>IFERROR(VLOOKUP($B10,MMWR_TRAD_AGG_RO_COMP[],Q$1,0),"ERROR")</f>
        <v>0</v>
      </c>
      <c r="R10" s="202">
        <f>IFERROR(VLOOKUP($B10,MMWR_TRAD_AGG_RO_COMP[],R$1,0),"ERROR")</f>
        <v>0</v>
      </c>
      <c r="S10" s="202">
        <f>IFERROR(VLOOKUP($B10,MMWR_APP_RO[],S$1,0),"ERROR")</f>
        <v>1858</v>
      </c>
      <c r="T10" s="25"/>
    </row>
    <row r="11" spans="1:20" x14ac:dyDescent="0.2">
      <c r="A11" s="107"/>
      <c r="B11" s="108" t="s">
        <v>47</v>
      </c>
      <c r="C11" s="210">
        <f>IFERROR(VLOOKUP($B11,MMWR_TRAD_AGG_RO_COMP[],C$1,0),"ERROR")</f>
        <v>1340</v>
      </c>
      <c r="D11" s="199">
        <f>IFERROR(VLOOKUP($B11,MMWR_TRAD_AGG_RO_COMP[],D$1,0),"ERROR")</f>
        <v>299.35074626869999</v>
      </c>
      <c r="E11" s="196">
        <f>IFERROR(VLOOKUP($B11,MMWR_TRAD_AGG_RO_COMP[],E$1,0),"ERROR")</f>
        <v>1885</v>
      </c>
      <c r="F11" s="192">
        <f>IFERROR(VLOOKUP($B11,MMWR_TRAD_AGG_RO_COMP[],F$1,0),"ERROR")</f>
        <v>354</v>
      </c>
      <c r="G11" s="217">
        <f t="shared" si="0"/>
        <v>0.18779840848806367</v>
      </c>
      <c r="H11" s="191">
        <f>IFERROR(VLOOKUP($B11,MMWR_TRAD_AGG_RO_COMP[],H$1,0),"ERROR")</f>
        <v>2964</v>
      </c>
      <c r="I11" s="192">
        <f>IFERROR(VLOOKUP($B11,MMWR_TRAD_AGG_RO_COMP[],I$1,0),"ERROR")</f>
        <v>1946</v>
      </c>
      <c r="J11" s="217">
        <f t="shared" si="1"/>
        <v>0.65654520917678816</v>
      </c>
      <c r="K11" s="205">
        <f>IFERROR(VLOOKUP($B11,MMWR_TRAD_AGG_RO_COMP[],K$1,0),"ERROR")</f>
        <v>602</v>
      </c>
      <c r="L11" s="206">
        <f>IFERROR(VLOOKUP($B11,MMWR_TRAD_AGG_RO_COMP[],L$1,0),"ERROR")</f>
        <v>308</v>
      </c>
      <c r="M11" s="217">
        <f t="shared" si="2"/>
        <v>0.51162790697674421</v>
      </c>
      <c r="N11" s="205">
        <f>IFERROR(VLOOKUP($B11,MMWR_TRAD_AGG_RO_COMP[],N$1,0),"ERROR")</f>
        <v>870</v>
      </c>
      <c r="O11" s="206">
        <f>IFERROR(VLOOKUP($B11,MMWR_TRAD_AGG_RO_COMP[],O$1,0),"ERROR")</f>
        <v>617</v>
      </c>
      <c r="P11" s="217">
        <f t="shared" si="3"/>
        <v>0.70919540229885059</v>
      </c>
      <c r="Q11" s="202">
        <f>IFERROR(VLOOKUP($B11,MMWR_TRAD_AGG_RO_COMP[],Q$1,0),"ERROR")</f>
        <v>0</v>
      </c>
      <c r="R11" s="202">
        <f>IFERROR(VLOOKUP($B11,MMWR_TRAD_AGG_RO_COMP[],R$1,0),"ERROR")</f>
        <v>6</v>
      </c>
      <c r="S11" s="202">
        <f>IFERROR(VLOOKUP($B11,MMWR_APP_RO[],S$1,0),"ERROR")</f>
        <v>955</v>
      </c>
      <c r="T11" s="25"/>
    </row>
    <row r="12" spans="1:20" x14ac:dyDescent="0.2">
      <c r="A12" s="107"/>
      <c r="B12" s="108" t="s">
        <v>50</v>
      </c>
      <c r="C12" s="210">
        <f>IFERROR(VLOOKUP($B12,MMWR_TRAD_AGG_RO_COMP[],C$1,0),"ERROR")</f>
        <v>2188</v>
      </c>
      <c r="D12" s="199">
        <f>IFERROR(VLOOKUP($B12,MMWR_TRAD_AGG_RO_COMP[],D$1,0),"ERROR")</f>
        <v>240.9291590494</v>
      </c>
      <c r="E12" s="196">
        <f>IFERROR(VLOOKUP($B12,MMWR_TRAD_AGG_RO_COMP[],E$1,0),"ERROR")</f>
        <v>2296</v>
      </c>
      <c r="F12" s="192">
        <f>IFERROR(VLOOKUP($B12,MMWR_TRAD_AGG_RO_COMP[],F$1,0),"ERROR")</f>
        <v>351</v>
      </c>
      <c r="G12" s="217">
        <f t="shared" si="0"/>
        <v>0.15287456445993031</v>
      </c>
      <c r="H12" s="191">
        <f>IFERROR(VLOOKUP($B12,MMWR_TRAD_AGG_RO_COMP[],H$1,0),"ERROR")</f>
        <v>3374</v>
      </c>
      <c r="I12" s="192">
        <f>IFERROR(VLOOKUP($B12,MMWR_TRAD_AGG_RO_COMP[],I$1,0),"ERROR")</f>
        <v>2182</v>
      </c>
      <c r="J12" s="217">
        <f t="shared" si="1"/>
        <v>0.64671013633669239</v>
      </c>
      <c r="K12" s="205">
        <f>IFERROR(VLOOKUP($B12,MMWR_TRAD_AGG_RO_COMP[],K$1,0),"ERROR")</f>
        <v>479</v>
      </c>
      <c r="L12" s="206">
        <f>IFERROR(VLOOKUP($B12,MMWR_TRAD_AGG_RO_COMP[],L$1,0),"ERROR")</f>
        <v>109</v>
      </c>
      <c r="M12" s="217">
        <f t="shared" si="2"/>
        <v>0.22755741127348644</v>
      </c>
      <c r="N12" s="205">
        <f>IFERROR(VLOOKUP($B12,MMWR_TRAD_AGG_RO_COMP[],N$1,0),"ERROR")</f>
        <v>1183</v>
      </c>
      <c r="O12" s="206">
        <f>IFERROR(VLOOKUP($B12,MMWR_TRAD_AGG_RO_COMP[],O$1,0),"ERROR")</f>
        <v>828</v>
      </c>
      <c r="P12" s="217">
        <f t="shared" si="3"/>
        <v>0.69991546914623837</v>
      </c>
      <c r="Q12" s="202">
        <f>IFERROR(VLOOKUP($B12,MMWR_TRAD_AGG_RO_COMP[],Q$1,0),"ERROR")</f>
        <v>1</v>
      </c>
      <c r="R12" s="202">
        <f>IFERROR(VLOOKUP($B12,MMWR_TRAD_AGG_RO_COMP[],R$1,0),"ERROR")</f>
        <v>11</v>
      </c>
      <c r="S12" s="202">
        <f>IFERROR(VLOOKUP($B12,MMWR_APP_RO[],S$1,0),"ERROR")</f>
        <v>1949</v>
      </c>
      <c r="T12" s="25"/>
    </row>
    <row r="13" spans="1:20" x14ac:dyDescent="0.2">
      <c r="A13" s="107"/>
      <c r="B13" s="108" t="s">
        <v>57</v>
      </c>
      <c r="C13" s="210">
        <f>IFERROR(VLOOKUP($B13,MMWR_TRAD_AGG_RO_COMP[],C$1,0),"ERROR")</f>
        <v>1519</v>
      </c>
      <c r="D13" s="199">
        <f>IFERROR(VLOOKUP($B13,MMWR_TRAD_AGG_RO_COMP[],D$1,0),"ERROR")</f>
        <v>404.99473337720002</v>
      </c>
      <c r="E13" s="196">
        <f>IFERROR(VLOOKUP($B13,MMWR_TRAD_AGG_RO_COMP[],E$1,0),"ERROR")</f>
        <v>1049</v>
      </c>
      <c r="F13" s="192">
        <f>IFERROR(VLOOKUP($B13,MMWR_TRAD_AGG_RO_COMP[],F$1,0),"ERROR")</f>
        <v>232</v>
      </c>
      <c r="G13" s="217">
        <f t="shared" si="0"/>
        <v>0.22116301239275502</v>
      </c>
      <c r="H13" s="191">
        <f>IFERROR(VLOOKUP($B13,MMWR_TRAD_AGG_RO_COMP[],H$1,0),"ERROR")</f>
        <v>1962</v>
      </c>
      <c r="I13" s="192">
        <f>IFERROR(VLOOKUP($B13,MMWR_TRAD_AGG_RO_COMP[],I$1,0),"ERROR")</f>
        <v>1359</v>
      </c>
      <c r="J13" s="217">
        <f t="shared" si="1"/>
        <v>0.69266055045871555</v>
      </c>
      <c r="K13" s="205">
        <f>IFERROR(VLOOKUP($B13,MMWR_TRAD_AGG_RO_COMP[],K$1,0),"ERROR")</f>
        <v>398</v>
      </c>
      <c r="L13" s="206">
        <f>IFERROR(VLOOKUP($B13,MMWR_TRAD_AGG_RO_COMP[],L$1,0),"ERROR")</f>
        <v>394</v>
      </c>
      <c r="M13" s="217">
        <f t="shared" si="2"/>
        <v>0.98994974874371855</v>
      </c>
      <c r="N13" s="205">
        <f>IFERROR(VLOOKUP($B13,MMWR_TRAD_AGG_RO_COMP[],N$1,0),"ERROR")</f>
        <v>94</v>
      </c>
      <c r="O13" s="206">
        <f>IFERROR(VLOOKUP($B13,MMWR_TRAD_AGG_RO_COMP[],O$1,0),"ERROR")</f>
        <v>49</v>
      </c>
      <c r="P13" s="217">
        <f t="shared" si="3"/>
        <v>0.52127659574468088</v>
      </c>
      <c r="Q13" s="202">
        <f>IFERROR(VLOOKUP($B13,MMWR_TRAD_AGG_RO_COMP[],Q$1,0),"ERROR")</f>
        <v>0</v>
      </c>
      <c r="R13" s="202">
        <f>IFERROR(VLOOKUP($B13,MMWR_TRAD_AGG_RO_COMP[],R$1,0),"ERROR")</f>
        <v>0</v>
      </c>
      <c r="S13" s="202">
        <f>IFERROR(VLOOKUP($B13,MMWR_APP_RO[],S$1,0),"ERROR")</f>
        <v>607</v>
      </c>
      <c r="T13" s="25"/>
    </row>
    <row r="14" spans="1:20" x14ac:dyDescent="0.2">
      <c r="A14" s="107"/>
      <c r="B14" s="108" t="s">
        <v>63</v>
      </c>
      <c r="C14" s="210">
        <f>IFERROR(VLOOKUP($B14,MMWR_TRAD_AGG_RO_COMP[],C$1,0),"ERROR")</f>
        <v>4409</v>
      </c>
      <c r="D14" s="199">
        <f>IFERROR(VLOOKUP($B14,MMWR_TRAD_AGG_RO_COMP[],D$1,0),"ERROR")</f>
        <v>307.41936947149998</v>
      </c>
      <c r="E14" s="196">
        <f>IFERROR(VLOOKUP($B14,MMWR_TRAD_AGG_RO_COMP[],E$1,0),"ERROR")</f>
        <v>4705</v>
      </c>
      <c r="F14" s="192">
        <f>IFERROR(VLOOKUP($B14,MMWR_TRAD_AGG_RO_COMP[],F$1,0),"ERROR")</f>
        <v>1147</v>
      </c>
      <c r="G14" s="217">
        <f t="shared" si="0"/>
        <v>0.24378320935175346</v>
      </c>
      <c r="H14" s="191">
        <f>IFERROR(VLOOKUP($B14,MMWR_TRAD_AGG_RO_COMP[],H$1,0),"ERROR")</f>
        <v>5983</v>
      </c>
      <c r="I14" s="192">
        <f>IFERROR(VLOOKUP($B14,MMWR_TRAD_AGG_RO_COMP[],I$1,0),"ERROR")</f>
        <v>4113</v>
      </c>
      <c r="J14" s="217">
        <f t="shared" si="1"/>
        <v>0.68744776867792079</v>
      </c>
      <c r="K14" s="205">
        <f>IFERROR(VLOOKUP($B14,MMWR_TRAD_AGG_RO_COMP[],K$1,0),"ERROR")</f>
        <v>3668</v>
      </c>
      <c r="L14" s="206">
        <f>IFERROR(VLOOKUP($B14,MMWR_TRAD_AGG_RO_COMP[],L$1,0),"ERROR")</f>
        <v>3070</v>
      </c>
      <c r="M14" s="217">
        <f t="shared" si="2"/>
        <v>0.83696837513631406</v>
      </c>
      <c r="N14" s="205">
        <f>IFERROR(VLOOKUP($B14,MMWR_TRAD_AGG_RO_COMP[],N$1,0),"ERROR")</f>
        <v>1001</v>
      </c>
      <c r="O14" s="206">
        <f>IFERROR(VLOOKUP($B14,MMWR_TRAD_AGG_RO_COMP[],O$1,0),"ERROR")</f>
        <v>195</v>
      </c>
      <c r="P14" s="217">
        <f t="shared" si="3"/>
        <v>0.19480519480519481</v>
      </c>
      <c r="Q14" s="202">
        <f>IFERROR(VLOOKUP($B14,MMWR_TRAD_AGG_RO_COMP[],Q$1,0),"ERROR")</f>
        <v>0</v>
      </c>
      <c r="R14" s="202">
        <f>IFERROR(VLOOKUP($B14,MMWR_TRAD_AGG_RO_COMP[],R$1,0),"ERROR")</f>
        <v>2</v>
      </c>
      <c r="S14" s="202">
        <f>IFERROR(VLOOKUP($B14,MMWR_APP_RO[],S$1,0),"ERROR")</f>
        <v>3173</v>
      </c>
      <c r="T14" s="25"/>
    </row>
    <row r="15" spans="1:20" x14ac:dyDescent="0.2">
      <c r="A15" s="107"/>
      <c r="B15" s="108" t="s">
        <v>64</v>
      </c>
      <c r="C15" s="210">
        <f>IFERROR(VLOOKUP($B15,MMWR_TRAD_AGG_RO_COMP[],C$1,0),"ERROR")</f>
        <v>861</v>
      </c>
      <c r="D15" s="199">
        <f>IFERROR(VLOOKUP($B15,MMWR_TRAD_AGG_RO_COMP[],D$1,0),"ERROR")</f>
        <v>132.08594657379999</v>
      </c>
      <c r="E15" s="196">
        <f>IFERROR(VLOOKUP($B15,MMWR_TRAD_AGG_RO_COMP[],E$1,0),"ERROR")</f>
        <v>2497</v>
      </c>
      <c r="F15" s="192">
        <f>IFERROR(VLOOKUP($B15,MMWR_TRAD_AGG_RO_COMP[],F$1,0),"ERROR")</f>
        <v>468</v>
      </c>
      <c r="G15" s="217">
        <f t="shared" si="0"/>
        <v>0.18742490989187024</v>
      </c>
      <c r="H15" s="191">
        <f>IFERROR(VLOOKUP($B15,MMWR_TRAD_AGG_RO_COMP[],H$1,0),"ERROR")</f>
        <v>1522</v>
      </c>
      <c r="I15" s="192">
        <f>IFERROR(VLOOKUP($B15,MMWR_TRAD_AGG_RO_COMP[],I$1,0),"ERROR")</f>
        <v>496</v>
      </c>
      <c r="J15" s="217">
        <f t="shared" si="1"/>
        <v>0.32588699080157685</v>
      </c>
      <c r="K15" s="205">
        <f>IFERROR(VLOOKUP($B15,MMWR_TRAD_AGG_RO_COMP[],K$1,0),"ERROR")</f>
        <v>756</v>
      </c>
      <c r="L15" s="206">
        <f>IFERROR(VLOOKUP($B15,MMWR_TRAD_AGG_RO_COMP[],L$1,0),"ERROR")</f>
        <v>547</v>
      </c>
      <c r="M15" s="217">
        <f t="shared" si="2"/>
        <v>0.72354497354497349</v>
      </c>
      <c r="N15" s="205">
        <f>IFERROR(VLOOKUP($B15,MMWR_TRAD_AGG_RO_COMP[],N$1,0),"ERROR")</f>
        <v>2104</v>
      </c>
      <c r="O15" s="206">
        <f>IFERROR(VLOOKUP($B15,MMWR_TRAD_AGG_RO_COMP[],O$1,0),"ERROR")</f>
        <v>1564</v>
      </c>
      <c r="P15" s="217">
        <f t="shared" si="3"/>
        <v>0.74334600760456271</v>
      </c>
      <c r="Q15" s="202">
        <f>IFERROR(VLOOKUP($B15,MMWR_TRAD_AGG_RO_COMP[],Q$1,0),"ERROR")</f>
        <v>0</v>
      </c>
      <c r="R15" s="202">
        <f>IFERROR(VLOOKUP($B15,MMWR_TRAD_AGG_RO_COMP[],R$1,0),"ERROR")</f>
        <v>1</v>
      </c>
      <c r="S15" s="202">
        <f>IFERROR(VLOOKUP($B15,MMWR_APP_RO[],S$1,0),"ERROR")</f>
        <v>2661</v>
      </c>
      <c r="T15" s="25"/>
    </row>
    <row r="16" spans="1:20" x14ac:dyDescent="0.2">
      <c r="A16" s="107"/>
      <c r="B16" s="108" t="s">
        <v>66</v>
      </c>
      <c r="C16" s="210">
        <f>IFERROR(VLOOKUP($B16,MMWR_TRAD_AGG_RO_COMP[],C$1,0),"ERROR")</f>
        <v>6109</v>
      </c>
      <c r="D16" s="199">
        <f>IFERROR(VLOOKUP($B16,MMWR_TRAD_AGG_RO_COMP[],D$1,0),"ERROR")</f>
        <v>389.03814044849997</v>
      </c>
      <c r="E16" s="196">
        <f>IFERROR(VLOOKUP($B16,MMWR_TRAD_AGG_RO_COMP[],E$1,0),"ERROR")</f>
        <v>11502</v>
      </c>
      <c r="F16" s="192">
        <f>IFERROR(VLOOKUP($B16,MMWR_TRAD_AGG_RO_COMP[],F$1,0),"ERROR")</f>
        <v>2908</v>
      </c>
      <c r="G16" s="217">
        <f t="shared" si="0"/>
        <v>0.25282559554860023</v>
      </c>
      <c r="H16" s="191">
        <f>IFERROR(VLOOKUP($B16,MMWR_TRAD_AGG_RO_COMP[],H$1,0),"ERROR")</f>
        <v>9291</v>
      </c>
      <c r="I16" s="192">
        <f>IFERROR(VLOOKUP($B16,MMWR_TRAD_AGG_RO_COMP[],I$1,0),"ERROR")</f>
        <v>6601</v>
      </c>
      <c r="J16" s="217">
        <f t="shared" si="1"/>
        <v>0.7104725002690776</v>
      </c>
      <c r="K16" s="205">
        <f>IFERROR(VLOOKUP($B16,MMWR_TRAD_AGG_RO_COMP[],K$1,0),"ERROR")</f>
        <v>1968</v>
      </c>
      <c r="L16" s="206">
        <f>IFERROR(VLOOKUP($B16,MMWR_TRAD_AGG_RO_COMP[],L$1,0),"ERROR")</f>
        <v>963</v>
      </c>
      <c r="M16" s="217">
        <f t="shared" si="2"/>
        <v>0.48932926829268292</v>
      </c>
      <c r="N16" s="205">
        <f>IFERROR(VLOOKUP($B16,MMWR_TRAD_AGG_RO_COMP[],N$1,0),"ERROR")</f>
        <v>7524</v>
      </c>
      <c r="O16" s="206">
        <f>IFERROR(VLOOKUP($B16,MMWR_TRAD_AGG_RO_COMP[],O$1,0),"ERROR")</f>
        <v>6433</v>
      </c>
      <c r="P16" s="217">
        <f t="shared" si="3"/>
        <v>0.85499734183944709</v>
      </c>
      <c r="Q16" s="202">
        <f>IFERROR(VLOOKUP($B16,MMWR_TRAD_AGG_RO_COMP[],Q$1,0),"ERROR")</f>
        <v>12643</v>
      </c>
      <c r="R16" s="202">
        <f>IFERROR(VLOOKUP($B16,MMWR_TRAD_AGG_RO_COMP[],R$1,0),"ERROR")</f>
        <v>0</v>
      </c>
      <c r="S16" s="202">
        <f>IFERROR(VLOOKUP($B16,MMWR_APP_RO[],S$1,0),"ERROR")</f>
        <v>5505</v>
      </c>
      <c r="T16" s="25"/>
    </row>
    <row r="17" spans="1:20" x14ac:dyDescent="0.2">
      <c r="A17" s="107"/>
      <c r="B17" s="108" t="s">
        <v>68</v>
      </c>
      <c r="C17" s="210">
        <f>IFERROR(VLOOKUP($B17,MMWR_TRAD_AGG_RO_COMP[],C$1,0),"ERROR")</f>
        <v>4248</v>
      </c>
      <c r="D17" s="199">
        <f>IFERROR(VLOOKUP($B17,MMWR_TRAD_AGG_RO_COMP[],D$1,0),"ERROR")</f>
        <v>492.78413370999999</v>
      </c>
      <c r="E17" s="196">
        <f>IFERROR(VLOOKUP($B17,MMWR_TRAD_AGG_RO_COMP[],E$1,0),"ERROR")</f>
        <v>5148</v>
      </c>
      <c r="F17" s="192">
        <f>IFERROR(VLOOKUP($B17,MMWR_TRAD_AGG_RO_COMP[],F$1,0),"ERROR")</f>
        <v>1505</v>
      </c>
      <c r="G17" s="217">
        <f t="shared" si="0"/>
        <v>0.29234654234654234</v>
      </c>
      <c r="H17" s="191">
        <f>IFERROR(VLOOKUP($B17,MMWR_TRAD_AGG_RO_COMP[],H$1,0),"ERROR")</f>
        <v>5794</v>
      </c>
      <c r="I17" s="192">
        <f>IFERROR(VLOOKUP($B17,MMWR_TRAD_AGG_RO_COMP[],I$1,0),"ERROR")</f>
        <v>4529</v>
      </c>
      <c r="J17" s="217">
        <f t="shared" si="1"/>
        <v>0.78167069382119436</v>
      </c>
      <c r="K17" s="205">
        <f>IFERROR(VLOOKUP($B17,MMWR_TRAD_AGG_RO_COMP[],K$1,0),"ERROR")</f>
        <v>792</v>
      </c>
      <c r="L17" s="206">
        <f>IFERROR(VLOOKUP($B17,MMWR_TRAD_AGG_RO_COMP[],L$1,0),"ERROR")</f>
        <v>450</v>
      </c>
      <c r="M17" s="217">
        <f t="shared" si="2"/>
        <v>0.56818181818181823</v>
      </c>
      <c r="N17" s="205">
        <f>IFERROR(VLOOKUP($B17,MMWR_TRAD_AGG_RO_COMP[],N$1,0),"ERROR")</f>
        <v>1087</v>
      </c>
      <c r="O17" s="206">
        <f>IFERROR(VLOOKUP($B17,MMWR_TRAD_AGG_RO_COMP[],O$1,0),"ERROR")</f>
        <v>727</v>
      </c>
      <c r="P17" s="217">
        <f t="shared" si="3"/>
        <v>0.66881324747010118</v>
      </c>
      <c r="Q17" s="202">
        <f>IFERROR(VLOOKUP($B17,MMWR_TRAD_AGG_RO_COMP[],Q$1,0),"ERROR")</f>
        <v>0</v>
      </c>
      <c r="R17" s="202">
        <f>IFERROR(VLOOKUP($B17,MMWR_TRAD_AGG_RO_COMP[],R$1,0),"ERROR")</f>
        <v>1</v>
      </c>
      <c r="S17" s="202">
        <f>IFERROR(VLOOKUP($B17,MMWR_APP_RO[],S$1,0),"ERROR")</f>
        <v>5027</v>
      </c>
      <c r="T17" s="25"/>
    </row>
    <row r="18" spans="1:20" x14ac:dyDescent="0.2">
      <c r="A18" s="107"/>
      <c r="B18" s="108" t="s">
        <v>70</v>
      </c>
      <c r="C18" s="210">
        <f>IFERROR(VLOOKUP($B18,MMWR_TRAD_AGG_RO_COMP[],C$1,0),"ERROR")</f>
        <v>1041</v>
      </c>
      <c r="D18" s="199">
        <f>IFERROR(VLOOKUP($B18,MMWR_TRAD_AGG_RO_COMP[],D$1,0),"ERROR")</f>
        <v>194.61575408260001</v>
      </c>
      <c r="E18" s="196">
        <f>IFERROR(VLOOKUP($B18,MMWR_TRAD_AGG_RO_COMP[],E$1,0),"ERROR")</f>
        <v>2185</v>
      </c>
      <c r="F18" s="192">
        <f>IFERROR(VLOOKUP($B18,MMWR_TRAD_AGG_RO_COMP[],F$1,0),"ERROR")</f>
        <v>380</v>
      </c>
      <c r="G18" s="217">
        <f t="shared" si="0"/>
        <v>0.17391304347826086</v>
      </c>
      <c r="H18" s="191">
        <f>IFERROR(VLOOKUP($B18,MMWR_TRAD_AGG_RO_COMP[],H$1,0),"ERROR")</f>
        <v>4364</v>
      </c>
      <c r="I18" s="192">
        <f>IFERROR(VLOOKUP($B18,MMWR_TRAD_AGG_RO_COMP[],I$1,0),"ERROR")</f>
        <v>1207</v>
      </c>
      <c r="J18" s="217">
        <f t="shared" si="1"/>
        <v>0.27658111824014664</v>
      </c>
      <c r="K18" s="205">
        <f>IFERROR(VLOOKUP($B18,MMWR_TRAD_AGG_RO_COMP[],K$1,0),"ERROR")</f>
        <v>3422</v>
      </c>
      <c r="L18" s="206">
        <f>IFERROR(VLOOKUP($B18,MMWR_TRAD_AGG_RO_COMP[],L$1,0),"ERROR")</f>
        <v>2507</v>
      </c>
      <c r="M18" s="217">
        <f t="shared" si="2"/>
        <v>0.73261250730566918</v>
      </c>
      <c r="N18" s="205">
        <f>IFERROR(VLOOKUP($B18,MMWR_TRAD_AGG_RO_COMP[],N$1,0),"ERROR")</f>
        <v>432</v>
      </c>
      <c r="O18" s="206">
        <f>IFERROR(VLOOKUP($B18,MMWR_TRAD_AGG_RO_COMP[],O$1,0),"ERROR")</f>
        <v>168</v>
      </c>
      <c r="P18" s="217">
        <f t="shared" si="3"/>
        <v>0.3888888888888889</v>
      </c>
      <c r="Q18" s="202">
        <f>IFERROR(VLOOKUP($B18,MMWR_TRAD_AGG_RO_COMP[],Q$1,0),"ERROR")</f>
        <v>0</v>
      </c>
      <c r="R18" s="202">
        <f>IFERROR(VLOOKUP($B18,MMWR_TRAD_AGG_RO_COMP[],R$1,0),"ERROR")</f>
        <v>0</v>
      </c>
      <c r="S18" s="202">
        <f>IFERROR(VLOOKUP($B18,MMWR_APP_RO[],S$1,0),"ERROR")</f>
        <v>491</v>
      </c>
      <c r="T18" s="25"/>
    </row>
    <row r="19" spans="1:20" x14ac:dyDescent="0.2">
      <c r="A19" s="107"/>
      <c r="B19" s="108" t="s">
        <v>72</v>
      </c>
      <c r="C19" s="210">
        <f>IFERROR(VLOOKUP($B19,MMWR_TRAD_AGG_RO_COMP[],C$1,0),"ERROR")</f>
        <v>14523</v>
      </c>
      <c r="D19" s="199">
        <f>IFERROR(VLOOKUP($B19,MMWR_TRAD_AGG_RO_COMP[],D$1,0),"ERROR")</f>
        <v>473.26881498310001</v>
      </c>
      <c r="E19" s="196">
        <f>IFERROR(VLOOKUP($B19,MMWR_TRAD_AGG_RO_COMP[],E$1,0),"ERROR")</f>
        <v>12393</v>
      </c>
      <c r="F19" s="192">
        <f>IFERROR(VLOOKUP($B19,MMWR_TRAD_AGG_RO_COMP[],F$1,0),"ERROR")</f>
        <v>2356</v>
      </c>
      <c r="G19" s="217">
        <f t="shared" si="0"/>
        <v>0.19010731864762365</v>
      </c>
      <c r="H19" s="191">
        <f>IFERROR(VLOOKUP($B19,MMWR_TRAD_AGG_RO_COMP[],H$1,0),"ERROR")</f>
        <v>16353</v>
      </c>
      <c r="I19" s="192">
        <f>IFERROR(VLOOKUP($B19,MMWR_TRAD_AGG_RO_COMP[],I$1,0),"ERROR")</f>
        <v>11880</v>
      </c>
      <c r="J19" s="217">
        <f t="shared" si="1"/>
        <v>0.72647220693450743</v>
      </c>
      <c r="K19" s="205">
        <f>IFERROR(VLOOKUP($B19,MMWR_TRAD_AGG_RO_COMP[],K$1,0),"ERROR")</f>
        <v>7642</v>
      </c>
      <c r="L19" s="206">
        <f>IFERROR(VLOOKUP($B19,MMWR_TRAD_AGG_RO_COMP[],L$1,0),"ERROR")</f>
        <v>5770</v>
      </c>
      <c r="M19" s="217">
        <f t="shared" si="2"/>
        <v>0.75503794818110437</v>
      </c>
      <c r="N19" s="205">
        <f>IFERROR(VLOOKUP($B19,MMWR_TRAD_AGG_RO_COMP[],N$1,0),"ERROR")</f>
        <v>4493</v>
      </c>
      <c r="O19" s="206">
        <f>IFERROR(VLOOKUP($B19,MMWR_TRAD_AGG_RO_COMP[],O$1,0),"ERROR")</f>
        <v>3731</v>
      </c>
      <c r="P19" s="217">
        <f t="shared" si="3"/>
        <v>0.83040284887602933</v>
      </c>
      <c r="Q19" s="202">
        <f>IFERROR(VLOOKUP($B19,MMWR_TRAD_AGG_RO_COMP[],Q$1,0),"ERROR")</f>
        <v>7</v>
      </c>
      <c r="R19" s="202">
        <f>IFERROR(VLOOKUP($B19,MMWR_TRAD_AGG_RO_COMP[],R$1,0),"ERROR")</f>
        <v>8</v>
      </c>
      <c r="S19" s="202">
        <f>IFERROR(VLOOKUP($B19,MMWR_APP_RO[],S$1,0),"ERROR")</f>
        <v>15269</v>
      </c>
      <c r="T19" s="25"/>
    </row>
    <row r="20" spans="1:20" x14ac:dyDescent="0.2">
      <c r="A20" s="107"/>
      <c r="B20" s="108" t="s">
        <v>81</v>
      </c>
      <c r="C20" s="210">
        <f>IFERROR(VLOOKUP($B20,MMWR_TRAD_AGG_RO_COMP[],C$1,0),"ERROR")</f>
        <v>1473</v>
      </c>
      <c r="D20" s="199">
        <f>IFERROR(VLOOKUP($B20,MMWR_TRAD_AGG_RO_COMP[],D$1,0),"ERROR")</f>
        <v>250.42566191450001</v>
      </c>
      <c r="E20" s="196">
        <f>IFERROR(VLOOKUP($B20,MMWR_TRAD_AGG_RO_COMP[],E$1,0),"ERROR")</f>
        <v>1134</v>
      </c>
      <c r="F20" s="192">
        <f>IFERROR(VLOOKUP($B20,MMWR_TRAD_AGG_RO_COMP[],F$1,0),"ERROR")</f>
        <v>151</v>
      </c>
      <c r="G20" s="217">
        <f t="shared" si="0"/>
        <v>0.13315696649029982</v>
      </c>
      <c r="H20" s="191">
        <f>IFERROR(VLOOKUP($B20,MMWR_TRAD_AGG_RO_COMP[],H$1,0),"ERROR")</f>
        <v>2185</v>
      </c>
      <c r="I20" s="192">
        <f>IFERROR(VLOOKUP($B20,MMWR_TRAD_AGG_RO_COMP[],I$1,0),"ERROR")</f>
        <v>1325</v>
      </c>
      <c r="J20" s="217">
        <f t="shared" si="1"/>
        <v>0.60640732265446229</v>
      </c>
      <c r="K20" s="205">
        <f>IFERROR(VLOOKUP($B20,MMWR_TRAD_AGG_RO_COMP[],K$1,0),"ERROR")</f>
        <v>1351</v>
      </c>
      <c r="L20" s="206">
        <f>IFERROR(VLOOKUP($B20,MMWR_TRAD_AGG_RO_COMP[],L$1,0),"ERROR")</f>
        <v>879</v>
      </c>
      <c r="M20" s="217">
        <f t="shared" si="2"/>
        <v>0.65062916358253142</v>
      </c>
      <c r="N20" s="205">
        <f>IFERROR(VLOOKUP($B20,MMWR_TRAD_AGG_RO_COMP[],N$1,0),"ERROR")</f>
        <v>821</v>
      </c>
      <c r="O20" s="206">
        <f>IFERROR(VLOOKUP($B20,MMWR_TRAD_AGG_RO_COMP[],O$1,0),"ERROR")</f>
        <v>617</v>
      </c>
      <c r="P20" s="217">
        <f t="shared" si="3"/>
        <v>0.75152253349573694</v>
      </c>
      <c r="Q20" s="202">
        <f>IFERROR(VLOOKUP($B20,MMWR_TRAD_AGG_RO_COMP[],Q$1,0),"ERROR")</f>
        <v>1</v>
      </c>
      <c r="R20" s="202">
        <f>IFERROR(VLOOKUP($B20,MMWR_TRAD_AGG_RO_COMP[],R$1,0),"ERROR")</f>
        <v>0</v>
      </c>
      <c r="S20" s="202">
        <f>IFERROR(VLOOKUP($B20,MMWR_APP_RO[],S$1,0),"ERROR")</f>
        <v>400</v>
      </c>
      <c r="T20" s="25"/>
    </row>
    <row r="21" spans="1:20" x14ac:dyDescent="0.2">
      <c r="A21" s="107"/>
      <c r="B21" s="108" t="s">
        <v>430</v>
      </c>
      <c r="C21" s="210">
        <f>IFERROR(VLOOKUP($B21,MMWR_TRAD_AGG_RO_COMP[],C$1,0),"ERROR")</f>
        <v>33780</v>
      </c>
      <c r="D21" s="199">
        <f>IFERROR(VLOOKUP($B21,MMWR_TRAD_AGG_RO_COMP[],D$1,0),"ERROR")</f>
        <v>503.225606868</v>
      </c>
      <c r="E21" s="196">
        <f>IFERROR(VLOOKUP($B21,MMWR_TRAD_AGG_RO_COMP[],E$1,0),"ERROR")</f>
        <v>1407</v>
      </c>
      <c r="F21" s="192">
        <f>IFERROR(VLOOKUP($B21,MMWR_TRAD_AGG_RO_COMP[],F$1,0),"ERROR")</f>
        <v>463</v>
      </c>
      <c r="G21" s="217">
        <f t="shared" si="0"/>
        <v>0.3290689410092395</v>
      </c>
      <c r="H21" s="191">
        <f>IFERROR(VLOOKUP($B21,MMWR_TRAD_AGG_RO_COMP[],H$1,0),"ERROR")</f>
        <v>34294</v>
      </c>
      <c r="I21" s="192">
        <f>IFERROR(VLOOKUP($B21,MMWR_TRAD_AGG_RO_COMP[],I$1,0),"ERROR")</f>
        <v>32453</v>
      </c>
      <c r="J21" s="217">
        <f t="shared" si="1"/>
        <v>0.94631714002449407</v>
      </c>
      <c r="K21" s="205">
        <f>IFERROR(VLOOKUP($B21,MMWR_TRAD_AGG_RO_COMP[],K$1,0),"ERROR")</f>
        <v>1104</v>
      </c>
      <c r="L21" s="206">
        <f>IFERROR(VLOOKUP($B21,MMWR_TRAD_AGG_RO_COMP[],L$1,0),"ERROR")</f>
        <v>643</v>
      </c>
      <c r="M21" s="217">
        <f t="shared" si="2"/>
        <v>0.58242753623188404</v>
      </c>
      <c r="N21" s="205">
        <f>IFERROR(VLOOKUP($B21,MMWR_TRAD_AGG_RO_COMP[],N$1,0),"ERROR")</f>
        <v>1367</v>
      </c>
      <c r="O21" s="206">
        <f>IFERROR(VLOOKUP($B21,MMWR_TRAD_AGG_RO_COMP[],O$1,0),"ERROR")</f>
        <v>1241</v>
      </c>
      <c r="P21" s="217">
        <f t="shared" si="3"/>
        <v>0.90782735918068769</v>
      </c>
      <c r="Q21" s="202">
        <f>IFERROR(VLOOKUP($B21,MMWR_TRAD_AGG_RO_COMP[],Q$1,0),"ERROR")</f>
        <v>0</v>
      </c>
      <c r="R21" s="202">
        <f>IFERROR(VLOOKUP($B21,MMWR_TRAD_AGG_RO_COMP[],R$1,0),"ERROR")</f>
        <v>0</v>
      </c>
      <c r="S21" s="202">
        <f>IFERROR(VLOOKUP($B21,MMWR_APP_RO[],S$1,0),"ERROR")</f>
        <v>22</v>
      </c>
      <c r="T21" s="25"/>
    </row>
    <row r="22" spans="1:20" x14ac:dyDescent="0.2">
      <c r="A22" s="107"/>
      <c r="B22" s="108" t="s">
        <v>138</v>
      </c>
      <c r="C22" s="210">
        <f>IFERROR(VLOOKUP($B22,MMWR_TRAD_AGG_RO_COMP[],C$1,0),"ERROR")</f>
        <v>436</v>
      </c>
      <c r="D22" s="199">
        <f>IFERROR(VLOOKUP($B22,MMWR_TRAD_AGG_RO_COMP[],D$1,0),"ERROR")</f>
        <v>362.49082568810002</v>
      </c>
      <c r="E22" s="196">
        <f>IFERROR(VLOOKUP($B22,MMWR_TRAD_AGG_RO_COMP[],E$1,0),"ERROR")</f>
        <v>521</v>
      </c>
      <c r="F22" s="192">
        <f>IFERROR(VLOOKUP($B22,MMWR_TRAD_AGG_RO_COMP[],F$1,0),"ERROR")</f>
        <v>116</v>
      </c>
      <c r="G22" s="217">
        <f t="shared" si="0"/>
        <v>0.22264875239923224</v>
      </c>
      <c r="H22" s="191">
        <f>IFERROR(VLOOKUP($B22,MMWR_TRAD_AGG_RO_COMP[],H$1,0),"ERROR")</f>
        <v>669</v>
      </c>
      <c r="I22" s="192">
        <f>IFERROR(VLOOKUP($B22,MMWR_TRAD_AGG_RO_COMP[],I$1,0),"ERROR")</f>
        <v>450</v>
      </c>
      <c r="J22" s="217">
        <f t="shared" si="1"/>
        <v>0.67264573991031396</v>
      </c>
      <c r="K22" s="205">
        <f>IFERROR(VLOOKUP($B22,MMWR_TRAD_AGG_RO_COMP[],K$1,0),"ERROR")</f>
        <v>100</v>
      </c>
      <c r="L22" s="206">
        <f>IFERROR(VLOOKUP($B22,MMWR_TRAD_AGG_RO_COMP[],L$1,0),"ERROR")</f>
        <v>67</v>
      </c>
      <c r="M22" s="217">
        <f t="shared" si="2"/>
        <v>0.67</v>
      </c>
      <c r="N22" s="205">
        <f>IFERROR(VLOOKUP($B22,MMWR_TRAD_AGG_RO_COMP[],N$1,0),"ERROR")</f>
        <v>117</v>
      </c>
      <c r="O22" s="206">
        <f>IFERROR(VLOOKUP($B22,MMWR_TRAD_AGG_RO_COMP[],O$1,0),"ERROR")</f>
        <v>68</v>
      </c>
      <c r="P22" s="217">
        <f t="shared" si="3"/>
        <v>0.58119658119658124</v>
      </c>
      <c r="Q22" s="202">
        <f>IFERROR(VLOOKUP($B22,MMWR_TRAD_AGG_RO_COMP[],Q$1,0),"ERROR")</f>
        <v>0</v>
      </c>
      <c r="R22" s="202">
        <f>IFERROR(VLOOKUP($B22,MMWR_TRAD_AGG_RO_COMP[],R$1,0),"ERROR")</f>
        <v>1</v>
      </c>
      <c r="S22" s="202">
        <f>IFERROR(VLOOKUP($B22,MMWR_APP_RO[],S$1,0),"ERROR")</f>
        <v>126</v>
      </c>
      <c r="T22" s="25"/>
    </row>
    <row r="23" spans="1:20" x14ac:dyDescent="0.2">
      <c r="A23" s="107"/>
      <c r="B23" s="108" t="s">
        <v>85</v>
      </c>
      <c r="C23" s="210">
        <f>IFERROR(VLOOKUP($B23,MMWR_TRAD_AGG_RO_COMP[],C$1,0),"ERROR")</f>
        <v>608</v>
      </c>
      <c r="D23" s="199">
        <f>IFERROR(VLOOKUP($B23,MMWR_TRAD_AGG_RO_COMP[],D$1,0),"ERROR")</f>
        <v>381.40789473680002</v>
      </c>
      <c r="E23" s="196">
        <f>IFERROR(VLOOKUP($B23,MMWR_TRAD_AGG_RO_COMP[],E$1,0),"ERROR")</f>
        <v>675</v>
      </c>
      <c r="F23" s="192">
        <f>IFERROR(VLOOKUP($B23,MMWR_TRAD_AGG_RO_COMP[],F$1,0),"ERROR")</f>
        <v>219</v>
      </c>
      <c r="G23" s="217">
        <f t="shared" si="0"/>
        <v>0.32444444444444442</v>
      </c>
      <c r="H23" s="191">
        <f>IFERROR(VLOOKUP($B23,MMWR_TRAD_AGG_RO_COMP[],H$1,0),"ERROR")</f>
        <v>673</v>
      </c>
      <c r="I23" s="192">
        <f>IFERROR(VLOOKUP($B23,MMWR_TRAD_AGG_RO_COMP[],I$1,0),"ERROR")</f>
        <v>531</v>
      </c>
      <c r="J23" s="217">
        <f t="shared" si="1"/>
        <v>0.78900445765230309</v>
      </c>
      <c r="K23" s="205">
        <f>IFERROR(VLOOKUP($B23,MMWR_TRAD_AGG_RO_COMP[],K$1,0),"ERROR")</f>
        <v>51</v>
      </c>
      <c r="L23" s="206">
        <f>IFERROR(VLOOKUP($B23,MMWR_TRAD_AGG_RO_COMP[],L$1,0),"ERROR")</f>
        <v>13</v>
      </c>
      <c r="M23" s="217">
        <f t="shared" si="2"/>
        <v>0.25490196078431371</v>
      </c>
      <c r="N23" s="205">
        <f>IFERROR(VLOOKUP($B23,MMWR_TRAD_AGG_RO_COMP[],N$1,0),"ERROR")</f>
        <v>178</v>
      </c>
      <c r="O23" s="206">
        <f>IFERROR(VLOOKUP($B23,MMWR_TRAD_AGG_RO_COMP[],O$1,0),"ERROR")</f>
        <v>74</v>
      </c>
      <c r="P23" s="217">
        <f t="shared" si="3"/>
        <v>0.4157303370786517</v>
      </c>
      <c r="Q23" s="202">
        <f>IFERROR(VLOOKUP($B23,MMWR_TRAD_AGG_RO_COMP[],Q$1,0),"ERROR")</f>
        <v>0</v>
      </c>
      <c r="R23" s="202">
        <f>IFERROR(VLOOKUP($B23,MMWR_TRAD_AGG_RO_COMP[],R$1,0),"ERROR")</f>
        <v>0</v>
      </c>
      <c r="S23" s="202">
        <f>IFERROR(VLOOKUP($B23,MMWR_APP_RO[],S$1,0),"ERROR")</f>
        <v>185</v>
      </c>
      <c r="T23" s="25"/>
    </row>
    <row r="24" spans="1:20" x14ac:dyDescent="0.2">
      <c r="A24" s="92"/>
      <c r="B24" s="116" t="s">
        <v>86</v>
      </c>
      <c r="C24" s="211">
        <f>IFERROR(VLOOKUP($B24,MMWR_TRAD_AGG_RO_COMP[],C$1,0),"ERROR")</f>
        <v>18384</v>
      </c>
      <c r="D24" s="200">
        <f>IFERROR(VLOOKUP($B24,MMWR_TRAD_AGG_RO_COMP[],D$1,0),"ERROR")</f>
        <v>355.08855526539998</v>
      </c>
      <c r="E24" s="197">
        <f>IFERROR(VLOOKUP($B24,MMWR_TRAD_AGG_RO_COMP[],E$1,0),"ERROR")</f>
        <v>19175</v>
      </c>
      <c r="F24" s="194">
        <f>IFERROR(VLOOKUP($B24,MMWR_TRAD_AGG_RO_COMP[],F$1,0),"ERROR")</f>
        <v>4888</v>
      </c>
      <c r="G24" s="218">
        <f t="shared" si="0"/>
        <v>0.25491525423728811</v>
      </c>
      <c r="H24" s="193">
        <f>IFERROR(VLOOKUP($B24,MMWR_TRAD_AGG_RO_COMP[],H$1,0),"ERROR")</f>
        <v>30966</v>
      </c>
      <c r="I24" s="194">
        <f>IFERROR(VLOOKUP($B24,MMWR_TRAD_AGG_RO_COMP[],I$1,0),"ERROR")</f>
        <v>19422</v>
      </c>
      <c r="J24" s="218">
        <f t="shared" si="1"/>
        <v>0.62720403022670024</v>
      </c>
      <c r="K24" s="207">
        <f>IFERROR(VLOOKUP($B24,MMWR_TRAD_AGG_RO_COMP[],K$1,0),"ERROR")</f>
        <v>10530</v>
      </c>
      <c r="L24" s="208">
        <f>IFERROR(VLOOKUP($B24,MMWR_TRAD_AGG_RO_COMP[],L$1,0),"ERROR")</f>
        <v>6813</v>
      </c>
      <c r="M24" s="218">
        <f t="shared" si="2"/>
        <v>0.64700854700854704</v>
      </c>
      <c r="N24" s="207">
        <f>IFERROR(VLOOKUP($B24,MMWR_TRAD_AGG_RO_COMP[],N$1,0),"ERROR")</f>
        <v>3929</v>
      </c>
      <c r="O24" s="208">
        <f>IFERROR(VLOOKUP($B24,MMWR_TRAD_AGG_RO_COMP[],O$1,0),"ERROR")</f>
        <v>2704</v>
      </c>
      <c r="P24" s="218">
        <f t="shared" si="3"/>
        <v>0.68821583100025452</v>
      </c>
      <c r="Q24" s="203">
        <f>IFERROR(VLOOKUP($B24,MMWR_TRAD_AGG_RO_COMP[],Q$1,0),"ERROR")</f>
        <v>0</v>
      </c>
      <c r="R24" s="203">
        <f>IFERROR(VLOOKUP($B24,MMWR_TRAD_AGG_RO_COMP[],R$1,0),"ERROR")</f>
        <v>16</v>
      </c>
      <c r="S24" s="202">
        <f>IFERROR(VLOOKUP($B24,MMWR_APP_RO[],S$1,0),"ERROR")</f>
        <v>9261</v>
      </c>
      <c r="T24" s="25"/>
    </row>
    <row r="25" spans="1:20" x14ac:dyDescent="0.2">
      <c r="A25" s="107"/>
      <c r="B25" s="101" t="s">
        <v>390</v>
      </c>
      <c r="C25" s="213">
        <f>IFERROR(VLOOKUP($B25,MMWR_TRAD_AGG_DISTRICT_COMP[],C$1,0),"ERROR")</f>
        <v>40597</v>
      </c>
      <c r="D25" s="198">
        <f>IFERROR(VLOOKUP($B25,MMWR_TRAD_AGG_DISTRICT_COMP[],D$1,0),"ERROR")</f>
        <v>351.19077764370002</v>
      </c>
      <c r="E25" s="214">
        <f>IFERROR(VLOOKUP($B25,MMWR_TRAD_AGG_DISTRICT_COMP[],E$1,0),"ERROR")</f>
        <v>56602</v>
      </c>
      <c r="F25" s="219">
        <f>IFERROR(VLOOKUP($B25,MMWR_TRAD_AGG_DISTRICT_COMP[],F$1,0),"ERROR")</f>
        <v>11404</v>
      </c>
      <c r="G25" s="215">
        <f t="shared" si="0"/>
        <v>0.20147697961202785</v>
      </c>
      <c r="H25" s="219">
        <f>IFERROR(VLOOKUP($B25,MMWR_TRAD_AGG_DISTRICT_COMP[],H$1,0),"ERROR")</f>
        <v>68584</v>
      </c>
      <c r="I25" s="219">
        <f>IFERROR(VLOOKUP($B25,MMWR_TRAD_AGG_DISTRICT_COMP[],I$1,0),"ERROR")</f>
        <v>37104</v>
      </c>
      <c r="J25" s="215">
        <f t="shared" si="1"/>
        <v>0.54100081651697185</v>
      </c>
      <c r="K25" s="213">
        <f>IFERROR(VLOOKUP($B25,MMWR_TRAD_AGG_DISTRICT_COMP[],K$1,0),"ERROR")</f>
        <v>14786</v>
      </c>
      <c r="L25" s="213">
        <f>IFERROR(VLOOKUP($B25,MMWR_TRAD_AGG_DISTRICT_COMP[],L$1,0),"ERROR")</f>
        <v>8780</v>
      </c>
      <c r="M25" s="215">
        <f t="shared" si="2"/>
        <v>0.59380495062897332</v>
      </c>
      <c r="N25" s="213">
        <f>IFERROR(VLOOKUP($B25,MMWR_TRAD_AGG_DISTRICT_COMP[],N$1,0),"ERROR")</f>
        <v>16028</v>
      </c>
      <c r="O25" s="213">
        <f>IFERROR(VLOOKUP($B25,MMWR_TRAD_AGG_DISTRICT_COMP[],O$1,0),"ERROR")</f>
        <v>10331</v>
      </c>
      <c r="P25" s="215">
        <f t="shared" si="3"/>
        <v>0.64455952083853252</v>
      </c>
      <c r="Q25" s="213">
        <f>IFERROR(VLOOKUP($B25,MMWR_TRAD_AGG_DISTRICT_COMP[],Q$1,0),"ERROR")</f>
        <v>5490</v>
      </c>
      <c r="R25" s="216">
        <f>IFERROR(VLOOKUP($B25,MMWR_TRAD_AGG_DISTRICT_COMP[],R$1,0),"ERROR")</f>
        <v>1034</v>
      </c>
      <c r="S25" s="216">
        <f>IFERROR(VLOOKUP($B25,MMWR_APP_RO[],S$1,0),"ERROR")</f>
        <v>51798</v>
      </c>
      <c r="T25" s="25"/>
    </row>
    <row r="26" spans="1:20" x14ac:dyDescent="0.2">
      <c r="A26" s="107"/>
      <c r="B26" s="108" t="s">
        <v>40</v>
      </c>
      <c r="C26" s="210">
        <f>IFERROR(VLOOKUP($B26,MMWR_TRAD_AGG_RO_COMP[],C$1,0),"ERROR")</f>
        <v>6035</v>
      </c>
      <c r="D26" s="199">
        <f>IFERROR(VLOOKUP($B26,MMWR_TRAD_AGG_RO_COMP[],D$1,0),"ERROR")</f>
        <v>509.2187241094</v>
      </c>
      <c r="E26" s="196">
        <f>IFERROR(VLOOKUP($B26,MMWR_TRAD_AGG_RO_COMP[],E$1,0),"ERROR")</f>
        <v>6741</v>
      </c>
      <c r="F26" s="192">
        <f>IFERROR(VLOOKUP($B26,MMWR_TRAD_AGG_RO_COMP[],F$1,0),"ERROR")</f>
        <v>1692</v>
      </c>
      <c r="G26" s="217">
        <f t="shared" si="0"/>
        <v>0.25100133511348466</v>
      </c>
      <c r="H26" s="191">
        <f>IFERROR(VLOOKUP($B26,MMWR_TRAD_AGG_RO_COMP[],H$1,0),"ERROR")</f>
        <v>7328</v>
      </c>
      <c r="I26" s="192">
        <f>IFERROR(VLOOKUP($B26,MMWR_TRAD_AGG_RO_COMP[],I$1,0),"ERROR")</f>
        <v>5646</v>
      </c>
      <c r="J26" s="217">
        <f t="shared" si="1"/>
        <v>0.77046943231441045</v>
      </c>
      <c r="K26" s="205">
        <f>IFERROR(VLOOKUP($B26,MMWR_TRAD_AGG_RO_COMP[],K$1,0),"ERROR")</f>
        <v>1811</v>
      </c>
      <c r="L26" s="206">
        <f>IFERROR(VLOOKUP($B26,MMWR_TRAD_AGG_RO_COMP[],L$1,0),"ERROR")</f>
        <v>1496</v>
      </c>
      <c r="M26" s="217">
        <f t="shared" si="2"/>
        <v>0.82606294864715624</v>
      </c>
      <c r="N26" s="205">
        <f>IFERROR(VLOOKUP($B26,MMWR_TRAD_AGG_RO_COMP[],N$1,0),"ERROR")</f>
        <v>1143</v>
      </c>
      <c r="O26" s="206">
        <f>IFERROR(VLOOKUP($B26,MMWR_TRAD_AGG_RO_COMP[],O$1,0),"ERROR")</f>
        <v>651</v>
      </c>
      <c r="P26" s="217">
        <f t="shared" si="3"/>
        <v>0.56955380577427817</v>
      </c>
      <c r="Q26" s="202">
        <f>IFERROR(VLOOKUP($B26,MMWR_TRAD_AGG_RO_COMP[],Q$1,0),"ERROR")</f>
        <v>0</v>
      </c>
      <c r="R26" s="202">
        <f>IFERROR(VLOOKUP($B26,MMWR_TRAD_AGG_RO_COMP[],R$1,0),"ERROR")</f>
        <v>212</v>
      </c>
      <c r="S26" s="202">
        <f>IFERROR(VLOOKUP($B26,MMWR_APP_RO[],S$1,0),"ERROR")</f>
        <v>8148</v>
      </c>
      <c r="T26" s="25"/>
    </row>
    <row r="27" spans="1:20" x14ac:dyDescent="0.2">
      <c r="A27" s="107"/>
      <c r="B27" s="108" t="s">
        <v>41</v>
      </c>
      <c r="C27" s="210">
        <f>IFERROR(VLOOKUP($B27,MMWR_TRAD_AGG_RO_COMP[],C$1,0),"ERROR")</f>
        <v>5865</v>
      </c>
      <c r="D27" s="199">
        <f>IFERROR(VLOOKUP($B27,MMWR_TRAD_AGG_RO_COMP[],D$1,0),"ERROR")</f>
        <v>433.67791986359998</v>
      </c>
      <c r="E27" s="196">
        <f>IFERROR(VLOOKUP($B27,MMWR_TRAD_AGG_RO_COMP[],E$1,0),"ERROR")</f>
        <v>8054</v>
      </c>
      <c r="F27" s="192">
        <f>IFERROR(VLOOKUP($B27,MMWR_TRAD_AGG_RO_COMP[],F$1,0),"ERROR")</f>
        <v>2054</v>
      </c>
      <c r="G27" s="217">
        <f t="shared" si="0"/>
        <v>0.25502855723863921</v>
      </c>
      <c r="H27" s="191">
        <f>IFERROR(VLOOKUP($B27,MMWR_TRAD_AGG_RO_COMP[],H$1,0),"ERROR")</f>
        <v>8196</v>
      </c>
      <c r="I27" s="192">
        <f>IFERROR(VLOOKUP($B27,MMWR_TRAD_AGG_RO_COMP[],I$1,0),"ERROR")</f>
        <v>5411</v>
      </c>
      <c r="J27" s="217">
        <f t="shared" si="1"/>
        <v>0.66020009760858955</v>
      </c>
      <c r="K27" s="205">
        <f>IFERROR(VLOOKUP($B27,MMWR_TRAD_AGG_RO_COMP[],K$1,0),"ERROR")</f>
        <v>1649</v>
      </c>
      <c r="L27" s="206">
        <f>IFERROR(VLOOKUP($B27,MMWR_TRAD_AGG_RO_COMP[],L$1,0),"ERROR")</f>
        <v>846</v>
      </c>
      <c r="M27" s="217">
        <f t="shared" si="2"/>
        <v>0.51303820497271069</v>
      </c>
      <c r="N27" s="205">
        <f>IFERROR(VLOOKUP($B27,MMWR_TRAD_AGG_RO_COMP[],N$1,0),"ERROR")</f>
        <v>3276</v>
      </c>
      <c r="O27" s="206">
        <f>IFERROR(VLOOKUP($B27,MMWR_TRAD_AGG_RO_COMP[],O$1,0),"ERROR")</f>
        <v>1743</v>
      </c>
      <c r="P27" s="217">
        <f t="shared" si="3"/>
        <v>0.53205128205128205</v>
      </c>
      <c r="Q27" s="202">
        <f>IFERROR(VLOOKUP($B27,MMWR_TRAD_AGG_RO_COMP[],Q$1,0),"ERROR")</f>
        <v>0</v>
      </c>
      <c r="R27" s="202">
        <f>IFERROR(VLOOKUP($B27,MMWR_TRAD_AGG_RO_COMP[],R$1,0),"ERROR")</f>
        <v>330</v>
      </c>
      <c r="S27" s="202">
        <f>IFERROR(VLOOKUP($B27,MMWR_APP_RO[],S$1,0),"ERROR")</f>
        <v>13712</v>
      </c>
      <c r="T27" s="25"/>
    </row>
    <row r="28" spans="1:20" x14ac:dyDescent="0.2">
      <c r="A28" s="107"/>
      <c r="B28" s="108" t="s">
        <v>44</v>
      </c>
      <c r="C28" s="210">
        <f>IFERROR(VLOOKUP($B28,MMWR_TRAD_AGG_RO_COMP[],C$1,0),"ERROR")</f>
        <v>1101</v>
      </c>
      <c r="D28" s="199">
        <f>IFERROR(VLOOKUP($B28,MMWR_TRAD_AGG_RO_COMP[],D$1,0),"ERROR")</f>
        <v>131.87738419620001</v>
      </c>
      <c r="E28" s="196">
        <f>IFERROR(VLOOKUP($B28,MMWR_TRAD_AGG_RO_COMP[],E$1,0),"ERROR")</f>
        <v>2194</v>
      </c>
      <c r="F28" s="192">
        <f>IFERROR(VLOOKUP($B28,MMWR_TRAD_AGG_RO_COMP[],F$1,0),"ERROR")</f>
        <v>351</v>
      </c>
      <c r="G28" s="217">
        <f t="shared" si="0"/>
        <v>0.15998176845943482</v>
      </c>
      <c r="H28" s="191">
        <f>IFERROR(VLOOKUP($B28,MMWR_TRAD_AGG_RO_COMP[],H$1,0),"ERROR")</f>
        <v>1747</v>
      </c>
      <c r="I28" s="192">
        <f>IFERROR(VLOOKUP($B28,MMWR_TRAD_AGG_RO_COMP[],I$1,0),"ERROR")</f>
        <v>762</v>
      </c>
      <c r="J28" s="217">
        <f t="shared" si="1"/>
        <v>0.43617630223239839</v>
      </c>
      <c r="K28" s="205">
        <f>IFERROR(VLOOKUP($B28,MMWR_TRAD_AGG_RO_COMP[],K$1,0),"ERROR")</f>
        <v>344</v>
      </c>
      <c r="L28" s="206">
        <f>IFERROR(VLOOKUP($B28,MMWR_TRAD_AGG_RO_COMP[],L$1,0),"ERROR")</f>
        <v>109</v>
      </c>
      <c r="M28" s="217">
        <f t="shared" si="2"/>
        <v>0.31686046511627908</v>
      </c>
      <c r="N28" s="205">
        <f>IFERROR(VLOOKUP($B28,MMWR_TRAD_AGG_RO_COMP[],N$1,0),"ERROR")</f>
        <v>323</v>
      </c>
      <c r="O28" s="206">
        <f>IFERROR(VLOOKUP($B28,MMWR_TRAD_AGG_RO_COMP[],O$1,0),"ERROR")</f>
        <v>138</v>
      </c>
      <c r="P28" s="217">
        <f t="shared" si="3"/>
        <v>0.42724458204334365</v>
      </c>
      <c r="Q28" s="202">
        <f>IFERROR(VLOOKUP($B28,MMWR_TRAD_AGG_RO_COMP[],Q$1,0),"ERROR")</f>
        <v>0</v>
      </c>
      <c r="R28" s="202">
        <f>IFERROR(VLOOKUP($B28,MMWR_TRAD_AGG_RO_COMP[],R$1,0),"ERROR")</f>
        <v>6</v>
      </c>
      <c r="S28" s="202">
        <f>IFERROR(VLOOKUP($B28,MMWR_APP_RO[],S$1,0),"ERROR")</f>
        <v>1215</v>
      </c>
      <c r="T28" s="25"/>
    </row>
    <row r="29" spans="1:20" x14ac:dyDescent="0.2">
      <c r="A29" s="107"/>
      <c r="B29" s="108" t="s">
        <v>45</v>
      </c>
      <c r="C29" s="210">
        <f>IFERROR(VLOOKUP($B29,MMWR_TRAD_AGG_RO_COMP[],C$1,0),"ERROR")</f>
        <v>3497</v>
      </c>
      <c r="D29" s="199">
        <f>IFERROR(VLOOKUP($B29,MMWR_TRAD_AGG_RO_COMP[],D$1,0),"ERROR")</f>
        <v>270.58964826990001</v>
      </c>
      <c r="E29" s="196">
        <f>IFERROR(VLOOKUP($B29,MMWR_TRAD_AGG_RO_COMP[],E$1,0),"ERROR")</f>
        <v>6872</v>
      </c>
      <c r="F29" s="192">
        <f>IFERROR(VLOOKUP($B29,MMWR_TRAD_AGG_RO_COMP[],F$1,0),"ERROR")</f>
        <v>1713</v>
      </c>
      <c r="G29" s="217">
        <f t="shared" si="0"/>
        <v>0.24927240977881257</v>
      </c>
      <c r="H29" s="191">
        <f>IFERROR(VLOOKUP($B29,MMWR_TRAD_AGG_RO_COMP[],H$1,0),"ERROR")</f>
        <v>7392</v>
      </c>
      <c r="I29" s="192">
        <f>IFERROR(VLOOKUP($B29,MMWR_TRAD_AGG_RO_COMP[],I$1,0),"ERROR")</f>
        <v>3786</v>
      </c>
      <c r="J29" s="217">
        <f t="shared" si="1"/>
        <v>0.51217532467532467</v>
      </c>
      <c r="K29" s="205">
        <f>IFERROR(VLOOKUP($B29,MMWR_TRAD_AGG_RO_COMP[],K$1,0),"ERROR")</f>
        <v>1685</v>
      </c>
      <c r="L29" s="206">
        <f>IFERROR(VLOOKUP($B29,MMWR_TRAD_AGG_RO_COMP[],L$1,0),"ERROR")</f>
        <v>1011</v>
      </c>
      <c r="M29" s="217">
        <f t="shared" si="2"/>
        <v>0.6</v>
      </c>
      <c r="N29" s="205">
        <f>IFERROR(VLOOKUP($B29,MMWR_TRAD_AGG_RO_COMP[],N$1,0),"ERROR")</f>
        <v>997</v>
      </c>
      <c r="O29" s="206">
        <f>IFERROR(VLOOKUP($B29,MMWR_TRAD_AGG_RO_COMP[],O$1,0),"ERROR")</f>
        <v>423</v>
      </c>
      <c r="P29" s="217">
        <f t="shared" si="3"/>
        <v>0.42427281845536607</v>
      </c>
      <c r="Q29" s="202">
        <f>IFERROR(VLOOKUP($B29,MMWR_TRAD_AGG_RO_COMP[],Q$1,0),"ERROR")</f>
        <v>2</v>
      </c>
      <c r="R29" s="202">
        <f>IFERROR(VLOOKUP($B29,MMWR_TRAD_AGG_RO_COMP[],R$1,0),"ERROR")</f>
        <v>201</v>
      </c>
      <c r="S29" s="202">
        <f>IFERROR(VLOOKUP($B29,MMWR_APP_RO[],S$1,0),"ERROR")</f>
        <v>5605</v>
      </c>
      <c r="T29" s="25"/>
    </row>
    <row r="30" spans="1:20" x14ac:dyDescent="0.2">
      <c r="A30" s="107"/>
      <c r="B30" s="108" t="s">
        <v>46</v>
      </c>
      <c r="C30" s="210">
        <f>IFERROR(VLOOKUP($B30,MMWR_TRAD_AGG_RO_COMP[],C$1,0),"ERROR")</f>
        <v>68</v>
      </c>
      <c r="D30" s="199">
        <f>IFERROR(VLOOKUP($B30,MMWR_TRAD_AGG_RO_COMP[],D$1,0),"ERROR")</f>
        <v>109.0588235294</v>
      </c>
      <c r="E30" s="196">
        <f>IFERROR(VLOOKUP($B30,MMWR_TRAD_AGG_RO_COMP[],E$1,0),"ERROR")</f>
        <v>841</v>
      </c>
      <c r="F30" s="192">
        <f>IFERROR(VLOOKUP($B30,MMWR_TRAD_AGG_RO_COMP[],F$1,0),"ERROR")</f>
        <v>144</v>
      </c>
      <c r="G30" s="217">
        <f t="shared" si="0"/>
        <v>0.17122473246135553</v>
      </c>
      <c r="H30" s="191">
        <f>IFERROR(VLOOKUP($B30,MMWR_TRAD_AGG_RO_COMP[],H$1,0),"ERROR")</f>
        <v>193</v>
      </c>
      <c r="I30" s="192">
        <f>IFERROR(VLOOKUP($B30,MMWR_TRAD_AGG_RO_COMP[],I$1,0),"ERROR")</f>
        <v>23</v>
      </c>
      <c r="J30" s="217">
        <f t="shared" si="1"/>
        <v>0.11917098445595854</v>
      </c>
      <c r="K30" s="205">
        <f>IFERROR(VLOOKUP($B30,MMWR_TRAD_AGG_RO_COMP[],K$1,0),"ERROR")</f>
        <v>104</v>
      </c>
      <c r="L30" s="206">
        <f>IFERROR(VLOOKUP($B30,MMWR_TRAD_AGG_RO_COMP[],L$1,0),"ERROR")</f>
        <v>41</v>
      </c>
      <c r="M30" s="217">
        <f t="shared" si="2"/>
        <v>0.39423076923076922</v>
      </c>
      <c r="N30" s="205">
        <f>IFERROR(VLOOKUP($B30,MMWR_TRAD_AGG_RO_COMP[],N$1,0),"ERROR")</f>
        <v>97</v>
      </c>
      <c r="O30" s="206">
        <f>IFERROR(VLOOKUP($B30,MMWR_TRAD_AGG_RO_COMP[],O$1,0),"ERROR")</f>
        <v>30</v>
      </c>
      <c r="P30" s="217">
        <f t="shared" si="3"/>
        <v>0.30927835051546393</v>
      </c>
      <c r="Q30" s="202">
        <f>IFERROR(VLOOKUP($B30,MMWR_TRAD_AGG_RO_COMP[],Q$1,0),"ERROR")</f>
        <v>0</v>
      </c>
      <c r="R30" s="202">
        <f>IFERROR(VLOOKUP($B30,MMWR_TRAD_AGG_RO_COMP[],R$1,0),"ERROR")</f>
        <v>2</v>
      </c>
      <c r="S30" s="202">
        <f>IFERROR(VLOOKUP($B30,MMWR_APP_RO[],S$1,0),"ERROR")</f>
        <v>586</v>
      </c>
      <c r="T30" s="25"/>
    </row>
    <row r="31" spans="1:20" x14ac:dyDescent="0.2">
      <c r="A31" s="107"/>
      <c r="B31" s="108" t="s">
        <v>51</v>
      </c>
      <c r="C31" s="210">
        <f>IFERROR(VLOOKUP($B31,MMWR_TRAD_AGG_RO_COMP[],C$1,0),"ERROR")</f>
        <v>8334</v>
      </c>
      <c r="D31" s="199">
        <f>IFERROR(VLOOKUP($B31,MMWR_TRAD_AGG_RO_COMP[],D$1,0),"ERROR")</f>
        <v>526.19846412289996</v>
      </c>
      <c r="E31" s="196">
        <f>IFERROR(VLOOKUP($B31,MMWR_TRAD_AGG_RO_COMP[],E$1,0),"ERROR")</f>
        <v>4821</v>
      </c>
      <c r="F31" s="192">
        <f>IFERROR(VLOOKUP($B31,MMWR_TRAD_AGG_RO_COMP[],F$1,0),"ERROR")</f>
        <v>872</v>
      </c>
      <c r="G31" s="217">
        <f t="shared" si="0"/>
        <v>0.18087533706699854</v>
      </c>
      <c r="H31" s="191">
        <f>IFERROR(VLOOKUP($B31,MMWR_TRAD_AGG_RO_COMP[],H$1,0),"ERROR")</f>
        <v>12971</v>
      </c>
      <c r="I31" s="192">
        <f>IFERROR(VLOOKUP($B31,MMWR_TRAD_AGG_RO_COMP[],I$1,0),"ERROR")</f>
        <v>8480</v>
      </c>
      <c r="J31" s="217">
        <f t="shared" si="1"/>
        <v>0.65376609359340065</v>
      </c>
      <c r="K31" s="205">
        <f>IFERROR(VLOOKUP($B31,MMWR_TRAD_AGG_RO_COMP[],K$1,0),"ERROR")</f>
        <v>1959</v>
      </c>
      <c r="L31" s="206">
        <f>IFERROR(VLOOKUP($B31,MMWR_TRAD_AGG_RO_COMP[],L$1,0),"ERROR")</f>
        <v>1315</v>
      </c>
      <c r="M31" s="217">
        <f t="shared" si="2"/>
        <v>0.67126084737110769</v>
      </c>
      <c r="N31" s="205">
        <f>IFERROR(VLOOKUP($B31,MMWR_TRAD_AGG_RO_COMP[],N$1,0),"ERROR")</f>
        <v>1757</v>
      </c>
      <c r="O31" s="206">
        <f>IFERROR(VLOOKUP($B31,MMWR_TRAD_AGG_RO_COMP[],O$1,0),"ERROR")</f>
        <v>1363</v>
      </c>
      <c r="P31" s="217">
        <f t="shared" si="3"/>
        <v>0.77575412635173591</v>
      </c>
      <c r="Q31" s="202">
        <f>IFERROR(VLOOKUP($B31,MMWR_TRAD_AGG_RO_COMP[],Q$1,0),"ERROR")</f>
        <v>1</v>
      </c>
      <c r="R31" s="202">
        <f>IFERROR(VLOOKUP($B31,MMWR_TRAD_AGG_RO_COMP[],R$1,0),"ERROR")</f>
        <v>195</v>
      </c>
      <c r="S31" s="202">
        <f>IFERROR(VLOOKUP($B31,MMWR_APP_RO[],S$1,0),"ERROR")</f>
        <v>8358</v>
      </c>
      <c r="T31" s="25"/>
    </row>
    <row r="32" spans="1:20" x14ac:dyDescent="0.2">
      <c r="A32" s="107"/>
      <c r="B32" s="108" t="s">
        <v>53</v>
      </c>
      <c r="C32" s="210">
        <f>IFERROR(VLOOKUP($B32,MMWR_TRAD_AGG_RO_COMP[],C$1,0),"ERROR")</f>
        <v>2301</v>
      </c>
      <c r="D32" s="199">
        <f>IFERROR(VLOOKUP($B32,MMWR_TRAD_AGG_RO_COMP[],D$1,0),"ERROR")</f>
        <v>162.8787483703</v>
      </c>
      <c r="E32" s="196">
        <f>IFERROR(VLOOKUP($B32,MMWR_TRAD_AGG_RO_COMP[],E$1,0),"ERROR")</f>
        <v>2093</v>
      </c>
      <c r="F32" s="192">
        <f>IFERROR(VLOOKUP($B32,MMWR_TRAD_AGG_RO_COMP[],F$1,0),"ERROR")</f>
        <v>248</v>
      </c>
      <c r="G32" s="217">
        <f t="shared" si="0"/>
        <v>0.11849020544672718</v>
      </c>
      <c r="H32" s="191">
        <f>IFERROR(VLOOKUP($B32,MMWR_TRAD_AGG_RO_COMP[],H$1,0),"ERROR")</f>
        <v>3772</v>
      </c>
      <c r="I32" s="192">
        <f>IFERROR(VLOOKUP($B32,MMWR_TRAD_AGG_RO_COMP[],I$1,0),"ERROR")</f>
        <v>1494</v>
      </c>
      <c r="J32" s="217">
        <f t="shared" si="1"/>
        <v>0.39607635206786851</v>
      </c>
      <c r="K32" s="205">
        <f>IFERROR(VLOOKUP($B32,MMWR_TRAD_AGG_RO_COMP[],K$1,0),"ERROR")</f>
        <v>891</v>
      </c>
      <c r="L32" s="206">
        <f>IFERROR(VLOOKUP($B32,MMWR_TRAD_AGG_RO_COMP[],L$1,0),"ERROR")</f>
        <v>581</v>
      </c>
      <c r="M32" s="217">
        <f t="shared" si="2"/>
        <v>0.65207631874298544</v>
      </c>
      <c r="N32" s="205">
        <f>IFERROR(VLOOKUP($B32,MMWR_TRAD_AGG_RO_COMP[],N$1,0),"ERROR")</f>
        <v>582</v>
      </c>
      <c r="O32" s="206">
        <f>IFERROR(VLOOKUP($B32,MMWR_TRAD_AGG_RO_COMP[],O$1,0),"ERROR")</f>
        <v>215</v>
      </c>
      <c r="P32" s="217">
        <f t="shared" si="3"/>
        <v>0.36941580756013748</v>
      </c>
      <c r="Q32" s="202">
        <f>IFERROR(VLOOKUP($B32,MMWR_TRAD_AGG_RO_COMP[],Q$1,0),"ERROR")</f>
        <v>2</v>
      </c>
      <c r="R32" s="202">
        <f>IFERROR(VLOOKUP($B32,MMWR_TRAD_AGG_RO_COMP[],R$1,0),"ERROR")</f>
        <v>16</v>
      </c>
      <c r="S32" s="202">
        <f>IFERROR(VLOOKUP($B32,MMWR_APP_RO[],S$1,0),"ERROR")</f>
        <v>1102</v>
      </c>
      <c r="T32" s="25"/>
    </row>
    <row r="33" spans="1:20" x14ac:dyDescent="0.2">
      <c r="A33" s="107"/>
      <c r="B33" s="108" t="s">
        <v>59</v>
      </c>
      <c r="C33" s="210">
        <f>IFERROR(VLOOKUP($B33,MMWR_TRAD_AGG_RO_COMP[],C$1,0),"ERROR")</f>
        <v>4187</v>
      </c>
      <c r="D33" s="199">
        <f>IFERROR(VLOOKUP($B33,MMWR_TRAD_AGG_RO_COMP[],D$1,0),"ERROR")</f>
        <v>200.11631239549999</v>
      </c>
      <c r="E33" s="196">
        <f>IFERROR(VLOOKUP($B33,MMWR_TRAD_AGG_RO_COMP[],E$1,0),"ERROR")</f>
        <v>6293</v>
      </c>
      <c r="F33" s="192">
        <f>IFERROR(VLOOKUP($B33,MMWR_TRAD_AGG_RO_COMP[],F$1,0),"ERROR")</f>
        <v>1124</v>
      </c>
      <c r="G33" s="217">
        <f t="shared" si="0"/>
        <v>0.17861115525186716</v>
      </c>
      <c r="H33" s="191">
        <f>IFERROR(VLOOKUP($B33,MMWR_TRAD_AGG_RO_COMP[],H$1,0),"ERROR")</f>
        <v>5437</v>
      </c>
      <c r="I33" s="192">
        <f>IFERROR(VLOOKUP($B33,MMWR_TRAD_AGG_RO_COMP[],I$1,0),"ERROR")</f>
        <v>2693</v>
      </c>
      <c r="J33" s="217">
        <f t="shared" si="1"/>
        <v>0.49530991355526943</v>
      </c>
      <c r="K33" s="205">
        <f>IFERROR(VLOOKUP($B33,MMWR_TRAD_AGG_RO_COMP[],K$1,0),"ERROR")</f>
        <v>663</v>
      </c>
      <c r="L33" s="206">
        <f>IFERROR(VLOOKUP($B33,MMWR_TRAD_AGG_RO_COMP[],L$1,0),"ERROR")</f>
        <v>370</v>
      </c>
      <c r="M33" s="217">
        <f t="shared" si="2"/>
        <v>0.55806938159879338</v>
      </c>
      <c r="N33" s="205">
        <f>IFERROR(VLOOKUP($B33,MMWR_TRAD_AGG_RO_COMP[],N$1,0),"ERROR")</f>
        <v>571</v>
      </c>
      <c r="O33" s="206">
        <f>IFERROR(VLOOKUP($B33,MMWR_TRAD_AGG_RO_COMP[],O$1,0),"ERROR")</f>
        <v>248</v>
      </c>
      <c r="P33" s="217">
        <f t="shared" si="3"/>
        <v>0.43432574430823118</v>
      </c>
      <c r="Q33" s="202">
        <f>IFERROR(VLOOKUP($B33,MMWR_TRAD_AGG_RO_COMP[],Q$1,0),"ERROR")</f>
        <v>5454</v>
      </c>
      <c r="R33" s="202">
        <f>IFERROR(VLOOKUP($B33,MMWR_TRAD_AGG_RO_COMP[],R$1,0),"ERROR")</f>
        <v>0</v>
      </c>
      <c r="S33" s="202">
        <f>IFERROR(VLOOKUP($B33,MMWR_APP_RO[],S$1,0),"ERROR")</f>
        <v>3365</v>
      </c>
      <c r="T33" s="25"/>
    </row>
    <row r="34" spans="1:20" x14ac:dyDescent="0.2">
      <c r="A34" s="107"/>
      <c r="B34" s="108" t="s">
        <v>77</v>
      </c>
      <c r="C34" s="210">
        <f>IFERROR(VLOOKUP($B34,MMWR_TRAD_AGG_RO_COMP[],C$1,0),"ERROR")</f>
        <v>256</v>
      </c>
      <c r="D34" s="199">
        <f>IFERROR(VLOOKUP($B34,MMWR_TRAD_AGG_RO_COMP[],D$1,0),"ERROR")</f>
        <v>96.14453125</v>
      </c>
      <c r="E34" s="196">
        <f>IFERROR(VLOOKUP($B34,MMWR_TRAD_AGG_RO_COMP[],E$1,0),"ERROR")</f>
        <v>761</v>
      </c>
      <c r="F34" s="192">
        <f>IFERROR(VLOOKUP($B34,MMWR_TRAD_AGG_RO_COMP[],F$1,0),"ERROR")</f>
        <v>150</v>
      </c>
      <c r="G34" s="217">
        <f t="shared" si="0"/>
        <v>0.19710906701708278</v>
      </c>
      <c r="H34" s="191">
        <f>IFERROR(VLOOKUP($B34,MMWR_TRAD_AGG_RO_COMP[],H$1,0),"ERROR")</f>
        <v>492</v>
      </c>
      <c r="I34" s="192">
        <f>IFERROR(VLOOKUP($B34,MMWR_TRAD_AGG_RO_COMP[],I$1,0),"ERROR")</f>
        <v>123</v>
      </c>
      <c r="J34" s="217">
        <f t="shared" si="1"/>
        <v>0.25</v>
      </c>
      <c r="K34" s="205">
        <f>IFERROR(VLOOKUP($B34,MMWR_TRAD_AGG_RO_COMP[],K$1,0),"ERROR")</f>
        <v>392</v>
      </c>
      <c r="L34" s="206">
        <f>IFERROR(VLOOKUP($B34,MMWR_TRAD_AGG_RO_COMP[],L$1,0),"ERROR")</f>
        <v>178</v>
      </c>
      <c r="M34" s="217">
        <f t="shared" si="2"/>
        <v>0.45408163265306123</v>
      </c>
      <c r="N34" s="205">
        <f>IFERROR(VLOOKUP($B34,MMWR_TRAD_AGG_RO_COMP[],N$1,0),"ERROR")</f>
        <v>60</v>
      </c>
      <c r="O34" s="206">
        <f>IFERROR(VLOOKUP($B34,MMWR_TRAD_AGG_RO_COMP[],O$1,0),"ERROR")</f>
        <v>12</v>
      </c>
      <c r="P34" s="217">
        <f t="shared" si="3"/>
        <v>0.2</v>
      </c>
      <c r="Q34" s="202">
        <f>IFERROR(VLOOKUP($B34,MMWR_TRAD_AGG_RO_COMP[],Q$1,0),"ERROR")</f>
        <v>0</v>
      </c>
      <c r="R34" s="202">
        <f>IFERROR(VLOOKUP($B34,MMWR_TRAD_AGG_RO_COMP[],R$1,0),"ERROR")</f>
        <v>0</v>
      </c>
      <c r="S34" s="202">
        <f>IFERROR(VLOOKUP($B34,MMWR_APP_RO[],S$1,0),"ERROR")</f>
        <v>237</v>
      </c>
      <c r="T34" s="25"/>
    </row>
    <row r="35" spans="1:20" x14ac:dyDescent="0.2">
      <c r="A35" s="107"/>
      <c r="B35" s="108" t="s">
        <v>78</v>
      </c>
      <c r="C35" s="210">
        <f>IFERROR(VLOOKUP($B35,MMWR_TRAD_AGG_RO_COMP[],C$1,0),"ERROR")</f>
        <v>4842</v>
      </c>
      <c r="D35" s="199">
        <f>IFERROR(VLOOKUP($B35,MMWR_TRAD_AGG_RO_COMP[],D$1,0),"ERROR")</f>
        <v>260.76311441550001</v>
      </c>
      <c r="E35" s="196">
        <f>IFERROR(VLOOKUP($B35,MMWR_TRAD_AGG_RO_COMP[],E$1,0),"ERROR")</f>
        <v>5969</v>
      </c>
      <c r="F35" s="192">
        <f>IFERROR(VLOOKUP($B35,MMWR_TRAD_AGG_RO_COMP[],F$1,0),"ERROR")</f>
        <v>897</v>
      </c>
      <c r="G35" s="217">
        <f t="shared" si="0"/>
        <v>0.1502764282124309</v>
      </c>
      <c r="H35" s="191">
        <f>IFERROR(VLOOKUP($B35,MMWR_TRAD_AGG_RO_COMP[],H$1,0),"ERROR")</f>
        <v>6783</v>
      </c>
      <c r="I35" s="192">
        <f>IFERROR(VLOOKUP($B35,MMWR_TRAD_AGG_RO_COMP[],I$1,0),"ERROR")</f>
        <v>4375</v>
      </c>
      <c r="J35" s="217">
        <f t="shared" si="1"/>
        <v>0.64499484004127972</v>
      </c>
      <c r="K35" s="205">
        <f>IFERROR(VLOOKUP($B35,MMWR_TRAD_AGG_RO_COMP[],K$1,0),"ERROR")</f>
        <v>2604</v>
      </c>
      <c r="L35" s="206">
        <f>IFERROR(VLOOKUP($B35,MMWR_TRAD_AGG_RO_COMP[],L$1,0),"ERROR")</f>
        <v>2036</v>
      </c>
      <c r="M35" s="217">
        <f t="shared" si="2"/>
        <v>0.78187403993855609</v>
      </c>
      <c r="N35" s="205">
        <f>IFERROR(VLOOKUP($B35,MMWR_TRAD_AGG_RO_COMP[],N$1,0),"ERROR")</f>
        <v>5640</v>
      </c>
      <c r="O35" s="206">
        <f>IFERROR(VLOOKUP($B35,MMWR_TRAD_AGG_RO_COMP[],O$1,0),"ERROR")</f>
        <v>4760</v>
      </c>
      <c r="P35" s="217">
        <f t="shared" si="3"/>
        <v>0.84397163120567376</v>
      </c>
      <c r="Q35" s="202">
        <f>IFERROR(VLOOKUP($B35,MMWR_TRAD_AGG_RO_COMP[],Q$1,0),"ERROR")</f>
        <v>0</v>
      </c>
      <c r="R35" s="202">
        <f>IFERROR(VLOOKUP($B35,MMWR_TRAD_AGG_RO_COMP[],R$1,0),"ERROR")</f>
        <v>64</v>
      </c>
      <c r="S35" s="202">
        <f>IFERROR(VLOOKUP($B35,MMWR_APP_RO[],S$1,0),"ERROR")</f>
        <v>6467</v>
      </c>
      <c r="T35" s="25"/>
    </row>
    <row r="36" spans="1:20" x14ac:dyDescent="0.2">
      <c r="A36" s="28"/>
      <c r="B36" s="108" t="s">
        <v>79</v>
      </c>
      <c r="C36" s="220">
        <f>IFERROR(VLOOKUP($B36,MMWR_TRAD_AGG_RO_COMP[],C$1,0),"ERROR")</f>
        <v>2432</v>
      </c>
      <c r="D36" s="221">
        <f>IFERROR(VLOOKUP($B36,MMWR_TRAD_AGG_RO_COMP[],D$1,0),"ERROR")</f>
        <v>150.61883223679999</v>
      </c>
      <c r="E36" s="222">
        <f>IFERROR(VLOOKUP($B36,MMWR_TRAD_AGG_RO_COMP[],E$1,0),"ERROR")</f>
        <v>9109</v>
      </c>
      <c r="F36" s="223">
        <f>IFERROR(VLOOKUP($B36,MMWR_TRAD_AGG_RO_COMP[],F$1,0),"ERROR")</f>
        <v>1658</v>
      </c>
      <c r="G36" s="224">
        <f t="shared" si="0"/>
        <v>0.18201778460862883</v>
      </c>
      <c r="H36" s="225">
        <f>IFERROR(VLOOKUP($B36,MMWR_TRAD_AGG_RO_COMP[],H$1,0),"ERROR")</f>
        <v>11846</v>
      </c>
      <c r="I36" s="223">
        <f>IFERROR(VLOOKUP($B36,MMWR_TRAD_AGG_RO_COMP[],I$1,0),"ERROR")</f>
        <v>3152</v>
      </c>
      <c r="J36" s="224">
        <f t="shared" si="1"/>
        <v>0.2660813776802296</v>
      </c>
      <c r="K36" s="226">
        <f>IFERROR(VLOOKUP($B36,MMWR_TRAD_AGG_RO_COMP[],K$1,0),"ERROR")</f>
        <v>1571</v>
      </c>
      <c r="L36" s="227">
        <f>IFERROR(VLOOKUP($B36,MMWR_TRAD_AGG_RO_COMP[],L$1,0),"ERROR")</f>
        <v>360</v>
      </c>
      <c r="M36" s="224">
        <f t="shared" si="2"/>
        <v>0.22915340547422025</v>
      </c>
      <c r="N36" s="226">
        <f>IFERROR(VLOOKUP($B36,MMWR_TRAD_AGG_RO_COMP[],N$1,0),"ERROR")</f>
        <v>1292</v>
      </c>
      <c r="O36" s="227">
        <f>IFERROR(VLOOKUP($B36,MMWR_TRAD_AGG_RO_COMP[],O$1,0),"ERROR")</f>
        <v>650</v>
      </c>
      <c r="P36" s="224">
        <f t="shared" si="3"/>
        <v>0.50309597523219818</v>
      </c>
      <c r="Q36" s="228">
        <f>IFERROR(VLOOKUP($B36,MMWR_TRAD_AGG_RO_COMP[],Q$1,0),"ERROR")</f>
        <v>31</v>
      </c>
      <c r="R36" s="228">
        <f>IFERROR(VLOOKUP($B36,MMWR_TRAD_AGG_RO_COMP[],R$1,0),"ERROR")</f>
        <v>0</v>
      </c>
      <c r="S36" s="202">
        <f>IFERROR(VLOOKUP($B36,MMWR_APP_RO[],S$1,0),"ERROR")</f>
        <v>1800</v>
      </c>
      <c r="T36" s="28"/>
    </row>
    <row r="37" spans="1:20" x14ac:dyDescent="0.2">
      <c r="A37" s="28"/>
      <c r="B37" s="116" t="s">
        <v>84</v>
      </c>
      <c r="C37" s="229">
        <f>IFERROR(VLOOKUP($B37,MMWR_TRAD_AGG_RO_COMP[],C$1,0),"ERROR")</f>
        <v>1679</v>
      </c>
      <c r="D37" s="230">
        <f>IFERROR(VLOOKUP($B37,MMWR_TRAD_AGG_RO_COMP[],D$1,0),"ERROR")</f>
        <v>172.8582489577</v>
      </c>
      <c r="E37" s="231">
        <f>IFERROR(VLOOKUP($B37,MMWR_TRAD_AGG_RO_COMP[],E$1,0),"ERROR")</f>
        <v>2854</v>
      </c>
      <c r="F37" s="232">
        <f>IFERROR(VLOOKUP($B37,MMWR_TRAD_AGG_RO_COMP[],F$1,0),"ERROR")</f>
        <v>501</v>
      </c>
      <c r="G37" s="233">
        <f t="shared" si="0"/>
        <v>0.17554309740714785</v>
      </c>
      <c r="H37" s="234">
        <f>IFERROR(VLOOKUP($B37,MMWR_TRAD_AGG_RO_COMP[],H$1,0),"ERROR")</f>
        <v>2427</v>
      </c>
      <c r="I37" s="232">
        <f>IFERROR(VLOOKUP($B37,MMWR_TRAD_AGG_RO_COMP[],I$1,0),"ERROR")</f>
        <v>1159</v>
      </c>
      <c r="J37" s="233">
        <f t="shared" si="1"/>
        <v>0.47754429336629584</v>
      </c>
      <c r="K37" s="235">
        <f>IFERROR(VLOOKUP($B37,MMWR_TRAD_AGG_RO_COMP[],K$1,0),"ERROR")</f>
        <v>1113</v>
      </c>
      <c r="L37" s="236">
        <f>IFERROR(VLOOKUP($B37,MMWR_TRAD_AGG_RO_COMP[],L$1,0),"ERROR")</f>
        <v>437</v>
      </c>
      <c r="M37" s="233">
        <f t="shared" si="2"/>
        <v>0.39263252470799642</v>
      </c>
      <c r="N37" s="235">
        <f>IFERROR(VLOOKUP($B37,MMWR_TRAD_AGG_RO_COMP[],N$1,0),"ERROR")</f>
        <v>290</v>
      </c>
      <c r="O37" s="236">
        <f>IFERROR(VLOOKUP($B37,MMWR_TRAD_AGG_RO_COMP[],O$1,0),"ERROR")</f>
        <v>98</v>
      </c>
      <c r="P37" s="233">
        <f t="shared" si="3"/>
        <v>0.33793103448275863</v>
      </c>
      <c r="Q37" s="237">
        <f>IFERROR(VLOOKUP($B37,MMWR_TRAD_AGG_RO_COMP[],Q$1,0),"ERROR")</f>
        <v>0</v>
      </c>
      <c r="R37" s="237">
        <f>IFERROR(VLOOKUP($B37,MMWR_TRAD_AGG_RO_COMP[],R$1,0),"ERROR")</f>
        <v>8</v>
      </c>
      <c r="S37" s="202">
        <f>IFERROR(VLOOKUP($B37,MMWR_APP_RO[],S$1,0),"ERROR")</f>
        <v>1203</v>
      </c>
      <c r="T37" s="28"/>
    </row>
    <row r="38" spans="1:20" x14ac:dyDescent="0.2">
      <c r="A38" s="28"/>
      <c r="B38" s="101" t="s">
        <v>385</v>
      </c>
      <c r="C38" s="213">
        <f>IFERROR(VLOOKUP($B38,MMWR_TRAD_AGG_DISTRICT_COMP[],C$1,0),"ERROR")</f>
        <v>55001</v>
      </c>
      <c r="D38" s="198">
        <f>IFERROR(VLOOKUP($B38,MMWR_TRAD_AGG_DISTRICT_COMP[],D$1,0),"ERROR")</f>
        <v>339.87778404030001</v>
      </c>
      <c r="E38" s="214">
        <f>IFERROR(VLOOKUP($B38,MMWR_TRAD_AGG_DISTRICT_COMP[],E$1,0),"ERROR")</f>
        <v>64441</v>
      </c>
      <c r="F38" s="219">
        <f>IFERROR(VLOOKUP($B38,MMWR_TRAD_AGG_DISTRICT_COMP[],F$1,0),"ERROR")</f>
        <v>13989</v>
      </c>
      <c r="G38" s="215">
        <f t="shared" si="0"/>
        <v>0.21708229232941761</v>
      </c>
      <c r="H38" s="219">
        <f>IFERROR(VLOOKUP($B38,MMWR_TRAD_AGG_DISTRICT_COMP[],H$1,0),"ERROR")</f>
        <v>86859</v>
      </c>
      <c r="I38" s="219">
        <f>IFERROR(VLOOKUP($B38,MMWR_TRAD_AGG_DISTRICT_COMP[],I$1,0),"ERROR")</f>
        <v>52372</v>
      </c>
      <c r="J38" s="215">
        <f t="shared" si="1"/>
        <v>0.60295421315004782</v>
      </c>
      <c r="K38" s="213">
        <f>IFERROR(VLOOKUP($B38,MMWR_TRAD_AGG_DISTRICT_COMP[],K$1,0),"ERROR")</f>
        <v>23412</v>
      </c>
      <c r="L38" s="213">
        <f>IFERROR(VLOOKUP($B38,MMWR_TRAD_AGG_DISTRICT_COMP[],L$1,0),"ERROR")</f>
        <v>14552</v>
      </c>
      <c r="M38" s="215">
        <f t="shared" si="2"/>
        <v>0.62156159234580555</v>
      </c>
      <c r="N38" s="213">
        <f>IFERROR(VLOOKUP($B38,MMWR_TRAD_AGG_DISTRICT_COMP[],N$1,0),"ERROR")</f>
        <v>14860</v>
      </c>
      <c r="O38" s="213">
        <f>IFERROR(VLOOKUP($B38,MMWR_TRAD_AGG_DISTRICT_COMP[],O$1,0),"ERROR")</f>
        <v>8155</v>
      </c>
      <c r="P38" s="215">
        <f t="shared" si="3"/>
        <v>0.54878869448183043</v>
      </c>
      <c r="Q38" s="213">
        <f>IFERROR(VLOOKUP($B38,MMWR_TRAD_AGG_DISTRICT_COMP[],Q$1,0),"ERROR")</f>
        <v>46</v>
      </c>
      <c r="R38" s="216">
        <f>IFERROR(VLOOKUP($B38,MMWR_TRAD_AGG_DISTRICT_COMP[],R$1,0),"ERROR")</f>
        <v>1112</v>
      </c>
      <c r="S38" s="216">
        <f>IFERROR(VLOOKUP($B38,MMWR_APP_RO[],S$1,0),"ERROR")</f>
        <v>67085</v>
      </c>
      <c r="T38" s="28"/>
    </row>
    <row r="39" spans="1:20" x14ac:dyDescent="0.2">
      <c r="A39" s="28"/>
      <c r="B39" s="108" t="s">
        <v>39</v>
      </c>
      <c r="C39" s="220">
        <f>IFERROR(VLOOKUP($B39,MMWR_TRAD_AGG_RO_COMP[],C$1,0),"ERROR")</f>
        <v>400</v>
      </c>
      <c r="D39" s="221">
        <f>IFERROR(VLOOKUP($B39,MMWR_TRAD_AGG_RO_COMP[],D$1,0),"ERROR")</f>
        <v>280.58249999999998</v>
      </c>
      <c r="E39" s="222">
        <f>IFERROR(VLOOKUP($B39,MMWR_TRAD_AGG_RO_COMP[],E$1,0),"ERROR")</f>
        <v>799</v>
      </c>
      <c r="F39" s="223">
        <f>IFERROR(VLOOKUP($B39,MMWR_TRAD_AGG_RO_COMP[],F$1,0),"ERROR")</f>
        <v>103</v>
      </c>
      <c r="G39" s="224">
        <f t="shared" si="0"/>
        <v>0.12891113892365458</v>
      </c>
      <c r="H39" s="225">
        <f>IFERROR(VLOOKUP($B39,MMWR_TRAD_AGG_RO_COMP[],H$1,0),"ERROR")</f>
        <v>638</v>
      </c>
      <c r="I39" s="223">
        <f>IFERROR(VLOOKUP($B39,MMWR_TRAD_AGG_RO_COMP[],I$1,0),"ERROR")</f>
        <v>356</v>
      </c>
      <c r="J39" s="224">
        <f t="shared" si="1"/>
        <v>0.55799373040752354</v>
      </c>
      <c r="K39" s="226">
        <f>IFERROR(VLOOKUP($B39,MMWR_TRAD_AGG_RO_COMP[],K$1,0),"ERROR")</f>
        <v>143</v>
      </c>
      <c r="L39" s="227">
        <f>IFERROR(VLOOKUP($B39,MMWR_TRAD_AGG_RO_COMP[],L$1,0),"ERROR")</f>
        <v>60</v>
      </c>
      <c r="M39" s="224">
        <f t="shared" si="2"/>
        <v>0.41958041958041958</v>
      </c>
      <c r="N39" s="226">
        <f>IFERROR(VLOOKUP($B39,MMWR_TRAD_AGG_RO_COMP[],N$1,0),"ERROR")</f>
        <v>113</v>
      </c>
      <c r="O39" s="227">
        <f>IFERROR(VLOOKUP($B39,MMWR_TRAD_AGG_RO_COMP[],O$1,0),"ERROR")</f>
        <v>28</v>
      </c>
      <c r="P39" s="224">
        <f t="shared" si="3"/>
        <v>0.24778761061946902</v>
      </c>
      <c r="Q39" s="228">
        <f>IFERROR(VLOOKUP($B39,MMWR_TRAD_AGG_RO_COMP[],Q$1,0),"ERROR")</f>
        <v>2</v>
      </c>
      <c r="R39" s="228">
        <f>IFERROR(VLOOKUP($B39,MMWR_TRAD_AGG_RO_COMP[],R$1,0),"ERROR")</f>
        <v>4</v>
      </c>
      <c r="S39" s="202">
        <f>IFERROR(VLOOKUP($B39,MMWR_APP_RO[],S$1,0),"ERROR")</f>
        <v>301</v>
      </c>
      <c r="T39" s="28"/>
    </row>
    <row r="40" spans="1:20" x14ac:dyDescent="0.2">
      <c r="A40" s="28"/>
      <c r="B40" s="108" t="s">
        <v>43</v>
      </c>
      <c r="C40" s="220">
        <f>IFERROR(VLOOKUP($B40,MMWR_TRAD_AGG_RO_COMP[],C$1,0),"ERROR")</f>
        <v>5830</v>
      </c>
      <c r="D40" s="221">
        <f>IFERROR(VLOOKUP($B40,MMWR_TRAD_AGG_RO_COMP[],D$1,0),"ERROR")</f>
        <v>385.6420240137</v>
      </c>
      <c r="E40" s="222">
        <f>IFERROR(VLOOKUP($B40,MMWR_TRAD_AGG_RO_COMP[],E$1,0),"ERROR")</f>
        <v>8301</v>
      </c>
      <c r="F40" s="223">
        <f>IFERROR(VLOOKUP($B40,MMWR_TRAD_AGG_RO_COMP[],F$1,0),"ERROR")</f>
        <v>2405</v>
      </c>
      <c r="G40" s="224">
        <f t="shared" si="0"/>
        <v>0.28972412962293698</v>
      </c>
      <c r="H40" s="225">
        <f>IFERROR(VLOOKUP($B40,MMWR_TRAD_AGG_RO_COMP[],H$1,0),"ERROR")</f>
        <v>8209</v>
      </c>
      <c r="I40" s="223">
        <f>IFERROR(VLOOKUP($B40,MMWR_TRAD_AGG_RO_COMP[],I$1,0),"ERROR")</f>
        <v>5621</v>
      </c>
      <c r="J40" s="224">
        <f t="shared" si="1"/>
        <v>0.6847362650749178</v>
      </c>
      <c r="K40" s="226">
        <f>IFERROR(VLOOKUP($B40,MMWR_TRAD_AGG_RO_COMP[],K$1,0),"ERROR")</f>
        <v>3410</v>
      </c>
      <c r="L40" s="227">
        <f>IFERROR(VLOOKUP($B40,MMWR_TRAD_AGG_RO_COMP[],L$1,0),"ERROR")</f>
        <v>2455</v>
      </c>
      <c r="M40" s="224">
        <f t="shared" si="2"/>
        <v>0.71994134897360706</v>
      </c>
      <c r="N40" s="226">
        <f>IFERROR(VLOOKUP($B40,MMWR_TRAD_AGG_RO_COMP[],N$1,0),"ERROR")</f>
        <v>875</v>
      </c>
      <c r="O40" s="227">
        <f>IFERROR(VLOOKUP($B40,MMWR_TRAD_AGG_RO_COMP[],O$1,0),"ERROR")</f>
        <v>383</v>
      </c>
      <c r="P40" s="224">
        <f t="shared" si="3"/>
        <v>0.43771428571428572</v>
      </c>
      <c r="Q40" s="228">
        <f>IFERROR(VLOOKUP($B40,MMWR_TRAD_AGG_RO_COMP[],Q$1,0),"ERROR")</f>
        <v>0</v>
      </c>
      <c r="R40" s="228">
        <f>IFERROR(VLOOKUP($B40,MMWR_TRAD_AGG_RO_COMP[],R$1,0),"ERROR")</f>
        <v>57</v>
      </c>
      <c r="S40" s="202">
        <f>IFERROR(VLOOKUP($B40,MMWR_APP_RO[],S$1,0),"ERROR")</f>
        <v>6200</v>
      </c>
      <c r="T40" s="28"/>
    </row>
    <row r="41" spans="1:20" x14ac:dyDescent="0.2">
      <c r="A41" s="28"/>
      <c r="B41" s="108" t="s">
        <v>184</v>
      </c>
      <c r="C41" s="220">
        <f>IFERROR(VLOOKUP($B41,MMWR_TRAD_AGG_RO_COMP[],C$1,0),"ERROR")</f>
        <v>632</v>
      </c>
      <c r="D41" s="221">
        <f>IFERROR(VLOOKUP($B41,MMWR_TRAD_AGG_RO_COMP[],D$1,0),"ERROR")</f>
        <v>181.71518987339999</v>
      </c>
      <c r="E41" s="222">
        <f>IFERROR(VLOOKUP($B41,MMWR_TRAD_AGG_RO_COMP[],E$1,0),"ERROR")</f>
        <v>643</v>
      </c>
      <c r="F41" s="223">
        <f>IFERROR(VLOOKUP($B41,MMWR_TRAD_AGG_RO_COMP[],F$1,0),"ERROR")</f>
        <v>50</v>
      </c>
      <c r="G41" s="224">
        <f t="shared" si="0"/>
        <v>7.7760497667185069E-2</v>
      </c>
      <c r="H41" s="225">
        <f>IFERROR(VLOOKUP($B41,MMWR_TRAD_AGG_RO_COMP[],H$1,0),"ERROR")</f>
        <v>825</v>
      </c>
      <c r="I41" s="223">
        <f>IFERROR(VLOOKUP($B41,MMWR_TRAD_AGG_RO_COMP[],I$1,0),"ERROR")</f>
        <v>352</v>
      </c>
      <c r="J41" s="224">
        <f t="shared" si="1"/>
        <v>0.42666666666666669</v>
      </c>
      <c r="K41" s="226">
        <f>IFERROR(VLOOKUP($B41,MMWR_TRAD_AGG_RO_COMP[],K$1,0),"ERROR")</f>
        <v>494</v>
      </c>
      <c r="L41" s="227">
        <f>IFERROR(VLOOKUP($B41,MMWR_TRAD_AGG_RO_COMP[],L$1,0),"ERROR")</f>
        <v>180</v>
      </c>
      <c r="M41" s="224">
        <f t="shared" si="2"/>
        <v>0.36437246963562753</v>
      </c>
      <c r="N41" s="226">
        <f>IFERROR(VLOOKUP($B41,MMWR_TRAD_AGG_RO_COMP[],N$1,0),"ERROR")</f>
        <v>162</v>
      </c>
      <c r="O41" s="227">
        <f>IFERROR(VLOOKUP($B41,MMWR_TRAD_AGG_RO_COMP[],O$1,0),"ERROR")</f>
        <v>50</v>
      </c>
      <c r="P41" s="224">
        <f t="shared" si="3"/>
        <v>0.30864197530864196</v>
      </c>
      <c r="Q41" s="228">
        <f>IFERROR(VLOOKUP($B41,MMWR_TRAD_AGG_RO_COMP[],Q$1,0),"ERROR")</f>
        <v>0</v>
      </c>
      <c r="R41" s="228">
        <f>IFERROR(VLOOKUP($B41,MMWR_TRAD_AGG_RO_COMP[],R$1,0),"ERROR")</f>
        <v>3</v>
      </c>
      <c r="S41" s="202">
        <f>IFERROR(VLOOKUP($B41,MMWR_APP_RO[],S$1,0),"ERROR")</f>
        <v>324</v>
      </c>
      <c r="T41" s="28"/>
    </row>
    <row r="42" spans="1:20" x14ac:dyDescent="0.2">
      <c r="A42" s="28"/>
      <c r="B42" s="108" t="s">
        <v>49</v>
      </c>
      <c r="C42" s="220">
        <f>IFERROR(VLOOKUP($B42,MMWR_TRAD_AGG_RO_COMP[],C$1,0),"ERROR")</f>
        <v>12854</v>
      </c>
      <c r="D42" s="221">
        <f>IFERROR(VLOOKUP($B42,MMWR_TRAD_AGG_RO_COMP[],D$1,0),"ERROR")</f>
        <v>349.35700949120002</v>
      </c>
      <c r="E42" s="222">
        <f>IFERROR(VLOOKUP($B42,MMWR_TRAD_AGG_RO_COMP[],E$1,0),"ERROR")</f>
        <v>15159</v>
      </c>
      <c r="F42" s="223">
        <f>IFERROR(VLOOKUP($B42,MMWR_TRAD_AGG_RO_COMP[],F$1,0),"ERROR")</f>
        <v>3898</v>
      </c>
      <c r="G42" s="224">
        <f t="shared" si="0"/>
        <v>0.25714097235965433</v>
      </c>
      <c r="H42" s="225">
        <f>IFERROR(VLOOKUP($B42,MMWR_TRAD_AGG_RO_COMP[],H$1,0),"ERROR")</f>
        <v>16565</v>
      </c>
      <c r="I42" s="223">
        <f>IFERROR(VLOOKUP($B42,MMWR_TRAD_AGG_RO_COMP[],I$1,0),"ERROR")</f>
        <v>11696</v>
      </c>
      <c r="J42" s="224">
        <f t="shared" si="1"/>
        <v>0.70606700875339568</v>
      </c>
      <c r="K42" s="226">
        <f>IFERROR(VLOOKUP($B42,MMWR_TRAD_AGG_RO_COMP[],K$1,0),"ERROR")</f>
        <v>3164</v>
      </c>
      <c r="L42" s="227">
        <f>IFERROR(VLOOKUP($B42,MMWR_TRAD_AGG_RO_COMP[],L$1,0),"ERROR")</f>
        <v>1807</v>
      </c>
      <c r="M42" s="224">
        <f t="shared" si="2"/>
        <v>0.57111251580278133</v>
      </c>
      <c r="N42" s="226">
        <f>IFERROR(VLOOKUP($B42,MMWR_TRAD_AGG_RO_COMP[],N$1,0),"ERROR")</f>
        <v>3285</v>
      </c>
      <c r="O42" s="227">
        <f>IFERROR(VLOOKUP($B42,MMWR_TRAD_AGG_RO_COMP[],O$1,0),"ERROR")</f>
        <v>2333</v>
      </c>
      <c r="P42" s="224">
        <f t="shared" si="3"/>
        <v>0.71019786910197868</v>
      </c>
      <c r="Q42" s="228">
        <f>IFERROR(VLOOKUP($B42,MMWR_TRAD_AGG_RO_COMP[],Q$1,0),"ERROR")</f>
        <v>1</v>
      </c>
      <c r="R42" s="228">
        <f>IFERROR(VLOOKUP($B42,MMWR_TRAD_AGG_RO_COMP[],R$1,0),"ERROR")</f>
        <v>223</v>
      </c>
      <c r="S42" s="202">
        <f>IFERROR(VLOOKUP($B42,MMWR_APP_RO[],S$1,0),"ERROR")</f>
        <v>20065</v>
      </c>
      <c r="T42" s="28"/>
    </row>
    <row r="43" spans="1:20" x14ac:dyDescent="0.2">
      <c r="A43" s="28"/>
      <c r="B43" s="108" t="s">
        <v>52</v>
      </c>
      <c r="C43" s="220">
        <f>IFERROR(VLOOKUP($B43,MMWR_TRAD_AGG_RO_COMP[],C$1,0),"ERROR")</f>
        <v>4291</v>
      </c>
      <c r="D43" s="221">
        <f>IFERROR(VLOOKUP($B43,MMWR_TRAD_AGG_RO_COMP[],D$1,0),"ERROR")</f>
        <v>398.6732696341</v>
      </c>
      <c r="E43" s="222">
        <f>IFERROR(VLOOKUP($B43,MMWR_TRAD_AGG_RO_COMP[],E$1,0),"ERROR")</f>
        <v>4176</v>
      </c>
      <c r="F43" s="223">
        <f>IFERROR(VLOOKUP($B43,MMWR_TRAD_AGG_RO_COMP[],F$1,0),"ERROR")</f>
        <v>1175</v>
      </c>
      <c r="G43" s="224">
        <f t="shared" si="0"/>
        <v>0.2813697318007663</v>
      </c>
      <c r="H43" s="225">
        <f>IFERROR(VLOOKUP($B43,MMWR_TRAD_AGG_RO_COMP[],H$1,0),"ERROR")</f>
        <v>6483</v>
      </c>
      <c r="I43" s="223">
        <f>IFERROR(VLOOKUP($B43,MMWR_TRAD_AGG_RO_COMP[],I$1,0),"ERROR")</f>
        <v>4534</v>
      </c>
      <c r="J43" s="224">
        <f t="shared" si="1"/>
        <v>0.69936757673916394</v>
      </c>
      <c r="K43" s="226">
        <f>IFERROR(VLOOKUP($B43,MMWR_TRAD_AGG_RO_COMP[],K$1,0),"ERROR")</f>
        <v>2105</v>
      </c>
      <c r="L43" s="227">
        <f>IFERROR(VLOOKUP($B43,MMWR_TRAD_AGG_RO_COMP[],L$1,0),"ERROR")</f>
        <v>1672</v>
      </c>
      <c r="M43" s="224">
        <f t="shared" si="2"/>
        <v>0.79429928741092637</v>
      </c>
      <c r="N43" s="226">
        <f>IFERROR(VLOOKUP($B43,MMWR_TRAD_AGG_RO_COMP[],N$1,0),"ERROR")</f>
        <v>2276</v>
      </c>
      <c r="O43" s="227">
        <f>IFERROR(VLOOKUP($B43,MMWR_TRAD_AGG_RO_COMP[],O$1,0),"ERROR")</f>
        <v>1818</v>
      </c>
      <c r="P43" s="224">
        <f t="shared" si="3"/>
        <v>0.7987697715289982</v>
      </c>
      <c r="Q43" s="228">
        <f>IFERROR(VLOOKUP($B43,MMWR_TRAD_AGG_RO_COMP[],Q$1,0),"ERROR")</f>
        <v>39</v>
      </c>
      <c r="R43" s="228">
        <f>IFERROR(VLOOKUP($B43,MMWR_TRAD_AGG_RO_COMP[],R$1,0),"ERROR")</f>
        <v>182</v>
      </c>
      <c r="S43" s="202">
        <f>IFERROR(VLOOKUP($B43,MMWR_APP_RO[],S$1,0),"ERROR")</f>
        <v>4599</v>
      </c>
      <c r="T43" s="28"/>
    </row>
    <row r="44" spans="1:20" x14ac:dyDescent="0.2">
      <c r="A44" s="28"/>
      <c r="B44" s="108" t="s">
        <v>54</v>
      </c>
      <c r="C44" s="220">
        <f>IFERROR(VLOOKUP($B44,MMWR_TRAD_AGG_RO_COMP[],C$1,0),"ERROR")</f>
        <v>5006</v>
      </c>
      <c r="D44" s="221">
        <f>IFERROR(VLOOKUP($B44,MMWR_TRAD_AGG_RO_COMP[],D$1,0),"ERROR")</f>
        <v>365.91250499400002</v>
      </c>
      <c r="E44" s="222">
        <f>IFERROR(VLOOKUP($B44,MMWR_TRAD_AGG_RO_COMP[],E$1,0),"ERROR")</f>
        <v>3435</v>
      </c>
      <c r="F44" s="223">
        <f>IFERROR(VLOOKUP($B44,MMWR_TRAD_AGG_RO_COMP[],F$1,0),"ERROR")</f>
        <v>582</v>
      </c>
      <c r="G44" s="224">
        <f t="shared" si="0"/>
        <v>0.16943231441048034</v>
      </c>
      <c r="H44" s="225">
        <f>IFERROR(VLOOKUP($B44,MMWR_TRAD_AGG_RO_COMP[],H$1,0),"ERROR")</f>
        <v>9031</v>
      </c>
      <c r="I44" s="223">
        <f>IFERROR(VLOOKUP($B44,MMWR_TRAD_AGG_RO_COMP[],I$1,0),"ERROR")</f>
        <v>4690</v>
      </c>
      <c r="J44" s="224">
        <f t="shared" si="1"/>
        <v>0.51932233418226115</v>
      </c>
      <c r="K44" s="226">
        <f>IFERROR(VLOOKUP($B44,MMWR_TRAD_AGG_RO_COMP[],K$1,0),"ERROR")</f>
        <v>4433</v>
      </c>
      <c r="L44" s="227">
        <f>IFERROR(VLOOKUP($B44,MMWR_TRAD_AGG_RO_COMP[],L$1,0),"ERROR")</f>
        <v>3853</v>
      </c>
      <c r="M44" s="224">
        <f t="shared" si="2"/>
        <v>0.86916309496954658</v>
      </c>
      <c r="N44" s="226">
        <f>IFERROR(VLOOKUP($B44,MMWR_TRAD_AGG_RO_COMP[],N$1,0),"ERROR")</f>
        <v>1279</v>
      </c>
      <c r="O44" s="227">
        <f>IFERROR(VLOOKUP($B44,MMWR_TRAD_AGG_RO_COMP[],O$1,0),"ERROR")</f>
        <v>577</v>
      </c>
      <c r="P44" s="224">
        <f t="shared" si="3"/>
        <v>0.45113369820172011</v>
      </c>
      <c r="Q44" s="228">
        <f>IFERROR(VLOOKUP($B44,MMWR_TRAD_AGG_RO_COMP[],Q$1,0),"ERROR")</f>
        <v>1</v>
      </c>
      <c r="R44" s="228">
        <f>IFERROR(VLOOKUP($B44,MMWR_TRAD_AGG_RO_COMP[],R$1,0),"ERROR")</f>
        <v>134</v>
      </c>
      <c r="S44" s="202">
        <f>IFERROR(VLOOKUP($B44,MMWR_APP_RO[],S$1,0),"ERROR")</f>
        <v>5263</v>
      </c>
      <c r="T44" s="28"/>
    </row>
    <row r="45" spans="1:20" x14ac:dyDescent="0.2">
      <c r="A45" s="28"/>
      <c r="B45" s="108" t="s">
        <v>27</v>
      </c>
      <c r="C45" s="220">
        <f>IFERROR(VLOOKUP($B45,MMWR_TRAD_AGG_RO_COMP[],C$1,0),"ERROR")</f>
        <v>1397</v>
      </c>
      <c r="D45" s="221">
        <f>IFERROR(VLOOKUP($B45,MMWR_TRAD_AGG_RO_COMP[],D$1,0),"ERROR")</f>
        <v>97.039370078700003</v>
      </c>
      <c r="E45" s="222">
        <f>IFERROR(VLOOKUP($B45,MMWR_TRAD_AGG_RO_COMP[],E$1,0),"ERROR")</f>
        <v>6025</v>
      </c>
      <c r="F45" s="223">
        <f>IFERROR(VLOOKUP($B45,MMWR_TRAD_AGG_RO_COMP[],F$1,0),"ERROR")</f>
        <v>974</v>
      </c>
      <c r="G45" s="224">
        <f t="shared" si="0"/>
        <v>0.1616597510373444</v>
      </c>
      <c r="H45" s="225">
        <f>IFERROR(VLOOKUP($B45,MMWR_TRAD_AGG_RO_COMP[],H$1,0),"ERROR")</f>
        <v>8123</v>
      </c>
      <c r="I45" s="223">
        <f>IFERROR(VLOOKUP($B45,MMWR_TRAD_AGG_RO_COMP[],I$1,0),"ERROR")</f>
        <v>3081</v>
      </c>
      <c r="J45" s="224">
        <f t="shared" si="1"/>
        <v>0.37929336452049733</v>
      </c>
      <c r="K45" s="226">
        <f>IFERROR(VLOOKUP($B45,MMWR_TRAD_AGG_RO_COMP[],K$1,0),"ERROR")</f>
        <v>1722</v>
      </c>
      <c r="L45" s="227">
        <f>IFERROR(VLOOKUP($B45,MMWR_TRAD_AGG_RO_COMP[],L$1,0),"ERROR")</f>
        <v>729</v>
      </c>
      <c r="M45" s="224">
        <f t="shared" si="2"/>
        <v>0.42334494773519166</v>
      </c>
      <c r="N45" s="226">
        <f>IFERROR(VLOOKUP($B45,MMWR_TRAD_AGG_RO_COMP[],N$1,0),"ERROR")</f>
        <v>1407</v>
      </c>
      <c r="O45" s="227">
        <f>IFERROR(VLOOKUP($B45,MMWR_TRAD_AGG_RO_COMP[],O$1,0),"ERROR")</f>
        <v>525</v>
      </c>
      <c r="P45" s="224">
        <f t="shared" si="3"/>
        <v>0.37313432835820898</v>
      </c>
      <c r="Q45" s="228">
        <f>IFERROR(VLOOKUP($B45,MMWR_TRAD_AGG_RO_COMP[],Q$1,0),"ERROR")</f>
        <v>0</v>
      </c>
      <c r="R45" s="228">
        <f>IFERROR(VLOOKUP($B45,MMWR_TRAD_AGG_RO_COMP[],R$1,0),"ERROR")</f>
        <v>61</v>
      </c>
      <c r="S45" s="202">
        <f>IFERROR(VLOOKUP($B45,MMWR_APP_RO[],S$1,0),"ERROR")</f>
        <v>4366</v>
      </c>
      <c r="T45" s="28"/>
    </row>
    <row r="46" spans="1:20" x14ac:dyDescent="0.2">
      <c r="A46" s="28"/>
      <c r="B46" s="108" t="s">
        <v>62</v>
      </c>
      <c r="C46" s="220">
        <f>IFERROR(VLOOKUP($B46,MMWR_TRAD_AGG_RO_COMP[],C$1,0),"ERROR")</f>
        <v>4786</v>
      </c>
      <c r="D46" s="221">
        <f>IFERROR(VLOOKUP($B46,MMWR_TRAD_AGG_RO_COMP[],D$1,0),"ERROR")</f>
        <v>452.75658169659999</v>
      </c>
      <c r="E46" s="222">
        <f>IFERROR(VLOOKUP($B46,MMWR_TRAD_AGG_RO_COMP[],E$1,0),"ERROR")</f>
        <v>5743</v>
      </c>
      <c r="F46" s="223">
        <f>IFERROR(VLOOKUP($B46,MMWR_TRAD_AGG_RO_COMP[],F$1,0),"ERROR")</f>
        <v>1071</v>
      </c>
      <c r="G46" s="224">
        <f t="shared" si="0"/>
        <v>0.18648789831098728</v>
      </c>
      <c r="H46" s="225">
        <f>IFERROR(VLOOKUP($B46,MMWR_TRAD_AGG_RO_COMP[],H$1,0),"ERROR")</f>
        <v>6035</v>
      </c>
      <c r="I46" s="223">
        <f>IFERROR(VLOOKUP($B46,MMWR_TRAD_AGG_RO_COMP[],I$1,0),"ERROR")</f>
        <v>4411</v>
      </c>
      <c r="J46" s="224">
        <f t="shared" si="1"/>
        <v>0.73090306545153272</v>
      </c>
      <c r="K46" s="226">
        <f>IFERROR(VLOOKUP($B46,MMWR_TRAD_AGG_RO_COMP[],K$1,0),"ERROR")</f>
        <v>1057</v>
      </c>
      <c r="L46" s="227">
        <f>IFERROR(VLOOKUP($B46,MMWR_TRAD_AGG_RO_COMP[],L$1,0),"ERROR")</f>
        <v>648</v>
      </c>
      <c r="M46" s="224">
        <f t="shared" si="2"/>
        <v>0.61305581835383161</v>
      </c>
      <c r="N46" s="226">
        <f>IFERROR(VLOOKUP($B46,MMWR_TRAD_AGG_RO_COMP[],N$1,0),"ERROR")</f>
        <v>1261</v>
      </c>
      <c r="O46" s="227">
        <f>IFERROR(VLOOKUP($B46,MMWR_TRAD_AGG_RO_COMP[],O$1,0),"ERROR")</f>
        <v>708</v>
      </c>
      <c r="P46" s="224">
        <f t="shared" si="3"/>
        <v>0.56145915939730373</v>
      </c>
      <c r="Q46" s="228">
        <f>IFERROR(VLOOKUP($B46,MMWR_TRAD_AGG_RO_COMP[],Q$1,0),"ERROR")</f>
        <v>1</v>
      </c>
      <c r="R46" s="228">
        <f>IFERROR(VLOOKUP($B46,MMWR_TRAD_AGG_RO_COMP[],R$1,0),"ERROR")</f>
        <v>246</v>
      </c>
      <c r="S46" s="202">
        <f>IFERROR(VLOOKUP($B46,MMWR_APP_RO[],S$1,0),"ERROR")</f>
        <v>5777</v>
      </c>
      <c r="T46" s="28"/>
    </row>
    <row r="47" spans="1:20" x14ac:dyDescent="0.2">
      <c r="A47" s="28"/>
      <c r="B47" s="108" t="s">
        <v>73</v>
      </c>
      <c r="C47" s="220">
        <f>IFERROR(VLOOKUP($B47,MMWR_TRAD_AGG_RO_COMP[],C$1,0),"ERROR")</f>
        <v>7577</v>
      </c>
      <c r="D47" s="221">
        <f>IFERROR(VLOOKUP($B47,MMWR_TRAD_AGG_RO_COMP[],D$1,0),"ERROR")</f>
        <v>243.4739342748</v>
      </c>
      <c r="E47" s="222">
        <f>IFERROR(VLOOKUP($B47,MMWR_TRAD_AGG_RO_COMP[],E$1,0),"ERROR")</f>
        <v>2300</v>
      </c>
      <c r="F47" s="223">
        <f>IFERROR(VLOOKUP($B47,MMWR_TRAD_AGG_RO_COMP[],F$1,0),"ERROR")</f>
        <v>491</v>
      </c>
      <c r="G47" s="224">
        <f t="shared" si="0"/>
        <v>0.21347826086956523</v>
      </c>
      <c r="H47" s="225">
        <f>IFERROR(VLOOKUP($B47,MMWR_TRAD_AGG_RO_COMP[],H$1,0),"ERROR")</f>
        <v>16369</v>
      </c>
      <c r="I47" s="223">
        <f>IFERROR(VLOOKUP($B47,MMWR_TRAD_AGG_RO_COMP[],I$1,0),"ERROR")</f>
        <v>8451</v>
      </c>
      <c r="J47" s="224">
        <f t="shared" si="1"/>
        <v>0.51628077463498079</v>
      </c>
      <c r="K47" s="226">
        <f>IFERROR(VLOOKUP($B47,MMWR_TRAD_AGG_RO_COMP[],K$1,0),"ERROR")</f>
        <v>1730</v>
      </c>
      <c r="L47" s="227">
        <f>IFERROR(VLOOKUP($B47,MMWR_TRAD_AGG_RO_COMP[],L$1,0),"ERROR")</f>
        <v>675</v>
      </c>
      <c r="M47" s="224">
        <f t="shared" si="2"/>
        <v>0.39017341040462428</v>
      </c>
      <c r="N47" s="226">
        <f>IFERROR(VLOOKUP($B47,MMWR_TRAD_AGG_RO_COMP[],N$1,0),"ERROR")</f>
        <v>410</v>
      </c>
      <c r="O47" s="227">
        <f>IFERROR(VLOOKUP($B47,MMWR_TRAD_AGG_RO_COMP[],O$1,0),"ERROR")</f>
        <v>109</v>
      </c>
      <c r="P47" s="224">
        <f t="shared" si="3"/>
        <v>0.26585365853658538</v>
      </c>
      <c r="Q47" s="228">
        <f>IFERROR(VLOOKUP($B47,MMWR_TRAD_AGG_RO_COMP[],Q$1,0),"ERROR")</f>
        <v>0</v>
      </c>
      <c r="R47" s="228">
        <f>IFERROR(VLOOKUP($B47,MMWR_TRAD_AGG_RO_COMP[],R$1,0),"ERROR")</f>
        <v>2</v>
      </c>
      <c r="S47" s="202">
        <f>IFERROR(VLOOKUP($B47,MMWR_APP_RO[],S$1,0),"ERROR")</f>
        <v>547</v>
      </c>
      <c r="T47" s="28"/>
    </row>
    <row r="48" spans="1:20" x14ac:dyDescent="0.2">
      <c r="A48" s="28"/>
      <c r="B48" s="116" t="s">
        <v>82</v>
      </c>
      <c r="C48" s="229">
        <f>IFERROR(VLOOKUP($B48,MMWR_TRAD_AGG_RO_COMP[],C$1,0),"ERROR")</f>
        <v>12228</v>
      </c>
      <c r="D48" s="230">
        <f>IFERROR(VLOOKUP($B48,MMWR_TRAD_AGG_RO_COMP[],D$1,0),"ERROR")</f>
        <v>330.21663395489998</v>
      </c>
      <c r="E48" s="231">
        <f>IFERROR(VLOOKUP($B48,MMWR_TRAD_AGG_RO_COMP[],E$1,0),"ERROR")</f>
        <v>17860</v>
      </c>
      <c r="F48" s="232">
        <f>IFERROR(VLOOKUP($B48,MMWR_TRAD_AGG_RO_COMP[],F$1,0),"ERROR")</f>
        <v>3240</v>
      </c>
      <c r="G48" s="233">
        <f t="shared" si="0"/>
        <v>0.18141097424412095</v>
      </c>
      <c r="H48" s="234">
        <f>IFERROR(VLOOKUP($B48,MMWR_TRAD_AGG_RO_COMP[],H$1,0),"ERROR")</f>
        <v>14581</v>
      </c>
      <c r="I48" s="232">
        <f>IFERROR(VLOOKUP($B48,MMWR_TRAD_AGG_RO_COMP[],I$1,0),"ERROR")</f>
        <v>9180</v>
      </c>
      <c r="J48" s="233">
        <f t="shared" si="1"/>
        <v>0.62958644811741304</v>
      </c>
      <c r="K48" s="235">
        <f>IFERROR(VLOOKUP($B48,MMWR_TRAD_AGG_RO_COMP[],K$1,0),"ERROR")</f>
        <v>5154</v>
      </c>
      <c r="L48" s="236">
        <f>IFERROR(VLOOKUP($B48,MMWR_TRAD_AGG_RO_COMP[],L$1,0),"ERROR")</f>
        <v>2473</v>
      </c>
      <c r="M48" s="233">
        <f t="shared" si="2"/>
        <v>0.47982149786573536</v>
      </c>
      <c r="N48" s="235">
        <f>IFERROR(VLOOKUP($B48,MMWR_TRAD_AGG_RO_COMP[],N$1,0),"ERROR")</f>
        <v>3792</v>
      </c>
      <c r="O48" s="236">
        <f>IFERROR(VLOOKUP($B48,MMWR_TRAD_AGG_RO_COMP[],O$1,0),"ERROR")</f>
        <v>1624</v>
      </c>
      <c r="P48" s="233">
        <f t="shared" si="3"/>
        <v>0.42827004219409281</v>
      </c>
      <c r="Q48" s="237">
        <f>IFERROR(VLOOKUP($B48,MMWR_TRAD_AGG_RO_COMP[],Q$1,0),"ERROR")</f>
        <v>2</v>
      </c>
      <c r="R48" s="237">
        <f>IFERROR(VLOOKUP($B48,MMWR_TRAD_AGG_RO_COMP[],R$1,0),"ERROR")</f>
        <v>200</v>
      </c>
      <c r="S48" s="202">
        <f>IFERROR(VLOOKUP($B48,MMWR_APP_RO[],S$1,0),"ERROR")</f>
        <v>19643</v>
      </c>
      <c r="T48" s="28"/>
    </row>
    <row r="49" spans="1:20" x14ac:dyDescent="0.2">
      <c r="A49" s="28"/>
      <c r="B49" s="101" t="s">
        <v>404</v>
      </c>
      <c r="C49" s="213">
        <f>IFERROR(VLOOKUP($B49,MMWR_TRAD_AGG_DISTRICT_COMP[],C$1,0),"ERROR")</f>
        <v>56391</v>
      </c>
      <c r="D49" s="198">
        <f>IFERROR(VLOOKUP($B49,MMWR_TRAD_AGG_DISTRICT_COMP[],D$1,0),"ERROR")</f>
        <v>372.11028355590003</v>
      </c>
      <c r="E49" s="214">
        <f>IFERROR(VLOOKUP($B49,MMWR_TRAD_AGG_DISTRICT_COMP[],E$1,0),"ERROR")</f>
        <v>59719</v>
      </c>
      <c r="F49" s="219">
        <f>IFERROR(VLOOKUP($B49,MMWR_TRAD_AGG_DISTRICT_COMP[],F$1,0),"ERROR")</f>
        <v>11962</v>
      </c>
      <c r="G49" s="215">
        <f t="shared" si="0"/>
        <v>0.20030476062894556</v>
      </c>
      <c r="H49" s="219">
        <f>IFERROR(VLOOKUP($B49,MMWR_TRAD_AGG_DISTRICT_COMP[],H$1,0),"ERROR")</f>
        <v>81581</v>
      </c>
      <c r="I49" s="219">
        <f>IFERROR(VLOOKUP($B49,MMWR_TRAD_AGG_DISTRICT_COMP[],I$1,0),"ERROR")</f>
        <v>54033</v>
      </c>
      <c r="J49" s="215">
        <f t="shared" si="1"/>
        <v>0.66232333509027841</v>
      </c>
      <c r="K49" s="213">
        <f>IFERROR(VLOOKUP($B49,MMWR_TRAD_AGG_DISTRICT_COMP[],K$1,0),"ERROR")</f>
        <v>25719</v>
      </c>
      <c r="L49" s="213">
        <f>IFERROR(VLOOKUP($B49,MMWR_TRAD_AGG_DISTRICT_COMP[],L$1,0),"ERROR")</f>
        <v>17672</v>
      </c>
      <c r="M49" s="215">
        <f t="shared" si="2"/>
        <v>0.68711847272444493</v>
      </c>
      <c r="N49" s="213">
        <f>IFERROR(VLOOKUP($B49,MMWR_TRAD_AGG_DISTRICT_COMP[],N$1,0),"ERROR")</f>
        <v>21184</v>
      </c>
      <c r="O49" s="213">
        <f>IFERROR(VLOOKUP($B49,MMWR_TRAD_AGG_DISTRICT_COMP[],O$1,0),"ERROR")</f>
        <v>15254</v>
      </c>
      <c r="P49" s="215">
        <f t="shared" si="3"/>
        <v>0.72007175226586106</v>
      </c>
      <c r="Q49" s="213">
        <f>IFERROR(VLOOKUP($B49,MMWR_TRAD_AGG_DISTRICT_COMP[],Q$1,0),"ERROR")</f>
        <v>358</v>
      </c>
      <c r="R49" s="216">
        <f>IFERROR(VLOOKUP($B49,MMWR_TRAD_AGG_DISTRICT_COMP[],R$1,0),"ERROR")</f>
        <v>664</v>
      </c>
      <c r="S49" s="216">
        <f>IFERROR(VLOOKUP($B49,MMWR_APP_RO[],S$1,0),"ERROR")</f>
        <v>43833</v>
      </c>
      <c r="T49" s="28"/>
    </row>
    <row r="50" spans="1:20" x14ac:dyDescent="0.2">
      <c r="A50" s="28"/>
      <c r="B50" s="108" t="s">
        <v>34</v>
      </c>
      <c r="C50" s="220">
        <f>IFERROR(VLOOKUP($B50,MMWR_TRAD_AGG_RO_COMP[],C$1,0),"ERROR")</f>
        <v>1095</v>
      </c>
      <c r="D50" s="221">
        <f>IFERROR(VLOOKUP($B50,MMWR_TRAD_AGG_RO_COMP[],D$1,0),"ERROR")</f>
        <v>134.71506849319999</v>
      </c>
      <c r="E50" s="222">
        <f>IFERROR(VLOOKUP($B50,MMWR_TRAD_AGG_RO_COMP[],E$1,0),"ERROR")</f>
        <v>3147</v>
      </c>
      <c r="F50" s="223">
        <f>IFERROR(VLOOKUP($B50,MMWR_TRAD_AGG_RO_COMP[],F$1,0),"ERROR")</f>
        <v>574</v>
      </c>
      <c r="G50" s="224">
        <f t="shared" si="0"/>
        <v>0.18239593263425485</v>
      </c>
      <c r="H50" s="225">
        <f>IFERROR(VLOOKUP($B50,MMWR_TRAD_AGG_RO_COMP[],H$1,0),"ERROR")</f>
        <v>1546</v>
      </c>
      <c r="I50" s="223">
        <f>IFERROR(VLOOKUP($B50,MMWR_TRAD_AGG_RO_COMP[],I$1,0),"ERROR")</f>
        <v>512</v>
      </c>
      <c r="J50" s="224">
        <f t="shared" si="1"/>
        <v>0.33117723156532991</v>
      </c>
      <c r="K50" s="226">
        <f>IFERROR(VLOOKUP($B50,MMWR_TRAD_AGG_RO_COMP[],K$1,0),"ERROR")</f>
        <v>390</v>
      </c>
      <c r="L50" s="227">
        <f>IFERROR(VLOOKUP($B50,MMWR_TRAD_AGG_RO_COMP[],L$1,0),"ERROR")</f>
        <v>137</v>
      </c>
      <c r="M50" s="224">
        <f t="shared" si="2"/>
        <v>0.35128205128205126</v>
      </c>
      <c r="N50" s="226">
        <f>IFERROR(VLOOKUP($B50,MMWR_TRAD_AGG_RO_COMP[],N$1,0),"ERROR")</f>
        <v>439</v>
      </c>
      <c r="O50" s="227">
        <f>IFERROR(VLOOKUP($B50,MMWR_TRAD_AGG_RO_COMP[],O$1,0),"ERROR")</f>
        <v>226</v>
      </c>
      <c r="P50" s="224">
        <f t="shared" si="3"/>
        <v>0.51480637813211849</v>
      </c>
      <c r="Q50" s="228">
        <f>IFERROR(VLOOKUP($B50,MMWR_TRAD_AGG_RO_COMP[],Q$1,0),"ERROR")</f>
        <v>0</v>
      </c>
      <c r="R50" s="228">
        <f>IFERROR(VLOOKUP($B50,MMWR_TRAD_AGG_RO_COMP[],R$1,0),"ERROR")</f>
        <v>8</v>
      </c>
      <c r="S50" s="202">
        <f>IFERROR(VLOOKUP($B50,MMWR_APP_RO[],S$1,0),"ERROR")</f>
        <v>1732</v>
      </c>
      <c r="T50" s="28"/>
    </row>
    <row r="51" spans="1:20" x14ac:dyDescent="0.2">
      <c r="A51" s="28"/>
      <c r="B51" s="108" t="s">
        <v>35</v>
      </c>
      <c r="C51" s="220">
        <f>IFERROR(VLOOKUP($B51,MMWR_TRAD_AGG_RO_COMP[],C$1,0),"ERROR")</f>
        <v>1979</v>
      </c>
      <c r="D51" s="221">
        <f>IFERROR(VLOOKUP($B51,MMWR_TRAD_AGG_RO_COMP[],D$1,0),"ERROR")</f>
        <v>451.22890348660002</v>
      </c>
      <c r="E51" s="222">
        <f>IFERROR(VLOOKUP($B51,MMWR_TRAD_AGG_RO_COMP[],E$1,0),"ERROR")</f>
        <v>1126</v>
      </c>
      <c r="F51" s="223">
        <f>IFERROR(VLOOKUP($B51,MMWR_TRAD_AGG_RO_COMP[],F$1,0),"ERROR")</f>
        <v>299</v>
      </c>
      <c r="G51" s="224">
        <f t="shared" si="0"/>
        <v>0.26554174067495562</v>
      </c>
      <c r="H51" s="225">
        <f>IFERROR(VLOOKUP($B51,MMWR_TRAD_AGG_RO_COMP[],H$1,0),"ERROR")</f>
        <v>2671</v>
      </c>
      <c r="I51" s="223">
        <f>IFERROR(VLOOKUP($B51,MMWR_TRAD_AGG_RO_COMP[],I$1,0),"ERROR")</f>
        <v>1894</v>
      </c>
      <c r="J51" s="224">
        <f t="shared" si="1"/>
        <v>0.70909771621115691</v>
      </c>
      <c r="K51" s="226">
        <f>IFERROR(VLOOKUP($B51,MMWR_TRAD_AGG_RO_COMP[],K$1,0),"ERROR")</f>
        <v>2221</v>
      </c>
      <c r="L51" s="227">
        <f>IFERROR(VLOOKUP($B51,MMWR_TRAD_AGG_RO_COMP[],L$1,0),"ERROR")</f>
        <v>1921</v>
      </c>
      <c r="M51" s="224">
        <f t="shared" si="2"/>
        <v>0.86492570914002698</v>
      </c>
      <c r="N51" s="226">
        <f>IFERROR(VLOOKUP($B51,MMWR_TRAD_AGG_RO_COMP[],N$1,0),"ERROR")</f>
        <v>459</v>
      </c>
      <c r="O51" s="227">
        <f>IFERROR(VLOOKUP($B51,MMWR_TRAD_AGG_RO_COMP[],O$1,0),"ERROR")</f>
        <v>179</v>
      </c>
      <c r="P51" s="224">
        <f t="shared" si="3"/>
        <v>0.38997821350762529</v>
      </c>
      <c r="Q51" s="228">
        <f>IFERROR(VLOOKUP($B51,MMWR_TRAD_AGG_RO_COMP[],Q$1,0),"ERROR")</f>
        <v>0</v>
      </c>
      <c r="R51" s="228">
        <f>IFERROR(VLOOKUP($B51,MMWR_TRAD_AGG_RO_COMP[],R$1,0),"ERROR")</f>
        <v>2</v>
      </c>
      <c r="S51" s="202">
        <f>IFERROR(VLOOKUP($B51,MMWR_APP_RO[],S$1,0),"ERROR")</f>
        <v>222</v>
      </c>
      <c r="T51" s="28"/>
    </row>
    <row r="52" spans="1:20" x14ac:dyDescent="0.2">
      <c r="A52" s="28"/>
      <c r="B52" s="108" t="s">
        <v>37</v>
      </c>
      <c r="C52" s="220">
        <f>IFERROR(VLOOKUP($B52,MMWR_TRAD_AGG_RO_COMP[],C$1,0),"ERROR")</f>
        <v>180</v>
      </c>
      <c r="D52" s="221">
        <f>IFERROR(VLOOKUP($B52,MMWR_TRAD_AGG_RO_COMP[],D$1,0),"ERROR")</f>
        <v>75.422222222200006</v>
      </c>
      <c r="E52" s="222">
        <f>IFERROR(VLOOKUP($B52,MMWR_TRAD_AGG_RO_COMP[],E$1,0),"ERROR")</f>
        <v>1287</v>
      </c>
      <c r="F52" s="223">
        <f>IFERROR(VLOOKUP($B52,MMWR_TRAD_AGG_RO_COMP[],F$1,0),"ERROR")</f>
        <v>246</v>
      </c>
      <c r="G52" s="224">
        <f t="shared" si="0"/>
        <v>0.19114219114219114</v>
      </c>
      <c r="H52" s="225">
        <f>IFERROR(VLOOKUP($B52,MMWR_TRAD_AGG_RO_COMP[],H$1,0),"ERROR")</f>
        <v>376</v>
      </c>
      <c r="I52" s="223">
        <f>IFERROR(VLOOKUP($B52,MMWR_TRAD_AGG_RO_COMP[],I$1,0),"ERROR")</f>
        <v>46</v>
      </c>
      <c r="J52" s="224">
        <f t="shared" si="1"/>
        <v>0.12234042553191489</v>
      </c>
      <c r="K52" s="226">
        <f>IFERROR(VLOOKUP($B52,MMWR_TRAD_AGG_RO_COMP[],K$1,0),"ERROR")</f>
        <v>269</v>
      </c>
      <c r="L52" s="227">
        <f>IFERROR(VLOOKUP($B52,MMWR_TRAD_AGG_RO_COMP[],L$1,0),"ERROR")</f>
        <v>27</v>
      </c>
      <c r="M52" s="224">
        <f t="shared" si="2"/>
        <v>0.10037174721189591</v>
      </c>
      <c r="N52" s="226">
        <f>IFERROR(VLOOKUP($B52,MMWR_TRAD_AGG_RO_COMP[],N$1,0),"ERROR")</f>
        <v>164</v>
      </c>
      <c r="O52" s="227">
        <f>IFERROR(VLOOKUP($B52,MMWR_TRAD_AGG_RO_COMP[],O$1,0),"ERROR")</f>
        <v>47</v>
      </c>
      <c r="P52" s="224">
        <f t="shared" si="3"/>
        <v>0.28658536585365851</v>
      </c>
      <c r="Q52" s="228">
        <f>IFERROR(VLOOKUP($B52,MMWR_TRAD_AGG_RO_COMP[],Q$1,0),"ERROR")</f>
        <v>0</v>
      </c>
      <c r="R52" s="228">
        <f>IFERROR(VLOOKUP($B52,MMWR_TRAD_AGG_RO_COMP[],R$1,0),"ERROR")</f>
        <v>3</v>
      </c>
      <c r="S52" s="202">
        <f>IFERROR(VLOOKUP($B52,MMWR_APP_RO[],S$1,0),"ERROR")</f>
        <v>923</v>
      </c>
      <c r="T52" s="28"/>
    </row>
    <row r="53" spans="1:20" x14ac:dyDescent="0.2">
      <c r="A53" s="28"/>
      <c r="B53" s="108" t="s">
        <v>48</v>
      </c>
      <c r="C53" s="220">
        <f>IFERROR(VLOOKUP($B53,MMWR_TRAD_AGG_RO_COMP[],C$1,0),"ERROR")</f>
        <v>1672</v>
      </c>
      <c r="D53" s="221">
        <f>IFERROR(VLOOKUP($B53,MMWR_TRAD_AGG_RO_COMP[],D$1,0),"ERROR")</f>
        <v>266.66566985650002</v>
      </c>
      <c r="E53" s="222">
        <f>IFERROR(VLOOKUP($B53,MMWR_TRAD_AGG_RO_COMP[],E$1,0),"ERROR")</f>
        <v>2008</v>
      </c>
      <c r="F53" s="223">
        <f>IFERROR(VLOOKUP($B53,MMWR_TRAD_AGG_RO_COMP[],F$1,0),"ERROR")</f>
        <v>407</v>
      </c>
      <c r="G53" s="224">
        <f t="shared" si="0"/>
        <v>0.20268924302788843</v>
      </c>
      <c r="H53" s="225">
        <f>IFERROR(VLOOKUP($B53,MMWR_TRAD_AGG_RO_COMP[],H$1,0),"ERROR")</f>
        <v>2101</v>
      </c>
      <c r="I53" s="223">
        <f>IFERROR(VLOOKUP($B53,MMWR_TRAD_AGG_RO_COMP[],I$1,0),"ERROR")</f>
        <v>1440</v>
      </c>
      <c r="J53" s="224">
        <f t="shared" si="1"/>
        <v>0.68538791051880055</v>
      </c>
      <c r="K53" s="226">
        <f>IFERROR(VLOOKUP($B53,MMWR_TRAD_AGG_RO_COMP[],K$1,0),"ERROR")</f>
        <v>1085</v>
      </c>
      <c r="L53" s="227">
        <f>IFERROR(VLOOKUP($B53,MMWR_TRAD_AGG_RO_COMP[],L$1,0),"ERROR")</f>
        <v>604</v>
      </c>
      <c r="M53" s="224">
        <f t="shared" si="2"/>
        <v>0.5566820276497696</v>
      </c>
      <c r="N53" s="226">
        <f>IFERROR(VLOOKUP($B53,MMWR_TRAD_AGG_RO_COMP[],N$1,0),"ERROR")</f>
        <v>208</v>
      </c>
      <c r="O53" s="227">
        <f>IFERROR(VLOOKUP($B53,MMWR_TRAD_AGG_RO_COMP[],O$1,0),"ERROR")</f>
        <v>93</v>
      </c>
      <c r="P53" s="224">
        <f t="shared" si="3"/>
        <v>0.44711538461538464</v>
      </c>
      <c r="Q53" s="228">
        <f>IFERROR(VLOOKUP($B53,MMWR_TRAD_AGG_RO_COMP[],Q$1,0),"ERROR")</f>
        <v>0</v>
      </c>
      <c r="R53" s="228">
        <f>IFERROR(VLOOKUP($B53,MMWR_TRAD_AGG_RO_COMP[],R$1,0),"ERROR")</f>
        <v>0</v>
      </c>
      <c r="S53" s="202">
        <f>IFERROR(VLOOKUP($B53,MMWR_APP_RO[],S$1,0),"ERROR")</f>
        <v>1410</v>
      </c>
      <c r="T53" s="28"/>
    </row>
    <row r="54" spans="1:20" x14ac:dyDescent="0.2">
      <c r="A54" s="28"/>
      <c r="B54" s="108" t="s">
        <v>55</v>
      </c>
      <c r="C54" s="220">
        <f>IFERROR(VLOOKUP($B54,MMWR_TRAD_AGG_RO_COMP[],C$1,0),"ERROR")</f>
        <v>7714</v>
      </c>
      <c r="D54" s="221">
        <f>IFERROR(VLOOKUP($B54,MMWR_TRAD_AGG_RO_COMP[],D$1,0),"ERROR")</f>
        <v>372.5165932072</v>
      </c>
      <c r="E54" s="222">
        <f>IFERROR(VLOOKUP($B54,MMWR_TRAD_AGG_RO_COMP[],E$1,0),"ERROR")</f>
        <v>8949</v>
      </c>
      <c r="F54" s="223">
        <f>IFERROR(VLOOKUP($B54,MMWR_TRAD_AGG_RO_COMP[],F$1,0),"ERROR")</f>
        <v>1897</v>
      </c>
      <c r="G54" s="224">
        <f t="shared" si="0"/>
        <v>0.21197899206615264</v>
      </c>
      <c r="H54" s="225">
        <f>IFERROR(VLOOKUP($B54,MMWR_TRAD_AGG_RO_COMP[],H$1,0),"ERROR")</f>
        <v>9242</v>
      </c>
      <c r="I54" s="223">
        <f>IFERROR(VLOOKUP($B54,MMWR_TRAD_AGG_RO_COMP[],I$1,0),"ERROR")</f>
        <v>6176</v>
      </c>
      <c r="J54" s="224">
        <f t="shared" si="1"/>
        <v>0.66825362475654615</v>
      </c>
      <c r="K54" s="226">
        <f>IFERROR(VLOOKUP($B54,MMWR_TRAD_AGG_RO_COMP[],K$1,0),"ERROR")</f>
        <v>1051</v>
      </c>
      <c r="L54" s="227">
        <f>IFERROR(VLOOKUP($B54,MMWR_TRAD_AGG_RO_COMP[],L$1,0),"ERROR")</f>
        <v>888</v>
      </c>
      <c r="M54" s="224">
        <f t="shared" si="2"/>
        <v>0.84490960989533781</v>
      </c>
      <c r="N54" s="226">
        <f>IFERROR(VLOOKUP($B54,MMWR_TRAD_AGG_RO_COMP[],N$1,0),"ERROR")</f>
        <v>4214</v>
      </c>
      <c r="O54" s="227">
        <f>IFERROR(VLOOKUP($B54,MMWR_TRAD_AGG_RO_COMP[],O$1,0),"ERROR")</f>
        <v>3503</v>
      </c>
      <c r="P54" s="224">
        <f t="shared" si="3"/>
        <v>0.83127669672520166</v>
      </c>
      <c r="Q54" s="228">
        <f>IFERROR(VLOOKUP($B54,MMWR_TRAD_AGG_RO_COMP[],Q$1,0),"ERROR")</f>
        <v>2</v>
      </c>
      <c r="R54" s="228">
        <f>IFERROR(VLOOKUP($B54,MMWR_TRAD_AGG_RO_COMP[],R$1,0),"ERROR")</f>
        <v>29</v>
      </c>
      <c r="S54" s="202">
        <f>IFERROR(VLOOKUP($B54,MMWR_APP_RO[],S$1,0),"ERROR")</f>
        <v>4783</v>
      </c>
      <c r="T54" s="28"/>
    </row>
    <row r="55" spans="1:20" x14ac:dyDescent="0.2">
      <c r="A55" s="28"/>
      <c r="B55" s="108" t="s">
        <v>58</v>
      </c>
      <c r="C55" s="220">
        <f>IFERROR(VLOOKUP($B55,MMWR_TRAD_AGG_RO_COMP[],C$1,0),"ERROR")</f>
        <v>868</v>
      </c>
      <c r="D55" s="221">
        <f>IFERROR(VLOOKUP($B55,MMWR_TRAD_AGG_RO_COMP[],D$1,0),"ERROR")</f>
        <v>179.88364055299999</v>
      </c>
      <c r="E55" s="222">
        <f>IFERROR(VLOOKUP($B55,MMWR_TRAD_AGG_RO_COMP[],E$1,0),"ERROR")</f>
        <v>860</v>
      </c>
      <c r="F55" s="223">
        <f>IFERROR(VLOOKUP($B55,MMWR_TRAD_AGG_RO_COMP[],F$1,0),"ERROR")</f>
        <v>200</v>
      </c>
      <c r="G55" s="224">
        <f t="shared" si="0"/>
        <v>0.23255813953488372</v>
      </c>
      <c r="H55" s="225">
        <f>IFERROR(VLOOKUP($B55,MMWR_TRAD_AGG_RO_COMP[],H$1,0),"ERROR")</f>
        <v>979</v>
      </c>
      <c r="I55" s="223">
        <f>IFERROR(VLOOKUP($B55,MMWR_TRAD_AGG_RO_COMP[],I$1,0),"ERROR")</f>
        <v>533</v>
      </c>
      <c r="J55" s="224">
        <f t="shared" si="1"/>
        <v>0.54443309499489279</v>
      </c>
      <c r="K55" s="226">
        <f>IFERROR(VLOOKUP($B55,MMWR_TRAD_AGG_RO_COMP[],K$1,0),"ERROR")</f>
        <v>261</v>
      </c>
      <c r="L55" s="227">
        <f>IFERROR(VLOOKUP($B55,MMWR_TRAD_AGG_RO_COMP[],L$1,0),"ERROR")</f>
        <v>94</v>
      </c>
      <c r="M55" s="224">
        <f t="shared" si="2"/>
        <v>0.36015325670498083</v>
      </c>
      <c r="N55" s="226">
        <f>IFERROR(VLOOKUP($B55,MMWR_TRAD_AGG_RO_COMP[],N$1,0),"ERROR")</f>
        <v>951</v>
      </c>
      <c r="O55" s="227">
        <f>IFERROR(VLOOKUP($B55,MMWR_TRAD_AGG_RO_COMP[],O$1,0),"ERROR")</f>
        <v>518</v>
      </c>
      <c r="P55" s="224">
        <f t="shared" si="3"/>
        <v>0.544689800210305</v>
      </c>
      <c r="Q55" s="228">
        <f>IFERROR(VLOOKUP($B55,MMWR_TRAD_AGG_RO_COMP[],Q$1,0),"ERROR")</f>
        <v>353</v>
      </c>
      <c r="R55" s="228">
        <f>IFERROR(VLOOKUP($B55,MMWR_TRAD_AGG_RO_COMP[],R$1,0),"ERROR")</f>
        <v>137</v>
      </c>
      <c r="S55" s="202">
        <f>IFERROR(VLOOKUP($B55,MMWR_APP_RO[],S$1,0),"ERROR")</f>
        <v>974</v>
      </c>
      <c r="T55" s="28"/>
    </row>
    <row r="56" spans="1:20" x14ac:dyDescent="0.2">
      <c r="A56" s="28"/>
      <c r="B56" s="108" t="s">
        <v>65</v>
      </c>
      <c r="C56" s="220">
        <f>IFERROR(VLOOKUP($B56,MMWR_TRAD_AGG_RO_COMP[],C$1,0),"ERROR")</f>
        <v>8384</v>
      </c>
      <c r="D56" s="221">
        <f>IFERROR(VLOOKUP($B56,MMWR_TRAD_AGG_RO_COMP[],D$1,0),"ERROR")</f>
        <v>403.6363311069</v>
      </c>
      <c r="E56" s="222">
        <f>IFERROR(VLOOKUP($B56,MMWR_TRAD_AGG_RO_COMP[],E$1,0),"ERROR")</f>
        <v>11144</v>
      </c>
      <c r="F56" s="223">
        <f>IFERROR(VLOOKUP($B56,MMWR_TRAD_AGG_RO_COMP[],F$1,0),"ERROR")</f>
        <v>2492</v>
      </c>
      <c r="G56" s="224">
        <f t="shared" si="0"/>
        <v>0.2236180904522613</v>
      </c>
      <c r="H56" s="225">
        <f>IFERROR(VLOOKUP($B56,MMWR_TRAD_AGG_RO_COMP[],H$1,0),"ERROR")</f>
        <v>11416</v>
      </c>
      <c r="I56" s="223">
        <f>IFERROR(VLOOKUP($B56,MMWR_TRAD_AGG_RO_COMP[],I$1,0),"ERROR")</f>
        <v>8833</v>
      </c>
      <c r="J56" s="224">
        <f t="shared" si="1"/>
        <v>0.77373861247372111</v>
      </c>
      <c r="K56" s="226">
        <f>IFERROR(VLOOKUP($B56,MMWR_TRAD_AGG_RO_COMP[],K$1,0),"ERROR")</f>
        <v>4568</v>
      </c>
      <c r="L56" s="227">
        <f>IFERROR(VLOOKUP($B56,MMWR_TRAD_AGG_RO_COMP[],L$1,0),"ERROR")</f>
        <v>3896</v>
      </c>
      <c r="M56" s="224">
        <f t="shared" si="2"/>
        <v>0.8528896672504378</v>
      </c>
      <c r="N56" s="226">
        <f>IFERROR(VLOOKUP($B56,MMWR_TRAD_AGG_RO_COMP[],N$1,0),"ERROR")</f>
        <v>2250</v>
      </c>
      <c r="O56" s="227">
        <f>IFERROR(VLOOKUP($B56,MMWR_TRAD_AGG_RO_COMP[],O$1,0),"ERROR")</f>
        <v>1710</v>
      </c>
      <c r="P56" s="224">
        <f t="shared" si="3"/>
        <v>0.76</v>
      </c>
      <c r="Q56" s="228">
        <f>IFERROR(VLOOKUP($B56,MMWR_TRAD_AGG_RO_COMP[],Q$1,0),"ERROR")</f>
        <v>0</v>
      </c>
      <c r="R56" s="228">
        <f>IFERROR(VLOOKUP($B56,MMWR_TRAD_AGG_RO_COMP[],R$1,0),"ERROR")</f>
        <v>29</v>
      </c>
      <c r="S56" s="202">
        <f>IFERROR(VLOOKUP($B56,MMWR_APP_RO[],S$1,0),"ERROR")</f>
        <v>8691</v>
      </c>
      <c r="T56" s="28"/>
    </row>
    <row r="57" spans="1:20" x14ac:dyDescent="0.2">
      <c r="A57" s="28"/>
      <c r="B57" s="108" t="s">
        <v>67</v>
      </c>
      <c r="C57" s="220">
        <f>IFERROR(VLOOKUP($B57,MMWR_TRAD_AGG_RO_COMP[],C$1,0),"ERROR")</f>
        <v>4597</v>
      </c>
      <c r="D57" s="221">
        <f>IFERROR(VLOOKUP($B57,MMWR_TRAD_AGG_RO_COMP[],D$1,0),"ERROR")</f>
        <v>262.07439634539998</v>
      </c>
      <c r="E57" s="222">
        <f>IFERROR(VLOOKUP($B57,MMWR_TRAD_AGG_RO_COMP[],E$1,0),"ERROR")</f>
        <v>4197</v>
      </c>
      <c r="F57" s="223">
        <f>IFERROR(VLOOKUP($B57,MMWR_TRAD_AGG_RO_COMP[],F$1,0),"ERROR")</f>
        <v>989</v>
      </c>
      <c r="G57" s="224">
        <f t="shared" si="0"/>
        <v>0.23564450798189182</v>
      </c>
      <c r="H57" s="225">
        <f>IFERROR(VLOOKUP($B57,MMWR_TRAD_AGG_RO_COMP[],H$1,0),"ERROR")</f>
        <v>5827</v>
      </c>
      <c r="I57" s="223">
        <f>IFERROR(VLOOKUP($B57,MMWR_TRAD_AGG_RO_COMP[],I$1,0),"ERROR")</f>
        <v>3369</v>
      </c>
      <c r="J57" s="224">
        <f t="shared" si="1"/>
        <v>0.57817058520679598</v>
      </c>
      <c r="K57" s="226">
        <f>IFERROR(VLOOKUP($B57,MMWR_TRAD_AGG_RO_COMP[],K$1,0),"ERROR")</f>
        <v>1128</v>
      </c>
      <c r="L57" s="227">
        <f>IFERROR(VLOOKUP($B57,MMWR_TRAD_AGG_RO_COMP[],L$1,0),"ERROR")</f>
        <v>321</v>
      </c>
      <c r="M57" s="224">
        <f t="shared" si="2"/>
        <v>0.28457446808510639</v>
      </c>
      <c r="N57" s="226">
        <f>IFERROR(VLOOKUP($B57,MMWR_TRAD_AGG_RO_COMP[],N$1,0),"ERROR")</f>
        <v>2537</v>
      </c>
      <c r="O57" s="227">
        <f>IFERROR(VLOOKUP($B57,MMWR_TRAD_AGG_RO_COMP[],O$1,0),"ERROR")</f>
        <v>2020</v>
      </c>
      <c r="P57" s="224">
        <f t="shared" si="3"/>
        <v>0.79621600315333074</v>
      </c>
      <c r="Q57" s="228">
        <f>IFERROR(VLOOKUP($B57,MMWR_TRAD_AGG_RO_COMP[],Q$1,0),"ERROR")</f>
        <v>1</v>
      </c>
      <c r="R57" s="228">
        <f>IFERROR(VLOOKUP($B57,MMWR_TRAD_AGG_RO_COMP[],R$1,0),"ERROR")</f>
        <v>66</v>
      </c>
      <c r="S57" s="202">
        <f>IFERROR(VLOOKUP($B57,MMWR_APP_RO[],S$1,0),"ERROR")</f>
        <v>7110</v>
      </c>
      <c r="T57" s="28"/>
    </row>
    <row r="58" spans="1:20" x14ac:dyDescent="0.2">
      <c r="A58" s="28"/>
      <c r="B58" s="108" t="s">
        <v>69</v>
      </c>
      <c r="C58" s="220">
        <f>IFERROR(VLOOKUP($B58,MMWR_TRAD_AGG_RO_COMP[],C$1,0),"ERROR")</f>
        <v>7605</v>
      </c>
      <c r="D58" s="221">
        <f>IFERROR(VLOOKUP($B58,MMWR_TRAD_AGG_RO_COMP[],D$1,0),"ERROR")</f>
        <v>421.7483234714</v>
      </c>
      <c r="E58" s="222">
        <f>IFERROR(VLOOKUP($B58,MMWR_TRAD_AGG_RO_COMP[],E$1,0),"ERROR")</f>
        <v>4517</v>
      </c>
      <c r="F58" s="223">
        <f>IFERROR(VLOOKUP($B58,MMWR_TRAD_AGG_RO_COMP[],F$1,0),"ERROR")</f>
        <v>1200</v>
      </c>
      <c r="G58" s="224">
        <f t="shared" si="0"/>
        <v>0.26566305069736551</v>
      </c>
      <c r="H58" s="225">
        <f>IFERROR(VLOOKUP($B58,MMWR_TRAD_AGG_RO_COMP[],H$1,0),"ERROR")</f>
        <v>9280</v>
      </c>
      <c r="I58" s="223">
        <f>IFERROR(VLOOKUP($B58,MMWR_TRAD_AGG_RO_COMP[],I$1,0),"ERROR")</f>
        <v>7016</v>
      </c>
      <c r="J58" s="224">
        <f t="shared" si="1"/>
        <v>0.75603448275862073</v>
      </c>
      <c r="K58" s="226">
        <f>IFERROR(VLOOKUP($B58,MMWR_TRAD_AGG_RO_COMP[],K$1,0),"ERROR")</f>
        <v>3433</v>
      </c>
      <c r="L58" s="227">
        <f>IFERROR(VLOOKUP($B58,MMWR_TRAD_AGG_RO_COMP[],L$1,0),"ERROR")</f>
        <v>2851</v>
      </c>
      <c r="M58" s="224">
        <f t="shared" si="2"/>
        <v>0.83046897757063798</v>
      </c>
      <c r="N58" s="226">
        <f>IFERROR(VLOOKUP($B58,MMWR_TRAD_AGG_RO_COMP[],N$1,0),"ERROR")</f>
        <v>1889</v>
      </c>
      <c r="O58" s="227">
        <f>IFERROR(VLOOKUP($B58,MMWR_TRAD_AGG_RO_COMP[],O$1,0),"ERROR")</f>
        <v>1009</v>
      </c>
      <c r="P58" s="224">
        <f t="shared" si="3"/>
        <v>0.53414505029115933</v>
      </c>
      <c r="Q58" s="228">
        <f>IFERROR(VLOOKUP($B58,MMWR_TRAD_AGG_RO_COMP[],Q$1,0),"ERROR")</f>
        <v>0</v>
      </c>
      <c r="R58" s="228">
        <f>IFERROR(VLOOKUP($B58,MMWR_TRAD_AGG_RO_COMP[],R$1,0),"ERROR")</f>
        <v>72</v>
      </c>
      <c r="S58" s="202">
        <f>IFERROR(VLOOKUP($B58,MMWR_APP_RO[],S$1,0),"ERROR")</f>
        <v>5509</v>
      </c>
      <c r="T58" s="28"/>
    </row>
    <row r="59" spans="1:20" x14ac:dyDescent="0.2">
      <c r="A59" s="28"/>
      <c r="B59" s="108" t="s">
        <v>71</v>
      </c>
      <c r="C59" s="220">
        <f>IFERROR(VLOOKUP($B59,MMWR_TRAD_AGG_RO_COMP[],C$1,0),"ERROR")</f>
        <v>3191</v>
      </c>
      <c r="D59" s="221">
        <f>IFERROR(VLOOKUP($B59,MMWR_TRAD_AGG_RO_COMP[],D$1,0),"ERROR")</f>
        <v>470.59542463179997</v>
      </c>
      <c r="E59" s="222">
        <f>IFERROR(VLOOKUP($B59,MMWR_TRAD_AGG_RO_COMP[],E$1,0),"ERROR")</f>
        <v>3350</v>
      </c>
      <c r="F59" s="223">
        <f>IFERROR(VLOOKUP($B59,MMWR_TRAD_AGG_RO_COMP[],F$1,0),"ERROR")</f>
        <v>678</v>
      </c>
      <c r="G59" s="224">
        <f t="shared" si="0"/>
        <v>0.20238805970149254</v>
      </c>
      <c r="H59" s="225">
        <f>IFERROR(VLOOKUP($B59,MMWR_TRAD_AGG_RO_COMP[],H$1,0),"ERROR")</f>
        <v>3633</v>
      </c>
      <c r="I59" s="223">
        <f>IFERROR(VLOOKUP($B59,MMWR_TRAD_AGG_RO_COMP[],I$1,0),"ERROR")</f>
        <v>2656</v>
      </c>
      <c r="J59" s="224">
        <f t="shared" si="1"/>
        <v>0.73107624552711259</v>
      </c>
      <c r="K59" s="226">
        <f>IFERROR(VLOOKUP($B59,MMWR_TRAD_AGG_RO_COMP[],K$1,0),"ERROR")</f>
        <v>565</v>
      </c>
      <c r="L59" s="227">
        <f>IFERROR(VLOOKUP($B59,MMWR_TRAD_AGG_RO_COMP[],L$1,0),"ERROR")</f>
        <v>412</v>
      </c>
      <c r="M59" s="224">
        <f t="shared" si="2"/>
        <v>0.72920353982300889</v>
      </c>
      <c r="N59" s="226">
        <f>IFERROR(VLOOKUP($B59,MMWR_TRAD_AGG_RO_COMP[],N$1,0),"ERROR")</f>
        <v>1085</v>
      </c>
      <c r="O59" s="227">
        <f>IFERROR(VLOOKUP($B59,MMWR_TRAD_AGG_RO_COMP[],O$1,0),"ERROR")</f>
        <v>772</v>
      </c>
      <c r="P59" s="224">
        <f t="shared" si="3"/>
        <v>0.7115207373271889</v>
      </c>
      <c r="Q59" s="228">
        <f>IFERROR(VLOOKUP($B59,MMWR_TRAD_AGG_RO_COMP[],Q$1,0),"ERROR")</f>
        <v>0</v>
      </c>
      <c r="R59" s="228">
        <f>IFERROR(VLOOKUP($B59,MMWR_TRAD_AGG_RO_COMP[],R$1,0),"ERROR")</f>
        <v>116</v>
      </c>
      <c r="S59" s="202">
        <f>IFERROR(VLOOKUP($B59,MMWR_APP_RO[],S$1,0),"ERROR")</f>
        <v>2991</v>
      </c>
      <c r="T59" s="28"/>
    </row>
    <row r="60" spans="1:20" x14ac:dyDescent="0.2">
      <c r="A60" s="28"/>
      <c r="B60" s="108" t="s">
        <v>74</v>
      </c>
      <c r="C60" s="220">
        <f>IFERROR(VLOOKUP($B60,MMWR_TRAD_AGG_RO_COMP[],C$1,0),"ERROR")</f>
        <v>7101</v>
      </c>
      <c r="D60" s="221">
        <f>IFERROR(VLOOKUP($B60,MMWR_TRAD_AGG_RO_COMP[],D$1,0),"ERROR")</f>
        <v>342.91536403319998</v>
      </c>
      <c r="E60" s="222">
        <f>IFERROR(VLOOKUP($B60,MMWR_TRAD_AGG_RO_COMP[],E$1,0),"ERROR")</f>
        <v>12068</v>
      </c>
      <c r="F60" s="223">
        <f>IFERROR(VLOOKUP($B60,MMWR_TRAD_AGG_RO_COMP[],F$1,0),"ERROR")</f>
        <v>1782</v>
      </c>
      <c r="G60" s="224">
        <f t="shared" si="0"/>
        <v>0.14766324163075903</v>
      </c>
      <c r="H60" s="225">
        <f>IFERROR(VLOOKUP($B60,MMWR_TRAD_AGG_RO_COMP[],H$1,0),"ERROR")</f>
        <v>17381</v>
      </c>
      <c r="I60" s="223">
        <f>IFERROR(VLOOKUP($B60,MMWR_TRAD_AGG_RO_COMP[],I$1,0),"ERROR")</f>
        <v>9289</v>
      </c>
      <c r="J60" s="224">
        <f t="shared" si="1"/>
        <v>0.53443415223519941</v>
      </c>
      <c r="K60" s="226">
        <f>IFERROR(VLOOKUP($B60,MMWR_TRAD_AGG_RO_COMP[],K$1,0),"ERROR")</f>
        <v>4495</v>
      </c>
      <c r="L60" s="227">
        <f>IFERROR(VLOOKUP($B60,MMWR_TRAD_AGG_RO_COMP[],L$1,0),"ERROR")</f>
        <v>2399</v>
      </c>
      <c r="M60" s="224">
        <f t="shared" si="2"/>
        <v>0.53370411568409348</v>
      </c>
      <c r="N60" s="226">
        <f>IFERROR(VLOOKUP($B60,MMWR_TRAD_AGG_RO_COMP[],N$1,0),"ERROR")</f>
        <v>2684</v>
      </c>
      <c r="O60" s="227">
        <f>IFERROR(VLOOKUP($B60,MMWR_TRAD_AGG_RO_COMP[],O$1,0),"ERROR")</f>
        <v>1561</v>
      </c>
      <c r="P60" s="224">
        <f t="shared" si="3"/>
        <v>0.58159463487332341</v>
      </c>
      <c r="Q60" s="228">
        <f>IFERROR(VLOOKUP($B60,MMWR_TRAD_AGG_RO_COMP[],Q$1,0),"ERROR")</f>
        <v>0</v>
      </c>
      <c r="R60" s="228">
        <f>IFERROR(VLOOKUP($B60,MMWR_TRAD_AGG_RO_COMP[],R$1,0),"ERROR")</f>
        <v>58</v>
      </c>
      <c r="S60" s="202">
        <f>IFERROR(VLOOKUP($B60,MMWR_APP_RO[],S$1,0),"ERROR")</f>
        <v>4339</v>
      </c>
      <c r="T60" s="28"/>
    </row>
    <row r="61" spans="1:20" x14ac:dyDescent="0.2">
      <c r="A61" s="28"/>
      <c r="B61" s="116" t="s">
        <v>76</v>
      </c>
      <c r="C61" s="229">
        <f>IFERROR(VLOOKUP($B61,MMWR_TRAD_AGG_RO_COMP[],C$1,0),"ERROR")</f>
        <v>12005</v>
      </c>
      <c r="D61" s="230">
        <f>IFERROR(VLOOKUP($B61,MMWR_TRAD_AGG_RO_COMP[],D$1,0),"ERROR")</f>
        <v>393.25714285710001</v>
      </c>
      <c r="E61" s="231">
        <f>IFERROR(VLOOKUP($B61,MMWR_TRAD_AGG_RO_COMP[],E$1,0),"ERROR")</f>
        <v>7066</v>
      </c>
      <c r="F61" s="232">
        <f>IFERROR(VLOOKUP($B61,MMWR_TRAD_AGG_RO_COMP[],F$1,0),"ERROR")</f>
        <v>1198</v>
      </c>
      <c r="G61" s="233">
        <f t="shared" si="0"/>
        <v>0.16954429663175771</v>
      </c>
      <c r="H61" s="234">
        <f>IFERROR(VLOOKUP($B61,MMWR_TRAD_AGG_RO_COMP[],H$1,0),"ERROR")</f>
        <v>17129</v>
      </c>
      <c r="I61" s="232">
        <f>IFERROR(VLOOKUP($B61,MMWR_TRAD_AGG_RO_COMP[],I$1,0),"ERROR")</f>
        <v>12269</v>
      </c>
      <c r="J61" s="233">
        <f t="shared" si="1"/>
        <v>0.71627065211045593</v>
      </c>
      <c r="K61" s="235">
        <f>IFERROR(VLOOKUP($B61,MMWR_TRAD_AGG_RO_COMP[],K$1,0),"ERROR")</f>
        <v>6253</v>
      </c>
      <c r="L61" s="236">
        <f>IFERROR(VLOOKUP($B61,MMWR_TRAD_AGG_RO_COMP[],L$1,0),"ERROR")</f>
        <v>4122</v>
      </c>
      <c r="M61" s="233">
        <f t="shared" si="2"/>
        <v>0.65920358228050535</v>
      </c>
      <c r="N61" s="235">
        <f>IFERROR(VLOOKUP($B61,MMWR_TRAD_AGG_RO_COMP[],N$1,0),"ERROR")</f>
        <v>4304</v>
      </c>
      <c r="O61" s="236">
        <f>IFERROR(VLOOKUP($B61,MMWR_TRAD_AGG_RO_COMP[],O$1,0),"ERROR")</f>
        <v>3616</v>
      </c>
      <c r="P61" s="233">
        <f t="shared" si="3"/>
        <v>0.8401486988847584</v>
      </c>
      <c r="Q61" s="237">
        <f>IFERROR(VLOOKUP($B61,MMWR_TRAD_AGG_RO_COMP[],Q$1,0),"ERROR")</f>
        <v>2</v>
      </c>
      <c r="R61" s="237">
        <f>IFERROR(VLOOKUP($B61,MMWR_TRAD_AGG_RO_COMP[],R$1,0),"ERROR")</f>
        <v>144</v>
      </c>
      <c r="S61" s="202">
        <f>IFERROR(VLOOKUP($B61,MMWR_APP_RO[],S$1,0),"ERROR")</f>
        <v>5149</v>
      </c>
      <c r="T61" s="28"/>
    </row>
    <row r="62" spans="1:20" x14ac:dyDescent="0.2">
      <c r="A62" s="28"/>
      <c r="B62" s="101" t="s">
        <v>380</v>
      </c>
      <c r="C62" s="213">
        <f>IFERROR(VLOOKUP($B62,MMWR_TRAD_AGG_DISTRICT_COMP[],C$1,0),"ERROR")</f>
        <v>66979</v>
      </c>
      <c r="D62" s="198">
        <f>IFERROR(VLOOKUP($B62,MMWR_TRAD_AGG_DISTRICT_COMP[],D$1,0),"ERROR")</f>
        <v>345.20322787740002</v>
      </c>
      <c r="E62" s="214">
        <f>IFERROR(VLOOKUP($B62,MMWR_TRAD_AGG_DISTRICT_COMP[],E$1,0),"ERROR")</f>
        <v>72454</v>
      </c>
      <c r="F62" s="219">
        <f>IFERROR(VLOOKUP($B62,MMWR_TRAD_AGG_DISTRICT_COMP[],F$1,0),"ERROR")</f>
        <v>17438</v>
      </c>
      <c r="G62" s="215">
        <f t="shared" si="0"/>
        <v>0.24067684323846855</v>
      </c>
      <c r="H62" s="219">
        <f>IFERROR(VLOOKUP($B62,MMWR_TRAD_AGG_DISTRICT_COMP[],H$1,0),"ERROR")</f>
        <v>95089</v>
      </c>
      <c r="I62" s="219">
        <f>IFERROR(VLOOKUP($B62,MMWR_TRAD_AGG_DISTRICT_COMP[],I$1,0),"ERROR")</f>
        <v>63334</v>
      </c>
      <c r="J62" s="215">
        <f t="shared" si="1"/>
        <v>0.66604970080661274</v>
      </c>
      <c r="K62" s="213">
        <f>IFERROR(VLOOKUP($B62,MMWR_TRAD_AGG_DISTRICT_COMP[],K$1,0),"ERROR")</f>
        <v>27732</v>
      </c>
      <c r="L62" s="213">
        <f>IFERROR(VLOOKUP($B62,MMWR_TRAD_AGG_DISTRICT_COMP[],L$1,0),"ERROR")</f>
        <v>19054</v>
      </c>
      <c r="M62" s="215">
        <f t="shared" si="2"/>
        <v>0.68707630174527623</v>
      </c>
      <c r="N62" s="213">
        <f>IFERROR(VLOOKUP($B62,MMWR_TRAD_AGG_DISTRICT_COMP[],N$1,0),"ERROR")</f>
        <v>29951</v>
      </c>
      <c r="O62" s="213">
        <f>IFERROR(VLOOKUP($B62,MMWR_TRAD_AGG_DISTRICT_COMP[],O$1,0),"ERROR")</f>
        <v>20249</v>
      </c>
      <c r="P62" s="215">
        <f t="shared" si="3"/>
        <v>0.67607091582918766</v>
      </c>
      <c r="Q62" s="213">
        <f>IFERROR(VLOOKUP($B62,MMWR_TRAD_AGG_DISTRICT_COMP[],Q$1,0),"ERROR")</f>
        <v>144</v>
      </c>
      <c r="R62" s="216">
        <f>IFERROR(VLOOKUP($B62,MMWR_TRAD_AGG_DISTRICT_COMP[],R$1,0),"ERROR")</f>
        <v>1152</v>
      </c>
      <c r="S62" s="216">
        <f>IFERROR(VLOOKUP($B62,MMWR_APP_RO[],S$1,0),"ERROR")</f>
        <v>88064</v>
      </c>
      <c r="T62" s="28"/>
    </row>
    <row r="63" spans="1:20" x14ac:dyDescent="0.2">
      <c r="A63" s="28"/>
      <c r="B63" s="108" t="s">
        <v>25</v>
      </c>
      <c r="C63" s="220">
        <f>IFERROR(VLOOKUP($B63,MMWR_TRAD_AGG_RO_COMP[],C$1,0),"ERROR")</f>
        <v>13440</v>
      </c>
      <c r="D63" s="221">
        <f>IFERROR(VLOOKUP($B63,MMWR_TRAD_AGG_RO_COMP[],D$1,0),"ERROR")</f>
        <v>350.65081845240002</v>
      </c>
      <c r="E63" s="222">
        <f>IFERROR(VLOOKUP($B63,MMWR_TRAD_AGG_RO_COMP[],E$1,0),"ERROR")</f>
        <v>17233</v>
      </c>
      <c r="F63" s="223">
        <f>IFERROR(VLOOKUP($B63,MMWR_TRAD_AGG_RO_COMP[],F$1,0),"ERROR")</f>
        <v>4197</v>
      </c>
      <c r="G63" s="224">
        <f t="shared" si="0"/>
        <v>0.24354436256020426</v>
      </c>
      <c r="H63" s="225">
        <f>IFERROR(VLOOKUP($B63,MMWR_TRAD_AGG_RO_COMP[],H$1,0),"ERROR")</f>
        <v>19113</v>
      </c>
      <c r="I63" s="223">
        <f>IFERROR(VLOOKUP($B63,MMWR_TRAD_AGG_RO_COMP[],I$1,0),"ERROR")</f>
        <v>13638</v>
      </c>
      <c r="J63" s="224">
        <f t="shared" si="1"/>
        <v>0.71354575419871291</v>
      </c>
      <c r="K63" s="226">
        <f>IFERROR(VLOOKUP($B63,MMWR_TRAD_AGG_RO_COMP[],K$1,0),"ERROR")</f>
        <v>7425</v>
      </c>
      <c r="L63" s="227">
        <f>IFERROR(VLOOKUP($B63,MMWR_TRAD_AGG_RO_COMP[],L$1,0),"ERROR")</f>
        <v>4982</v>
      </c>
      <c r="M63" s="224">
        <f t="shared" si="2"/>
        <v>0.670976430976431</v>
      </c>
      <c r="N63" s="226">
        <f>IFERROR(VLOOKUP($B63,MMWR_TRAD_AGG_RO_COMP[],N$1,0),"ERROR")</f>
        <v>11065</v>
      </c>
      <c r="O63" s="227">
        <f>IFERROR(VLOOKUP($B63,MMWR_TRAD_AGG_RO_COMP[],O$1,0),"ERROR")</f>
        <v>9242</v>
      </c>
      <c r="P63" s="224">
        <f t="shared" si="3"/>
        <v>0.83524627202891999</v>
      </c>
      <c r="Q63" s="228">
        <f>IFERROR(VLOOKUP($B63,MMWR_TRAD_AGG_RO_COMP[],Q$1,0),"ERROR")</f>
        <v>62</v>
      </c>
      <c r="R63" s="228">
        <f>IFERROR(VLOOKUP($B63,MMWR_TRAD_AGG_RO_COMP[],R$1,0),"ERROR")</f>
        <v>5</v>
      </c>
      <c r="S63" s="202">
        <f>IFERROR(VLOOKUP($B63,MMWR_APP_RO[],S$1,0),"ERROR")</f>
        <v>17391</v>
      </c>
      <c r="T63" s="28"/>
    </row>
    <row r="64" spans="1:20" x14ac:dyDescent="0.2">
      <c r="A64" s="28"/>
      <c r="B64" s="108" t="s">
        <v>42</v>
      </c>
      <c r="C64" s="220">
        <f>IFERROR(VLOOKUP($B64,MMWR_TRAD_AGG_RO_COMP[],C$1,0),"ERROR")</f>
        <v>10425</v>
      </c>
      <c r="D64" s="221">
        <f>IFERROR(VLOOKUP($B64,MMWR_TRAD_AGG_RO_COMP[],D$1,0),"ERROR")</f>
        <v>293.88748201440001</v>
      </c>
      <c r="E64" s="222">
        <f>IFERROR(VLOOKUP($B64,MMWR_TRAD_AGG_RO_COMP[],E$1,0),"ERROR")</f>
        <v>8800</v>
      </c>
      <c r="F64" s="223">
        <f>IFERROR(VLOOKUP($B64,MMWR_TRAD_AGG_RO_COMP[],F$1,0),"ERROR")</f>
        <v>2458</v>
      </c>
      <c r="G64" s="224">
        <f t="shared" si="0"/>
        <v>0.2793181818181818</v>
      </c>
      <c r="H64" s="225">
        <f>IFERROR(VLOOKUP($B64,MMWR_TRAD_AGG_RO_COMP[],H$1,0),"ERROR")</f>
        <v>18916</v>
      </c>
      <c r="I64" s="223">
        <f>IFERROR(VLOOKUP($B64,MMWR_TRAD_AGG_RO_COMP[],I$1,0),"ERROR")</f>
        <v>12319</v>
      </c>
      <c r="J64" s="224">
        <f t="shared" si="1"/>
        <v>0.65124762106153522</v>
      </c>
      <c r="K64" s="226">
        <f>IFERROR(VLOOKUP($B64,MMWR_TRAD_AGG_RO_COMP[],K$1,0),"ERROR")</f>
        <v>3166</v>
      </c>
      <c r="L64" s="227">
        <f>IFERROR(VLOOKUP($B64,MMWR_TRAD_AGG_RO_COMP[],L$1,0),"ERROR")</f>
        <v>2179</v>
      </c>
      <c r="M64" s="224">
        <f t="shared" si="2"/>
        <v>0.68825015792798483</v>
      </c>
      <c r="N64" s="226">
        <f>IFERROR(VLOOKUP($B64,MMWR_TRAD_AGG_RO_COMP[],N$1,0),"ERROR")</f>
        <v>1563</v>
      </c>
      <c r="O64" s="227">
        <f>IFERROR(VLOOKUP($B64,MMWR_TRAD_AGG_RO_COMP[],O$1,0),"ERROR")</f>
        <v>689</v>
      </c>
      <c r="P64" s="224">
        <f t="shared" si="3"/>
        <v>0.44081893793985927</v>
      </c>
      <c r="Q64" s="228">
        <f>IFERROR(VLOOKUP($B64,MMWR_TRAD_AGG_RO_COMP[],Q$1,0),"ERROR")</f>
        <v>1</v>
      </c>
      <c r="R64" s="228">
        <f>IFERROR(VLOOKUP($B64,MMWR_TRAD_AGG_RO_COMP[],R$1,0),"ERROR")</f>
        <v>52</v>
      </c>
      <c r="S64" s="202">
        <f>IFERROR(VLOOKUP($B64,MMWR_APP_RO[],S$1,0),"ERROR")</f>
        <v>12784</v>
      </c>
      <c r="T64" s="28"/>
    </row>
    <row r="65" spans="1:20" x14ac:dyDescent="0.2">
      <c r="A65" s="28"/>
      <c r="B65" s="108" t="s">
        <v>56</v>
      </c>
      <c r="C65" s="220">
        <f>IFERROR(VLOOKUP($B65,MMWR_TRAD_AGG_RO_COMP[],C$1,0),"ERROR")</f>
        <v>7717</v>
      </c>
      <c r="D65" s="221">
        <f>IFERROR(VLOOKUP($B65,MMWR_TRAD_AGG_RO_COMP[],D$1,0),"ERROR")</f>
        <v>502.76182454320002</v>
      </c>
      <c r="E65" s="222">
        <f>IFERROR(VLOOKUP($B65,MMWR_TRAD_AGG_RO_COMP[],E$1,0),"ERROR")</f>
        <v>4118</v>
      </c>
      <c r="F65" s="223">
        <f>IFERROR(VLOOKUP($B65,MMWR_TRAD_AGG_RO_COMP[],F$1,0),"ERROR")</f>
        <v>1096</v>
      </c>
      <c r="G65" s="224">
        <f t="shared" si="0"/>
        <v>0.26614861583292859</v>
      </c>
      <c r="H65" s="225">
        <f>IFERROR(VLOOKUP($B65,MMWR_TRAD_AGG_RO_COMP[],H$1,0),"ERROR")</f>
        <v>12329</v>
      </c>
      <c r="I65" s="223">
        <f>IFERROR(VLOOKUP($B65,MMWR_TRAD_AGG_RO_COMP[],I$1,0),"ERROR")</f>
        <v>8097</v>
      </c>
      <c r="J65" s="224">
        <f t="shared" si="1"/>
        <v>0.65674426149728282</v>
      </c>
      <c r="K65" s="226">
        <f>IFERROR(VLOOKUP($B65,MMWR_TRAD_AGG_RO_COMP[],K$1,0),"ERROR")</f>
        <v>3726</v>
      </c>
      <c r="L65" s="227">
        <f>IFERROR(VLOOKUP($B65,MMWR_TRAD_AGG_RO_COMP[],L$1,0),"ERROR")</f>
        <v>3182</v>
      </c>
      <c r="M65" s="224">
        <f t="shared" si="2"/>
        <v>0.8539989264626946</v>
      </c>
      <c r="N65" s="226">
        <f>IFERROR(VLOOKUP($B65,MMWR_TRAD_AGG_RO_COMP[],N$1,0),"ERROR")</f>
        <v>996</v>
      </c>
      <c r="O65" s="227">
        <f>IFERROR(VLOOKUP($B65,MMWR_TRAD_AGG_RO_COMP[],O$1,0),"ERROR")</f>
        <v>405</v>
      </c>
      <c r="P65" s="224">
        <f t="shared" si="3"/>
        <v>0.40662650602409639</v>
      </c>
      <c r="Q65" s="228">
        <f>IFERROR(VLOOKUP($B65,MMWR_TRAD_AGG_RO_COMP[],Q$1,0),"ERROR")</f>
        <v>70</v>
      </c>
      <c r="R65" s="228">
        <f>IFERROR(VLOOKUP($B65,MMWR_TRAD_AGG_RO_COMP[],R$1,0),"ERROR")</f>
        <v>247</v>
      </c>
      <c r="S65" s="202">
        <f>IFERROR(VLOOKUP($B65,MMWR_APP_RO[],S$1,0),"ERROR")</f>
        <v>4868</v>
      </c>
      <c r="T65" s="28"/>
    </row>
    <row r="66" spans="1:20" x14ac:dyDescent="0.2">
      <c r="A66" s="28"/>
      <c r="B66" s="108" t="s">
        <v>60</v>
      </c>
      <c r="C66" s="220">
        <f>IFERROR(VLOOKUP($B66,MMWR_TRAD_AGG_RO_COMP[],C$1,0),"ERROR")</f>
        <v>12331</v>
      </c>
      <c r="D66" s="221">
        <f>IFERROR(VLOOKUP($B66,MMWR_TRAD_AGG_RO_COMP[],D$1,0),"ERROR")</f>
        <v>375.5137458438</v>
      </c>
      <c r="E66" s="222">
        <f>IFERROR(VLOOKUP($B66,MMWR_TRAD_AGG_RO_COMP[],E$1,0),"ERROR")</f>
        <v>7310</v>
      </c>
      <c r="F66" s="223">
        <f>IFERROR(VLOOKUP($B66,MMWR_TRAD_AGG_RO_COMP[],F$1,0),"ERROR")</f>
        <v>1244</v>
      </c>
      <c r="G66" s="224">
        <f t="shared" si="0"/>
        <v>0.17017783857729138</v>
      </c>
      <c r="H66" s="225">
        <f>IFERROR(VLOOKUP($B66,MMWR_TRAD_AGG_RO_COMP[],H$1,0),"ERROR")</f>
        <v>13751</v>
      </c>
      <c r="I66" s="223">
        <f>IFERROR(VLOOKUP($B66,MMWR_TRAD_AGG_RO_COMP[],I$1,0),"ERROR")</f>
        <v>10038</v>
      </c>
      <c r="J66" s="224">
        <f t="shared" si="1"/>
        <v>0.72998327394371321</v>
      </c>
      <c r="K66" s="226">
        <f>IFERROR(VLOOKUP($B66,MMWR_TRAD_AGG_RO_COMP[],K$1,0),"ERROR")</f>
        <v>4747</v>
      </c>
      <c r="L66" s="227">
        <f>IFERROR(VLOOKUP($B66,MMWR_TRAD_AGG_RO_COMP[],L$1,0),"ERROR")</f>
        <v>3769</v>
      </c>
      <c r="M66" s="224">
        <f t="shared" si="2"/>
        <v>0.79397514219507059</v>
      </c>
      <c r="N66" s="226">
        <f>IFERROR(VLOOKUP($B66,MMWR_TRAD_AGG_RO_COMP[],N$1,0),"ERROR")</f>
        <v>1856</v>
      </c>
      <c r="O66" s="227">
        <f>IFERROR(VLOOKUP($B66,MMWR_TRAD_AGG_RO_COMP[],O$1,0),"ERROR")</f>
        <v>1263</v>
      </c>
      <c r="P66" s="224">
        <f t="shared" si="3"/>
        <v>0.68049568965517238</v>
      </c>
      <c r="Q66" s="228">
        <f>IFERROR(VLOOKUP($B66,MMWR_TRAD_AGG_RO_COMP[],Q$1,0),"ERROR")</f>
        <v>0</v>
      </c>
      <c r="R66" s="228">
        <f>IFERROR(VLOOKUP($B66,MMWR_TRAD_AGG_RO_COMP[],R$1,0),"ERROR")</f>
        <v>354</v>
      </c>
      <c r="S66" s="202">
        <f>IFERROR(VLOOKUP($B66,MMWR_APP_RO[],S$1,0),"ERROR")</f>
        <v>10274</v>
      </c>
      <c r="T66" s="28"/>
    </row>
    <row r="67" spans="1:20" x14ac:dyDescent="0.2">
      <c r="A67" s="28"/>
      <c r="B67" s="108" t="s">
        <v>61</v>
      </c>
      <c r="C67" s="220">
        <f>IFERROR(VLOOKUP($B67,MMWR_TRAD_AGG_RO_COMP[],C$1,0),"ERROR")</f>
        <v>4879</v>
      </c>
      <c r="D67" s="221">
        <f>IFERROR(VLOOKUP($B67,MMWR_TRAD_AGG_RO_COMP[],D$1,0),"ERROR")</f>
        <v>233.2100840336</v>
      </c>
      <c r="E67" s="222">
        <f>IFERROR(VLOOKUP($B67,MMWR_TRAD_AGG_RO_COMP[],E$1,0),"ERROR")</f>
        <v>9979</v>
      </c>
      <c r="F67" s="223">
        <f>IFERROR(VLOOKUP($B67,MMWR_TRAD_AGG_RO_COMP[],F$1,0),"ERROR")</f>
        <v>2188</v>
      </c>
      <c r="G67" s="224">
        <f t="shared" si="0"/>
        <v>0.219260446938571</v>
      </c>
      <c r="H67" s="225">
        <f>IFERROR(VLOOKUP($B67,MMWR_TRAD_AGG_RO_COMP[],H$1,0),"ERROR")</f>
        <v>8317</v>
      </c>
      <c r="I67" s="223">
        <f>IFERROR(VLOOKUP($B67,MMWR_TRAD_AGG_RO_COMP[],I$1,0),"ERROR")</f>
        <v>4151</v>
      </c>
      <c r="J67" s="224">
        <f t="shared" si="1"/>
        <v>0.49909823253577013</v>
      </c>
      <c r="K67" s="226">
        <f>IFERROR(VLOOKUP($B67,MMWR_TRAD_AGG_RO_COMP[],K$1,0),"ERROR")</f>
        <v>3331</v>
      </c>
      <c r="L67" s="227">
        <f>IFERROR(VLOOKUP($B67,MMWR_TRAD_AGG_RO_COMP[],L$1,0),"ERROR")</f>
        <v>2056</v>
      </c>
      <c r="M67" s="224">
        <f t="shared" si="2"/>
        <v>0.61723206244371065</v>
      </c>
      <c r="N67" s="226">
        <f>IFERROR(VLOOKUP($B67,MMWR_TRAD_AGG_RO_COMP[],N$1,0),"ERROR")</f>
        <v>1812</v>
      </c>
      <c r="O67" s="227">
        <f>IFERROR(VLOOKUP($B67,MMWR_TRAD_AGG_RO_COMP[],O$1,0),"ERROR")</f>
        <v>1163</v>
      </c>
      <c r="P67" s="224">
        <f t="shared" si="3"/>
        <v>0.64183222958057395</v>
      </c>
      <c r="Q67" s="228">
        <f>IFERROR(VLOOKUP($B67,MMWR_TRAD_AGG_RO_COMP[],Q$1,0),"ERROR")</f>
        <v>2</v>
      </c>
      <c r="R67" s="228">
        <f>IFERROR(VLOOKUP($B67,MMWR_TRAD_AGG_RO_COMP[],R$1,0),"ERROR")</f>
        <v>246</v>
      </c>
      <c r="S67" s="202">
        <f>IFERROR(VLOOKUP($B67,MMWR_APP_RO[],S$1,0),"ERROR")</f>
        <v>6593</v>
      </c>
      <c r="T67" s="28"/>
    </row>
    <row r="68" spans="1:20" x14ac:dyDescent="0.2">
      <c r="A68" s="28"/>
      <c r="B68" s="108" t="s">
        <v>75</v>
      </c>
      <c r="C68" s="220">
        <f>IFERROR(VLOOKUP($B68,MMWR_TRAD_AGG_RO_COMP[],C$1,0),"ERROR")</f>
        <v>2543</v>
      </c>
      <c r="D68" s="221">
        <f>IFERROR(VLOOKUP($B68,MMWR_TRAD_AGG_RO_COMP[],D$1,0),"ERROR")</f>
        <v>385.94691309479998</v>
      </c>
      <c r="E68" s="222">
        <f>IFERROR(VLOOKUP($B68,MMWR_TRAD_AGG_RO_COMP[],E$1,0),"ERROR")</f>
        <v>3501</v>
      </c>
      <c r="F68" s="223">
        <f>IFERROR(VLOOKUP($B68,MMWR_TRAD_AGG_RO_COMP[],F$1,0),"ERROR")</f>
        <v>881</v>
      </c>
      <c r="G68" s="224">
        <f t="shared" si="0"/>
        <v>0.25164238788917453</v>
      </c>
      <c r="H68" s="225">
        <f>IFERROR(VLOOKUP($B68,MMWR_TRAD_AGG_RO_COMP[],H$1,0),"ERROR")</f>
        <v>3728</v>
      </c>
      <c r="I68" s="223">
        <f>IFERROR(VLOOKUP($B68,MMWR_TRAD_AGG_RO_COMP[],I$1,0),"ERROR")</f>
        <v>2953</v>
      </c>
      <c r="J68" s="224">
        <f t="shared" si="1"/>
        <v>0.79211373390557938</v>
      </c>
      <c r="K68" s="226">
        <f>IFERROR(VLOOKUP($B68,MMWR_TRAD_AGG_RO_COMP[],K$1,0),"ERROR")</f>
        <v>860</v>
      </c>
      <c r="L68" s="227">
        <f>IFERROR(VLOOKUP($B68,MMWR_TRAD_AGG_RO_COMP[],L$1,0),"ERROR")</f>
        <v>631</v>
      </c>
      <c r="M68" s="224">
        <f t="shared" si="2"/>
        <v>0.73372093023255813</v>
      </c>
      <c r="N68" s="226">
        <f>IFERROR(VLOOKUP($B68,MMWR_TRAD_AGG_RO_COMP[],N$1,0),"ERROR")</f>
        <v>1020</v>
      </c>
      <c r="O68" s="227">
        <f>IFERROR(VLOOKUP($B68,MMWR_TRAD_AGG_RO_COMP[],O$1,0),"ERROR")</f>
        <v>733</v>
      </c>
      <c r="P68" s="224">
        <f t="shared" si="3"/>
        <v>0.71862745098039216</v>
      </c>
      <c r="Q68" s="228">
        <f>IFERROR(VLOOKUP($B68,MMWR_TRAD_AGG_RO_COMP[],Q$1,0),"ERROR")</f>
        <v>0</v>
      </c>
      <c r="R68" s="228">
        <f>IFERROR(VLOOKUP($B68,MMWR_TRAD_AGG_RO_COMP[],R$1,0),"ERROR")</f>
        <v>2</v>
      </c>
      <c r="S68" s="202">
        <f>IFERROR(VLOOKUP($B68,MMWR_APP_RO[],S$1,0),"ERROR")</f>
        <v>6154</v>
      </c>
      <c r="T68" s="28"/>
    </row>
    <row r="69" spans="1:20" x14ac:dyDescent="0.2">
      <c r="A69" s="28"/>
      <c r="B69" s="116" t="s">
        <v>80</v>
      </c>
      <c r="C69" s="229">
        <f>IFERROR(VLOOKUP($B69,MMWR_TRAD_AGG_RO_COMP[],C$1,0),"ERROR")</f>
        <v>15644</v>
      </c>
      <c r="D69" s="230">
        <f>IFERROR(VLOOKUP($B69,MMWR_TRAD_AGG_RO_COMP[],D$1,0),"ERROR")</f>
        <v>301.41108412170001</v>
      </c>
      <c r="E69" s="231">
        <f>IFERROR(VLOOKUP($B69,MMWR_TRAD_AGG_RO_COMP[],E$1,0),"ERROR")</f>
        <v>21513</v>
      </c>
      <c r="F69" s="232">
        <f>IFERROR(VLOOKUP($B69,MMWR_TRAD_AGG_RO_COMP[],F$1,0),"ERROR")</f>
        <v>5374</v>
      </c>
      <c r="G69" s="233">
        <f t="shared" si="0"/>
        <v>0.24980244503323573</v>
      </c>
      <c r="H69" s="234">
        <f>IFERROR(VLOOKUP($B69,MMWR_TRAD_AGG_RO_COMP[],H$1,0),"ERROR")</f>
        <v>18935</v>
      </c>
      <c r="I69" s="232">
        <f>IFERROR(VLOOKUP($B69,MMWR_TRAD_AGG_RO_COMP[],I$1,0),"ERROR")</f>
        <v>12138</v>
      </c>
      <c r="J69" s="233">
        <f t="shared" si="1"/>
        <v>0.64103512014787434</v>
      </c>
      <c r="K69" s="235">
        <f>IFERROR(VLOOKUP($B69,MMWR_TRAD_AGG_RO_COMP[],K$1,0),"ERROR")</f>
        <v>4477</v>
      </c>
      <c r="L69" s="236">
        <f>IFERROR(VLOOKUP($B69,MMWR_TRAD_AGG_RO_COMP[],L$1,0),"ERROR")</f>
        <v>2255</v>
      </c>
      <c r="M69" s="233">
        <f t="shared" si="2"/>
        <v>0.50368550368550369</v>
      </c>
      <c r="N69" s="235">
        <f>IFERROR(VLOOKUP($B69,MMWR_TRAD_AGG_RO_COMP[],N$1,0),"ERROR")</f>
        <v>11639</v>
      </c>
      <c r="O69" s="236">
        <f>IFERROR(VLOOKUP($B69,MMWR_TRAD_AGG_RO_COMP[],O$1,0),"ERROR")</f>
        <v>6754</v>
      </c>
      <c r="P69" s="233">
        <f t="shared" si="3"/>
        <v>0.58029040295558043</v>
      </c>
      <c r="Q69" s="237">
        <f>IFERROR(VLOOKUP($B69,MMWR_TRAD_AGG_RO_COMP[],Q$1,0),"ERROR")</f>
        <v>9</v>
      </c>
      <c r="R69" s="237">
        <f>IFERROR(VLOOKUP($B69,MMWR_TRAD_AGG_RO_COMP[],R$1,0),"ERROR")</f>
        <v>246</v>
      </c>
      <c r="S69" s="202">
        <f>IFERROR(VLOOKUP($B69,MMWR_APP_RO[],S$1,0),"ERROR")</f>
        <v>30000</v>
      </c>
      <c r="T69" s="28"/>
    </row>
    <row r="70" spans="1:20" x14ac:dyDescent="0.2">
      <c r="A70" s="28"/>
      <c r="B70" s="101" t="s">
        <v>8</v>
      </c>
      <c r="C70" s="213">
        <f>IFERROR(VLOOKUP($B70,MMWR_TRAD_AGG_RO_COMP[],C$1,0),"ERROR")</f>
        <v>55</v>
      </c>
      <c r="D70" s="198">
        <f>IFERROR(VLOOKUP($B70,MMWR_TRAD_AGG_RO_COMP[],D$1,0),"ERROR")</f>
        <v>841.52727272729999</v>
      </c>
      <c r="E70" s="214">
        <f>IFERROR(VLOOKUP($B70,MMWR_TRAD_AGG_RO_COMP[],E$1,0),"ERROR")</f>
        <v>14</v>
      </c>
      <c r="F70" s="219">
        <f>IFERROR(VLOOKUP($B70,MMWR_TRAD_AGG_RO_COMP[],F$1,0),"ERROR")</f>
        <v>0</v>
      </c>
      <c r="G70" s="215">
        <f>IFERROR(F70/E70,"0%")</f>
        <v>0</v>
      </c>
      <c r="H70" s="219">
        <f>IFERROR(VLOOKUP($B70,MMWR_TRAD_AGG_RO_COMP[],H$1,0),"ERROR")</f>
        <v>58</v>
      </c>
      <c r="I70" s="219">
        <f>IFERROR(VLOOKUP($B70,MMWR_TRAD_AGG_RO_COMP[],I$1,0),"ERROR")</f>
        <v>51</v>
      </c>
      <c r="J70" s="215">
        <f>IFERROR(I70/H70,"0%")</f>
        <v>0.87931034482758619</v>
      </c>
      <c r="K70" s="213">
        <f>IFERROR(VLOOKUP($B70,MMWR_TRAD_AGG_RO_COMP[],K$1,0),"ERROR")</f>
        <v>8</v>
      </c>
      <c r="L70" s="213">
        <f>IFERROR(VLOOKUP($B70,MMWR_TRAD_AGG_RO_COMP[],L$1,0),"ERROR")</f>
        <v>7</v>
      </c>
      <c r="M70" s="215">
        <f>IFERROR(L70/K70,"0%")</f>
        <v>0.875</v>
      </c>
      <c r="N70" s="213">
        <f>IFERROR(VLOOKUP($B70,MMWR_TRAD_AGG_RO_COMP[],N$1,0),"ERROR")</f>
        <v>48818</v>
      </c>
      <c r="O70" s="213">
        <f>IFERROR(VLOOKUP($B70,MMWR_TRAD_AGG_RO_COMP[],O$1,0),"ERROR")</f>
        <v>22138</v>
      </c>
      <c r="P70" s="215">
        <f>IFERROR(O70/N70,"0%")</f>
        <v>0.45348027366954813</v>
      </c>
      <c r="Q70" s="213">
        <f>IFERROR(VLOOKUP($B70,MMWR_TRAD_AGG_RO_COMP[],Q$1,0),"ERROR")</f>
        <v>0</v>
      </c>
      <c r="R70" s="216">
        <f>IFERROR(VLOOKUP($B70,MMWR_TRAD_AGG_RO_COMP[],R$1,0),"ERROR")</f>
        <v>1</v>
      </c>
      <c r="S70" s="216">
        <f>IFERROR(VLOOKUP($B70,MMWR_APP_RO[],S$1,0),"ERROR")</f>
        <v>11006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42" t="s">
        <v>487</v>
      </c>
      <c r="D72" s="443"/>
      <c r="E72" s="443"/>
      <c r="F72" s="443"/>
      <c r="G72" s="443"/>
      <c r="H72" s="443"/>
      <c r="I72" s="443"/>
      <c r="J72" s="443"/>
      <c r="K72" s="443"/>
      <c r="L72" s="443"/>
      <c r="M72" s="443"/>
      <c r="N72" s="443"/>
      <c r="O72" s="443"/>
      <c r="P72" s="443"/>
      <c r="Q72" s="443"/>
      <c r="R72" s="443"/>
      <c r="S72" s="444"/>
      <c r="T72" s="28"/>
    </row>
    <row r="73" spans="1:20" x14ac:dyDescent="0.2">
      <c r="A73" s="25"/>
      <c r="B73" s="117"/>
      <c r="C73" s="445" t="s">
        <v>228</v>
      </c>
      <c r="D73" s="446"/>
      <c r="E73" s="447" t="s">
        <v>208</v>
      </c>
      <c r="F73" s="448"/>
      <c r="G73" s="449"/>
      <c r="H73" s="447" t="s">
        <v>7</v>
      </c>
      <c r="I73" s="448"/>
      <c r="J73" s="449"/>
      <c r="K73" s="447" t="s">
        <v>33</v>
      </c>
      <c r="L73" s="448"/>
      <c r="M73" s="449"/>
      <c r="N73" s="447" t="s">
        <v>8</v>
      </c>
      <c r="O73" s="448"/>
      <c r="P73" s="449"/>
      <c r="Q73" s="81" t="s">
        <v>9</v>
      </c>
      <c r="R73" s="82" t="s">
        <v>10</v>
      </c>
      <c r="S73" s="82" t="s">
        <v>11</v>
      </c>
      <c r="T73" s="28"/>
    </row>
    <row r="74" spans="1:20" ht="38.25" x14ac:dyDescent="0.2">
      <c r="A74" s="91"/>
      <c r="B74" s="118"/>
      <c r="C74" s="84" t="s">
        <v>12</v>
      </c>
      <c r="D74" s="85" t="s">
        <v>137</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8">
        <f>IFERROR(VLOOKUP($B75,MMWR_TRAD_AGG_RO_PEN[],C$1,0),"ERROR")</f>
        <v>18569</v>
      </c>
      <c r="D75" s="239">
        <f>IFERROR(VLOOKUP($B75,MMWR_TRAD_AGG_RO_PEN[],D$1,0),"ERROR")</f>
        <v>87.991598901399996</v>
      </c>
      <c r="E75" s="238">
        <f>IFERROR(VLOOKUP($B75,MMWR_TRAD_AGG_RO_PEN[],E$1,0),"ERROR")</f>
        <v>32986</v>
      </c>
      <c r="F75" s="238">
        <f>IFERROR(VLOOKUP($B75,MMWR_TRAD_AGG_RO_PEN[],F$1,0),"ERROR")</f>
        <v>4702</v>
      </c>
      <c r="G75" s="240">
        <f>IFERROR(F75/E75,"0%")</f>
        <v>0.1425453222579276</v>
      </c>
      <c r="H75" s="238">
        <f>IFERROR(VLOOKUP($B75,MMWR_TRAD_AGG_RO_PEN[],H$1,0),"ERROR")</f>
        <v>27246</v>
      </c>
      <c r="I75" s="238">
        <f>IFERROR(VLOOKUP($B75,MMWR_TRAD_AGG_RO_PEN[],I$1,0),"ERROR")</f>
        <v>7057</v>
      </c>
      <c r="J75" s="240">
        <f>IFERROR(I75/H75,"0%")</f>
        <v>0.25901049695368128</v>
      </c>
      <c r="K75" s="238">
        <f>IFERROR(VLOOKUP($B75,MMWR_TRAD_AGG_RO_PEN[],K$1,0),"ERROR")</f>
        <v>608</v>
      </c>
      <c r="L75" s="238">
        <f>IFERROR(VLOOKUP($B75,MMWR_TRAD_AGG_RO_PEN[],L$1,0),"ERROR")</f>
        <v>570</v>
      </c>
      <c r="M75" s="240">
        <f>IFERROR(L75/K75,"0%")</f>
        <v>0.9375</v>
      </c>
      <c r="N75" s="238">
        <f>IFERROR(VLOOKUP($B75,MMWR_TRAD_AGG_RO_PEN[],N$1,0),"ERROR")</f>
        <v>1698</v>
      </c>
      <c r="O75" s="238">
        <f>IFERROR(VLOOKUP($B75,MMWR_TRAD_AGG_RO_PEN[],O$1,0),"ERROR")</f>
        <v>519</v>
      </c>
      <c r="P75" s="240">
        <f>IFERROR(O75/N75,"0%")</f>
        <v>0.30565371024734983</v>
      </c>
      <c r="Q75" s="238">
        <f>IFERROR(VLOOKUP($B75,MMWR_TRAD_AGG_RO_PEN[],Q$1,0),"ERROR")</f>
        <v>9317</v>
      </c>
      <c r="R75" s="241">
        <f>IFERROR(VLOOKUP($B75,MMWR_TRAD_AGG_RO_PEN[],R$1,0),"ERROR")</f>
        <v>5848</v>
      </c>
      <c r="S75" s="241">
        <f>IFERROR(VLOOKUP($B75,MMWR_APP_RO[],S$1,0),"ERROR")</f>
        <v>7652</v>
      </c>
      <c r="T75" s="28"/>
    </row>
    <row r="76" spans="1:20" x14ac:dyDescent="0.2">
      <c r="A76" s="107"/>
      <c r="B76" s="122" t="s">
        <v>213</v>
      </c>
      <c r="C76" s="242">
        <f>IFERROR(VLOOKUP($B76,MMWR_TRAD_AGG_RO_PEN[],C$1,0),"ERROR")</f>
        <v>13159</v>
      </c>
      <c r="D76" s="243">
        <f>IFERROR(VLOOKUP($B76,MMWR_TRAD_AGG_RO_PEN[],D$1,0),"ERROR")</f>
        <v>104.5683562581</v>
      </c>
      <c r="E76" s="242">
        <f>IFERROR(VLOOKUP($B76,MMWR_TRAD_AGG_RO_PEN[],E$1,0),"ERROR")</f>
        <v>17809</v>
      </c>
      <c r="F76" s="242">
        <f>IFERROR(VLOOKUP($B76,MMWR_TRAD_AGG_RO_PEN[],F$1,0),"ERROR")</f>
        <v>3625</v>
      </c>
      <c r="G76" s="224">
        <f>IFERROR(F76/E76,"0%")</f>
        <v>0.20354876747711831</v>
      </c>
      <c r="H76" s="242">
        <f>IFERROR(VLOOKUP($B76,MMWR_TRAD_AGG_RO_PEN[],H$1,0),"ERROR")</f>
        <v>18111</v>
      </c>
      <c r="I76" s="242">
        <f>IFERROR(VLOOKUP($B76,MMWR_TRAD_AGG_RO_PEN[],I$1,0),"ERROR")</f>
        <v>6479</v>
      </c>
      <c r="J76" s="224">
        <f>IFERROR(I76/H76,"0%")</f>
        <v>0.35773839103307381</v>
      </c>
      <c r="K76" s="242">
        <f>IFERROR(VLOOKUP($B76,MMWR_TRAD_AGG_RO_PEN[],K$1,0),"ERROR")</f>
        <v>353</v>
      </c>
      <c r="L76" s="242">
        <f>IFERROR(VLOOKUP($B76,MMWR_TRAD_AGG_RO_PEN[],L$1,0),"ERROR")</f>
        <v>343</v>
      </c>
      <c r="M76" s="224">
        <f>IFERROR(L76/K76,"0%")</f>
        <v>0.97167138810198306</v>
      </c>
      <c r="N76" s="242">
        <f>IFERROR(VLOOKUP($B76,MMWR_TRAD_AGG_RO_PEN[],N$1,0),"ERROR")</f>
        <v>878</v>
      </c>
      <c r="O76" s="242">
        <f>IFERROR(VLOOKUP($B76,MMWR_TRAD_AGG_RO_PEN[],O$1,0),"ERROR")</f>
        <v>247</v>
      </c>
      <c r="P76" s="224">
        <f>IFERROR(O76/N76,"0%")</f>
        <v>0.28132118451025057</v>
      </c>
      <c r="Q76" s="242">
        <f>IFERROR(VLOOKUP($B76,MMWR_TRAD_AGG_RO_PEN[],Q$1,0),"ERROR")</f>
        <v>2215</v>
      </c>
      <c r="R76" s="242">
        <f>IFERROR(VLOOKUP($B76,MMWR_TRAD_AGG_RO_PEN[],R$1,0),"ERROR")</f>
        <v>4322</v>
      </c>
      <c r="S76" s="244">
        <f>IFERROR(VLOOKUP($B76,MMWR_APP_RO[],S$1,0),"ERROR")</f>
        <v>2914</v>
      </c>
      <c r="T76" s="28"/>
    </row>
    <row r="77" spans="1:20" x14ac:dyDescent="0.2">
      <c r="A77" s="107"/>
      <c r="B77" s="122" t="s">
        <v>212</v>
      </c>
      <c r="C77" s="242">
        <f>IFERROR(VLOOKUP($B77,MMWR_TRAD_AGG_RO_PEN[],C$1,0),"ERROR")</f>
        <v>3001</v>
      </c>
      <c r="D77" s="243">
        <f>IFERROR(VLOOKUP($B77,MMWR_TRAD_AGG_RO_PEN[],D$1,0),"ERROR")</f>
        <v>53.574808397200002</v>
      </c>
      <c r="E77" s="242">
        <f>IFERROR(VLOOKUP($B77,MMWR_TRAD_AGG_RO_PEN[],E$1,0),"ERROR")</f>
        <v>7927</v>
      </c>
      <c r="F77" s="242">
        <f>IFERROR(VLOOKUP($B77,MMWR_TRAD_AGG_RO_PEN[],F$1,0),"ERROR")</f>
        <v>712</v>
      </c>
      <c r="G77" s="224">
        <f>IFERROR(F77/E77,"0%")</f>
        <v>8.9819603885454777E-2</v>
      </c>
      <c r="H77" s="242">
        <f>IFERROR(VLOOKUP($B77,MMWR_TRAD_AGG_RO_PEN[],H$1,0),"ERROR")</f>
        <v>5001</v>
      </c>
      <c r="I77" s="242">
        <f>IFERROR(VLOOKUP($B77,MMWR_TRAD_AGG_RO_PEN[],I$1,0),"ERROR")</f>
        <v>226</v>
      </c>
      <c r="J77" s="224">
        <f>IFERROR(I77/H77,"0%")</f>
        <v>4.5190961807638472E-2</v>
      </c>
      <c r="K77" s="242">
        <f>IFERROR(VLOOKUP($B77,MMWR_TRAD_AGG_RO_PEN[],K$1,0),"ERROR")</f>
        <v>3</v>
      </c>
      <c r="L77" s="242">
        <f>IFERROR(VLOOKUP($B77,MMWR_TRAD_AGG_RO_PEN[],L$1,0),"ERROR")</f>
        <v>3</v>
      </c>
      <c r="M77" s="224">
        <f>IFERROR(L77/K77,"0%")</f>
        <v>1</v>
      </c>
      <c r="N77" s="242">
        <f>IFERROR(VLOOKUP($B77,MMWR_TRAD_AGG_RO_PEN[],N$1,0),"ERROR")</f>
        <v>463</v>
      </c>
      <c r="O77" s="242">
        <f>IFERROR(VLOOKUP($B77,MMWR_TRAD_AGG_RO_PEN[],O$1,0),"ERROR")</f>
        <v>77</v>
      </c>
      <c r="P77" s="224">
        <f>IFERROR(O77/N77,"0%")</f>
        <v>0.16630669546436286</v>
      </c>
      <c r="Q77" s="242">
        <f>IFERROR(VLOOKUP($B77,MMWR_TRAD_AGG_RO_PEN[],Q$1,0),"ERROR")</f>
        <v>968</v>
      </c>
      <c r="R77" s="242">
        <f>IFERROR(VLOOKUP($B77,MMWR_TRAD_AGG_RO_PEN[],R$1,0),"ERROR")</f>
        <v>753</v>
      </c>
      <c r="S77" s="244">
        <f>IFERROR(VLOOKUP($B77,MMWR_APP_RO[],S$1,0),"ERROR")</f>
        <v>2765</v>
      </c>
      <c r="T77" s="28"/>
    </row>
    <row r="78" spans="1:20" x14ac:dyDescent="0.2">
      <c r="A78" s="107"/>
      <c r="B78" s="122" t="s">
        <v>215</v>
      </c>
      <c r="C78" s="242">
        <f>IFERROR(VLOOKUP($B78,MMWR_TRAD_AGG_RO_PEN[],C$1,0),"ERROR")</f>
        <v>2409</v>
      </c>
      <c r="D78" s="243">
        <f>IFERROR(VLOOKUP($B78,MMWR_TRAD_AGG_RO_PEN[],D$1,0),"ERROR")</f>
        <v>40.316728933199997</v>
      </c>
      <c r="E78" s="242">
        <f>IFERROR(VLOOKUP($B78,MMWR_TRAD_AGG_RO_PEN[],E$1,0),"ERROR")</f>
        <v>6992</v>
      </c>
      <c r="F78" s="242">
        <f>IFERROR(VLOOKUP($B78,MMWR_TRAD_AGG_RO_PEN[],F$1,0),"ERROR")</f>
        <v>253</v>
      </c>
      <c r="G78" s="224">
        <f>IFERROR(F78/E78,"0%")</f>
        <v>3.6184210526315791E-2</v>
      </c>
      <c r="H78" s="242">
        <f>IFERROR(VLOOKUP($B78,MMWR_TRAD_AGG_RO_PEN[],H$1,0),"ERROR")</f>
        <v>3671</v>
      </c>
      <c r="I78" s="242">
        <f>IFERROR(VLOOKUP($B78,MMWR_TRAD_AGG_RO_PEN[],I$1,0),"ERROR")</f>
        <v>29</v>
      </c>
      <c r="J78" s="224">
        <f>IFERROR(I78/H78,"0%")</f>
        <v>7.8997548351947694E-3</v>
      </c>
      <c r="K78" s="242">
        <f>IFERROR(VLOOKUP($B78,MMWR_TRAD_AGG_RO_PEN[],K$1,0),"ERROR")</f>
        <v>27</v>
      </c>
      <c r="L78" s="242">
        <f>IFERROR(VLOOKUP($B78,MMWR_TRAD_AGG_RO_PEN[],L$1,0),"ERROR")</f>
        <v>5</v>
      </c>
      <c r="M78" s="224">
        <f>IFERROR(L78/K78,"0%")</f>
        <v>0.18518518518518517</v>
      </c>
      <c r="N78" s="242">
        <f>IFERROR(VLOOKUP($B78,MMWR_TRAD_AGG_RO_PEN[],N$1,0),"ERROR")</f>
        <v>149</v>
      </c>
      <c r="O78" s="242">
        <f>IFERROR(VLOOKUP($B78,MMWR_TRAD_AGG_RO_PEN[],O$1,0),"ERROR")</f>
        <v>37</v>
      </c>
      <c r="P78" s="224">
        <f>IFERROR(O78/N78,"0%")</f>
        <v>0.24832214765100671</v>
      </c>
      <c r="Q78" s="242">
        <f>IFERROR(VLOOKUP($B78,MMWR_TRAD_AGG_RO_PEN[],Q$1,0),"ERROR")</f>
        <v>6121</v>
      </c>
      <c r="R78" s="242">
        <f>IFERROR(VLOOKUP($B78,MMWR_TRAD_AGG_RO_PEN[],R$1,0),"ERROR")</f>
        <v>773</v>
      </c>
      <c r="S78" s="244">
        <f>IFERROR(VLOOKUP($B78,MMWR_APP_RO[],S$1,0),"ERROR")</f>
        <v>1973</v>
      </c>
      <c r="T78" s="28"/>
    </row>
    <row r="79" spans="1:20" x14ac:dyDescent="0.2">
      <c r="A79" s="92"/>
      <c r="B79" s="101" t="s">
        <v>227</v>
      </c>
      <c r="C79" s="219">
        <f>IFERROR(VLOOKUP($B79,MMWR_TRAD_AGG_RO_PEN[],C$1,0),"ERROR")</f>
        <v>0</v>
      </c>
      <c r="D79" s="190">
        <f>IFERROR(VLOOKUP($B79,MMWR_TRAD_AGG_RO_PEN[],D$1,0),"ERROR")</f>
        <v>0</v>
      </c>
      <c r="E79" s="219">
        <f>IFERROR(VLOOKUP($B79,MMWR_TRAD_AGG_RO_PEN[],E$1,0),"ERROR")</f>
        <v>258</v>
      </c>
      <c r="F79" s="219">
        <f>IFERROR(VLOOKUP($B79,MMWR_TRAD_AGG_RO_PEN[],F$1,0),"ERROR")</f>
        <v>112</v>
      </c>
      <c r="G79" s="215">
        <f>IFERROR(F79/E79,"0%")</f>
        <v>0.43410852713178294</v>
      </c>
      <c r="H79" s="219">
        <f>IFERROR(VLOOKUP($B79,MMWR_TRAD_AGG_RO_PEN[],H$1,0),"ERROR")</f>
        <v>463</v>
      </c>
      <c r="I79" s="219">
        <f>IFERROR(VLOOKUP($B79,MMWR_TRAD_AGG_RO_PEN[],I$1,0),"ERROR")</f>
        <v>323</v>
      </c>
      <c r="J79" s="215">
        <f>IFERROR(I79/H79,"0%")</f>
        <v>0.69762419006479481</v>
      </c>
      <c r="K79" s="219">
        <f>IFERROR(VLOOKUP($B79,MMWR_TRAD_AGG_RO_PEN[],K$1,0),"ERROR")</f>
        <v>225</v>
      </c>
      <c r="L79" s="219">
        <f>IFERROR(VLOOKUP($B79,MMWR_TRAD_AGG_RO_PEN[],L$1,0),"ERROR")</f>
        <v>219</v>
      </c>
      <c r="M79" s="215">
        <f>IFERROR(L79/K79,"0%")</f>
        <v>0.97333333333333338</v>
      </c>
      <c r="N79" s="219">
        <f>IFERROR(VLOOKUP($B79,MMWR_TRAD_AGG_RO_PEN[],N$1,0),"ERROR")</f>
        <v>208</v>
      </c>
      <c r="O79" s="219">
        <f>IFERROR(VLOOKUP($B79,MMWR_TRAD_AGG_RO_PEN[],O$1,0),"ERROR")</f>
        <v>158</v>
      </c>
      <c r="P79" s="215">
        <f>IFERROR(O79/N79,"0%")</f>
        <v>0.75961538461538458</v>
      </c>
      <c r="Q79" s="219">
        <f>IFERROR(VLOOKUP($B79,MMWR_TRAD_AGG_RO_PEN[],Q$1,0),"ERROR")</f>
        <v>13</v>
      </c>
      <c r="R79" s="245">
        <f>IFERROR(VLOOKUP($B79,MMWR_TRAD_AGG_RO_PEN[],R$1,0),"ERROR")</f>
        <v>0</v>
      </c>
      <c r="S79" s="245"/>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42" t="str">
        <f>UPPER("INVENTORY BY STATE "&amp;Transformation!B4)</f>
        <v>INVENTORY BY STATE AS OF: DECEMBER 26, 2015</v>
      </c>
      <c r="D2" s="443"/>
      <c r="E2" s="443"/>
      <c r="F2" s="443"/>
      <c r="G2" s="443"/>
      <c r="H2" s="443"/>
      <c r="I2" s="443"/>
      <c r="J2" s="443"/>
      <c r="K2" s="443"/>
      <c r="L2" s="443"/>
      <c r="M2" s="443"/>
      <c r="N2" s="443"/>
      <c r="O2" s="443"/>
      <c r="P2" s="443"/>
      <c r="Q2" s="443"/>
      <c r="R2" s="443"/>
      <c r="S2" s="444"/>
      <c r="T2" s="28"/>
    </row>
    <row r="3" spans="1:20" s="123" customFormat="1" x14ac:dyDescent="0.2">
      <c r="A3" s="25"/>
      <c r="B3" s="26"/>
      <c r="C3" s="450" t="s">
        <v>228</v>
      </c>
      <c r="D3" s="450"/>
      <c r="E3" s="447" t="s">
        <v>208</v>
      </c>
      <c r="F3" s="448"/>
      <c r="G3" s="449"/>
      <c r="H3" s="447" t="s">
        <v>7</v>
      </c>
      <c r="I3" s="448"/>
      <c r="J3" s="449"/>
      <c r="K3" s="447" t="s">
        <v>33</v>
      </c>
      <c r="L3" s="448"/>
      <c r="M3" s="449"/>
      <c r="N3" s="447" t="s">
        <v>8</v>
      </c>
      <c r="O3" s="448"/>
      <c r="P3" s="449"/>
      <c r="Q3" s="81" t="s">
        <v>9</v>
      </c>
      <c r="R3" s="82" t="s">
        <v>10</v>
      </c>
      <c r="S3" s="82" t="s">
        <v>11</v>
      </c>
      <c r="T3" s="28"/>
    </row>
    <row r="4" spans="1:20" s="123" customFormat="1" ht="38.25" x14ac:dyDescent="0.2">
      <c r="A4" s="83"/>
      <c r="B4" s="54"/>
      <c r="C4" s="84" t="s">
        <v>12</v>
      </c>
      <c r="D4" s="85" t="s">
        <v>137</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42" t="s">
        <v>486</v>
      </c>
      <c r="D5" s="443"/>
      <c r="E5" s="443"/>
      <c r="F5" s="443"/>
      <c r="G5" s="443"/>
      <c r="H5" s="443"/>
      <c r="I5" s="443"/>
      <c r="J5" s="443"/>
      <c r="K5" s="443"/>
      <c r="L5" s="443"/>
      <c r="M5" s="443"/>
      <c r="N5" s="443"/>
      <c r="O5" s="443"/>
      <c r="P5" s="443"/>
      <c r="Q5" s="443"/>
      <c r="R5" s="443"/>
      <c r="S5" s="444"/>
      <c r="T5" s="28"/>
    </row>
    <row r="6" spans="1:20" s="123" customFormat="1" x14ac:dyDescent="0.2">
      <c r="A6" s="92"/>
      <c r="B6" s="125" t="s">
        <v>461</v>
      </c>
      <c r="C6" s="94">
        <f>IFERROR(VLOOKUP($B6,MMWR_TRAD_AGG_ST_DISTRICT_COMP[],C$1,0),"ERROR")</f>
        <v>323771</v>
      </c>
      <c r="D6" s="95">
        <f>IFERROR(VLOOKUP($B6,MMWR_TRAD_AGG_ST_DISTRICT_COMP[],D$1,0),"ERROR")</f>
        <v>384.4743105467</v>
      </c>
      <c r="E6" s="96">
        <f>IFERROR(VLOOKUP($B6,MMWR_TRAD_AGG_ST_DISTRICT_COMP[],E$1,0),"ERROR")</f>
        <v>331937</v>
      </c>
      <c r="F6" s="97">
        <f>IFERROR(VLOOKUP($B6,MMWR_TRAD_AGG_ST_DISTRICT_COMP[],F$1,0),"ERROR")</f>
        <v>72980</v>
      </c>
      <c r="G6" s="98">
        <f t="shared" ref="G6:G37" si="0">IFERROR(F6/E6,"0%")</f>
        <v>0.21986099771944675</v>
      </c>
      <c r="H6" s="96">
        <f>IFERROR(VLOOKUP($B6,MMWR_TRAD_AGG_ST_DISTRICT_COMP[],H$1,0),"ERROR")</f>
        <v>470112</v>
      </c>
      <c r="I6" s="97">
        <f>IFERROR(VLOOKUP($B6,MMWR_TRAD_AGG_ST_DISTRICT_COMP[],I$1,0),"ERROR")</f>
        <v>308597</v>
      </c>
      <c r="J6" s="99">
        <f t="shared" ref="J6:J37" si="1">IFERROR(I6/H6,"0%")</f>
        <v>0.65643293513035195</v>
      </c>
      <c r="K6" s="96">
        <f>IFERROR(VLOOKUP($B6,MMWR_TRAD_AGG_ST_DISTRICT_COMP[],K$1,0),"ERROR")</f>
        <v>129572</v>
      </c>
      <c r="L6" s="97">
        <f>IFERROR(VLOOKUP($B6,MMWR_TRAD_AGG_ST_DISTRICT_COMP[],L$1,0),"ERROR")</f>
        <v>86294</v>
      </c>
      <c r="M6" s="99">
        <f t="shared" ref="M6:M37" si="2">IFERROR(L6/K6,"0%")</f>
        <v>0.6659926527336153</v>
      </c>
      <c r="N6" s="96">
        <f>IFERROR(VLOOKUP($B6,MMWR_TRAD_AGG_ST_DISTRICT_COMP[],N$1,0),"ERROR")</f>
        <v>163561</v>
      </c>
      <c r="O6" s="97">
        <f>IFERROR(VLOOKUP($B6,MMWR_TRAD_AGG_ST_DISTRICT_COMP[],O$1,0),"ERROR")</f>
        <v>101324</v>
      </c>
      <c r="P6" s="99">
        <f t="shared" ref="P6:P37" si="3">IFERROR(O6/N6,"0%")</f>
        <v>0.61948753064605866</v>
      </c>
      <c r="Q6" s="100">
        <f>IFERROR(VLOOKUP($B6,MMWR_TRAD_AGG_ST_DISTRICT_COMP[],Q$1,0),"ERROR")</f>
        <v>18690</v>
      </c>
      <c r="R6" s="100">
        <f>IFERROR(VLOOKUP($B6,MMWR_TRAD_AGG_ST_DISTRICT_COMP[],R$1,0),"ERROR")</f>
        <v>4014</v>
      </c>
      <c r="S6" s="100">
        <f>S7+S23+S36+S46+S56+S64</f>
        <v>313510</v>
      </c>
      <c r="T6" s="28"/>
    </row>
    <row r="7" spans="1:20" s="123" customFormat="1" x14ac:dyDescent="0.2">
      <c r="A7" s="92"/>
      <c r="B7" s="126" t="s">
        <v>369</v>
      </c>
      <c r="C7" s="102">
        <f>IF(SUM(C8:C22)&lt;&gt;VLOOKUP($B7,MMWR_TRAD_AGG_ST_DISTRICT_COMP[],C$1,0),"ERROR",
VLOOKUP($B7,MMWR_TRAD_AGG_ST_DISTRICT_COMP[],C$1,0))</f>
        <v>73423</v>
      </c>
      <c r="D7" s="103">
        <f>IFERROR(VLOOKUP($B7,MMWR_TRAD_AGG_ST_DISTRICT_COMP[],D$1,0),"ERROR")</f>
        <v>421.98219903839998</v>
      </c>
      <c r="E7" s="102">
        <f>IF(SUM(E8:E22)&lt;&gt;VLOOKUP($B7,MMWR_TRAD_AGG_ST_DISTRICT_COMP[],E$1,0),"ERROR",
VLOOKUP($B7,MMWR_TRAD_AGG_ST_DISTRICT_COMP[],E$1,0))</f>
        <v>72608</v>
      </c>
      <c r="F7" s="102">
        <f>IFERROR(VLOOKUP($B7,MMWR_TRAD_AGG_ST_DISTRICT_COMP[],F$1,0),"ERROR")</f>
        <v>16497</v>
      </c>
      <c r="G7" s="104">
        <f t="shared" si="0"/>
        <v>0.22720636844424857</v>
      </c>
      <c r="H7" s="102">
        <f>IF(SUM(H8:H22)&lt;&gt;VLOOKUP($B7,MMWR_TRAD_AGG_ST_DISTRICT_COMP[],H$1,0),"ERROR",
VLOOKUP($B7,MMWR_TRAD_AGG_ST_DISTRICT_COMP[],H$1,0))</f>
        <v>104116</v>
      </c>
      <c r="I7" s="102">
        <f>IF(SUM(I8:I22)&lt;&gt;VLOOKUP($B7,MMWR_TRAD_AGG_ST_DISTRICT_COMP[],I$1,0),"ERROR",
VLOOKUP($B7,MMWR_TRAD_AGG_ST_DISTRICT_COMP[],I$1,0))</f>
        <v>70796</v>
      </c>
      <c r="J7" s="105">
        <f t="shared" si="1"/>
        <v>0.67997233854546857</v>
      </c>
      <c r="K7" s="102">
        <f>IF(SUM(K8:K22)&lt;&gt;VLOOKUP($B7,MMWR_TRAD_AGG_ST_DISTRICT_COMP[],K$1,0),"ERROR",
VLOOKUP($B7,MMWR_TRAD_AGG_ST_DISTRICT_COMP[],K$1,0))</f>
        <v>35104</v>
      </c>
      <c r="L7" s="102">
        <f>IF(SUM(L8:L22)&lt;&gt;VLOOKUP($B7,MMWR_TRAD_AGG_ST_DISTRICT_COMP[],L$1,0),"ERROR",
VLOOKUP($B7,MMWR_TRAD_AGG_ST_DISTRICT_COMP[],L$1,0))</f>
        <v>24773</v>
      </c>
      <c r="M7" s="105">
        <f t="shared" si="2"/>
        <v>0.70570305378304465</v>
      </c>
      <c r="N7" s="102">
        <f>IF(SUM(N8:N22)&lt;&gt;VLOOKUP($B7,MMWR_TRAD_AGG_ST_DISTRICT_COMP[],N$1,0),"ERROR",
VLOOKUP($B7,MMWR_TRAD_AGG_ST_DISTRICT_COMP[],N$1,0))</f>
        <v>39043</v>
      </c>
      <c r="O7" s="102">
        <f>IF(SUM(O8:O22)&lt;&gt;VLOOKUP($B7,MMWR_TRAD_AGG_ST_DISTRICT_COMP[],O$1,0),"ERROR",
VLOOKUP($B7,MMWR_TRAD_AGG_ST_DISTRICT_COMP[],O$1,0))</f>
        <v>26546</v>
      </c>
      <c r="P7" s="105">
        <f t="shared" si="3"/>
        <v>0.67991701457367515</v>
      </c>
      <c r="Q7" s="102">
        <f>IF(SUM(Q8:Q22)&lt;&gt;VLOOKUP($B7,MMWR_TRAD_AGG_ST_DISTRICT_COMP[],Q$1,0),"ERROR",
VLOOKUP($B7,MMWR_TRAD_AGG_ST_DISTRICT_COMP[],Q$1,0))</f>
        <v>8513</v>
      </c>
      <c r="R7" s="106">
        <f>IFERROR(VLOOKUP($B7,MMWR_TRAD_AGG_ST_DISTRICT_COMP[],R$1,0),"ERROR")</f>
        <v>121</v>
      </c>
      <c r="S7" s="106">
        <f>SUM(S8:S22)</f>
        <v>57189</v>
      </c>
      <c r="T7" s="28"/>
    </row>
    <row r="8" spans="1:20" s="123" customFormat="1" x14ac:dyDescent="0.2">
      <c r="A8" s="107"/>
      <c r="B8" s="127" t="s">
        <v>373</v>
      </c>
      <c r="C8" s="109">
        <f>IFERROR(VLOOKUP($B8,MMWR_TRAD_AGG_STATE_COMP[],C$1,0),"ERROR")</f>
        <v>1542</v>
      </c>
      <c r="D8" s="110">
        <f>IFERROR(VLOOKUP($B8,MMWR_TRAD_AGG_STATE_COMP[],D$1,0),"ERROR")</f>
        <v>315.85992217900002</v>
      </c>
      <c r="E8" s="111">
        <f>IFERROR(VLOOKUP($B8,MMWR_TRAD_AGG_STATE_COMP[],E$1,0),"ERROR")</f>
        <v>1975</v>
      </c>
      <c r="F8" s="112">
        <f>IFERROR(VLOOKUP($B8,MMWR_TRAD_AGG_STATE_COMP[],F$1,0),"ERROR")</f>
        <v>376</v>
      </c>
      <c r="G8" s="113">
        <f t="shared" si="0"/>
        <v>0.19037974683544304</v>
      </c>
      <c r="H8" s="111">
        <f>IFERROR(VLOOKUP($B8,MMWR_TRAD_AGG_STATE_COMP[],H$1,0),"ERROR")</f>
        <v>3204</v>
      </c>
      <c r="I8" s="112">
        <f>IFERROR(VLOOKUP($B8,MMWR_TRAD_AGG_STATE_COMP[],I$1,0),"ERROR")</f>
        <v>2084</v>
      </c>
      <c r="J8" s="114">
        <f t="shared" si="1"/>
        <v>0.65043695380774036</v>
      </c>
      <c r="K8" s="111">
        <f>IFERROR(VLOOKUP($B8,MMWR_TRAD_AGG_STATE_COMP[],K$1,0),"ERROR")</f>
        <v>618</v>
      </c>
      <c r="L8" s="112">
        <f>IFERROR(VLOOKUP($B8,MMWR_TRAD_AGG_STATE_COMP[],L$1,0),"ERROR")</f>
        <v>376</v>
      </c>
      <c r="M8" s="114">
        <f t="shared" si="2"/>
        <v>0.60841423948220064</v>
      </c>
      <c r="N8" s="111">
        <f>IFERROR(VLOOKUP($B8,MMWR_TRAD_AGG_STATE_COMP[],N$1,0),"ERROR")</f>
        <v>1035</v>
      </c>
      <c r="O8" s="112">
        <f>IFERROR(VLOOKUP($B8,MMWR_TRAD_AGG_STATE_COMP[],O$1,0),"ERROR")</f>
        <v>687</v>
      </c>
      <c r="P8" s="114">
        <f t="shared" si="3"/>
        <v>0.663768115942029</v>
      </c>
      <c r="Q8" s="115">
        <f>IFERROR(VLOOKUP($B8,MMWR_TRAD_AGG_STATE_COMP[],Q$1,0),"ERROR")</f>
        <v>302</v>
      </c>
      <c r="R8" s="115">
        <f>IFERROR(VLOOKUP($B8,MMWR_TRAD_AGG_STATE_COMP[],R$1,0),"ERROR")</f>
        <v>5</v>
      </c>
      <c r="S8" s="115">
        <f>IFERROR(VLOOKUP($B8,MMWR_APP_STATE_COMP[],S$1,0),"ERROR")</f>
        <v>1099</v>
      </c>
      <c r="T8" s="28"/>
    </row>
    <row r="9" spans="1:20" s="123" customFormat="1" x14ac:dyDescent="0.2">
      <c r="A9" s="107"/>
      <c r="B9" s="127" t="s">
        <v>423</v>
      </c>
      <c r="C9" s="109">
        <f>IFERROR(VLOOKUP($B9,MMWR_TRAD_AGG_STATE_COMP[],C$1,0),"ERROR")</f>
        <v>840</v>
      </c>
      <c r="D9" s="110">
        <f>IFERROR(VLOOKUP($B9,MMWR_TRAD_AGG_STATE_COMP[],D$1,0),"ERROR")</f>
        <v>405.35</v>
      </c>
      <c r="E9" s="111">
        <f>IFERROR(VLOOKUP($B9,MMWR_TRAD_AGG_STATE_COMP[],E$1,0),"ERROR")</f>
        <v>834</v>
      </c>
      <c r="F9" s="112">
        <f>IFERROR(VLOOKUP($B9,MMWR_TRAD_AGG_STATE_COMP[],F$1,0),"ERROR")</f>
        <v>257</v>
      </c>
      <c r="G9" s="113">
        <f t="shared" si="0"/>
        <v>0.30815347721822545</v>
      </c>
      <c r="H9" s="111">
        <f>IFERROR(VLOOKUP($B9,MMWR_TRAD_AGG_STATE_COMP[],H$1,0),"ERROR")</f>
        <v>1129</v>
      </c>
      <c r="I9" s="112">
        <f>IFERROR(VLOOKUP($B9,MMWR_TRAD_AGG_STATE_COMP[],I$1,0),"ERROR")</f>
        <v>779</v>
      </c>
      <c r="J9" s="114">
        <f t="shared" si="1"/>
        <v>0.68999114260407435</v>
      </c>
      <c r="K9" s="111">
        <f>IFERROR(VLOOKUP($B9,MMWR_TRAD_AGG_STATE_COMP[],K$1,0),"ERROR")</f>
        <v>258</v>
      </c>
      <c r="L9" s="112">
        <f>IFERROR(VLOOKUP($B9,MMWR_TRAD_AGG_STATE_COMP[],L$1,0),"ERROR")</f>
        <v>156</v>
      </c>
      <c r="M9" s="114">
        <f t="shared" si="2"/>
        <v>0.60465116279069764</v>
      </c>
      <c r="N9" s="111">
        <f>IFERROR(VLOOKUP($B9,MMWR_TRAD_AGG_STATE_COMP[],N$1,0),"ERROR")</f>
        <v>383</v>
      </c>
      <c r="O9" s="112">
        <f>IFERROR(VLOOKUP($B9,MMWR_TRAD_AGG_STATE_COMP[],O$1,0),"ERROR")</f>
        <v>215</v>
      </c>
      <c r="P9" s="114">
        <f t="shared" si="3"/>
        <v>0.56135770234986948</v>
      </c>
      <c r="Q9" s="115">
        <f>IFERROR(VLOOKUP($B9,MMWR_TRAD_AGG_STATE_COMP[],Q$1,0),"ERROR")</f>
        <v>75</v>
      </c>
      <c r="R9" s="115">
        <f>IFERROR(VLOOKUP($B9,MMWR_TRAD_AGG_STATE_COMP[],R$1,0),"ERROR")</f>
        <v>1</v>
      </c>
      <c r="S9" s="115">
        <f>IFERROR(VLOOKUP($B9,MMWR_APP_STATE_COMP[],S$1,0),"ERROR")</f>
        <v>606</v>
      </c>
      <c r="T9" s="28"/>
    </row>
    <row r="10" spans="1:20" s="123" customFormat="1" x14ac:dyDescent="0.2">
      <c r="A10" s="107"/>
      <c r="B10" s="127" t="s">
        <v>414</v>
      </c>
      <c r="C10" s="109">
        <f>IFERROR(VLOOKUP($B10,MMWR_TRAD_AGG_STATE_COMP[],C$1,0),"ERROR")</f>
        <v>473</v>
      </c>
      <c r="D10" s="110">
        <f>IFERROR(VLOOKUP($B10,MMWR_TRAD_AGG_STATE_COMP[],D$1,0),"ERROR")</f>
        <v>526.97674418600002</v>
      </c>
      <c r="E10" s="111">
        <f>IFERROR(VLOOKUP($B10,MMWR_TRAD_AGG_STATE_COMP[],E$1,0),"ERROR")</f>
        <v>437</v>
      </c>
      <c r="F10" s="112">
        <f>IFERROR(VLOOKUP($B10,MMWR_TRAD_AGG_STATE_COMP[],F$1,0),"ERROR")</f>
        <v>99</v>
      </c>
      <c r="G10" s="113">
        <f t="shared" si="0"/>
        <v>0.22654462242562928</v>
      </c>
      <c r="H10" s="111">
        <f>IFERROR(VLOOKUP($B10,MMWR_TRAD_AGG_STATE_COMP[],H$1,0),"ERROR")</f>
        <v>663</v>
      </c>
      <c r="I10" s="112">
        <f>IFERROR(VLOOKUP($B10,MMWR_TRAD_AGG_STATE_COMP[],I$1,0),"ERROR")</f>
        <v>471</v>
      </c>
      <c r="J10" s="114">
        <f t="shared" si="1"/>
        <v>0.71040723981900455</v>
      </c>
      <c r="K10" s="111">
        <f>IFERROR(VLOOKUP($B10,MMWR_TRAD_AGG_STATE_COMP[],K$1,0),"ERROR")</f>
        <v>218</v>
      </c>
      <c r="L10" s="112">
        <f>IFERROR(VLOOKUP($B10,MMWR_TRAD_AGG_STATE_COMP[],L$1,0),"ERROR")</f>
        <v>163</v>
      </c>
      <c r="M10" s="114">
        <f t="shared" si="2"/>
        <v>0.74770642201834858</v>
      </c>
      <c r="N10" s="111">
        <f>IFERROR(VLOOKUP($B10,MMWR_TRAD_AGG_STATE_COMP[],N$1,0),"ERROR")</f>
        <v>396</v>
      </c>
      <c r="O10" s="112">
        <f>IFERROR(VLOOKUP($B10,MMWR_TRAD_AGG_STATE_COMP[],O$1,0),"ERROR")</f>
        <v>306</v>
      </c>
      <c r="P10" s="114">
        <f t="shared" si="3"/>
        <v>0.77272727272727271</v>
      </c>
      <c r="Q10" s="115">
        <f>IFERROR(VLOOKUP($B10,MMWR_TRAD_AGG_STATE_COMP[],Q$1,0),"ERROR")</f>
        <v>22</v>
      </c>
      <c r="R10" s="115">
        <f>IFERROR(VLOOKUP($B10,MMWR_TRAD_AGG_STATE_COMP[],R$1,0),"ERROR")</f>
        <v>0</v>
      </c>
      <c r="S10" s="115">
        <f>IFERROR(VLOOKUP($B10,MMWR_APP_STATE_COMP[],S$1,0),"ERROR")</f>
        <v>599</v>
      </c>
      <c r="T10" s="28"/>
    </row>
    <row r="11" spans="1:20" s="123" customFormat="1" x14ac:dyDescent="0.2">
      <c r="A11" s="107"/>
      <c r="B11" s="127" t="s">
        <v>416</v>
      </c>
      <c r="C11" s="109">
        <f>IFERROR(VLOOKUP($B11,MMWR_TRAD_AGG_STATE_COMP[],C$1,0),"ERROR")</f>
        <v>1475</v>
      </c>
      <c r="D11" s="110">
        <f>IFERROR(VLOOKUP($B11,MMWR_TRAD_AGG_STATE_COMP[],D$1,0),"ERROR")</f>
        <v>287.16610169490002</v>
      </c>
      <c r="E11" s="111">
        <f>IFERROR(VLOOKUP($B11,MMWR_TRAD_AGG_STATE_COMP[],E$1,0),"ERROR")</f>
        <v>1263</v>
      </c>
      <c r="F11" s="112">
        <f>IFERROR(VLOOKUP($B11,MMWR_TRAD_AGG_STATE_COMP[],F$1,0),"ERROR")</f>
        <v>183</v>
      </c>
      <c r="G11" s="113">
        <f t="shared" si="0"/>
        <v>0.14489311163895488</v>
      </c>
      <c r="H11" s="111">
        <f>IFERROR(VLOOKUP($B11,MMWR_TRAD_AGG_STATE_COMP[],H$1,0),"ERROR")</f>
        <v>2063</v>
      </c>
      <c r="I11" s="112">
        <f>IFERROR(VLOOKUP($B11,MMWR_TRAD_AGG_STATE_COMP[],I$1,0),"ERROR")</f>
        <v>1273</v>
      </c>
      <c r="J11" s="114">
        <f t="shared" si="1"/>
        <v>0.61706253029568592</v>
      </c>
      <c r="K11" s="111">
        <f>IFERROR(VLOOKUP($B11,MMWR_TRAD_AGG_STATE_COMP[],K$1,0),"ERROR")</f>
        <v>1083</v>
      </c>
      <c r="L11" s="112">
        <f>IFERROR(VLOOKUP($B11,MMWR_TRAD_AGG_STATE_COMP[],L$1,0),"ERROR")</f>
        <v>835</v>
      </c>
      <c r="M11" s="114">
        <f t="shared" si="2"/>
        <v>0.77100646352723912</v>
      </c>
      <c r="N11" s="111">
        <f>IFERROR(VLOOKUP($B11,MMWR_TRAD_AGG_STATE_COMP[],N$1,0),"ERROR")</f>
        <v>380</v>
      </c>
      <c r="O11" s="112">
        <f>IFERROR(VLOOKUP($B11,MMWR_TRAD_AGG_STATE_COMP[],O$1,0),"ERROR")</f>
        <v>229</v>
      </c>
      <c r="P11" s="114">
        <f t="shared" si="3"/>
        <v>0.60263157894736841</v>
      </c>
      <c r="Q11" s="115">
        <f>IFERROR(VLOOKUP($B11,MMWR_TRAD_AGG_STATE_COMP[],Q$1,0),"ERROR")</f>
        <v>361</v>
      </c>
      <c r="R11" s="115">
        <f>IFERROR(VLOOKUP($B11,MMWR_TRAD_AGG_STATE_COMP[],R$1,0),"ERROR")</f>
        <v>3</v>
      </c>
      <c r="S11" s="115">
        <f>IFERROR(VLOOKUP($B11,MMWR_APP_STATE_COMP[],S$1,0),"ERROR")</f>
        <v>440</v>
      </c>
      <c r="T11" s="28"/>
    </row>
    <row r="12" spans="1:20" s="123" customFormat="1" x14ac:dyDescent="0.2">
      <c r="A12" s="107"/>
      <c r="B12" s="127" t="s">
        <v>376</v>
      </c>
      <c r="C12" s="109">
        <f>IFERROR(VLOOKUP($B12,MMWR_TRAD_AGG_STATE_COMP[],C$1,0),"ERROR")</f>
        <v>8519</v>
      </c>
      <c r="D12" s="110">
        <f>IFERROR(VLOOKUP($B12,MMWR_TRAD_AGG_STATE_COMP[],D$1,0),"ERROR")</f>
        <v>632.21352271390003</v>
      </c>
      <c r="E12" s="111">
        <f>IFERROR(VLOOKUP($B12,MMWR_TRAD_AGG_STATE_COMP[],E$1,0),"ERROR")</f>
        <v>5799</v>
      </c>
      <c r="F12" s="112">
        <f>IFERROR(VLOOKUP($B12,MMWR_TRAD_AGG_STATE_COMP[],F$1,0),"ERROR")</f>
        <v>1161</v>
      </c>
      <c r="G12" s="113">
        <f t="shared" si="0"/>
        <v>0.20020693222969477</v>
      </c>
      <c r="H12" s="111">
        <f>IFERROR(VLOOKUP($B12,MMWR_TRAD_AGG_STATE_COMP[],H$1,0),"ERROR")</f>
        <v>11658</v>
      </c>
      <c r="I12" s="112">
        <f>IFERROR(VLOOKUP($B12,MMWR_TRAD_AGG_STATE_COMP[],I$1,0),"ERROR")</f>
        <v>8381</v>
      </c>
      <c r="J12" s="114">
        <f t="shared" si="1"/>
        <v>0.71890547263681592</v>
      </c>
      <c r="K12" s="111">
        <f>IFERROR(VLOOKUP($B12,MMWR_TRAD_AGG_STATE_COMP[],K$1,0),"ERROR")</f>
        <v>3281</v>
      </c>
      <c r="L12" s="112">
        <f>IFERROR(VLOOKUP($B12,MMWR_TRAD_AGG_STATE_COMP[],L$1,0),"ERROR")</f>
        <v>2387</v>
      </c>
      <c r="M12" s="114">
        <f t="shared" si="2"/>
        <v>0.72752209692167025</v>
      </c>
      <c r="N12" s="111">
        <f>IFERROR(VLOOKUP($B12,MMWR_TRAD_AGG_STATE_COMP[],N$1,0),"ERROR")</f>
        <v>7515</v>
      </c>
      <c r="O12" s="112">
        <f>IFERROR(VLOOKUP($B12,MMWR_TRAD_AGG_STATE_COMP[],O$1,0),"ERROR")</f>
        <v>5849</v>
      </c>
      <c r="P12" s="114">
        <f t="shared" si="3"/>
        <v>0.77831004657351965</v>
      </c>
      <c r="Q12" s="115">
        <f>IFERROR(VLOOKUP($B12,MMWR_TRAD_AGG_STATE_COMP[],Q$1,0),"ERROR")</f>
        <v>430</v>
      </c>
      <c r="R12" s="115">
        <f>IFERROR(VLOOKUP($B12,MMWR_TRAD_AGG_STATE_COMP[],R$1,0),"ERROR")</f>
        <v>4</v>
      </c>
      <c r="S12" s="115">
        <f>IFERROR(VLOOKUP($B12,MMWR_APP_STATE_COMP[],S$1,0),"ERROR")</f>
        <v>5674</v>
      </c>
      <c r="T12" s="28"/>
    </row>
    <row r="13" spans="1:20" s="123" customFormat="1" x14ac:dyDescent="0.2">
      <c r="A13" s="107"/>
      <c r="B13" s="127" t="s">
        <v>371</v>
      </c>
      <c r="C13" s="109">
        <f>IFERROR(VLOOKUP($B13,MMWR_TRAD_AGG_STATE_COMP[],C$1,0),"ERROR")</f>
        <v>4799</v>
      </c>
      <c r="D13" s="110">
        <f>IFERROR(VLOOKUP($B13,MMWR_TRAD_AGG_STATE_COMP[],D$1,0),"ERROR")</f>
        <v>536.94436340899995</v>
      </c>
      <c r="E13" s="111">
        <f>IFERROR(VLOOKUP($B13,MMWR_TRAD_AGG_STATE_COMP[],E$1,0),"ERROR")</f>
        <v>4380</v>
      </c>
      <c r="F13" s="112">
        <f>IFERROR(VLOOKUP($B13,MMWR_TRAD_AGG_STATE_COMP[],F$1,0),"ERROR")</f>
        <v>1132</v>
      </c>
      <c r="G13" s="113">
        <f t="shared" si="0"/>
        <v>0.25844748858447486</v>
      </c>
      <c r="H13" s="111">
        <f>IFERROR(VLOOKUP($B13,MMWR_TRAD_AGG_STATE_COMP[],H$1,0),"ERROR")</f>
        <v>6992</v>
      </c>
      <c r="I13" s="112">
        <f>IFERROR(VLOOKUP($B13,MMWR_TRAD_AGG_STATE_COMP[],I$1,0),"ERROR")</f>
        <v>5140</v>
      </c>
      <c r="J13" s="114">
        <f t="shared" si="1"/>
        <v>0.73512585812356979</v>
      </c>
      <c r="K13" s="111">
        <f>IFERROR(VLOOKUP($B13,MMWR_TRAD_AGG_STATE_COMP[],K$1,0),"ERROR")</f>
        <v>3030</v>
      </c>
      <c r="L13" s="112">
        <f>IFERROR(VLOOKUP($B13,MMWR_TRAD_AGG_STATE_COMP[],L$1,0),"ERROR")</f>
        <v>2448</v>
      </c>
      <c r="M13" s="114">
        <f t="shared" si="2"/>
        <v>0.80792079207920797</v>
      </c>
      <c r="N13" s="111">
        <f>IFERROR(VLOOKUP($B13,MMWR_TRAD_AGG_STATE_COMP[],N$1,0),"ERROR")</f>
        <v>1686</v>
      </c>
      <c r="O13" s="112">
        <f>IFERROR(VLOOKUP($B13,MMWR_TRAD_AGG_STATE_COMP[],O$1,0),"ERROR")</f>
        <v>1145</v>
      </c>
      <c r="P13" s="114">
        <f t="shared" si="3"/>
        <v>0.67912218268090152</v>
      </c>
      <c r="Q13" s="115">
        <f>IFERROR(VLOOKUP($B13,MMWR_TRAD_AGG_STATE_COMP[],Q$1,0),"ERROR")</f>
        <v>779</v>
      </c>
      <c r="R13" s="115">
        <f>IFERROR(VLOOKUP($B13,MMWR_TRAD_AGG_STATE_COMP[],R$1,0),"ERROR")</f>
        <v>9</v>
      </c>
      <c r="S13" s="115">
        <f>IFERROR(VLOOKUP($B13,MMWR_APP_STATE_COMP[],S$1,0),"ERROR")</f>
        <v>3441</v>
      </c>
      <c r="T13" s="28"/>
    </row>
    <row r="14" spans="1:20" s="123" customFormat="1" x14ac:dyDescent="0.2">
      <c r="A14" s="107"/>
      <c r="B14" s="127" t="s">
        <v>415</v>
      </c>
      <c r="C14" s="109">
        <f>IFERROR(VLOOKUP($B14,MMWR_TRAD_AGG_STATE_COMP[],C$1,0),"ERROR")</f>
        <v>1594</v>
      </c>
      <c r="D14" s="110">
        <f>IFERROR(VLOOKUP($B14,MMWR_TRAD_AGG_STATE_COMP[],D$1,0),"ERROR")</f>
        <v>404.36072772900002</v>
      </c>
      <c r="E14" s="111">
        <f>IFERROR(VLOOKUP($B14,MMWR_TRAD_AGG_STATE_COMP[],E$1,0),"ERROR")</f>
        <v>1183</v>
      </c>
      <c r="F14" s="112">
        <f>IFERROR(VLOOKUP($B14,MMWR_TRAD_AGG_STATE_COMP[],F$1,0),"ERROR")</f>
        <v>272</v>
      </c>
      <c r="G14" s="113">
        <f t="shared" si="0"/>
        <v>0.22992392223161454</v>
      </c>
      <c r="H14" s="111">
        <f>IFERROR(VLOOKUP($B14,MMWR_TRAD_AGG_STATE_COMP[],H$1,0),"ERROR")</f>
        <v>2245</v>
      </c>
      <c r="I14" s="112">
        <f>IFERROR(VLOOKUP($B14,MMWR_TRAD_AGG_STATE_COMP[],I$1,0),"ERROR")</f>
        <v>1506</v>
      </c>
      <c r="J14" s="114">
        <f t="shared" si="1"/>
        <v>0.67082405345211582</v>
      </c>
      <c r="K14" s="111">
        <f>IFERROR(VLOOKUP($B14,MMWR_TRAD_AGG_STATE_COMP[],K$1,0),"ERROR")</f>
        <v>519</v>
      </c>
      <c r="L14" s="112">
        <f>IFERROR(VLOOKUP($B14,MMWR_TRAD_AGG_STATE_COMP[],L$1,0),"ERROR")</f>
        <v>467</v>
      </c>
      <c r="M14" s="114">
        <f t="shared" si="2"/>
        <v>0.89980732177263967</v>
      </c>
      <c r="N14" s="111">
        <f>IFERROR(VLOOKUP($B14,MMWR_TRAD_AGG_STATE_COMP[],N$1,0),"ERROR")</f>
        <v>233</v>
      </c>
      <c r="O14" s="112">
        <f>IFERROR(VLOOKUP($B14,MMWR_TRAD_AGG_STATE_COMP[],O$1,0),"ERROR")</f>
        <v>119</v>
      </c>
      <c r="P14" s="114">
        <f t="shared" si="3"/>
        <v>0.51072961373390557</v>
      </c>
      <c r="Q14" s="115">
        <f>IFERROR(VLOOKUP($B14,MMWR_TRAD_AGG_STATE_COMP[],Q$1,0),"ERROR")</f>
        <v>168</v>
      </c>
      <c r="R14" s="115">
        <f>IFERROR(VLOOKUP($B14,MMWR_TRAD_AGG_STATE_COMP[],R$1,0),"ERROR")</f>
        <v>3</v>
      </c>
      <c r="S14" s="115">
        <f>IFERROR(VLOOKUP($B14,MMWR_APP_STATE_COMP[],S$1,0),"ERROR")</f>
        <v>672</v>
      </c>
      <c r="T14" s="28"/>
    </row>
    <row r="15" spans="1:20" s="123" customFormat="1" x14ac:dyDescent="0.2">
      <c r="A15" s="107"/>
      <c r="B15" s="127" t="s">
        <v>374</v>
      </c>
      <c r="C15" s="109">
        <f>IFERROR(VLOOKUP($B15,MMWR_TRAD_AGG_STATE_COMP[],C$1,0),"ERROR")</f>
        <v>2597</v>
      </c>
      <c r="D15" s="110">
        <f>IFERROR(VLOOKUP($B15,MMWR_TRAD_AGG_STATE_COMP[],D$1,0),"ERROR")</f>
        <v>307.64266461300002</v>
      </c>
      <c r="E15" s="111">
        <f>IFERROR(VLOOKUP($B15,MMWR_TRAD_AGG_STATE_COMP[],E$1,0),"ERROR")</f>
        <v>4153</v>
      </c>
      <c r="F15" s="112">
        <f>IFERROR(VLOOKUP($B15,MMWR_TRAD_AGG_STATE_COMP[],F$1,0),"ERROR")</f>
        <v>928</v>
      </c>
      <c r="G15" s="113">
        <f t="shared" si="0"/>
        <v>0.22345292559595473</v>
      </c>
      <c r="H15" s="111">
        <f>IFERROR(VLOOKUP($B15,MMWR_TRAD_AGG_STATE_COMP[],H$1,0),"ERROR")</f>
        <v>4124</v>
      </c>
      <c r="I15" s="112">
        <f>IFERROR(VLOOKUP($B15,MMWR_TRAD_AGG_STATE_COMP[],I$1,0),"ERROR")</f>
        <v>2274</v>
      </c>
      <c r="J15" s="114">
        <f t="shared" si="1"/>
        <v>0.55140640155189136</v>
      </c>
      <c r="K15" s="111">
        <f>IFERROR(VLOOKUP($B15,MMWR_TRAD_AGG_STATE_COMP[],K$1,0),"ERROR")</f>
        <v>1386</v>
      </c>
      <c r="L15" s="112">
        <f>IFERROR(VLOOKUP($B15,MMWR_TRAD_AGG_STATE_COMP[],L$1,0),"ERROR")</f>
        <v>928</v>
      </c>
      <c r="M15" s="114">
        <f t="shared" si="2"/>
        <v>0.66955266955266957</v>
      </c>
      <c r="N15" s="111">
        <f>IFERROR(VLOOKUP($B15,MMWR_TRAD_AGG_STATE_COMP[],N$1,0),"ERROR")</f>
        <v>2259</v>
      </c>
      <c r="O15" s="112">
        <f>IFERROR(VLOOKUP($B15,MMWR_TRAD_AGG_STATE_COMP[],O$1,0),"ERROR")</f>
        <v>1463</v>
      </c>
      <c r="P15" s="114">
        <f t="shared" si="3"/>
        <v>0.6476316954404604</v>
      </c>
      <c r="Q15" s="115">
        <f>IFERROR(VLOOKUP($B15,MMWR_TRAD_AGG_STATE_COMP[],Q$1,0),"ERROR")</f>
        <v>752</v>
      </c>
      <c r="R15" s="115">
        <f>IFERROR(VLOOKUP($B15,MMWR_TRAD_AGG_STATE_COMP[],R$1,0),"ERROR")</f>
        <v>4</v>
      </c>
      <c r="S15" s="115">
        <f>IFERROR(VLOOKUP($B15,MMWR_APP_STATE_COMP[],S$1,0),"ERROR")</f>
        <v>4198</v>
      </c>
      <c r="T15" s="28"/>
    </row>
    <row r="16" spans="1:20" s="123" customFormat="1" x14ac:dyDescent="0.2">
      <c r="A16" s="107"/>
      <c r="B16" s="127" t="s">
        <v>63</v>
      </c>
      <c r="C16" s="109">
        <f>IFERROR(VLOOKUP($B16,MMWR_TRAD_AGG_STATE_COMP[],C$1,0),"ERROR")</f>
        <v>6675</v>
      </c>
      <c r="D16" s="110">
        <f>IFERROR(VLOOKUP($B16,MMWR_TRAD_AGG_STATE_COMP[],D$1,0),"ERROR")</f>
        <v>296.83071161049997</v>
      </c>
      <c r="E16" s="111">
        <f>IFERROR(VLOOKUP($B16,MMWR_TRAD_AGG_STATE_COMP[],E$1,0),"ERROR")</f>
        <v>8998</v>
      </c>
      <c r="F16" s="112">
        <f>IFERROR(VLOOKUP($B16,MMWR_TRAD_AGG_STATE_COMP[],F$1,0),"ERROR")</f>
        <v>1958</v>
      </c>
      <c r="G16" s="113">
        <f t="shared" si="0"/>
        <v>0.2176039119804401</v>
      </c>
      <c r="H16" s="111">
        <f>IFERROR(VLOOKUP($B16,MMWR_TRAD_AGG_STATE_COMP[],H$1,0),"ERROR")</f>
        <v>10040</v>
      </c>
      <c r="I16" s="112">
        <f>IFERROR(VLOOKUP($B16,MMWR_TRAD_AGG_STATE_COMP[],I$1,0),"ERROR")</f>
        <v>6164</v>
      </c>
      <c r="J16" s="114">
        <f t="shared" si="1"/>
        <v>0.61394422310756969</v>
      </c>
      <c r="K16" s="111">
        <f>IFERROR(VLOOKUP($B16,MMWR_TRAD_AGG_STATE_COMP[],K$1,0),"ERROR")</f>
        <v>4435</v>
      </c>
      <c r="L16" s="112">
        <f>IFERROR(VLOOKUP($B16,MMWR_TRAD_AGG_STATE_COMP[],L$1,0),"ERROR")</f>
        <v>3281</v>
      </c>
      <c r="M16" s="114">
        <f t="shared" si="2"/>
        <v>0.73979706877113871</v>
      </c>
      <c r="N16" s="111">
        <f>IFERROR(VLOOKUP($B16,MMWR_TRAD_AGG_STATE_COMP[],N$1,0),"ERROR")</f>
        <v>3061</v>
      </c>
      <c r="O16" s="112">
        <f>IFERROR(VLOOKUP($B16,MMWR_TRAD_AGG_STATE_COMP[],O$1,0),"ERROR")</f>
        <v>1439</v>
      </c>
      <c r="P16" s="114">
        <f t="shared" si="3"/>
        <v>0.47010780790591311</v>
      </c>
      <c r="Q16" s="115">
        <f>IFERROR(VLOOKUP($B16,MMWR_TRAD_AGG_STATE_COMP[],Q$1,0),"ERROR")</f>
        <v>1537</v>
      </c>
      <c r="R16" s="115">
        <f>IFERROR(VLOOKUP($B16,MMWR_TRAD_AGG_STATE_COMP[],R$1,0),"ERROR")</f>
        <v>8</v>
      </c>
      <c r="S16" s="115">
        <f>IFERROR(VLOOKUP($B16,MMWR_APP_STATE_COMP[],S$1,0),"ERROR")</f>
        <v>5382</v>
      </c>
      <c r="T16" s="28"/>
    </row>
    <row r="17" spans="1:20" s="123" customFormat="1" x14ac:dyDescent="0.2">
      <c r="A17" s="107"/>
      <c r="B17" s="127" t="s">
        <v>382</v>
      </c>
      <c r="C17" s="109">
        <f>IFERROR(VLOOKUP($B17,MMWR_TRAD_AGG_STATE_COMP[],C$1,0),"ERROR")</f>
        <v>16150</v>
      </c>
      <c r="D17" s="110">
        <f>IFERROR(VLOOKUP($B17,MMWR_TRAD_AGG_STATE_COMP[],D$1,0),"ERROR")</f>
        <v>323.09238390090002</v>
      </c>
      <c r="E17" s="111">
        <f>IFERROR(VLOOKUP($B17,MMWR_TRAD_AGG_STATE_COMP[],E$1,0),"ERROR")</f>
        <v>17554</v>
      </c>
      <c r="F17" s="112">
        <f>IFERROR(VLOOKUP($B17,MMWR_TRAD_AGG_STATE_COMP[],F$1,0),"ERROR")</f>
        <v>4422</v>
      </c>
      <c r="G17" s="113">
        <f t="shared" si="0"/>
        <v>0.25190839694656486</v>
      </c>
      <c r="H17" s="111">
        <f>IFERROR(VLOOKUP($B17,MMWR_TRAD_AGG_STATE_COMP[],H$1,0),"ERROR")</f>
        <v>22116</v>
      </c>
      <c r="I17" s="112">
        <f>IFERROR(VLOOKUP($B17,MMWR_TRAD_AGG_STATE_COMP[],I$1,0),"ERROR")</f>
        <v>14983</v>
      </c>
      <c r="J17" s="114">
        <f t="shared" si="1"/>
        <v>0.67747332248146142</v>
      </c>
      <c r="K17" s="111">
        <f>IFERROR(VLOOKUP($B17,MMWR_TRAD_AGG_STATE_COMP[],K$1,0),"ERROR")</f>
        <v>8509</v>
      </c>
      <c r="L17" s="112">
        <f>IFERROR(VLOOKUP($B17,MMWR_TRAD_AGG_STATE_COMP[],L$1,0),"ERROR")</f>
        <v>5376</v>
      </c>
      <c r="M17" s="114">
        <f t="shared" si="2"/>
        <v>0.6318016218121989</v>
      </c>
      <c r="N17" s="111">
        <f>IFERROR(VLOOKUP($B17,MMWR_TRAD_AGG_STATE_COMP[],N$1,0),"ERROR")</f>
        <v>6597</v>
      </c>
      <c r="O17" s="112">
        <f>IFERROR(VLOOKUP($B17,MMWR_TRAD_AGG_STATE_COMP[],O$1,0),"ERROR")</f>
        <v>3932</v>
      </c>
      <c r="P17" s="114">
        <f t="shared" si="3"/>
        <v>0.59602849780203127</v>
      </c>
      <c r="Q17" s="115">
        <f>IFERROR(VLOOKUP($B17,MMWR_TRAD_AGG_STATE_COMP[],Q$1,0),"ERROR")</f>
        <v>1147</v>
      </c>
      <c r="R17" s="115">
        <f>IFERROR(VLOOKUP($B17,MMWR_TRAD_AGG_STATE_COMP[],R$1,0),"ERROR")</f>
        <v>37</v>
      </c>
      <c r="S17" s="115">
        <f>IFERROR(VLOOKUP($B17,MMWR_APP_STATE_COMP[],S$1,0),"ERROR")</f>
        <v>10207</v>
      </c>
      <c r="T17" s="28"/>
    </row>
    <row r="18" spans="1:20" s="123" customFormat="1" x14ac:dyDescent="0.2">
      <c r="A18" s="107"/>
      <c r="B18" s="127" t="s">
        <v>375</v>
      </c>
      <c r="C18" s="109">
        <f>IFERROR(VLOOKUP($B18,MMWR_TRAD_AGG_STATE_COMP[],C$1,0),"ERROR")</f>
        <v>8207</v>
      </c>
      <c r="D18" s="110">
        <f>IFERROR(VLOOKUP($B18,MMWR_TRAD_AGG_STATE_COMP[],D$1,0),"ERROR")</f>
        <v>436.40696966000002</v>
      </c>
      <c r="E18" s="111">
        <f>IFERROR(VLOOKUP($B18,MMWR_TRAD_AGG_STATE_COMP[],E$1,0),"ERROR")</f>
        <v>9350</v>
      </c>
      <c r="F18" s="112">
        <f>IFERROR(VLOOKUP($B18,MMWR_TRAD_AGG_STATE_COMP[],F$1,0),"ERROR")</f>
        <v>2470</v>
      </c>
      <c r="G18" s="113">
        <f t="shared" si="0"/>
        <v>0.2641711229946524</v>
      </c>
      <c r="H18" s="111">
        <f>IFERROR(VLOOKUP($B18,MMWR_TRAD_AGG_STATE_COMP[],H$1,0),"ERROR")</f>
        <v>12496</v>
      </c>
      <c r="I18" s="112">
        <f>IFERROR(VLOOKUP($B18,MMWR_TRAD_AGG_STATE_COMP[],I$1,0),"ERROR")</f>
        <v>8762</v>
      </c>
      <c r="J18" s="114">
        <f t="shared" si="1"/>
        <v>0.70118437900128039</v>
      </c>
      <c r="K18" s="111">
        <f>IFERROR(VLOOKUP($B18,MMWR_TRAD_AGG_STATE_COMP[],K$1,0),"ERROR")</f>
        <v>2113</v>
      </c>
      <c r="L18" s="112">
        <f>IFERROR(VLOOKUP($B18,MMWR_TRAD_AGG_STATE_COMP[],L$1,0),"ERROR")</f>
        <v>1324</v>
      </c>
      <c r="M18" s="114">
        <f t="shared" si="2"/>
        <v>0.62659725508755326</v>
      </c>
      <c r="N18" s="111">
        <f>IFERROR(VLOOKUP($B18,MMWR_TRAD_AGG_STATE_COMP[],N$1,0),"ERROR")</f>
        <v>6677</v>
      </c>
      <c r="O18" s="112">
        <f>IFERROR(VLOOKUP($B18,MMWR_TRAD_AGG_STATE_COMP[],O$1,0),"ERROR")</f>
        <v>5082</v>
      </c>
      <c r="P18" s="114">
        <f t="shared" si="3"/>
        <v>0.76112026359143325</v>
      </c>
      <c r="Q18" s="115">
        <f>IFERROR(VLOOKUP($B18,MMWR_TRAD_AGG_STATE_COMP[],Q$1,0),"ERROR")</f>
        <v>1398</v>
      </c>
      <c r="R18" s="115">
        <f>IFERROR(VLOOKUP($B18,MMWR_TRAD_AGG_STATE_COMP[],R$1,0),"ERROR")</f>
        <v>10</v>
      </c>
      <c r="S18" s="115">
        <f>IFERROR(VLOOKUP($B18,MMWR_APP_STATE_COMP[],S$1,0),"ERROR")</f>
        <v>7045</v>
      </c>
      <c r="T18" s="28"/>
    </row>
    <row r="19" spans="1:20" s="123" customFormat="1" x14ac:dyDescent="0.2">
      <c r="A19" s="107"/>
      <c r="B19" s="127" t="s">
        <v>372</v>
      </c>
      <c r="C19" s="109">
        <f>IFERROR(VLOOKUP($B19,MMWR_TRAD_AGG_STATE_COMP[],C$1,0),"ERROR")</f>
        <v>421</v>
      </c>
      <c r="D19" s="110">
        <f>IFERROR(VLOOKUP($B19,MMWR_TRAD_AGG_STATE_COMP[],D$1,0),"ERROR")</f>
        <v>236.36104513059999</v>
      </c>
      <c r="E19" s="111">
        <f>IFERROR(VLOOKUP($B19,MMWR_TRAD_AGG_STATE_COMP[],E$1,0),"ERROR")</f>
        <v>888</v>
      </c>
      <c r="F19" s="112">
        <f>IFERROR(VLOOKUP($B19,MMWR_TRAD_AGG_STATE_COMP[],F$1,0),"ERROR")</f>
        <v>178</v>
      </c>
      <c r="G19" s="113">
        <f t="shared" si="0"/>
        <v>0.20045045045045046</v>
      </c>
      <c r="H19" s="111">
        <f>IFERROR(VLOOKUP($B19,MMWR_TRAD_AGG_STATE_COMP[],H$1,0),"ERROR")</f>
        <v>783</v>
      </c>
      <c r="I19" s="112">
        <f>IFERROR(VLOOKUP($B19,MMWR_TRAD_AGG_STATE_COMP[],I$1,0),"ERROR")</f>
        <v>377</v>
      </c>
      <c r="J19" s="114">
        <f t="shared" si="1"/>
        <v>0.48148148148148145</v>
      </c>
      <c r="K19" s="111">
        <f>IFERROR(VLOOKUP($B19,MMWR_TRAD_AGG_STATE_COMP[],K$1,0),"ERROR")</f>
        <v>321</v>
      </c>
      <c r="L19" s="112">
        <f>IFERROR(VLOOKUP($B19,MMWR_TRAD_AGG_STATE_COMP[],L$1,0),"ERROR")</f>
        <v>218</v>
      </c>
      <c r="M19" s="114">
        <f t="shared" si="2"/>
        <v>0.67912772585669778</v>
      </c>
      <c r="N19" s="111">
        <f>IFERROR(VLOOKUP($B19,MMWR_TRAD_AGG_STATE_COMP[],N$1,0),"ERROR")</f>
        <v>192</v>
      </c>
      <c r="O19" s="112">
        <f>IFERROR(VLOOKUP($B19,MMWR_TRAD_AGG_STATE_COMP[],O$1,0),"ERROR")</f>
        <v>96</v>
      </c>
      <c r="P19" s="114">
        <f t="shared" si="3"/>
        <v>0.5</v>
      </c>
      <c r="Q19" s="115">
        <f>IFERROR(VLOOKUP($B19,MMWR_TRAD_AGG_STATE_COMP[],Q$1,0),"ERROR")</f>
        <v>206</v>
      </c>
      <c r="R19" s="115">
        <f>IFERROR(VLOOKUP($B19,MMWR_TRAD_AGG_STATE_COMP[],R$1,0),"ERROR")</f>
        <v>3</v>
      </c>
      <c r="S19" s="115">
        <f>IFERROR(VLOOKUP($B19,MMWR_APP_STATE_COMP[],S$1,0),"ERROR")</f>
        <v>355</v>
      </c>
      <c r="T19" s="28"/>
    </row>
    <row r="20" spans="1:20" s="123" customFormat="1" x14ac:dyDescent="0.2">
      <c r="A20" s="107"/>
      <c r="B20" s="127" t="s">
        <v>417</v>
      </c>
      <c r="C20" s="109">
        <f>IFERROR(VLOOKUP($B20,MMWR_TRAD_AGG_STATE_COMP[],C$1,0),"ERROR")</f>
        <v>464</v>
      </c>
      <c r="D20" s="110">
        <f>IFERROR(VLOOKUP($B20,MMWR_TRAD_AGG_STATE_COMP[],D$1,0),"ERROR")</f>
        <v>369.15732758619998</v>
      </c>
      <c r="E20" s="111">
        <f>IFERROR(VLOOKUP($B20,MMWR_TRAD_AGG_STATE_COMP[],E$1,0),"ERROR")</f>
        <v>509</v>
      </c>
      <c r="F20" s="112">
        <f>IFERROR(VLOOKUP($B20,MMWR_TRAD_AGG_STATE_COMP[],F$1,0),"ERROR")</f>
        <v>112</v>
      </c>
      <c r="G20" s="113">
        <f t="shared" si="0"/>
        <v>0.2200392927308448</v>
      </c>
      <c r="H20" s="111">
        <f>IFERROR(VLOOKUP($B20,MMWR_TRAD_AGG_STATE_COMP[],H$1,0),"ERROR")</f>
        <v>973</v>
      </c>
      <c r="I20" s="112">
        <f>IFERROR(VLOOKUP($B20,MMWR_TRAD_AGG_STATE_COMP[],I$1,0),"ERROR")</f>
        <v>508</v>
      </c>
      <c r="J20" s="114">
        <f t="shared" si="1"/>
        <v>0.52209660842754368</v>
      </c>
      <c r="K20" s="111">
        <f>IFERROR(VLOOKUP($B20,MMWR_TRAD_AGG_STATE_COMP[],K$1,0),"ERROR")</f>
        <v>210</v>
      </c>
      <c r="L20" s="112">
        <f>IFERROR(VLOOKUP($B20,MMWR_TRAD_AGG_STATE_COMP[],L$1,0),"ERROR")</f>
        <v>146</v>
      </c>
      <c r="M20" s="114">
        <f t="shared" si="2"/>
        <v>0.69523809523809521</v>
      </c>
      <c r="N20" s="111">
        <f>IFERROR(VLOOKUP($B20,MMWR_TRAD_AGG_STATE_COMP[],N$1,0),"ERROR")</f>
        <v>121</v>
      </c>
      <c r="O20" s="112">
        <f>IFERROR(VLOOKUP($B20,MMWR_TRAD_AGG_STATE_COMP[],O$1,0),"ERROR")</f>
        <v>80</v>
      </c>
      <c r="P20" s="114">
        <f t="shared" si="3"/>
        <v>0.66115702479338845</v>
      </c>
      <c r="Q20" s="115">
        <f>IFERROR(VLOOKUP($B20,MMWR_TRAD_AGG_STATE_COMP[],Q$1,0),"ERROR")</f>
        <v>84</v>
      </c>
      <c r="R20" s="115">
        <f>IFERROR(VLOOKUP($B20,MMWR_TRAD_AGG_STATE_COMP[],R$1,0),"ERROR")</f>
        <v>1</v>
      </c>
      <c r="S20" s="115">
        <f>IFERROR(VLOOKUP($B20,MMWR_APP_STATE_COMP[],S$1,0),"ERROR")</f>
        <v>141</v>
      </c>
      <c r="T20" s="28"/>
    </row>
    <row r="21" spans="1:20" s="123" customFormat="1" x14ac:dyDescent="0.2">
      <c r="A21" s="107"/>
      <c r="B21" s="127" t="s">
        <v>378</v>
      </c>
      <c r="C21" s="109">
        <f>IFERROR(VLOOKUP($B21,MMWR_TRAD_AGG_STATE_COMP[],C$1,0),"ERROR")</f>
        <v>17457</v>
      </c>
      <c r="D21" s="110">
        <f>IFERROR(VLOOKUP($B21,MMWR_TRAD_AGG_STATE_COMP[],D$1,0),"ERROR")</f>
        <v>482.358423555</v>
      </c>
      <c r="E21" s="111">
        <f>IFERROR(VLOOKUP($B21,MMWR_TRAD_AGG_STATE_COMP[],E$1,0),"ERROR")</f>
        <v>12826</v>
      </c>
      <c r="F21" s="112">
        <f>IFERROR(VLOOKUP($B21,MMWR_TRAD_AGG_STATE_COMP[],F$1,0),"ERROR")</f>
        <v>2525</v>
      </c>
      <c r="G21" s="113">
        <f t="shared" si="0"/>
        <v>0.19686574146265398</v>
      </c>
      <c r="H21" s="111">
        <f>IFERROR(VLOOKUP($B21,MMWR_TRAD_AGG_STATE_COMP[],H$1,0),"ERROR")</f>
        <v>22018</v>
      </c>
      <c r="I21" s="112">
        <f>IFERROR(VLOOKUP($B21,MMWR_TRAD_AGG_STATE_COMP[],I$1,0),"ERROR")</f>
        <v>15863</v>
      </c>
      <c r="J21" s="114">
        <f t="shared" si="1"/>
        <v>0.72045599055318377</v>
      </c>
      <c r="K21" s="111">
        <f>IFERROR(VLOOKUP($B21,MMWR_TRAD_AGG_STATE_COMP[],K$1,0),"ERROR")</f>
        <v>8672</v>
      </c>
      <c r="L21" s="112">
        <f>IFERROR(VLOOKUP($B21,MMWR_TRAD_AGG_STATE_COMP[],L$1,0),"ERROR")</f>
        <v>6454</v>
      </c>
      <c r="M21" s="114">
        <f t="shared" si="2"/>
        <v>0.74423431734317347</v>
      </c>
      <c r="N21" s="111">
        <f>IFERROR(VLOOKUP($B21,MMWR_TRAD_AGG_STATE_COMP[],N$1,0),"ERROR")</f>
        <v>7193</v>
      </c>
      <c r="O21" s="112">
        <f>IFERROR(VLOOKUP($B21,MMWR_TRAD_AGG_STATE_COMP[],O$1,0),"ERROR")</f>
        <v>4944</v>
      </c>
      <c r="P21" s="114">
        <f t="shared" si="3"/>
        <v>0.68733490893924654</v>
      </c>
      <c r="Q21" s="115">
        <f>IFERROR(VLOOKUP($B21,MMWR_TRAD_AGG_STATE_COMP[],Q$1,0),"ERROR")</f>
        <v>910</v>
      </c>
      <c r="R21" s="115">
        <f>IFERROR(VLOOKUP($B21,MMWR_TRAD_AGG_STATE_COMP[],R$1,0),"ERROR")</f>
        <v>19</v>
      </c>
      <c r="S21" s="115">
        <f>IFERROR(VLOOKUP($B21,MMWR_APP_STATE_COMP[],S$1,0),"ERROR")</f>
        <v>15023</v>
      </c>
      <c r="T21" s="28"/>
    </row>
    <row r="22" spans="1:20" s="123" customFormat="1" x14ac:dyDescent="0.2">
      <c r="A22" s="107"/>
      <c r="B22" s="127" t="s">
        <v>379</v>
      </c>
      <c r="C22" s="109">
        <f>IFERROR(VLOOKUP($B22,MMWR_TRAD_AGG_STATE_COMP[],C$1,0),"ERROR")</f>
        <v>2210</v>
      </c>
      <c r="D22" s="110">
        <f>IFERROR(VLOOKUP($B22,MMWR_TRAD_AGG_STATE_COMP[],D$1,0),"ERROR")</f>
        <v>273.52488687779999</v>
      </c>
      <c r="E22" s="111">
        <f>IFERROR(VLOOKUP($B22,MMWR_TRAD_AGG_STATE_COMP[],E$1,0),"ERROR")</f>
        <v>2459</v>
      </c>
      <c r="F22" s="112">
        <f>IFERROR(VLOOKUP($B22,MMWR_TRAD_AGG_STATE_COMP[],F$1,0),"ERROR")</f>
        <v>424</v>
      </c>
      <c r="G22" s="113">
        <f t="shared" si="0"/>
        <v>0.17242781618544123</v>
      </c>
      <c r="H22" s="111">
        <f>IFERROR(VLOOKUP($B22,MMWR_TRAD_AGG_STATE_COMP[],H$1,0),"ERROR")</f>
        <v>3612</v>
      </c>
      <c r="I22" s="112">
        <f>IFERROR(VLOOKUP($B22,MMWR_TRAD_AGG_STATE_COMP[],I$1,0),"ERROR")</f>
        <v>2231</v>
      </c>
      <c r="J22" s="114">
        <f t="shared" si="1"/>
        <v>0.61766334440753046</v>
      </c>
      <c r="K22" s="111">
        <f>IFERROR(VLOOKUP($B22,MMWR_TRAD_AGG_STATE_COMP[],K$1,0),"ERROR")</f>
        <v>451</v>
      </c>
      <c r="L22" s="112">
        <f>IFERROR(VLOOKUP($B22,MMWR_TRAD_AGG_STATE_COMP[],L$1,0),"ERROR")</f>
        <v>214</v>
      </c>
      <c r="M22" s="114">
        <f t="shared" si="2"/>
        <v>0.4745011086474501</v>
      </c>
      <c r="N22" s="111">
        <f>IFERROR(VLOOKUP($B22,MMWR_TRAD_AGG_STATE_COMP[],N$1,0),"ERROR")</f>
        <v>1315</v>
      </c>
      <c r="O22" s="112">
        <f>IFERROR(VLOOKUP($B22,MMWR_TRAD_AGG_STATE_COMP[],O$1,0),"ERROR")</f>
        <v>960</v>
      </c>
      <c r="P22" s="114">
        <f t="shared" si="3"/>
        <v>0.73003802281368824</v>
      </c>
      <c r="Q22" s="115">
        <f>IFERROR(VLOOKUP($B22,MMWR_TRAD_AGG_STATE_COMP[],Q$1,0),"ERROR")</f>
        <v>342</v>
      </c>
      <c r="R22" s="115">
        <f>IFERROR(VLOOKUP($B22,MMWR_TRAD_AGG_STATE_COMP[],R$1,0),"ERROR")</f>
        <v>14</v>
      </c>
      <c r="S22" s="115">
        <f>IFERROR(VLOOKUP($B22,MMWR_APP_STATE_COMP[],S$1,0),"ERROR")</f>
        <v>2307</v>
      </c>
      <c r="T22" s="28"/>
    </row>
    <row r="23" spans="1:20" s="123" customFormat="1" x14ac:dyDescent="0.2">
      <c r="A23" s="107"/>
      <c r="B23" s="126" t="s">
        <v>390</v>
      </c>
      <c r="C23" s="102">
        <f>IF(SUM(C24:C35)&lt;&gt;VLOOKUP($B23,MMWR_TRAD_AGG_ST_DISTRICT_COMP[],C$1,0),"ERROR",
VLOOKUP($B23,MMWR_TRAD_AGG_ST_DISTRICT_COMP[],C$1,0))</f>
        <v>42830</v>
      </c>
      <c r="D23" s="103">
        <f>IFERROR(VLOOKUP($B23,MMWR_TRAD_AGG_ST_DISTRICT_COMP[],D$1,0),"ERROR")</f>
        <v>386.30938594439999</v>
      </c>
      <c r="E23" s="102">
        <f>IF(SUM(E24:E35)&lt;&gt;VLOOKUP($B23,MMWR_TRAD_AGG_ST_DISTRICT_COMP[],E$1,0),"ERROR",
VLOOKUP($B23,MMWR_TRAD_AGG_ST_DISTRICT_COMP[],E$1,0))</f>
        <v>52581</v>
      </c>
      <c r="F23" s="102">
        <f>IF(SUM(F24:F35)&lt;&gt;VLOOKUP($B23,MMWR_TRAD_AGG_ST_DISTRICT_COMP[],F$1,0),"ERROR",
VLOOKUP($B23,MMWR_TRAD_AGG_ST_DISTRICT_COMP[],F$1,0))</f>
        <v>10764</v>
      </c>
      <c r="G23" s="104">
        <f t="shared" si="0"/>
        <v>0.20471272893250414</v>
      </c>
      <c r="H23" s="102">
        <f>IF(SUM(H24:H35)&lt;&gt;VLOOKUP($B23,MMWR_TRAD_AGG_ST_DISTRICT_COMP[],H$1,0),"ERROR",
VLOOKUP($B23,MMWR_TRAD_AGG_ST_DISTRICT_COMP[],H$1,0))</f>
        <v>67547</v>
      </c>
      <c r="I23" s="102">
        <f>IF(SUM(I24:I35)&lt;&gt;VLOOKUP($B23,MMWR_TRAD_AGG_ST_DISTRICT_COMP[],I$1,0),"ERROR",
VLOOKUP($B23,MMWR_TRAD_AGG_ST_DISTRICT_COMP[],I$1,0))</f>
        <v>40246</v>
      </c>
      <c r="J23" s="105">
        <f t="shared" si="1"/>
        <v>0.59582216826802081</v>
      </c>
      <c r="K23" s="102">
        <f>IF(SUM(K24:K35)&lt;&gt;VLOOKUP($B23,MMWR_TRAD_AGG_ST_DISTRICT_COMP[],K$1,0),"ERROR",
VLOOKUP($B23,MMWR_TRAD_AGG_ST_DISTRICT_COMP[],K$1,0))</f>
        <v>14853</v>
      </c>
      <c r="L23" s="102">
        <f>IF(SUM(L24:L35)&lt;&gt;VLOOKUP($B23,MMWR_TRAD_AGG_ST_DISTRICT_COMP[],L$1,0),"ERROR",
VLOOKUP($B23,MMWR_TRAD_AGG_ST_DISTRICT_COMP[],L$1,0))</f>
        <v>9574</v>
      </c>
      <c r="M23" s="105">
        <f t="shared" si="2"/>
        <v>0.64458358580758091</v>
      </c>
      <c r="N23" s="102">
        <f>IF(SUM(N24:N35)&lt;&gt;VLOOKUP($B23,MMWR_TRAD_AGG_ST_DISTRICT_COMP[],N$1,0),"ERROR",
VLOOKUP($B23,MMWR_TRAD_AGG_ST_DISTRICT_COMP[],N$1,0))</f>
        <v>24843</v>
      </c>
      <c r="O23" s="102">
        <f>IF(SUM(O24:O35)&lt;&gt;VLOOKUP($B23,MMWR_TRAD_AGG_ST_DISTRICT_COMP[],O$1,0),"ERROR",
VLOOKUP($B23,MMWR_TRAD_AGG_ST_DISTRICT_COMP[],O$1,0))</f>
        <v>14426</v>
      </c>
      <c r="P23" s="105">
        <f t="shared" si="3"/>
        <v>0.58068671255484439</v>
      </c>
      <c r="Q23" s="102">
        <f>IF(SUM(Q24:Q35)&lt;&gt;VLOOKUP($B23,MMWR_TRAD_AGG_ST_DISTRICT_COMP[],Q$1,0),"ERROR",
VLOOKUP($B23,MMWR_TRAD_AGG_ST_DISTRICT_COMP[],Q$1,0))</f>
        <v>3389</v>
      </c>
      <c r="R23" s="102">
        <f>IF(SUM(R24:R35)&lt;&gt;VLOOKUP($B23,MMWR_TRAD_AGG_ST_DISTRICT_COMP[],R$1,0),"ERROR",
VLOOKUP($B23,MMWR_TRAD_AGG_ST_DISTRICT_COMP[],R$1,0))</f>
        <v>1054</v>
      </c>
      <c r="S23" s="106">
        <f>SUM(S24:S35)</f>
        <v>53387</v>
      </c>
      <c r="T23" s="28"/>
    </row>
    <row r="24" spans="1:20" s="123" customFormat="1" x14ac:dyDescent="0.2">
      <c r="A24" s="92"/>
      <c r="B24" s="127" t="s">
        <v>394</v>
      </c>
      <c r="C24" s="109">
        <f>IFERROR(VLOOKUP($B24,MMWR_TRAD_AGG_STATE_COMP[],C$1,0),"ERROR")</f>
        <v>7188</v>
      </c>
      <c r="D24" s="110">
        <f>IFERROR(VLOOKUP($B24,MMWR_TRAD_AGG_STATE_COMP[],D$1,0),"ERROR")</f>
        <v>487.22871452419997</v>
      </c>
      <c r="E24" s="111">
        <f>IFERROR(VLOOKUP($B24,MMWR_TRAD_AGG_STATE_COMP[],E$1,0),"ERROR")</f>
        <v>7478</v>
      </c>
      <c r="F24" s="112">
        <f>IFERROR(VLOOKUP($B24,MMWR_TRAD_AGG_STATE_COMP[],F$1,0),"ERROR")</f>
        <v>1813</v>
      </c>
      <c r="G24" s="113">
        <f t="shared" si="0"/>
        <v>0.24244450387804226</v>
      </c>
      <c r="H24" s="111">
        <f>IFERROR(VLOOKUP($B24,MMWR_TRAD_AGG_STATE_COMP[],H$1,0),"ERROR")</f>
        <v>9852</v>
      </c>
      <c r="I24" s="112">
        <f>IFERROR(VLOOKUP($B24,MMWR_TRAD_AGG_STATE_COMP[],I$1,0),"ERROR")</f>
        <v>6839</v>
      </c>
      <c r="J24" s="114">
        <f t="shared" si="1"/>
        <v>0.69417377182298012</v>
      </c>
      <c r="K24" s="111">
        <f>IFERROR(VLOOKUP($B24,MMWR_TRAD_AGG_STATE_COMP[],K$1,0),"ERROR")</f>
        <v>2176</v>
      </c>
      <c r="L24" s="112">
        <f>IFERROR(VLOOKUP($B24,MMWR_TRAD_AGG_STATE_COMP[],L$1,0),"ERROR")</f>
        <v>1661</v>
      </c>
      <c r="M24" s="114">
        <f t="shared" si="2"/>
        <v>0.76332720588235292</v>
      </c>
      <c r="N24" s="111">
        <f>IFERROR(VLOOKUP($B24,MMWR_TRAD_AGG_STATE_COMP[],N$1,0),"ERROR")</f>
        <v>2841</v>
      </c>
      <c r="O24" s="112">
        <f>IFERROR(VLOOKUP($B24,MMWR_TRAD_AGG_STATE_COMP[],O$1,0),"ERROR")</f>
        <v>1393</v>
      </c>
      <c r="P24" s="114">
        <f t="shared" si="3"/>
        <v>0.490320309750088</v>
      </c>
      <c r="Q24" s="115">
        <f>IFERROR(VLOOKUP($B24,MMWR_TRAD_AGG_STATE_COMP[],Q$1,0),"ERROR")</f>
        <v>614</v>
      </c>
      <c r="R24" s="115">
        <f>IFERROR(VLOOKUP($B24,MMWR_TRAD_AGG_STATE_COMP[],R$1,0),"ERROR")</f>
        <v>212</v>
      </c>
      <c r="S24" s="115">
        <f>IFERROR(VLOOKUP($B24,MMWR_APP_STATE_COMP[],S$1,0),"ERROR")</f>
        <v>8348</v>
      </c>
      <c r="T24" s="28"/>
    </row>
    <row r="25" spans="1:20" s="123" customFormat="1" x14ac:dyDescent="0.2">
      <c r="A25" s="107"/>
      <c r="B25" s="127" t="s">
        <v>392</v>
      </c>
      <c r="C25" s="109">
        <f>IFERROR(VLOOKUP($B25,MMWR_TRAD_AGG_STATE_COMP[],C$1,0),"ERROR")</f>
        <v>7310</v>
      </c>
      <c r="D25" s="110">
        <f>IFERROR(VLOOKUP($B25,MMWR_TRAD_AGG_STATE_COMP[],D$1,0),"ERROR")</f>
        <v>607.16662106700005</v>
      </c>
      <c r="E25" s="111">
        <f>IFERROR(VLOOKUP($B25,MMWR_TRAD_AGG_STATE_COMP[],E$1,0),"ERROR")</f>
        <v>5247</v>
      </c>
      <c r="F25" s="112">
        <f>IFERROR(VLOOKUP($B25,MMWR_TRAD_AGG_STATE_COMP[],F$1,0),"ERROR")</f>
        <v>936</v>
      </c>
      <c r="G25" s="113">
        <f t="shared" si="0"/>
        <v>0.17838765008576329</v>
      </c>
      <c r="H25" s="111">
        <f>IFERROR(VLOOKUP($B25,MMWR_TRAD_AGG_STATE_COMP[],H$1,0),"ERROR")</f>
        <v>11219</v>
      </c>
      <c r="I25" s="112">
        <f>IFERROR(VLOOKUP($B25,MMWR_TRAD_AGG_STATE_COMP[],I$1,0),"ERROR")</f>
        <v>7502</v>
      </c>
      <c r="J25" s="114">
        <f t="shared" si="1"/>
        <v>0.6686870487565737</v>
      </c>
      <c r="K25" s="111">
        <f>IFERROR(VLOOKUP($B25,MMWR_TRAD_AGG_STATE_COMP[],K$1,0),"ERROR")</f>
        <v>2194</v>
      </c>
      <c r="L25" s="112">
        <f>IFERROR(VLOOKUP($B25,MMWR_TRAD_AGG_STATE_COMP[],L$1,0),"ERROR")</f>
        <v>1521</v>
      </c>
      <c r="M25" s="114">
        <f t="shared" si="2"/>
        <v>0.69325432999088421</v>
      </c>
      <c r="N25" s="111">
        <f>IFERROR(VLOOKUP($B25,MMWR_TRAD_AGG_STATE_COMP[],N$1,0),"ERROR")</f>
        <v>2909</v>
      </c>
      <c r="O25" s="112">
        <f>IFERROR(VLOOKUP($B25,MMWR_TRAD_AGG_STATE_COMP[],O$1,0),"ERROR")</f>
        <v>1863</v>
      </c>
      <c r="P25" s="114">
        <f t="shared" si="3"/>
        <v>0.64042626332072883</v>
      </c>
      <c r="Q25" s="115">
        <f>IFERROR(VLOOKUP($B25,MMWR_TRAD_AGG_STATE_COMP[],Q$1,0),"ERROR")</f>
        <v>452</v>
      </c>
      <c r="R25" s="115">
        <f>IFERROR(VLOOKUP($B25,MMWR_TRAD_AGG_STATE_COMP[],R$1,0),"ERROR")</f>
        <v>190</v>
      </c>
      <c r="S25" s="115">
        <f>IFERROR(VLOOKUP($B25,MMWR_APP_STATE_COMP[],S$1,0),"ERROR")</f>
        <v>8246</v>
      </c>
      <c r="T25" s="28"/>
    </row>
    <row r="26" spans="1:20" s="123" customFormat="1" x14ac:dyDescent="0.2">
      <c r="A26" s="107"/>
      <c r="B26" s="127" t="s">
        <v>399</v>
      </c>
      <c r="C26" s="109">
        <f>IFERROR(VLOOKUP($B26,MMWR_TRAD_AGG_STATE_COMP[],C$1,0),"ERROR")</f>
        <v>1427</v>
      </c>
      <c r="D26" s="110">
        <f>IFERROR(VLOOKUP($B26,MMWR_TRAD_AGG_STATE_COMP[],D$1,0),"ERROR")</f>
        <v>194.1990189208</v>
      </c>
      <c r="E26" s="111">
        <f>IFERROR(VLOOKUP($B26,MMWR_TRAD_AGG_STATE_COMP[],E$1,0),"ERROR")</f>
        <v>2406</v>
      </c>
      <c r="F26" s="112">
        <f>IFERROR(VLOOKUP($B26,MMWR_TRAD_AGG_STATE_COMP[],F$1,0),"ERROR")</f>
        <v>388</v>
      </c>
      <c r="G26" s="113">
        <f t="shared" si="0"/>
        <v>0.16126350789692437</v>
      </c>
      <c r="H26" s="111">
        <f>IFERROR(VLOOKUP($B26,MMWR_TRAD_AGG_STATE_COMP[],H$1,0),"ERROR")</f>
        <v>2378</v>
      </c>
      <c r="I26" s="112">
        <f>IFERROR(VLOOKUP($B26,MMWR_TRAD_AGG_STATE_COMP[],I$1,0),"ERROR")</f>
        <v>1123</v>
      </c>
      <c r="J26" s="114">
        <f t="shared" si="1"/>
        <v>0.47224558452481075</v>
      </c>
      <c r="K26" s="111">
        <f>IFERROR(VLOOKUP($B26,MMWR_TRAD_AGG_STATE_COMP[],K$1,0),"ERROR")</f>
        <v>426</v>
      </c>
      <c r="L26" s="112">
        <f>IFERROR(VLOOKUP($B26,MMWR_TRAD_AGG_STATE_COMP[],L$1,0),"ERROR")</f>
        <v>215</v>
      </c>
      <c r="M26" s="114">
        <f t="shared" si="2"/>
        <v>0.50469483568075113</v>
      </c>
      <c r="N26" s="111">
        <f>IFERROR(VLOOKUP($B26,MMWR_TRAD_AGG_STATE_COMP[],N$1,0),"ERROR")</f>
        <v>569</v>
      </c>
      <c r="O26" s="112">
        <f>IFERROR(VLOOKUP($B26,MMWR_TRAD_AGG_STATE_COMP[],O$1,0),"ERROR")</f>
        <v>298</v>
      </c>
      <c r="P26" s="114">
        <f t="shared" si="3"/>
        <v>0.52372583479789103</v>
      </c>
      <c r="Q26" s="115">
        <f>IFERROR(VLOOKUP($B26,MMWR_TRAD_AGG_STATE_COMP[],Q$1,0),"ERROR")</f>
        <v>1</v>
      </c>
      <c r="R26" s="115">
        <f>IFERROR(VLOOKUP($B26,MMWR_TRAD_AGG_STATE_COMP[],R$1,0),"ERROR")</f>
        <v>8</v>
      </c>
      <c r="S26" s="115">
        <f>IFERROR(VLOOKUP($B26,MMWR_APP_STATE_COMP[],S$1,0),"ERROR")</f>
        <v>1322</v>
      </c>
      <c r="T26" s="28"/>
    </row>
    <row r="27" spans="1:20" s="123" customFormat="1" x14ac:dyDescent="0.2">
      <c r="A27" s="107"/>
      <c r="B27" s="127" t="s">
        <v>422</v>
      </c>
      <c r="C27" s="109">
        <f>IFERROR(VLOOKUP($B27,MMWR_TRAD_AGG_STATE_COMP[],C$1,0),"ERROR")</f>
        <v>2104</v>
      </c>
      <c r="D27" s="110">
        <f>IFERROR(VLOOKUP($B27,MMWR_TRAD_AGG_STATE_COMP[],D$1,0),"ERROR")</f>
        <v>235.60693916349999</v>
      </c>
      <c r="E27" s="111">
        <f>IFERROR(VLOOKUP($B27,MMWR_TRAD_AGG_STATE_COMP[],E$1,0),"ERROR")</f>
        <v>2719</v>
      </c>
      <c r="F27" s="112">
        <f>IFERROR(VLOOKUP($B27,MMWR_TRAD_AGG_STATE_COMP[],F$1,0),"ERROR")</f>
        <v>496</v>
      </c>
      <c r="G27" s="113">
        <f t="shared" si="0"/>
        <v>0.18242000735564545</v>
      </c>
      <c r="H27" s="111">
        <f>IFERROR(VLOOKUP($B27,MMWR_TRAD_AGG_STATE_COMP[],H$1,0),"ERROR")</f>
        <v>3300</v>
      </c>
      <c r="I27" s="112">
        <f>IFERROR(VLOOKUP($B27,MMWR_TRAD_AGG_STATE_COMP[],I$1,0),"ERROR")</f>
        <v>1778</v>
      </c>
      <c r="J27" s="114">
        <f t="shared" si="1"/>
        <v>0.53878787878787882</v>
      </c>
      <c r="K27" s="111">
        <f>IFERROR(VLOOKUP($B27,MMWR_TRAD_AGG_STATE_COMP[],K$1,0),"ERROR")</f>
        <v>1147</v>
      </c>
      <c r="L27" s="112">
        <f>IFERROR(VLOOKUP($B27,MMWR_TRAD_AGG_STATE_COMP[],L$1,0),"ERROR")</f>
        <v>458</v>
      </c>
      <c r="M27" s="114">
        <f t="shared" si="2"/>
        <v>0.39930252833478641</v>
      </c>
      <c r="N27" s="111">
        <f>IFERROR(VLOOKUP($B27,MMWR_TRAD_AGG_STATE_COMP[],N$1,0),"ERROR")</f>
        <v>682</v>
      </c>
      <c r="O27" s="112">
        <f>IFERROR(VLOOKUP($B27,MMWR_TRAD_AGG_STATE_COMP[],O$1,0),"ERROR")</f>
        <v>330</v>
      </c>
      <c r="P27" s="114">
        <f t="shared" si="3"/>
        <v>0.4838709677419355</v>
      </c>
      <c r="Q27" s="115">
        <f>IFERROR(VLOOKUP($B27,MMWR_TRAD_AGG_STATE_COMP[],Q$1,0),"ERROR")</f>
        <v>9</v>
      </c>
      <c r="R27" s="115">
        <f>IFERROR(VLOOKUP($B27,MMWR_TRAD_AGG_STATE_COMP[],R$1,0),"ERROR")</f>
        <v>13</v>
      </c>
      <c r="S27" s="115">
        <f>IFERROR(VLOOKUP($B27,MMWR_APP_STATE_COMP[],S$1,0),"ERROR")</f>
        <v>1334</v>
      </c>
      <c r="T27" s="28"/>
    </row>
    <row r="28" spans="1:20" s="123" customFormat="1" x14ac:dyDescent="0.2">
      <c r="A28" s="107"/>
      <c r="B28" s="127" t="s">
        <v>395</v>
      </c>
      <c r="C28" s="109">
        <f>IFERROR(VLOOKUP($B28,MMWR_TRAD_AGG_STATE_COMP[],C$1,0),"ERROR")</f>
        <v>4381</v>
      </c>
      <c r="D28" s="110">
        <f>IFERROR(VLOOKUP($B28,MMWR_TRAD_AGG_STATE_COMP[],D$1,0),"ERROR")</f>
        <v>277.47728829030001</v>
      </c>
      <c r="E28" s="111">
        <f>IFERROR(VLOOKUP($B28,MMWR_TRAD_AGG_STATE_COMP[],E$1,0),"ERROR")</f>
        <v>7426</v>
      </c>
      <c r="F28" s="112">
        <f>IFERROR(VLOOKUP($B28,MMWR_TRAD_AGG_STATE_COMP[],F$1,0),"ERROR")</f>
        <v>1776</v>
      </c>
      <c r="G28" s="113">
        <f t="shared" si="0"/>
        <v>0.2391597091300835</v>
      </c>
      <c r="H28" s="111">
        <f>IFERROR(VLOOKUP($B28,MMWR_TRAD_AGG_STATE_COMP[],H$1,0),"ERROR")</f>
        <v>7657</v>
      </c>
      <c r="I28" s="112">
        <f>IFERROR(VLOOKUP($B28,MMWR_TRAD_AGG_STATE_COMP[],I$1,0),"ERROR")</f>
        <v>4519</v>
      </c>
      <c r="J28" s="114">
        <f t="shared" si="1"/>
        <v>0.59017892124853077</v>
      </c>
      <c r="K28" s="111">
        <f>IFERROR(VLOOKUP($B28,MMWR_TRAD_AGG_STATE_COMP[],K$1,0),"ERROR")</f>
        <v>1707</v>
      </c>
      <c r="L28" s="112">
        <f>IFERROR(VLOOKUP($B28,MMWR_TRAD_AGG_STATE_COMP[],L$1,0),"ERROR")</f>
        <v>1043</v>
      </c>
      <c r="M28" s="114">
        <f t="shared" si="2"/>
        <v>0.61101347393087291</v>
      </c>
      <c r="N28" s="111">
        <f>IFERROR(VLOOKUP($B28,MMWR_TRAD_AGG_STATE_COMP[],N$1,0),"ERROR")</f>
        <v>1992</v>
      </c>
      <c r="O28" s="112">
        <f>IFERROR(VLOOKUP($B28,MMWR_TRAD_AGG_STATE_COMP[],O$1,0),"ERROR")</f>
        <v>1003</v>
      </c>
      <c r="P28" s="114">
        <f t="shared" si="3"/>
        <v>0.50351405622489964</v>
      </c>
      <c r="Q28" s="115">
        <f>IFERROR(VLOOKUP($B28,MMWR_TRAD_AGG_STATE_COMP[],Q$1,0),"ERROR")</f>
        <v>671</v>
      </c>
      <c r="R28" s="115">
        <f>IFERROR(VLOOKUP($B28,MMWR_TRAD_AGG_STATE_COMP[],R$1,0),"ERROR")</f>
        <v>198</v>
      </c>
      <c r="S28" s="115">
        <f>IFERROR(VLOOKUP($B28,MMWR_APP_STATE_COMP[],S$1,0),"ERROR")</f>
        <v>5912</v>
      </c>
      <c r="T28" s="28"/>
    </row>
    <row r="29" spans="1:20" s="123" customFormat="1" x14ac:dyDescent="0.2">
      <c r="A29" s="107"/>
      <c r="B29" s="127" t="s">
        <v>401</v>
      </c>
      <c r="C29" s="109">
        <f>IFERROR(VLOOKUP($B29,MMWR_TRAD_AGG_STATE_COMP[],C$1,0),"ERROR")</f>
        <v>1435</v>
      </c>
      <c r="D29" s="110">
        <f>IFERROR(VLOOKUP($B29,MMWR_TRAD_AGG_STATE_COMP[],D$1,0),"ERROR")</f>
        <v>199.07874564459999</v>
      </c>
      <c r="E29" s="111">
        <f>IFERROR(VLOOKUP($B29,MMWR_TRAD_AGG_STATE_COMP[],E$1,0),"ERROR")</f>
        <v>4748</v>
      </c>
      <c r="F29" s="112">
        <f>IFERROR(VLOOKUP($B29,MMWR_TRAD_AGG_STATE_COMP[],F$1,0),"ERROR")</f>
        <v>916</v>
      </c>
      <c r="G29" s="113">
        <f t="shared" si="0"/>
        <v>0.19292333614153329</v>
      </c>
      <c r="H29" s="111">
        <f>IFERROR(VLOOKUP($B29,MMWR_TRAD_AGG_STATE_COMP[],H$1,0),"ERROR")</f>
        <v>3121</v>
      </c>
      <c r="I29" s="112">
        <f>IFERROR(VLOOKUP($B29,MMWR_TRAD_AGG_STATE_COMP[],I$1,0),"ERROR")</f>
        <v>1503</v>
      </c>
      <c r="J29" s="114">
        <f t="shared" si="1"/>
        <v>0.48157641781480293</v>
      </c>
      <c r="K29" s="111">
        <f>IFERROR(VLOOKUP($B29,MMWR_TRAD_AGG_STATE_COMP[],K$1,0),"ERROR")</f>
        <v>663</v>
      </c>
      <c r="L29" s="112">
        <f>IFERROR(VLOOKUP($B29,MMWR_TRAD_AGG_STATE_COMP[],L$1,0),"ERROR")</f>
        <v>286</v>
      </c>
      <c r="M29" s="114">
        <f t="shared" si="2"/>
        <v>0.43137254901960786</v>
      </c>
      <c r="N29" s="111">
        <f>IFERROR(VLOOKUP($B29,MMWR_TRAD_AGG_STATE_COMP[],N$1,0),"ERROR")</f>
        <v>1222</v>
      </c>
      <c r="O29" s="112">
        <f>IFERROR(VLOOKUP($B29,MMWR_TRAD_AGG_STATE_COMP[],O$1,0),"ERROR")</f>
        <v>685</v>
      </c>
      <c r="P29" s="114">
        <f t="shared" si="3"/>
        <v>0.56055646481178401</v>
      </c>
      <c r="Q29" s="115">
        <f>IFERROR(VLOOKUP($B29,MMWR_TRAD_AGG_STATE_COMP[],Q$1,0),"ERROR")</f>
        <v>5</v>
      </c>
      <c r="R29" s="115">
        <f>IFERROR(VLOOKUP($B29,MMWR_TRAD_AGG_STATE_COMP[],R$1,0),"ERROR")</f>
        <v>5</v>
      </c>
      <c r="S29" s="115">
        <f>IFERROR(VLOOKUP($B29,MMWR_APP_STATE_COMP[],S$1,0),"ERROR")</f>
        <v>2253</v>
      </c>
      <c r="T29" s="28"/>
    </row>
    <row r="30" spans="1:20" s="123" customFormat="1" x14ac:dyDescent="0.2">
      <c r="A30" s="107"/>
      <c r="B30" s="127" t="s">
        <v>397</v>
      </c>
      <c r="C30" s="109">
        <f>IFERROR(VLOOKUP($B30,MMWR_TRAD_AGG_STATE_COMP[],C$1,0),"ERROR")</f>
        <v>5660</v>
      </c>
      <c r="D30" s="110">
        <f>IFERROR(VLOOKUP($B30,MMWR_TRAD_AGG_STATE_COMP[],D$1,0),"ERROR")</f>
        <v>283.86042402829997</v>
      </c>
      <c r="E30" s="111">
        <f>IFERROR(VLOOKUP($B30,MMWR_TRAD_AGG_STATE_COMP[],E$1,0),"ERROR")</f>
        <v>6277</v>
      </c>
      <c r="F30" s="112">
        <f>IFERROR(VLOOKUP($B30,MMWR_TRAD_AGG_STATE_COMP[],F$1,0),"ERROR")</f>
        <v>1005</v>
      </c>
      <c r="G30" s="113">
        <f t="shared" si="0"/>
        <v>0.16010833200573521</v>
      </c>
      <c r="H30" s="111">
        <f>IFERROR(VLOOKUP($B30,MMWR_TRAD_AGG_STATE_COMP[],H$1,0),"ERROR")</f>
        <v>8178</v>
      </c>
      <c r="I30" s="112">
        <f>IFERROR(VLOOKUP($B30,MMWR_TRAD_AGG_STATE_COMP[],I$1,0),"ERROR")</f>
        <v>5059</v>
      </c>
      <c r="J30" s="114">
        <f t="shared" si="1"/>
        <v>0.61861090731230128</v>
      </c>
      <c r="K30" s="111">
        <f>IFERROR(VLOOKUP($B30,MMWR_TRAD_AGG_STATE_COMP[],K$1,0),"ERROR")</f>
        <v>2612</v>
      </c>
      <c r="L30" s="112">
        <f>IFERROR(VLOOKUP($B30,MMWR_TRAD_AGG_STATE_COMP[],L$1,0),"ERROR")</f>
        <v>1958</v>
      </c>
      <c r="M30" s="114">
        <f t="shared" si="2"/>
        <v>0.74961715160796327</v>
      </c>
      <c r="N30" s="111">
        <f>IFERROR(VLOOKUP($B30,MMWR_TRAD_AGG_STATE_COMP[],N$1,0),"ERROR")</f>
        <v>8383</v>
      </c>
      <c r="O30" s="112">
        <f>IFERROR(VLOOKUP($B30,MMWR_TRAD_AGG_STATE_COMP[],O$1,0),"ERROR")</f>
        <v>5720</v>
      </c>
      <c r="P30" s="114">
        <f t="shared" si="3"/>
        <v>0.68233329357032091</v>
      </c>
      <c r="Q30" s="115">
        <f>IFERROR(VLOOKUP($B30,MMWR_TRAD_AGG_STATE_COMP[],Q$1,0),"ERROR")</f>
        <v>574</v>
      </c>
      <c r="R30" s="115">
        <f>IFERROR(VLOOKUP($B30,MMWR_TRAD_AGG_STATE_COMP[],R$1,0),"ERROR")</f>
        <v>77</v>
      </c>
      <c r="S30" s="115">
        <f>IFERROR(VLOOKUP($B30,MMWR_APP_STATE_COMP[],S$1,0),"ERROR")</f>
        <v>6882</v>
      </c>
      <c r="T30" s="28"/>
    </row>
    <row r="31" spans="1:20" s="123" customFormat="1" x14ac:dyDescent="0.2">
      <c r="A31" s="107"/>
      <c r="B31" s="127" t="s">
        <v>400</v>
      </c>
      <c r="C31" s="109">
        <f>IFERROR(VLOOKUP($B31,MMWR_TRAD_AGG_STATE_COMP[],C$1,0),"ERROR")</f>
        <v>1383</v>
      </c>
      <c r="D31" s="110">
        <f>IFERROR(VLOOKUP($B31,MMWR_TRAD_AGG_STATE_COMP[],D$1,0),"ERROR")</f>
        <v>224.46203904559999</v>
      </c>
      <c r="E31" s="111">
        <f>IFERROR(VLOOKUP($B31,MMWR_TRAD_AGG_STATE_COMP[],E$1,0),"ERROR")</f>
        <v>2140</v>
      </c>
      <c r="F31" s="112">
        <f>IFERROR(VLOOKUP($B31,MMWR_TRAD_AGG_STATE_COMP[],F$1,0),"ERROR")</f>
        <v>260</v>
      </c>
      <c r="G31" s="113">
        <f t="shared" si="0"/>
        <v>0.12149532710280374</v>
      </c>
      <c r="H31" s="111">
        <f>IFERROR(VLOOKUP($B31,MMWR_TRAD_AGG_STATE_COMP[],H$1,0),"ERROR")</f>
        <v>2219</v>
      </c>
      <c r="I31" s="112">
        <f>IFERROR(VLOOKUP($B31,MMWR_TRAD_AGG_STATE_COMP[],I$1,0),"ERROR")</f>
        <v>1165</v>
      </c>
      <c r="J31" s="114">
        <f t="shared" si="1"/>
        <v>0.52501126633618744</v>
      </c>
      <c r="K31" s="111">
        <f>IFERROR(VLOOKUP($B31,MMWR_TRAD_AGG_STATE_COMP[],K$1,0),"ERROR")</f>
        <v>801</v>
      </c>
      <c r="L31" s="112">
        <f>IFERROR(VLOOKUP($B31,MMWR_TRAD_AGG_STATE_COMP[],L$1,0),"ERROR")</f>
        <v>576</v>
      </c>
      <c r="M31" s="114">
        <f t="shared" si="2"/>
        <v>0.7191011235955056</v>
      </c>
      <c r="N31" s="111">
        <f>IFERROR(VLOOKUP($B31,MMWR_TRAD_AGG_STATE_COMP[],N$1,0),"ERROR")</f>
        <v>570</v>
      </c>
      <c r="O31" s="112">
        <f>IFERROR(VLOOKUP($B31,MMWR_TRAD_AGG_STATE_COMP[],O$1,0),"ERROR")</f>
        <v>262</v>
      </c>
      <c r="P31" s="114">
        <f t="shared" si="3"/>
        <v>0.45964912280701753</v>
      </c>
      <c r="Q31" s="115">
        <f>IFERROR(VLOOKUP($B31,MMWR_TRAD_AGG_STATE_COMP[],Q$1,0),"ERROR")</f>
        <v>2</v>
      </c>
      <c r="R31" s="115">
        <f>IFERROR(VLOOKUP($B31,MMWR_TRAD_AGG_STATE_COMP[],R$1,0),"ERROR")</f>
        <v>13</v>
      </c>
      <c r="S31" s="115">
        <f>IFERROR(VLOOKUP($B31,MMWR_APP_STATE_COMP[],S$1,0),"ERROR")</f>
        <v>1255</v>
      </c>
      <c r="T31" s="28"/>
    </row>
    <row r="32" spans="1:20" s="123" customFormat="1" x14ac:dyDescent="0.2">
      <c r="A32" s="107"/>
      <c r="B32" s="127" t="s">
        <v>419</v>
      </c>
      <c r="C32" s="109">
        <f>IFERROR(VLOOKUP($B32,MMWR_TRAD_AGG_STATE_COMP[],C$1,0),"ERROR")</f>
        <v>175</v>
      </c>
      <c r="D32" s="110">
        <f>IFERROR(VLOOKUP($B32,MMWR_TRAD_AGG_STATE_COMP[],D$1,0),"ERROR")</f>
        <v>297.10285714290001</v>
      </c>
      <c r="E32" s="111">
        <f>IFERROR(VLOOKUP($B32,MMWR_TRAD_AGG_STATE_COMP[],E$1,0),"ERROR")</f>
        <v>627</v>
      </c>
      <c r="F32" s="112">
        <f>IFERROR(VLOOKUP($B32,MMWR_TRAD_AGG_STATE_COMP[],F$1,0),"ERROR")</f>
        <v>103</v>
      </c>
      <c r="G32" s="113">
        <f t="shared" si="0"/>
        <v>0.16427432216905902</v>
      </c>
      <c r="H32" s="111">
        <f>IFERROR(VLOOKUP($B32,MMWR_TRAD_AGG_STATE_COMP[],H$1,0),"ERROR")</f>
        <v>328</v>
      </c>
      <c r="I32" s="112">
        <f>IFERROR(VLOOKUP($B32,MMWR_TRAD_AGG_STATE_COMP[],I$1,0),"ERROR")</f>
        <v>150</v>
      </c>
      <c r="J32" s="114">
        <f t="shared" si="1"/>
        <v>0.45731707317073172</v>
      </c>
      <c r="K32" s="111">
        <f>IFERROR(VLOOKUP($B32,MMWR_TRAD_AGG_STATE_COMP[],K$1,0),"ERROR")</f>
        <v>119</v>
      </c>
      <c r="L32" s="112">
        <f>IFERROR(VLOOKUP($B32,MMWR_TRAD_AGG_STATE_COMP[],L$1,0),"ERROR")</f>
        <v>58</v>
      </c>
      <c r="M32" s="114">
        <f t="shared" si="2"/>
        <v>0.48739495798319327</v>
      </c>
      <c r="N32" s="111">
        <f>IFERROR(VLOOKUP($B32,MMWR_TRAD_AGG_STATE_COMP[],N$1,0),"ERROR")</f>
        <v>153</v>
      </c>
      <c r="O32" s="112">
        <f>IFERROR(VLOOKUP($B32,MMWR_TRAD_AGG_STATE_COMP[],O$1,0),"ERROR")</f>
        <v>76</v>
      </c>
      <c r="P32" s="114">
        <f t="shared" si="3"/>
        <v>0.49673202614379086</v>
      </c>
      <c r="Q32" s="115">
        <f>IFERROR(VLOOKUP($B32,MMWR_TRAD_AGG_STATE_COMP[],Q$1,0),"ERROR")</f>
        <v>0</v>
      </c>
      <c r="R32" s="115">
        <f>IFERROR(VLOOKUP($B32,MMWR_TRAD_AGG_STATE_COMP[],R$1,0),"ERROR")</f>
        <v>0</v>
      </c>
      <c r="S32" s="115">
        <f>IFERROR(VLOOKUP($B32,MMWR_APP_STATE_COMP[],S$1,0),"ERROR")</f>
        <v>450</v>
      </c>
      <c r="T32" s="28"/>
    </row>
    <row r="33" spans="1:20" s="123" customFormat="1" x14ac:dyDescent="0.2">
      <c r="A33" s="107"/>
      <c r="B33" s="127" t="s">
        <v>391</v>
      </c>
      <c r="C33" s="109">
        <f>IFERROR(VLOOKUP($B33,MMWR_TRAD_AGG_STATE_COMP[],C$1,0),"ERROR")</f>
        <v>7301</v>
      </c>
      <c r="D33" s="110">
        <f>IFERROR(VLOOKUP($B33,MMWR_TRAD_AGG_STATE_COMP[],D$1,0),"ERROR")</f>
        <v>422.81933981650002</v>
      </c>
      <c r="E33" s="111">
        <f>IFERROR(VLOOKUP($B33,MMWR_TRAD_AGG_STATE_COMP[],E$1,0),"ERROR")</f>
        <v>8768</v>
      </c>
      <c r="F33" s="112">
        <f>IFERROR(VLOOKUP($B33,MMWR_TRAD_AGG_STATE_COMP[],F$1,0),"ERROR")</f>
        <v>2175</v>
      </c>
      <c r="G33" s="113">
        <f t="shared" si="0"/>
        <v>0.24806113138686131</v>
      </c>
      <c r="H33" s="111">
        <f>IFERROR(VLOOKUP($B33,MMWR_TRAD_AGG_STATE_COMP[],H$1,0),"ERROR")</f>
        <v>12249</v>
      </c>
      <c r="I33" s="112">
        <f>IFERROR(VLOOKUP($B33,MMWR_TRAD_AGG_STATE_COMP[],I$1,0),"ERROR")</f>
        <v>7000</v>
      </c>
      <c r="J33" s="114">
        <f t="shared" si="1"/>
        <v>0.57147522246714022</v>
      </c>
      <c r="K33" s="111">
        <f>IFERROR(VLOOKUP($B33,MMWR_TRAD_AGG_STATE_COMP[],K$1,0),"ERROR")</f>
        <v>1947</v>
      </c>
      <c r="L33" s="112">
        <f>IFERROR(VLOOKUP($B33,MMWR_TRAD_AGG_STATE_COMP[],L$1,0),"ERROR")</f>
        <v>1169</v>
      </c>
      <c r="M33" s="114">
        <f t="shared" si="2"/>
        <v>0.60041088854648172</v>
      </c>
      <c r="N33" s="111">
        <f>IFERROR(VLOOKUP($B33,MMWR_TRAD_AGG_STATE_COMP[],N$1,0),"ERROR")</f>
        <v>4463</v>
      </c>
      <c r="O33" s="112">
        <f>IFERROR(VLOOKUP($B33,MMWR_TRAD_AGG_STATE_COMP[],O$1,0),"ERROR")</f>
        <v>2242</v>
      </c>
      <c r="P33" s="114">
        <f t="shared" si="3"/>
        <v>0.50235267757114044</v>
      </c>
      <c r="Q33" s="115">
        <f>IFERROR(VLOOKUP($B33,MMWR_TRAD_AGG_STATE_COMP[],Q$1,0),"ERROR")</f>
        <v>679</v>
      </c>
      <c r="R33" s="115">
        <f>IFERROR(VLOOKUP($B33,MMWR_TRAD_AGG_STATE_COMP[],R$1,0),"ERROR")</f>
        <v>331</v>
      </c>
      <c r="S33" s="115">
        <f>IFERROR(VLOOKUP($B33,MMWR_APP_STATE_COMP[],S$1,0),"ERROR")</f>
        <v>13724</v>
      </c>
      <c r="T33" s="28"/>
    </row>
    <row r="34" spans="1:20" s="123" customFormat="1" x14ac:dyDescent="0.2">
      <c r="A34" s="107"/>
      <c r="B34" s="127" t="s">
        <v>420</v>
      </c>
      <c r="C34" s="109">
        <f>IFERROR(VLOOKUP($B34,MMWR_TRAD_AGG_STATE_COMP[],C$1,0),"ERROR")</f>
        <v>402</v>
      </c>
      <c r="D34" s="110">
        <f>IFERROR(VLOOKUP($B34,MMWR_TRAD_AGG_STATE_COMP[],D$1,0),"ERROR")</f>
        <v>247.092039801</v>
      </c>
      <c r="E34" s="111">
        <f>IFERROR(VLOOKUP($B34,MMWR_TRAD_AGG_STATE_COMP[],E$1,0),"ERROR")</f>
        <v>824</v>
      </c>
      <c r="F34" s="112">
        <f>IFERROR(VLOOKUP($B34,MMWR_TRAD_AGG_STATE_COMP[],F$1,0),"ERROR")</f>
        <v>155</v>
      </c>
      <c r="G34" s="113">
        <f t="shared" si="0"/>
        <v>0.18810679611650485</v>
      </c>
      <c r="H34" s="111">
        <f>IFERROR(VLOOKUP($B34,MMWR_TRAD_AGG_STATE_COMP[],H$1,0),"ERROR")</f>
        <v>850</v>
      </c>
      <c r="I34" s="112">
        <f>IFERROR(VLOOKUP($B34,MMWR_TRAD_AGG_STATE_COMP[],I$1,0),"ERROR")</f>
        <v>328</v>
      </c>
      <c r="J34" s="114">
        <f t="shared" si="1"/>
        <v>0.38588235294117645</v>
      </c>
      <c r="K34" s="111">
        <f>IFERROR(VLOOKUP($B34,MMWR_TRAD_AGG_STATE_COMP[],K$1,0),"ERROR")</f>
        <v>358</v>
      </c>
      <c r="L34" s="112">
        <f>IFERROR(VLOOKUP($B34,MMWR_TRAD_AGG_STATE_COMP[],L$1,0),"ERROR")</f>
        <v>172</v>
      </c>
      <c r="M34" s="114">
        <f t="shared" si="2"/>
        <v>0.48044692737430167</v>
      </c>
      <c r="N34" s="111">
        <f>IFERROR(VLOOKUP($B34,MMWR_TRAD_AGG_STATE_COMP[],N$1,0),"ERROR")</f>
        <v>141</v>
      </c>
      <c r="O34" s="112">
        <f>IFERROR(VLOOKUP($B34,MMWR_TRAD_AGG_STATE_COMP[],O$1,0),"ERROR")</f>
        <v>72</v>
      </c>
      <c r="P34" s="114">
        <f t="shared" si="3"/>
        <v>0.51063829787234039</v>
      </c>
      <c r="Q34" s="115">
        <f>IFERROR(VLOOKUP($B34,MMWR_TRAD_AGG_STATE_COMP[],Q$1,0),"ERROR")</f>
        <v>1</v>
      </c>
      <c r="R34" s="115">
        <f>IFERROR(VLOOKUP($B34,MMWR_TRAD_AGG_STATE_COMP[],R$1,0),"ERROR")</f>
        <v>1</v>
      </c>
      <c r="S34" s="115">
        <f>IFERROR(VLOOKUP($B34,MMWR_APP_STATE_COMP[],S$1,0),"ERROR")</f>
        <v>196</v>
      </c>
      <c r="T34" s="28"/>
    </row>
    <row r="35" spans="1:20" s="123" customFormat="1" x14ac:dyDescent="0.2">
      <c r="A35" s="107"/>
      <c r="B35" s="127" t="s">
        <v>396</v>
      </c>
      <c r="C35" s="109">
        <f>IFERROR(VLOOKUP($B35,MMWR_TRAD_AGG_STATE_COMP[],C$1,0),"ERROR")</f>
        <v>4064</v>
      </c>
      <c r="D35" s="110">
        <f>IFERROR(VLOOKUP($B35,MMWR_TRAD_AGG_STATE_COMP[],D$1,0),"ERROR")</f>
        <v>289.24434055120003</v>
      </c>
      <c r="E35" s="111">
        <f>IFERROR(VLOOKUP($B35,MMWR_TRAD_AGG_STATE_COMP[],E$1,0),"ERROR")</f>
        <v>3921</v>
      </c>
      <c r="F35" s="112">
        <f>IFERROR(VLOOKUP($B35,MMWR_TRAD_AGG_STATE_COMP[],F$1,0),"ERROR")</f>
        <v>741</v>
      </c>
      <c r="G35" s="113">
        <f t="shared" si="0"/>
        <v>0.18898240244835501</v>
      </c>
      <c r="H35" s="111">
        <f>IFERROR(VLOOKUP($B35,MMWR_TRAD_AGG_STATE_COMP[],H$1,0),"ERROR")</f>
        <v>6196</v>
      </c>
      <c r="I35" s="112">
        <f>IFERROR(VLOOKUP($B35,MMWR_TRAD_AGG_STATE_COMP[],I$1,0),"ERROR")</f>
        <v>3280</v>
      </c>
      <c r="J35" s="114">
        <f t="shared" si="1"/>
        <v>0.52937378954163972</v>
      </c>
      <c r="K35" s="111">
        <f>IFERROR(VLOOKUP($B35,MMWR_TRAD_AGG_STATE_COMP[],K$1,0),"ERROR")</f>
        <v>703</v>
      </c>
      <c r="L35" s="112">
        <f>IFERROR(VLOOKUP($B35,MMWR_TRAD_AGG_STATE_COMP[],L$1,0),"ERROR")</f>
        <v>457</v>
      </c>
      <c r="M35" s="114">
        <f t="shared" si="2"/>
        <v>0.65007112375533427</v>
      </c>
      <c r="N35" s="111">
        <f>IFERROR(VLOOKUP($B35,MMWR_TRAD_AGG_STATE_COMP[],N$1,0),"ERROR")</f>
        <v>918</v>
      </c>
      <c r="O35" s="112">
        <f>IFERROR(VLOOKUP($B35,MMWR_TRAD_AGG_STATE_COMP[],O$1,0),"ERROR")</f>
        <v>482</v>
      </c>
      <c r="P35" s="114">
        <f t="shared" si="3"/>
        <v>0.52505446623093677</v>
      </c>
      <c r="Q35" s="115">
        <f>IFERROR(VLOOKUP($B35,MMWR_TRAD_AGG_STATE_COMP[],Q$1,0),"ERROR")</f>
        <v>381</v>
      </c>
      <c r="R35" s="115">
        <f>IFERROR(VLOOKUP($B35,MMWR_TRAD_AGG_STATE_COMP[],R$1,0),"ERROR")</f>
        <v>6</v>
      </c>
      <c r="S35" s="115">
        <f>IFERROR(VLOOKUP($B35,MMWR_APP_STATE_COMP[],S$1,0),"ERROR")</f>
        <v>3465</v>
      </c>
      <c r="T35" s="28"/>
    </row>
    <row r="36" spans="1:20" s="123" customFormat="1" x14ac:dyDescent="0.2">
      <c r="A36" s="28"/>
      <c r="B36" s="126" t="s">
        <v>385</v>
      </c>
      <c r="C36" s="102">
        <f>IF(SUM(C37:C45)&lt;&gt;VLOOKUP($B36,MMWR_TRAD_AGG_ST_DISTRICT_COMP[],C$1,0),"ERROR",
VLOOKUP($B36,MMWR_TRAD_AGG_ST_DISTRICT_COMP[],C$1,0))</f>
        <v>60127</v>
      </c>
      <c r="D36" s="103">
        <f>IFERROR(VLOOKUP($B36,MMWR_TRAD_AGG_ST_DISTRICT_COMP[],D$1,0),"ERROR")</f>
        <v>367.11991285110003</v>
      </c>
      <c r="E36" s="102">
        <f>IFERROR(VLOOKUP($B36,MMWR_TRAD_AGG_ST_DISTRICT_COMP[],E$1,0),"ERROR")</f>
        <v>66699</v>
      </c>
      <c r="F36" s="102">
        <f>IFERROR(VLOOKUP($B36,MMWR_TRAD_AGG_ST_DISTRICT_COMP[],F$1,0),"ERROR")</f>
        <v>14053</v>
      </c>
      <c r="G36" s="104">
        <f t="shared" si="0"/>
        <v>0.21069281398521716</v>
      </c>
      <c r="H36" s="102">
        <f>IFERROR(VLOOKUP($B36,MMWR_TRAD_AGG_ST_DISTRICT_COMP[],H$1,0),"ERROR")</f>
        <v>84814</v>
      </c>
      <c r="I36" s="102">
        <f>IFERROR(VLOOKUP($B36,MMWR_TRAD_AGG_ST_DISTRICT_COMP[],I$1,0),"ERROR")</f>
        <v>54675</v>
      </c>
      <c r="J36" s="105">
        <f t="shared" si="1"/>
        <v>0.64464593109628132</v>
      </c>
      <c r="K36" s="102">
        <f>IFERROR(VLOOKUP($B36,MMWR_TRAD_AGG_ST_DISTRICT_COMP[],K$1,0),"ERROR")</f>
        <v>22193</v>
      </c>
      <c r="L36" s="102">
        <f>IFERROR(VLOOKUP($B36,MMWR_TRAD_AGG_ST_DISTRICT_COMP[],L$1,0),"ERROR")</f>
        <v>13268</v>
      </c>
      <c r="M36" s="105">
        <f t="shared" si="2"/>
        <v>0.59784616771053933</v>
      </c>
      <c r="N36" s="102">
        <f>IFERROR(VLOOKUP($B36,MMWR_TRAD_AGG_ST_DISTRICT_COMP[],N$1,0),"ERROR")</f>
        <v>24093</v>
      </c>
      <c r="O36" s="102">
        <f>IFERROR(VLOOKUP($B36,MMWR_TRAD_AGG_ST_DISTRICT_COMP[],O$1,0),"ERROR")</f>
        <v>13195</v>
      </c>
      <c r="P36" s="105">
        <f t="shared" si="3"/>
        <v>0.54766944755738178</v>
      </c>
      <c r="Q36" s="102">
        <f>IFERROR(VLOOKUP($B36,MMWR_TRAD_AGG_ST_DISTRICT_COMP[],Q$1,0),"ERROR")</f>
        <v>834</v>
      </c>
      <c r="R36" s="106">
        <f>IFERROR(VLOOKUP($B36,MMWR_TRAD_AGG_ST_DISTRICT_COMP[],R$1,0),"ERROR")</f>
        <v>1061</v>
      </c>
      <c r="S36" s="106">
        <f>SUM(S37:S45)</f>
        <v>69068</v>
      </c>
      <c r="T36" s="28"/>
    </row>
    <row r="37" spans="1:20" s="123" customFormat="1" x14ac:dyDescent="0.2">
      <c r="A37" s="28"/>
      <c r="B37" s="127" t="s">
        <v>411</v>
      </c>
      <c r="C37" s="109">
        <f>IFERROR(VLOOKUP($B37,MMWR_TRAD_AGG_STATE_COMP[],C$1,0),"ERROR")</f>
        <v>5338</v>
      </c>
      <c r="D37" s="110">
        <f>IFERROR(VLOOKUP($B37,MMWR_TRAD_AGG_STATE_COMP[],D$1,0),"ERROR")</f>
        <v>372.04271262650002</v>
      </c>
      <c r="E37" s="111">
        <f>IFERROR(VLOOKUP($B37,MMWR_TRAD_AGG_STATE_COMP[],E$1,0),"ERROR")</f>
        <v>3708</v>
      </c>
      <c r="F37" s="112">
        <f>IFERROR(VLOOKUP($B37,MMWR_TRAD_AGG_STATE_COMP[],F$1,0),"ERROR")</f>
        <v>651</v>
      </c>
      <c r="G37" s="113">
        <f t="shared" si="0"/>
        <v>0.17556634304207119</v>
      </c>
      <c r="H37" s="111">
        <f>IFERROR(VLOOKUP($B37,MMWR_TRAD_AGG_STATE_COMP[],H$1,0),"ERROR")</f>
        <v>6966</v>
      </c>
      <c r="I37" s="112">
        <f>IFERROR(VLOOKUP($B37,MMWR_TRAD_AGG_STATE_COMP[],I$1,0),"ERROR")</f>
        <v>4789</v>
      </c>
      <c r="J37" s="114">
        <f t="shared" si="1"/>
        <v>0.68748205569910992</v>
      </c>
      <c r="K37" s="111">
        <f>IFERROR(VLOOKUP($B37,MMWR_TRAD_AGG_STATE_COMP[],K$1,0),"ERROR")</f>
        <v>2066</v>
      </c>
      <c r="L37" s="112">
        <f>IFERROR(VLOOKUP($B37,MMWR_TRAD_AGG_STATE_COMP[],L$1,0),"ERROR")</f>
        <v>1597</v>
      </c>
      <c r="M37" s="114">
        <f t="shared" si="2"/>
        <v>0.77299128751210067</v>
      </c>
      <c r="N37" s="111">
        <f>IFERROR(VLOOKUP($B37,MMWR_TRAD_AGG_STATE_COMP[],N$1,0),"ERROR")</f>
        <v>2058</v>
      </c>
      <c r="O37" s="112">
        <f>IFERROR(VLOOKUP($B37,MMWR_TRAD_AGG_STATE_COMP[],O$1,0),"ERROR")</f>
        <v>1005</v>
      </c>
      <c r="P37" s="114">
        <f t="shared" si="3"/>
        <v>0.48833819241982507</v>
      </c>
      <c r="Q37" s="115">
        <f>IFERROR(VLOOKUP($B37,MMWR_TRAD_AGG_STATE_COMP[],Q$1,0),"ERROR")</f>
        <v>276</v>
      </c>
      <c r="R37" s="115">
        <f>IFERROR(VLOOKUP($B37,MMWR_TRAD_AGG_STATE_COMP[],R$1,0),"ERROR")</f>
        <v>132</v>
      </c>
      <c r="S37" s="115">
        <f>IFERROR(VLOOKUP($B37,MMWR_APP_STATE_COMP[],S$1,0),"ERROR")</f>
        <v>5321</v>
      </c>
      <c r="T37" s="28"/>
    </row>
    <row r="38" spans="1:20" s="123" customFormat="1" x14ac:dyDescent="0.2">
      <c r="A38" s="28"/>
      <c r="B38" s="127" t="s">
        <v>403</v>
      </c>
      <c r="C38" s="109">
        <f>IFERROR(VLOOKUP($B38,MMWR_TRAD_AGG_STATE_COMP[],C$1,0),"ERROR")</f>
        <v>6811</v>
      </c>
      <c r="D38" s="110">
        <f>IFERROR(VLOOKUP($B38,MMWR_TRAD_AGG_STATE_COMP[],D$1,0),"ERROR")</f>
        <v>375.27734547059998</v>
      </c>
      <c r="E38" s="111">
        <f>IFERROR(VLOOKUP($B38,MMWR_TRAD_AGG_STATE_COMP[],E$1,0),"ERROR")</f>
        <v>7254</v>
      </c>
      <c r="F38" s="112">
        <f>IFERROR(VLOOKUP($B38,MMWR_TRAD_AGG_STATE_COMP[],F$1,0),"ERROR")</f>
        <v>1693</v>
      </c>
      <c r="G38" s="113">
        <f t="shared" ref="G38:G64" si="4">IFERROR(F38/E38,"0%")</f>
        <v>0.2333884753239592</v>
      </c>
      <c r="H38" s="111">
        <f>IFERROR(VLOOKUP($B38,MMWR_TRAD_AGG_STATE_COMP[],H$1,0),"ERROR")</f>
        <v>10204</v>
      </c>
      <c r="I38" s="112">
        <f>IFERROR(VLOOKUP($B38,MMWR_TRAD_AGG_STATE_COMP[],I$1,0),"ERROR")</f>
        <v>6557</v>
      </c>
      <c r="J38" s="114">
        <f t="shared" ref="J38:J64" si="5">IFERROR(I38/H38,"0%")</f>
        <v>0.64259114072912582</v>
      </c>
      <c r="K38" s="111">
        <f>IFERROR(VLOOKUP($B38,MMWR_TRAD_AGG_STATE_COMP[],K$1,0),"ERROR")</f>
        <v>3473</v>
      </c>
      <c r="L38" s="112">
        <f>IFERROR(VLOOKUP($B38,MMWR_TRAD_AGG_STATE_COMP[],L$1,0),"ERROR")</f>
        <v>2408</v>
      </c>
      <c r="M38" s="114">
        <f t="shared" ref="M38:M64" si="6">IFERROR(L38/K38,"0%")</f>
        <v>0.69334868989346388</v>
      </c>
      <c r="N38" s="111">
        <f>IFERROR(VLOOKUP($B38,MMWR_TRAD_AGG_STATE_COMP[],N$1,0),"ERROR")</f>
        <v>1689</v>
      </c>
      <c r="O38" s="112">
        <f>IFERROR(VLOOKUP($B38,MMWR_TRAD_AGG_STATE_COMP[],O$1,0),"ERROR")</f>
        <v>877</v>
      </c>
      <c r="P38" s="114">
        <f t="shared" ref="P38:P64" si="7">IFERROR(O38/N38,"0%")</f>
        <v>0.51924215512137362</v>
      </c>
      <c r="Q38" s="115">
        <f>IFERROR(VLOOKUP($B38,MMWR_TRAD_AGG_STATE_COMP[],Q$1,0),"ERROR")</f>
        <v>11</v>
      </c>
      <c r="R38" s="115">
        <f>IFERROR(VLOOKUP($B38,MMWR_TRAD_AGG_STATE_COMP[],R$1,0),"ERROR")</f>
        <v>60</v>
      </c>
      <c r="S38" s="115">
        <f>IFERROR(VLOOKUP($B38,MMWR_APP_STATE_COMP[],S$1,0),"ERROR")</f>
        <v>6340</v>
      </c>
      <c r="T38" s="28"/>
    </row>
    <row r="39" spans="1:20" s="123" customFormat="1" x14ac:dyDescent="0.2">
      <c r="A39" s="28"/>
      <c r="B39" s="127" t="s">
        <v>387</v>
      </c>
      <c r="C39" s="109">
        <f>IFERROR(VLOOKUP($B39,MMWR_TRAD_AGG_STATE_COMP[],C$1,0),"ERROR")</f>
        <v>5699</v>
      </c>
      <c r="D39" s="110">
        <f>IFERROR(VLOOKUP($B39,MMWR_TRAD_AGG_STATE_COMP[],D$1,0),"ERROR")</f>
        <v>445.50500087730001</v>
      </c>
      <c r="E39" s="111">
        <f>IFERROR(VLOOKUP($B39,MMWR_TRAD_AGG_STATE_COMP[],E$1,0),"ERROR")</f>
        <v>5890</v>
      </c>
      <c r="F39" s="112">
        <f>IFERROR(VLOOKUP($B39,MMWR_TRAD_AGG_STATE_COMP[],F$1,0),"ERROR")</f>
        <v>1162</v>
      </c>
      <c r="G39" s="113">
        <f t="shared" si="4"/>
        <v>0.19728353140916807</v>
      </c>
      <c r="H39" s="111">
        <f>IFERROR(VLOOKUP($B39,MMWR_TRAD_AGG_STATE_COMP[],H$1,0),"ERROR")</f>
        <v>8335</v>
      </c>
      <c r="I39" s="112">
        <f>IFERROR(VLOOKUP($B39,MMWR_TRAD_AGG_STATE_COMP[],I$1,0),"ERROR")</f>
        <v>5574</v>
      </c>
      <c r="J39" s="114">
        <f t="shared" si="5"/>
        <v>0.66874625074985006</v>
      </c>
      <c r="K39" s="111">
        <f>IFERROR(VLOOKUP($B39,MMWR_TRAD_AGG_STATE_COMP[],K$1,0),"ERROR")</f>
        <v>1935</v>
      </c>
      <c r="L39" s="112">
        <f>IFERROR(VLOOKUP($B39,MMWR_TRAD_AGG_STATE_COMP[],L$1,0),"ERROR")</f>
        <v>1332</v>
      </c>
      <c r="M39" s="114">
        <f t="shared" si="6"/>
        <v>0.68837209302325586</v>
      </c>
      <c r="N39" s="111">
        <f>IFERROR(VLOOKUP($B39,MMWR_TRAD_AGG_STATE_COMP[],N$1,0),"ERROR")</f>
        <v>2136</v>
      </c>
      <c r="O39" s="112">
        <f>IFERROR(VLOOKUP($B39,MMWR_TRAD_AGG_STATE_COMP[],O$1,0),"ERROR")</f>
        <v>1209</v>
      </c>
      <c r="P39" s="114">
        <f t="shared" si="7"/>
        <v>0.5660112359550562</v>
      </c>
      <c r="Q39" s="115">
        <f>IFERROR(VLOOKUP($B39,MMWR_TRAD_AGG_STATE_COMP[],Q$1,0),"ERROR")</f>
        <v>230</v>
      </c>
      <c r="R39" s="115">
        <f>IFERROR(VLOOKUP($B39,MMWR_TRAD_AGG_STATE_COMP[],R$1,0),"ERROR")</f>
        <v>243</v>
      </c>
      <c r="S39" s="115">
        <f>IFERROR(VLOOKUP($B39,MMWR_APP_STATE_COMP[],S$1,0),"ERROR")</f>
        <v>5919</v>
      </c>
      <c r="T39" s="28"/>
    </row>
    <row r="40" spans="1:20" s="123" customFormat="1" x14ac:dyDescent="0.2">
      <c r="A40" s="28"/>
      <c r="B40" s="127" t="s">
        <v>389</v>
      </c>
      <c r="C40" s="109">
        <f>IFERROR(VLOOKUP($B40,MMWR_TRAD_AGG_STATE_COMP[],C$1,0),"ERROR")</f>
        <v>5059</v>
      </c>
      <c r="D40" s="110">
        <f>IFERROR(VLOOKUP($B40,MMWR_TRAD_AGG_STATE_COMP[],D$1,0),"ERROR")</f>
        <v>401.49693615339999</v>
      </c>
      <c r="E40" s="111">
        <f>IFERROR(VLOOKUP($B40,MMWR_TRAD_AGG_STATE_COMP[],E$1,0),"ERROR")</f>
        <v>4520</v>
      </c>
      <c r="F40" s="112">
        <f>IFERROR(VLOOKUP($B40,MMWR_TRAD_AGG_STATE_COMP[],F$1,0),"ERROR")</f>
        <v>1237</v>
      </c>
      <c r="G40" s="113">
        <f t="shared" si="4"/>
        <v>0.27367256637168141</v>
      </c>
      <c r="H40" s="111">
        <f>IFERROR(VLOOKUP($B40,MMWR_TRAD_AGG_STATE_COMP[],H$1,0),"ERROR")</f>
        <v>7433</v>
      </c>
      <c r="I40" s="112">
        <f>IFERROR(VLOOKUP($B40,MMWR_TRAD_AGG_STATE_COMP[],I$1,0),"ERROR")</f>
        <v>5167</v>
      </c>
      <c r="J40" s="114">
        <f t="shared" si="5"/>
        <v>0.69514327996771152</v>
      </c>
      <c r="K40" s="111">
        <f>IFERROR(VLOOKUP($B40,MMWR_TRAD_AGG_STATE_COMP[],K$1,0),"ERROR")</f>
        <v>1490</v>
      </c>
      <c r="L40" s="112">
        <f>IFERROR(VLOOKUP($B40,MMWR_TRAD_AGG_STATE_COMP[],L$1,0),"ERROR")</f>
        <v>1072</v>
      </c>
      <c r="M40" s="114">
        <f t="shared" si="6"/>
        <v>0.7194630872483222</v>
      </c>
      <c r="N40" s="111">
        <f>IFERROR(VLOOKUP($B40,MMWR_TRAD_AGG_STATE_COMP[],N$1,0),"ERROR")</f>
        <v>2851</v>
      </c>
      <c r="O40" s="112">
        <f>IFERROR(VLOOKUP($B40,MMWR_TRAD_AGG_STATE_COMP[],O$1,0),"ERROR")</f>
        <v>2016</v>
      </c>
      <c r="P40" s="114">
        <f t="shared" si="7"/>
        <v>0.70712030866362685</v>
      </c>
      <c r="Q40" s="115">
        <f>IFERROR(VLOOKUP($B40,MMWR_TRAD_AGG_STATE_COMP[],Q$1,0),"ERROR")</f>
        <v>273</v>
      </c>
      <c r="R40" s="115">
        <f>IFERROR(VLOOKUP($B40,MMWR_TRAD_AGG_STATE_COMP[],R$1,0),"ERROR")</f>
        <v>153</v>
      </c>
      <c r="S40" s="115">
        <f>IFERROR(VLOOKUP($B40,MMWR_APP_STATE_COMP[],S$1,0),"ERROR")</f>
        <v>4831</v>
      </c>
      <c r="T40" s="28"/>
    </row>
    <row r="41" spans="1:20" s="123" customFormat="1" x14ac:dyDescent="0.2">
      <c r="A41" s="28"/>
      <c r="B41" s="127" t="s">
        <v>418</v>
      </c>
      <c r="C41" s="109">
        <f>IFERROR(VLOOKUP($B41,MMWR_TRAD_AGG_STATE_COMP[],C$1,0),"ERROR")</f>
        <v>930</v>
      </c>
      <c r="D41" s="110">
        <f>IFERROR(VLOOKUP($B41,MMWR_TRAD_AGG_STATE_COMP[],D$1,0),"ERROR")</f>
        <v>253.49569892470001</v>
      </c>
      <c r="E41" s="111">
        <f>IFERROR(VLOOKUP($B41,MMWR_TRAD_AGG_STATE_COMP[],E$1,0),"ERROR")</f>
        <v>734</v>
      </c>
      <c r="F41" s="112">
        <f>IFERROR(VLOOKUP($B41,MMWR_TRAD_AGG_STATE_COMP[],F$1,0),"ERROR")</f>
        <v>68</v>
      </c>
      <c r="G41" s="113">
        <f t="shared" si="4"/>
        <v>9.264305177111716E-2</v>
      </c>
      <c r="H41" s="111">
        <f>IFERROR(VLOOKUP($B41,MMWR_TRAD_AGG_STATE_COMP[],H$1,0),"ERROR")</f>
        <v>1429</v>
      </c>
      <c r="I41" s="112">
        <f>IFERROR(VLOOKUP($B41,MMWR_TRAD_AGG_STATE_COMP[],I$1,0),"ERROR")</f>
        <v>740</v>
      </c>
      <c r="J41" s="114">
        <f t="shared" si="5"/>
        <v>0.51784464660601814</v>
      </c>
      <c r="K41" s="111">
        <f>IFERROR(VLOOKUP($B41,MMWR_TRAD_AGG_STATE_COMP[],K$1,0),"ERROR")</f>
        <v>525</v>
      </c>
      <c r="L41" s="112">
        <f>IFERROR(VLOOKUP($B41,MMWR_TRAD_AGG_STATE_COMP[],L$1,0),"ERROR")</f>
        <v>262</v>
      </c>
      <c r="M41" s="114">
        <f t="shared" si="6"/>
        <v>0.49904761904761907</v>
      </c>
      <c r="N41" s="111">
        <f>IFERROR(VLOOKUP($B41,MMWR_TRAD_AGG_STATE_COMP[],N$1,0),"ERROR")</f>
        <v>320</v>
      </c>
      <c r="O41" s="112">
        <f>IFERROR(VLOOKUP($B41,MMWR_TRAD_AGG_STATE_COMP[],O$1,0),"ERROR")</f>
        <v>136</v>
      </c>
      <c r="P41" s="114">
        <f t="shared" si="7"/>
        <v>0.42499999999999999</v>
      </c>
      <c r="Q41" s="115">
        <f>IFERROR(VLOOKUP($B41,MMWR_TRAD_AGG_STATE_COMP[],Q$1,0),"ERROR")</f>
        <v>4</v>
      </c>
      <c r="R41" s="115">
        <f>IFERROR(VLOOKUP($B41,MMWR_TRAD_AGG_STATE_COMP[],R$1,0),"ERROR")</f>
        <v>6</v>
      </c>
      <c r="S41" s="115">
        <f>IFERROR(VLOOKUP($B41,MMWR_APP_STATE_COMP[],S$1,0),"ERROR")</f>
        <v>401</v>
      </c>
      <c r="T41" s="28"/>
    </row>
    <row r="42" spans="1:20" s="123" customFormat="1" x14ac:dyDescent="0.2">
      <c r="A42" s="28"/>
      <c r="B42" s="127" t="s">
        <v>412</v>
      </c>
      <c r="C42" s="109">
        <f>IFERROR(VLOOKUP($B42,MMWR_TRAD_AGG_STATE_COMP[],C$1,0),"ERROR")</f>
        <v>3210</v>
      </c>
      <c r="D42" s="110">
        <f>IFERROR(VLOOKUP($B42,MMWR_TRAD_AGG_STATE_COMP[],D$1,0),"ERROR")</f>
        <v>329.62710280369998</v>
      </c>
      <c r="E42" s="111">
        <f>IFERROR(VLOOKUP($B42,MMWR_TRAD_AGG_STATE_COMP[],E$1,0),"ERROR")</f>
        <v>6290</v>
      </c>
      <c r="F42" s="112">
        <f>IFERROR(VLOOKUP($B42,MMWR_TRAD_AGG_STATE_COMP[],F$1,0),"ERROR")</f>
        <v>1030</v>
      </c>
      <c r="G42" s="113">
        <f t="shared" si="4"/>
        <v>0.16375198728139906</v>
      </c>
      <c r="H42" s="111">
        <f>IFERROR(VLOOKUP($B42,MMWR_TRAD_AGG_STATE_COMP[],H$1,0),"ERROR")</f>
        <v>4915</v>
      </c>
      <c r="I42" s="112">
        <f>IFERROR(VLOOKUP($B42,MMWR_TRAD_AGG_STATE_COMP[],I$1,0),"ERROR")</f>
        <v>2585</v>
      </c>
      <c r="J42" s="114">
        <f t="shared" si="5"/>
        <v>0.52594099694811802</v>
      </c>
      <c r="K42" s="111">
        <f>IFERROR(VLOOKUP($B42,MMWR_TRAD_AGG_STATE_COMP[],K$1,0),"ERROR")</f>
        <v>1630</v>
      </c>
      <c r="L42" s="112">
        <f>IFERROR(VLOOKUP($B42,MMWR_TRAD_AGG_STATE_COMP[],L$1,0),"ERROR")</f>
        <v>778</v>
      </c>
      <c r="M42" s="114">
        <f t="shared" si="6"/>
        <v>0.47730061349693254</v>
      </c>
      <c r="N42" s="111">
        <f>IFERROR(VLOOKUP($B42,MMWR_TRAD_AGG_STATE_COMP[],N$1,0),"ERROR")</f>
        <v>2441</v>
      </c>
      <c r="O42" s="112">
        <f>IFERROR(VLOOKUP($B42,MMWR_TRAD_AGG_STATE_COMP[],O$1,0),"ERROR")</f>
        <v>1027</v>
      </c>
      <c r="P42" s="114">
        <f t="shared" si="7"/>
        <v>0.42072920934043423</v>
      </c>
      <c r="Q42" s="115">
        <f>IFERROR(VLOOKUP($B42,MMWR_TRAD_AGG_STATE_COMP[],Q$1,0),"ERROR")</f>
        <v>8</v>
      </c>
      <c r="R42" s="115">
        <f>IFERROR(VLOOKUP($B42,MMWR_TRAD_AGG_STATE_COMP[],R$1,0),"ERROR")</f>
        <v>61</v>
      </c>
      <c r="S42" s="115">
        <f>IFERROR(VLOOKUP($B42,MMWR_APP_STATE_COMP[],S$1,0),"ERROR")</f>
        <v>4706</v>
      </c>
      <c r="T42" s="28"/>
    </row>
    <row r="43" spans="1:20" s="123" customFormat="1" x14ac:dyDescent="0.2">
      <c r="A43" s="28"/>
      <c r="B43" s="127" t="s">
        <v>410</v>
      </c>
      <c r="C43" s="109">
        <f>IFERROR(VLOOKUP($B43,MMWR_TRAD_AGG_STATE_COMP[],C$1,0),"ERROR")</f>
        <v>30604</v>
      </c>
      <c r="D43" s="110">
        <f>IFERROR(VLOOKUP($B43,MMWR_TRAD_AGG_STATE_COMP[],D$1,0),"ERROR")</f>
        <v>356.20536531170001</v>
      </c>
      <c r="E43" s="111">
        <f>IFERROR(VLOOKUP($B43,MMWR_TRAD_AGG_STATE_COMP[],E$1,0),"ERROR")</f>
        <v>35236</v>
      </c>
      <c r="F43" s="112">
        <f>IFERROR(VLOOKUP($B43,MMWR_TRAD_AGG_STATE_COMP[],F$1,0),"ERROR")</f>
        <v>7592</v>
      </c>
      <c r="G43" s="113">
        <f t="shared" si="4"/>
        <v>0.2154614598705869</v>
      </c>
      <c r="H43" s="111">
        <f>IFERROR(VLOOKUP($B43,MMWR_TRAD_AGG_STATE_COMP[],H$1,0),"ERROR")</f>
        <v>41882</v>
      </c>
      <c r="I43" s="112">
        <f>IFERROR(VLOOKUP($B43,MMWR_TRAD_AGG_STATE_COMP[],I$1,0),"ERROR")</f>
        <v>27058</v>
      </c>
      <c r="J43" s="114">
        <f t="shared" si="5"/>
        <v>0.64605319707750342</v>
      </c>
      <c r="K43" s="111">
        <f>IFERROR(VLOOKUP($B43,MMWR_TRAD_AGG_STATE_COMP[],K$1,0),"ERROR")</f>
        <v>10206</v>
      </c>
      <c r="L43" s="112">
        <f>IFERROR(VLOOKUP($B43,MMWR_TRAD_AGG_STATE_COMP[],L$1,0),"ERROR")</f>
        <v>5350</v>
      </c>
      <c r="M43" s="114">
        <f t="shared" si="6"/>
        <v>0.52420145012737607</v>
      </c>
      <c r="N43" s="111">
        <f>IFERROR(VLOOKUP($B43,MMWR_TRAD_AGG_STATE_COMP[],N$1,0),"ERROR")</f>
        <v>12035</v>
      </c>
      <c r="O43" s="112">
        <f>IFERROR(VLOOKUP($B43,MMWR_TRAD_AGG_STATE_COMP[],O$1,0),"ERROR")</f>
        <v>6690</v>
      </c>
      <c r="P43" s="114">
        <f t="shared" si="7"/>
        <v>0.55587868716244282</v>
      </c>
      <c r="Q43" s="115">
        <f>IFERROR(VLOOKUP($B43,MMWR_TRAD_AGG_STATE_COMP[],Q$1,0),"ERROR")</f>
        <v>30</v>
      </c>
      <c r="R43" s="115">
        <f>IFERROR(VLOOKUP($B43,MMWR_TRAD_AGG_STATE_COMP[],R$1,0),"ERROR")</f>
        <v>401</v>
      </c>
      <c r="S43" s="115">
        <f>IFERROR(VLOOKUP($B43,MMWR_APP_STATE_COMP[],S$1,0),"ERROR")</f>
        <v>40644</v>
      </c>
      <c r="T43" s="28"/>
    </row>
    <row r="44" spans="1:20" s="123" customFormat="1" x14ac:dyDescent="0.2">
      <c r="A44" s="28"/>
      <c r="B44" s="127" t="s">
        <v>406</v>
      </c>
      <c r="C44" s="109">
        <f>IFERROR(VLOOKUP($B44,MMWR_TRAD_AGG_STATE_COMP[],C$1,0),"ERROR")</f>
        <v>1968</v>
      </c>
      <c r="D44" s="110">
        <f>IFERROR(VLOOKUP($B44,MMWR_TRAD_AGG_STATE_COMP[],D$1,0),"ERROR")</f>
        <v>308.24491869920001</v>
      </c>
      <c r="E44" s="111">
        <f>IFERROR(VLOOKUP($B44,MMWR_TRAD_AGG_STATE_COMP[],E$1,0),"ERROR")</f>
        <v>2203</v>
      </c>
      <c r="F44" s="112">
        <f>IFERROR(VLOOKUP($B44,MMWR_TRAD_AGG_STATE_COMP[],F$1,0),"ERROR")</f>
        <v>495</v>
      </c>
      <c r="G44" s="113">
        <f t="shared" si="4"/>
        <v>0.22469359963685884</v>
      </c>
      <c r="H44" s="111">
        <f>IFERROR(VLOOKUP($B44,MMWR_TRAD_AGG_STATE_COMP[],H$1,0),"ERROR")</f>
        <v>2766</v>
      </c>
      <c r="I44" s="112">
        <f>IFERROR(VLOOKUP($B44,MMWR_TRAD_AGG_STATE_COMP[],I$1,0),"ERROR")</f>
        <v>1705</v>
      </c>
      <c r="J44" s="114">
        <f t="shared" si="5"/>
        <v>0.61641359363702097</v>
      </c>
      <c r="K44" s="111">
        <f>IFERROR(VLOOKUP($B44,MMWR_TRAD_AGG_STATE_COMP[],K$1,0),"ERROR")</f>
        <v>692</v>
      </c>
      <c r="L44" s="112">
        <f>IFERROR(VLOOKUP($B44,MMWR_TRAD_AGG_STATE_COMP[],L$1,0),"ERROR")</f>
        <v>372</v>
      </c>
      <c r="M44" s="114">
        <f t="shared" si="6"/>
        <v>0.53757225433526012</v>
      </c>
      <c r="N44" s="111">
        <f>IFERROR(VLOOKUP($B44,MMWR_TRAD_AGG_STATE_COMP[],N$1,0),"ERROR")</f>
        <v>372</v>
      </c>
      <c r="O44" s="112">
        <f>IFERROR(VLOOKUP($B44,MMWR_TRAD_AGG_STATE_COMP[],O$1,0),"ERROR")</f>
        <v>154</v>
      </c>
      <c r="P44" s="114">
        <f t="shared" si="7"/>
        <v>0.41397849462365593</v>
      </c>
      <c r="Q44" s="115">
        <f>IFERROR(VLOOKUP($B44,MMWR_TRAD_AGG_STATE_COMP[],Q$1,0),"ERROR")</f>
        <v>0</v>
      </c>
      <c r="R44" s="115">
        <f>IFERROR(VLOOKUP($B44,MMWR_TRAD_AGG_STATE_COMP[],R$1,0),"ERROR")</f>
        <v>2</v>
      </c>
      <c r="S44" s="115">
        <f>IFERROR(VLOOKUP($B44,MMWR_APP_STATE_COMP[],S$1,0),"ERROR")</f>
        <v>557</v>
      </c>
      <c r="T44" s="28"/>
    </row>
    <row r="45" spans="1:20" s="123" customFormat="1" x14ac:dyDescent="0.2">
      <c r="A45" s="28"/>
      <c r="B45" s="127" t="s">
        <v>421</v>
      </c>
      <c r="C45" s="109">
        <f>IFERROR(VLOOKUP($B45,MMWR_TRAD_AGG_STATE_COMP[],C$1,0),"ERROR")</f>
        <v>508</v>
      </c>
      <c r="D45" s="110">
        <f>IFERROR(VLOOKUP($B45,MMWR_TRAD_AGG_STATE_COMP[],D$1,0),"ERROR")</f>
        <v>314.85433070869999</v>
      </c>
      <c r="E45" s="111">
        <f>IFERROR(VLOOKUP($B45,MMWR_TRAD_AGG_STATE_COMP[],E$1,0),"ERROR")</f>
        <v>864</v>
      </c>
      <c r="F45" s="112">
        <f>IFERROR(VLOOKUP($B45,MMWR_TRAD_AGG_STATE_COMP[],F$1,0),"ERROR")</f>
        <v>125</v>
      </c>
      <c r="G45" s="113">
        <f t="shared" si="4"/>
        <v>0.14467592592592593</v>
      </c>
      <c r="H45" s="111">
        <f>IFERROR(VLOOKUP($B45,MMWR_TRAD_AGG_STATE_COMP[],H$1,0),"ERROR")</f>
        <v>884</v>
      </c>
      <c r="I45" s="112">
        <f>IFERROR(VLOOKUP($B45,MMWR_TRAD_AGG_STATE_COMP[],I$1,0),"ERROR")</f>
        <v>500</v>
      </c>
      <c r="J45" s="114">
        <f t="shared" si="5"/>
        <v>0.56561085972850678</v>
      </c>
      <c r="K45" s="111">
        <f>IFERROR(VLOOKUP($B45,MMWR_TRAD_AGG_STATE_COMP[],K$1,0),"ERROR")</f>
        <v>176</v>
      </c>
      <c r="L45" s="112">
        <f>IFERROR(VLOOKUP($B45,MMWR_TRAD_AGG_STATE_COMP[],L$1,0),"ERROR")</f>
        <v>97</v>
      </c>
      <c r="M45" s="114">
        <f t="shared" si="6"/>
        <v>0.55113636363636365</v>
      </c>
      <c r="N45" s="111">
        <f>IFERROR(VLOOKUP($B45,MMWR_TRAD_AGG_STATE_COMP[],N$1,0),"ERROR")</f>
        <v>191</v>
      </c>
      <c r="O45" s="112">
        <f>IFERROR(VLOOKUP($B45,MMWR_TRAD_AGG_STATE_COMP[],O$1,0),"ERROR")</f>
        <v>81</v>
      </c>
      <c r="P45" s="114">
        <f t="shared" si="7"/>
        <v>0.42408376963350786</v>
      </c>
      <c r="Q45" s="115">
        <f>IFERROR(VLOOKUP($B45,MMWR_TRAD_AGG_STATE_COMP[],Q$1,0),"ERROR")</f>
        <v>2</v>
      </c>
      <c r="R45" s="115">
        <f>IFERROR(VLOOKUP($B45,MMWR_TRAD_AGG_STATE_COMP[],R$1,0),"ERROR")</f>
        <v>3</v>
      </c>
      <c r="S45" s="115">
        <f>IFERROR(VLOOKUP($B45,MMWR_APP_STATE_COMP[],S$1,0),"ERROR")</f>
        <v>349</v>
      </c>
      <c r="T45" s="28"/>
    </row>
    <row r="46" spans="1:20" s="123" customFormat="1" x14ac:dyDescent="0.2">
      <c r="A46" s="28"/>
      <c r="B46" s="126" t="s">
        <v>404</v>
      </c>
      <c r="C46" s="102">
        <f>IFERROR(VLOOKUP($B46,MMWR_TRAD_AGG_ST_DISTRICT_COMP[],C$1,0),"ERROR")</f>
        <v>65409</v>
      </c>
      <c r="D46" s="103">
        <f>IFERROR(VLOOKUP($B46,MMWR_TRAD_AGG_ST_DISTRICT_COMP[],D$1,0),"ERROR")</f>
        <v>378.50474705319999</v>
      </c>
      <c r="E46" s="102">
        <f>IFERROR(VLOOKUP($B46,MMWR_TRAD_AGG_ST_DISTRICT_COMP[],E$1,0),"ERROR")</f>
        <v>59308</v>
      </c>
      <c r="F46" s="102">
        <f>IFERROR(VLOOKUP($B46,MMWR_TRAD_AGG_ST_DISTRICT_COMP[],F$1,0),"ERROR")</f>
        <v>11952</v>
      </c>
      <c r="G46" s="104">
        <f t="shared" si="4"/>
        <v>0.20152424630741214</v>
      </c>
      <c r="H46" s="102">
        <f>IFERROR(VLOOKUP($B46,MMWR_TRAD_AGG_ST_DISTRICT_COMP[],H$1,0),"ERROR")</f>
        <v>95104</v>
      </c>
      <c r="I46" s="102">
        <f>IFERROR(VLOOKUP($B46,MMWR_TRAD_AGG_ST_DISTRICT_COMP[],I$1,0),"ERROR")</f>
        <v>64458</v>
      </c>
      <c r="J46" s="105">
        <f t="shared" si="5"/>
        <v>0.67776329071332431</v>
      </c>
      <c r="K46" s="102">
        <f>IFERROR(VLOOKUP($B46,MMWR_TRAD_AGG_ST_DISTRICT_COMP[],K$1,0),"ERROR")</f>
        <v>24908</v>
      </c>
      <c r="L46" s="102">
        <f>IFERROR(VLOOKUP($B46,MMWR_TRAD_AGG_ST_DISTRICT_COMP[],L$1,0),"ERROR")</f>
        <v>17005</v>
      </c>
      <c r="M46" s="105">
        <f t="shared" si="6"/>
        <v>0.68271238156415615</v>
      </c>
      <c r="N46" s="102">
        <f>IFERROR(VLOOKUP($B46,MMWR_TRAD_AGG_ST_DISTRICT_COMP[],N$1,0),"ERROR")</f>
        <v>31661</v>
      </c>
      <c r="O46" s="102">
        <f>IFERROR(VLOOKUP($B46,MMWR_TRAD_AGG_ST_DISTRICT_COMP[],O$1,0),"ERROR")</f>
        <v>19507</v>
      </c>
      <c r="P46" s="105">
        <f t="shared" si="7"/>
        <v>0.616120779507912</v>
      </c>
      <c r="Q46" s="102">
        <f>IFERROR(VLOOKUP($B46,MMWR_TRAD_AGG_ST_DISTRICT_COMP[],Q$1,0),"ERROR")</f>
        <v>91</v>
      </c>
      <c r="R46" s="106">
        <f>IFERROR(VLOOKUP($B46,MMWR_TRAD_AGG_ST_DISTRICT_COMP[],R$1,0),"ERROR")</f>
        <v>556</v>
      </c>
      <c r="S46" s="106">
        <f>SUM(S47:S55)</f>
        <v>44099</v>
      </c>
      <c r="T46" s="28"/>
    </row>
    <row r="47" spans="1:20" s="123" customFormat="1" x14ac:dyDescent="0.2">
      <c r="A47" s="28"/>
      <c r="B47" s="127" t="s">
        <v>424</v>
      </c>
      <c r="C47" s="109">
        <f>IFERROR(VLOOKUP($B47,MMWR_TRAD_AGG_STATE_COMP[],C$1,0),"ERROR")</f>
        <v>1940</v>
      </c>
      <c r="D47" s="110">
        <f>IFERROR(VLOOKUP($B47,MMWR_TRAD_AGG_STATE_COMP[],D$1,0),"ERROR")</f>
        <v>446.6417525773</v>
      </c>
      <c r="E47" s="111">
        <f>IFERROR(VLOOKUP($B47,MMWR_TRAD_AGG_STATE_COMP[],E$1,0),"ERROR")</f>
        <v>1143</v>
      </c>
      <c r="F47" s="112">
        <f>IFERROR(VLOOKUP($B47,MMWR_TRAD_AGG_STATE_COMP[],F$1,0),"ERROR")</f>
        <v>294</v>
      </c>
      <c r="G47" s="113">
        <f t="shared" si="4"/>
        <v>0.2572178477690289</v>
      </c>
      <c r="H47" s="111">
        <f>IFERROR(VLOOKUP($B47,MMWR_TRAD_AGG_STATE_COMP[],H$1,0),"ERROR")</f>
        <v>2846</v>
      </c>
      <c r="I47" s="112">
        <f>IFERROR(VLOOKUP($B47,MMWR_TRAD_AGG_STATE_COMP[],I$1,0),"ERROR")</f>
        <v>1937</v>
      </c>
      <c r="J47" s="114">
        <f t="shared" si="5"/>
        <v>0.68060435699226984</v>
      </c>
      <c r="K47" s="111">
        <f>IFERROR(VLOOKUP($B47,MMWR_TRAD_AGG_STATE_COMP[],K$1,0),"ERROR")</f>
        <v>1948</v>
      </c>
      <c r="L47" s="112">
        <f>IFERROR(VLOOKUP($B47,MMWR_TRAD_AGG_STATE_COMP[],L$1,0),"ERROR")</f>
        <v>1610</v>
      </c>
      <c r="M47" s="114">
        <f t="shared" si="6"/>
        <v>0.82648870636550309</v>
      </c>
      <c r="N47" s="111">
        <f>IFERROR(VLOOKUP($B47,MMWR_TRAD_AGG_STATE_COMP[],N$1,0),"ERROR")</f>
        <v>587</v>
      </c>
      <c r="O47" s="112">
        <f>IFERROR(VLOOKUP($B47,MMWR_TRAD_AGG_STATE_COMP[],O$1,0),"ERROR")</f>
        <v>286</v>
      </c>
      <c r="P47" s="114">
        <f t="shared" si="7"/>
        <v>0.48722316865417375</v>
      </c>
      <c r="Q47" s="115">
        <f>IFERROR(VLOOKUP($B47,MMWR_TRAD_AGG_STATE_COMP[],Q$1,0),"ERROR")</f>
        <v>2</v>
      </c>
      <c r="R47" s="115">
        <f>IFERROR(VLOOKUP($B47,MMWR_TRAD_AGG_STATE_COMP[],R$1,0),"ERROR")</f>
        <v>2</v>
      </c>
      <c r="S47" s="115">
        <f>IFERROR(VLOOKUP($B47,MMWR_APP_STATE_COMP[],S$1,0),"ERROR")</f>
        <v>291</v>
      </c>
      <c r="T47" s="28"/>
    </row>
    <row r="48" spans="1:20" s="123" customFormat="1" x14ac:dyDescent="0.2">
      <c r="A48" s="28"/>
      <c r="B48" s="127" t="s">
        <v>426</v>
      </c>
      <c r="C48" s="109">
        <f>IFERROR(VLOOKUP($B48,MMWR_TRAD_AGG_STATE_COMP[],C$1,0),"ERROR")</f>
        <v>6490</v>
      </c>
      <c r="D48" s="110">
        <f>IFERROR(VLOOKUP($B48,MMWR_TRAD_AGG_STATE_COMP[],D$1,0),"ERROR")</f>
        <v>306.89260400619997</v>
      </c>
      <c r="E48" s="111">
        <f>IFERROR(VLOOKUP($B48,MMWR_TRAD_AGG_STATE_COMP[],E$1,0),"ERROR")</f>
        <v>6223</v>
      </c>
      <c r="F48" s="112">
        <f>IFERROR(VLOOKUP($B48,MMWR_TRAD_AGG_STATE_COMP[],F$1,0),"ERROR")</f>
        <v>1266</v>
      </c>
      <c r="G48" s="113">
        <f t="shared" si="4"/>
        <v>0.20343885585730356</v>
      </c>
      <c r="H48" s="111">
        <f>IFERROR(VLOOKUP($B48,MMWR_TRAD_AGG_STATE_COMP[],H$1,0),"ERROR")</f>
        <v>9173</v>
      </c>
      <c r="I48" s="112">
        <f>IFERROR(VLOOKUP($B48,MMWR_TRAD_AGG_STATE_COMP[],I$1,0),"ERROR")</f>
        <v>5567</v>
      </c>
      <c r="J48" s="114">
        <f t="shared" si="5"/>
        <v>0.60688978523928927</v>
      </c>
      <c r="K48" s="111">
        <f>IFERROR(VLOOKUP($B48,MMWR_TRAD_AGG_STATE_COMP[],K$1,0),"ERROR")</f>
        <v>1585</v>
      </c>
      <c r="L48" s="112">
        <f>IFERROR(VLOOKUP($B48,MMWR_TRAD_AGG_STATE_COMP[],L$1,0),"ERROR")</f>
        <v>754</v>
      </c>
      <c r="M48" s="114">
        <f t="shared" si="6"/>
        <v>0.47570977917981072</v>
      </c>
      <c r="N48" s="111">
        <f>IFERROR(VLOOKUP($B48,MMWR_TRAD_AGG_STATE_COMP[],N$1,0),"ERROR")</f>
        <v>3586</v>
      </c>
      <c r="O48" s="112">
        <f>IFERROR(VLOOKUP($B48,MMWR_TRAD_AGG_STATE_COMP[],O$1,0),"ERROR")</f>
        <v>2651</v>
      </c>
      <c r="P48" s="114">
        <f t="shared" si="7"/>
        <v>0.73926380368098155</v>
      </c>
      <c r="Q48" s="115">
        <f>IFERROR(VLOOKUP($B48,MMWR_TRAD_AGG_STATE_COMP[],Q$1,0),"ERROR")</f>
        <v>2</v>
      </c>
      <c r="R48" s="115">
        <f>IFERROR(VLOOKUP($B48,MMWR_TRAD_AGG_STATE_COMP[],R$1,0),"ERROR")</f>
        <v>76</v>
      </c>
      <c r="S48" s="115">
        <f>IFERROR(VLOOKUP($B48,MMWR_APP_STATE_COMP[],S$1,0),"ERROR")</f>
        <v>7233</v>
      </c>
      <c r="T48" s="28"/>
    </row>
    <row r="49" spans="1:20" s="123" customFormat="1" x14ac:dyDescent="0.2">
      <c r="A49" s="28"/>
      <c r="B49" s="127" t="s">
        <v>407</v>
      </c>
      <c r="C49" s="109">
        <f>IFERROR(VLOOKUP($B49,MMWR_TRAD_AGG_STATE_COMP[],C$1,0),"ERROR")</f>
        <v>28264</v>
      </c>
      <c r="D49" s="110">
        <f>IFERROR(VLOOKUP($B49,MMWR_TRAD_AGG_STATE_COMP[],D$1,0),"ERROR")</f>
        <v>377.00042456839998</v>
      </c>
      <c r="E49" s="111">
        <f>IFERROR(VLOOKUP($B49,MMWR_TRAD_AGG_STATE_COMP[],E$1,0),"ERROR")</f>
        <v>30947</v>
      </c>
      <c r="F49" s="112">
        <f>IFERROR(VLOOKUP($B49,MMWR_TRAD_AGG_STATE_COMP[],F$1,0),"ERROR")</f>
        <v>6071</v>
      </c>
      <c r="G49" s="113">
        <f t="shared" si="4"/>
        <v>0.19617410411348435</v>
      </c>
      <c r="H49" s="111">
        <f>IFERROR(VLOOKUP($B49,MMWR_TRAD_AGG_STATE_COMP[],H$1,0),"ERROR")</f>
        <v>42018</v>
      </c>
      <c r="I49" s="112">
        <f>IFERROR(VLOOKUP($B49,MMWR_TRAD_AGG_STATE_COMP[],I$1,0),"ERROR")</f>
        <v>28491</v>
      </c>
      <c r="J49" s="114">
        <f t="shared" si="5"/>
        <v>0.67806654291018131</v>
      </c>
      <c r="K49" s="111">
        <f>IFERROR(VLOOKUP($B49,MMWR_TRAD_AGG_STATE_COMP[],K$1,0),"ERROR")</f>
        <v>9948</v>
      </c>
      <c r="L49" s="112">
        <f>IFERROR(VLOOKUP($B49,MMWR_TRAD_AGG_STATE_COMP[],L$1,0),"ERROR")</f>
        <v>6934</v>
      </c>
      <c r="M49" s="114">
        <f t="shared" si="6"/>
        <v>0.69702452754322475</v>
      </c>
      <c r="N49" s="111">
        <f>IFERROR(VLOOKUP($B49,MMWR_TRAD_AGG_STATE_COMP[],N$1,0),"ERROR")</f>
        <v>15272</v>
      </c>
      <c r="O49" s="112">
        <f>IFERROR(VLOOKUP($B49,MMWR_TRAD_AGG_STATE_COMP[],O$1,0),"ERROR")</f>
        <v>9270</v>
      </c>
      <c r="P49" s="114">
        <f t="shared" si="7"/>
        <v>0.606993190151912</v>
      </c>
      <c r="Q49" s="115">
        <f>IFERROR(VLOOKUP($B49,MMWR_TRAD_AGG_STATE_COMP[],Q$1,0),"ERROR")</f>
        <v>55</v>
      </c>
      <c r="R49" s="115">
        <f>IFERROR(VLOOKUP($B49,MMWR_TRAD_AGG_STATE_COMP[],R$1,0),"ERROR")</f>
        <v>131</v>
      </c>
      <c r="S49" s="115">
        <f>IFERROR(VLOOKUP($B49,MMWR_APP_STATE_COMP[],S$1,0),"ERROR")</f>
        <v>18536</v>
      </c>
      <c r="T49" s="28"/>
    </row>
    <row r="50" spans="1:20" s="123" customFormat="1" x14ac:dyDescent="0.2">
      <c r="A50" s="28"/>
      <c r="B50" s="127" t="s">
        <v>428</v>
      </c>
      <c r="C50" s="109">
        <f>IFERROR(VLOOKUP($B50,MMWR_TRAD_AGG_STATE_COMP[],C$1,0),"ERROR")</f>
        <v>1674</v>
      </c>
      <c r="D50" s="110">
        <f>IFERROR(VLOOKUP($B50,MMWR_TRAD_AGG_STATE_COMP[],D$1,0),"ERROR")</f>
        <v>306.25209080050001</v>
      </c>
      <c r="E50" s="111">
        <f>IFERROR(VLOOKUP($B50,MMWR_TRAD_AGG_STATE_COMP[],E$1,0),"ERROR")</f>
        <v>1962</v>
      </c>
      <c r="F50" s="112">
        <f>IFERROR(VLOOKUP($B50,MMWR_TRAD_AGG_STATE_COMP[],F$1,0),"ERROR")</f>
        <v>286</v>
      </c>
      <c r="G50" s="113">
        <f t="shared" si="4"/>
        <v>0.14576962283384301</v>
      </c>
      <c r="H50" s="111">
        <f>IFERROR(VLOOKUP($B50,MMWR_TRAD_AGG_STATE_COMP[],H$1,0),"ERROR")</f>
        <v>2343</v>
      </c>
      <c r="I50" s="112">
        <f>IFERROR(VLOOKUP($B50,MMWR_TRAD_AGG_STATE_COMP[],I$1,0),"ERROR")</f>
        <v>1540</v>
      </c>
      <c r="J50" s="114">
        <f t="shared" si="5"/>
        <v>0.65727699530516437</v>
      </c>
      <c r="K50" s="111">
        <f>IFERROR(VLOOKUP($B50,MMWR_TRAD_AGG_STATE_COMP[],K$1,0),"ERROR")</f>
        <v>1049</v>
      </c>
      <c r="L50" s="112">
        <f>IFERROR(VLOOKUP($B50,MMWR_TRAD_AGG_STATE_COMP[],L$1,0),"ERROR")</f>
        <v>557</v>
      </c>
      <c r="M50" s="114">
        <f t="shared" si="6"/>
        <v>0.53098188751191611</v>
      </c>
      <c r="N50" s="111">
        <f>IFERROR(VLOOKUP($B50,MMWR_TRAD_AGG_STATE_COMP[],N$1,0),"ERROR")</f>
        <v>509</v>
      </c>
      <c r="O50" s="112">
        <f>IFERROR(VLOOKUP($B50,MMWR_TRAD_AGG_STATE_COMP[],O$1,0),"ERROR")</f>
        <v>249</v>
      </c>
      <c r="P50" s="114">
        <f t="shared" si="7"/>
        <v>0.48919449901768175</v>
      </c>
      <c r="Q50" s="115">
        <f>IFERROR(VLOOKUP($B50,MMWR_TRAD_AGG_STATE_COMP[],Q$1,0),"ERROR")</f>
        <v>3</v>
      </c>
      <c r="R50" s="115">
        <f>IFERROR(VLOOKUP($B50,MMWR_TRAD_AGG_STATE_COMP[],R$1,0),"ERROR")</f>
        <v>4</v>
      </c>
      <c r="S50" s="115">
        <f>IFERROR(VLOOKUP($B50,MMWR_APP_STATE_COMP[],S$1,0),"ERROR")</f>
        <v>1144</v>
      </c>
      <c r="T50" s="28"/>
    </row>
    <row r="51" spans="1:20" s="123" customFormat="1" x14ac:dyDescent="0.2">
      <c r="A51" s="28"/>
      <c r="B51" s="127" t="s">
        <v>408</v>
      </c>
      <c r="C51" s="109">
        <f>IFERROR(VLOOKUP($B51,MMWR_TRAD_AGG_STATE_COMP[],C$1,0),"ERROR")</f>
        <v>710</v>
      </c>
      <c r="D51" s="110">
        <f>IFERROR(VLOOKUP($B51,MMWR_TRAD_AGG_STATE_COMP[],D$1,0),"ERROR")</f>
        <v>307.49859154929999</v>
      </c>
      <c r="E51" s="111">
        <f>IFERROR(VLOOKUP($B51,MMWR_TRAD_AGG_STATE_COMP[],E$1,0),"ERROR")</f>
        <v>1455</v>
      </c>
      <c r="F51" s="112">
        <f>IFERROR(VLOOKUP($B51,MMWR_TRAD_AGG_STATE_COMP[],F$1,0),"ERROR")</f>
        <v>273</v>
      </c>
      <c r="G51" s="113">
        <f t="shared" si="4"/>
        <v>0.18762886597938144</v>
      </c>
      <c r="H51" s="111">
        <f>IFERROR(VLOOKUP($B51,MMWR_TRAD_AGG_STATE_COMP[],H$1,0),"ERROR")</f>
        <v>1133</v>
      </c>
      <c r="I51" s="112">
        <f>IFERROR(VLOOKUP($B51,MMWR_TRAD_AGG_STATE_COMP[],I$1,0),"ERROR")</f>
        <v>617</v>
      </c>
      <c r="J51" s="114">
        <f t="shared" si="5"/>
        <v>0.54457193292144745</v>
      </c>
      <c r="K51" s="111">
        <f>IFERROR(VLOOKUP($B51,MMWR_TRAD_AGG_STATE_COMP[],K$1,0),"ERROR")</f>
        <v>406</v>
      </c>
      <c r="L51" s="112">
        <f>IFERROR(VLOOKUP($B51,MMWR_TRAD_AGG_STATE_COMP[],L$1,0),"ERROR")</f>
        <v>162</v>
      </c>
      <c r="M51" s="114">
        <f t="shared" si="6"/>
        <v>0.39901477832512317</v>
      </c>
      <c r="N51" s="111">
        <f>IFERROR(VLOOKUP($B51,MMWR_TRAD_AGG_STATE_COMP[],N$1,0),"ERROR")</f>
        <v>381</v>
      </c>
      <c r="O51" s="112">
        <f>IFERROR(VLOOKUP($B51,MMWR_TRAD_AGG_STATE_COMP[],O$1,0),"ERROR")</f>
        <v>202</v>
      </c>
      <c r="P51" s="114">
        <f t="shared" si="7"/>
        <v>0.53018372703412076</v>
      </c>
      <c r="Q51" s="115">
        <f>IFERROR(VLOOKUP($B51,MMWR_TRAD_AGG_STATE_COMP[],Q$1,0),"ERROR")</f>
        <v>2</v>
      </c>
      <c r="R51" s="115">
        <f>IFERROR(VLOOKUP($B51,MMWR_TRAD_AGG_STATE_COMP[],R$1,0),"ERROR")</f>
        <v>4</v>
      </c>
      <c r="S51" s="115">
        <f>IFERROR(VLOOKUP($B51,MMWR_APP_STATE_COMP[],S$1,0),"ERROR")</f>
        <v>1004</v>
      </c>
      <c r="T51" s="28"/>
    </row>
    <row r="52" spans="1:20" s="123" customFormat="1" x14ac:dyDescent="0.2">
      <c r="A52" s="28"/>
      <c r="B52" s="127" t="s">
        <v>413</v>
      </c>
      <c r="C52" s="109">
        <f>IFERROR(VLOOKUP($B52,MMWR_TRAD_AGG_STATE_COMP[],C$1,0),"ERROR")</f>
        <v>3901</v>
      </c>
      <c r="D52" s="110">
        <f>IFERROR(VLOOKUP($B52,MMWR_TRAD_AGG_STATE_COMP[],D$1,0),"ERROR")</f>
        <v>442.42758267110003</v>
      </c>
      <c r="E52" s="111">
        <f>IFERROR(VLOOKUP($B52,MMWR_TRAD_AGG_STATE_COMP[],E$1,0),"ERROR")</f>
        <v>3652</v>
      </c>
      <c r="F52" s="112">
        <f>IFERROR(VLOOKUP($B52,MMWR_TRAD_AGG_STATE_COMP[],F$1,0),"ERROR")</f>
        <v>773</v>
      </c>
      <c r="G52" s="113">
        <f t="shared" si="4"/>
        <v>0.21166484118291348</v>
      </c>
      <c r="H52" s="111">
        <f>IFERROR(VLOOKUP($B52,MMWR_TRAD_AGG_STATE_COMP[],H$1,0),"ERROR")</f>
        <v>5207</v>
      </c>
      <c r="I52" s="112">
        <f>IFERROR(VLOOKUP($B52,MMWR_TRAD_AGG_STATE_COMP[],I$1,0),"ERROR")</f>
        <v>3464</v>
      </c>
      <c r="J52" s="114">
        <f t="shared" si="5"/>
        <v>0.66525830612636838</v>
      </c>
      <c r="K52" s="111">
        <f>IFERROR(VLOOKUP($B52,MMWR_TRAD_AGG_STATE_COMP[],K$1,0),"ERROR")</f>
        <v>1024</v>
      </c>
      <c r="L52" s="112">
        <f>IFERROR(VLOOKUP($B52,MMWR_TRAD_AGG_STATE_COMP[],L$1,0),"ERROR")</f>
        <v>601</v>
      </c>
      <c r="M52" s="114">
        <f t="shared" si="6"/>
        <v>0.5869140625</v>
      </c>
      <c r="N52" s="111">
        <f>IFERROR(VLOOKUP($B52,MMWR_TRAD_AGG_STATE_COMP[],N$1,0),"ERROR")</f>
        <v>1866</v>
      </c>
      <c r="O52" s="112">
        <f>IFERROR(VLOOKUP($B52,MMWR_TRAD_AGG_STATE_COMP[],O$1,0),"ERROR")</f>
        <v>1190</v>
      </c>
      <c r="P52" s="114">
        <f t="shared" si="7"/>
        <v>0.63772775991425512</v>
      </c>
      <c r="Q52" s="115">
        <f>IFERROR(VLOOKUP($B52,MMWR_TRAD_AGG_STATE_COMP[],Q$1,0),"ERROR")</f>
        <v>6</v>
      </c>
      <c r="R52" s="115">
        <f>IFERROR(VLOOKUP($B52,MMWR_TRAD_AGG_STATE_COMP[],R$1,0),"ERROR")</f>
        <v>115</v>
      </c>
      <c r="S52" s="115">
        <f>IFERROR(VLOOKUP($B52,MMWR_APP_STATE_COMP[],S$1,0),"ERROR")</f>
        <v>3080</v>
      </c>
      <c r="T52" s="28"/>
    </row>
    <row r="53" spans="1:20" s="123" customFormat="1" x14ac:dyDescent="0.2">
      <c r="A53" s="28"/>
      <c r="B53" s="127" t="s">
        <v>405</v>
      </c>
      <c r="C53" s="109">
        <f>IFERROR(VLOOKUP($B53,MMWR_TRAD_AGG_STATE_COMP[],C$1,0),"ERROR")</f>
        <v>1577</v>
      </c>
      <c r="D53" s="110">
        <f>IFERROR(VLOOKUP($B53,MMWR_TRAD_AGG_STATE_COMP[],D$1,0),"ERROR")</f>
        <v>218.81991122380001</v>
      </c>
      <c r="E53" s="111">
        <f>IFERROR(VLOOKUP($B53,MMWR_TRAD_AGG_STATE_COMP[],E$1,0),"ERROR")</f>
        <v>2715</v>
      </c>
      <c r="F53" s="112">
        <f>IFERROR(VLOOKUP($B53,MMWR_TRAD_AGG_STATE_COMP[],F$1,0),"ERROR")</f>
        <v>588</v>
      </c>
      <c r="G53" s="113">
        <f t="shared" si="4"/>
        <v>0.21657458563535911</v>
      </c>
      <c r="H53" s="111">
        <f>IFERROR(VLOOKUP($B53,MMWR_TRAD_AGG_STATE_COMP[],H$1,0),"ERROR")</f>
        <v>2419</v>
      </c>
      <c r="I53" s="112">
        <f>IFERROR(VLOOKUP($B53,MMWR_TRAD_AGG_STATE_COMP[],I$1,0),"ERROR")</f>
        <v>1063</v>
      </c>
      <c r="J53" s="114">
        <f t="shared" si="5"/>
        <v>0.43943778420835056</v>
      </c>
      <c r="K53" s="111">
        <f>IFERROR(VLOOKUP($B53,MMWR_TRAD_AGG_STATE_COMP[],K$1,0),"ERROR")</f>
        <v>609</v>
      </c>
      <c r="L53" s="112">
        <f>IFERROR(VLOOKUP($B53,MMWR_TRAD_AGG_STATE_COMP[],L$1,0),"ERROR")</f>
        <v>287</v>
      </c>
      <c r="M53" s="114">
        <f t="shared" si="6"/>
        <v>0.47126436781609193</v>
      </c>
      <c r="N53" s="111">
        <f>IFERROR(VLOOKUP($B53,MMWR_TRAD_AGG_STATE_COMP[],N$1,0),"ERROR")</f>
        <v>836</v>
      </c>
      <c r="O53" s="112">
        <f>IFERROR(VLOOKUP($B53,MMWR_TRAD_AGG_STATE_COMP[],O$1,0),"ERROR")</f>
        <v>444</v>
      </c>
      <c r="P53" s="114">
        <f t="shared" si="7"/>
        <v>0.53110047846889952</v>
      </c>
      <c r="Q53" s="115">
        <f>IFERROR(VLOOKUP($B53,MMWR_TRAD_AGG_STATE_COMP[],Q$1,0),"ERROR")</f>
        <v>3</v>
      </c>
      <c r="R53" s="115">
        <f>IFERROR(VLOOKUP($B53,MMWR_TRAD_AGG_STATE_COMP[],R$1,0),"ERROR")</f>
        <v>9</v>
      </c>
      <c r="S53" s="115">
        <f>IFERROR(VLOOKUP($B53,MMWR_APP_STATE_COMP[],S$1,0),"ERROR")</f>
        <v>1922</v>
      </c>
      <c r="T53" s="28"/>
    </row>
    <row r="54" spans="1:20" s="123" customFormat="1" x14ac:dyDescent="0.2">
      <c r="A54" s="28"/>
      <c r="B54" s="127" t="s">
        <v>409</v>
      </c>
      <c r="C54" s="109">
        <f>IFERROR(VLOOKUP($B54,MMWR_TRAD_AGG_STATE_COMP[],C$1,0),"ERROR")</f>
        <v>8399</v>
      </c>
      <c r="D54" s="110">
        <f>IFERROR(VLOOKUP($B54,MMWR_TRAD_AGG_STATE_COMP[],D$1,0),"ERROR")</f>
        <v>418.85379211809999</v>
      </c>
      <c r="E54" s="111">
        <f>IFERROR(VLOOKUP($B54,MMWR_TRAD_AGG_STATE_COMP[],E$1,0),"ERROR")</f>
        <v>4840</v>
      </c>
      <c r="F54" s="112">
        <f>IFERROR(VLOOKUP($B54,MMWR_TRAD_AGG_STATE_COMP[],F$1,0),"ERROR")</f>
        <v>1239</v>
      </c>
      <c r="G54" s="113">
        <f t="shared" si="4"/>
        <v>0.25599173553719007</v>
      </c>
      <c r="H54" s="111">
        <f>IFERROR(VLOOKUP($B54,MMWR_TRAD_AGG_STATE_COMP[],H$1,0),"ERROR")</f>
        <v>11286</v>
      </c>
      <c r="I54" s="112">
        <f>IFERROR(VLOOKUP($B54,MMWR_TRAD_AGG_STATE_COMP[],I$1,0),"ERROR")</f>
        <v>8303</v>
      </c>
      <c r="J54" s="114">
        <f t="shared" si="5"/>
        <v>0.73569023569023573</v>
      </c>
      <c r="K54" s="111">
        <f>IFERROR(VLOOKUP($B54,MMWR_TRAD_AGG_STATE_COMP[],K$1,0),"ERROR")</f>
        <v>3428</v>
      </c>
      <c r="L54" s="112">
        <f>IFERROR(VLOOKUP($B54,MMWR_TRAD_AGG_STATE_COMP[],L$1,0),"ERROR")</f>
        <v>2712</v>
      </c>
      <c r="M54" s="114">
        <f t="shared" si="6"/>
        <v>0.79113185530921826</v>
      </c>
      <c r="N54" s="111">
        <f>IFERROR(VLOOKUP($B54,MMWR_TRAD_AGG_STATE_COMP[],N$1,0),"ERROR")</f>
        <v>2663</v>
      </c>
      <c r="O54" s="112">
        <f>IFERROR(VLOOKUP($B54,MMWR_TRAD_AGG_STATE_COMP[],O$1,0),"ERROR")</f>
        <v>1259</v>
      </c>
      <c r="P54" s="114">
        <f t="shared" si="7"/>
        <v>0.4727750657153586</v>
      </c>
      <c r="Q54" s="115">
        <f>IFERROR(VLOOKUP($B54,MMWR_TRAD_AGG_STATE_COMP[],Q$1,0),"ERROR")</f>
        <v>5</v>
      </c>
      <c r="R54" s="115">
        <f>IFERROR(VLOOKUP($B54,MMWR_TRAD_AGG_STATE_COMP[],R$1,0),"ERROR")</f>
        <v>74</v>
      </c>
      <c r="S54" s="115">
        <f>IFERROR(VLOOKUP($B54,MMWR_APP_STATE_COMP[],S$1,0),"ERROR")</f>
        <v>5559</v>
      </c>
      <c r="T54" s="28"/>
    </row>
    <row r="55" spans="1:20" s="123" customFormat="1" x14ac:dyDescent="0.2">
      <c r="A55" s="28"/>
      <c r="B55" s="127" t="s">
        <v>83</v>
      </c>
      <c r="C55" s="109">
        <f>IFERROR(VLOOKUP($B55,MMWR_TRAD_AGG_STATE_COMP[],C$1,0),"ERROR")</f>
        <v>12454</v>
      </c>
      <c r="D55" s="110">
        <f>IFERROR(VLOOKUP($B55,MMWR_TRAD_AGG_STATE_COMP[],D$1,0),"ERROR")</f>
        <v>395.36911835550001</v>
      </c>
      <c r="E55" s="111">
        <f>IFERROR(VLOOKUP($B55,MMWR_TRAD_AGG_STATE_COMP[],E$1,0),"ERROR")</f>
        <v>6371</v>
      </c>
      <c r="F55" s="112">
        <f>IFERROR(VLOOKUP($B55,MMWR_TRAD_AGG_STATE_COMP[],F$1,0),"ERROR")</f>
        <v>1162</v>
      </c>
      <c r="G55" s="113">
        <f t="shared" si="4"/>
        <v>0.18238894992936744</v>
      </c>
      <c r="H55" s="111">
        <f>IFERROR(VLOOKUP($B55,MMWR_TRAD_AGG_STATE_COMP[],H$1,0),"ERROR")</f>
        <v>18679</v>
      </c>
      <c r="I55" s="112">
        <f>IFERROR(VLOOKUP($B55,MMWR_TRAD_AGG_STATE_COMP[],I$1,0),"ERROR")</f>
        <v>13476</v>
      </c>
      <c r="J55" s="114">
        <f t="shared" si="5"/>
        <v>0.72145189785320418</v>
      </c>
      <c r="K55" s="111">
        <f>IFERROR(VLOOKUP($B55,MMWR_TRAD_AGG_STATE_COMP[],K$1,0),"ERROR")</f>
        <v>4911</v>
      </c>
      <c r="L55" s="112">
        <f>IFERROR(VLOOKUP($B55,MMWR_TRAD_AGG_STATE_COMP[],L$1,0),"ERROR")</f>
        <v>3388</v>
      </c>
      <c r="M55" s="114">
        <f t="shared" si="6"/>
        <v>0.68987986153532888</v>
      </c>
      <c r="N55" s="111">
        <f>IFERROR(VLOOKUP($B55,MMWR_TRAD_AGG_STATE_COMP[],N$1,0),"ERROR")</f>
        <v>5961</v>
      </c>
      <c r="O55" s="112">
        <f>IFERROR(VLOOKUP($B55,MMWR_TRAD_AGG_STATE_COMP[],O$1,0),"ERROR")</f>
        <v>3956</v>
      </c>
      <c r="P55" s="114">
        <f t="shared" si="7"/>
        <v>0.66364703908740141</v>
      </c>
      <c r="Q55" s="115">
        <f>IFERROR(VLOOKUP($B55,MMWR_TRAD_AGG_STATE_COMP[],Q$1,0),"ERROR")</f>
        <v>13</v>
      </c>
      <c r="R55" s="115">
        <f>IFERROR(VLOOKUP($B55,MMWR_TRAD_AGG_STATE_COMP[],R$1,0),"ERROR")</f>
        <v>141</v>
      </c>
      <c r="S55" s="115">
        <f>IFERROR(VLOOKUP($B55,MMWR_APP_STATE_COMP[],S$1,0),"ERROR")</f>
        <v>5330</v>
      </c>
      <c r="T55" s="28"/>
    </row>
    <row r="56" spans="1:20" s="123" customFormat="1" x14ac:dyDescent="0.2">
      <c r="A56" s="28"/>
      <c r="B56" s="126" t="s">
        <v>380</v>
      </c>
      <c r="C56" s="102">
        <f>IFERROR(VLOOKUP($B56,MMWR_TRAD_AGG_ST_DISTRICT_COMP[],C$1,0),"ERROR")</f>
        <v>77682</v>
      </c>
      <c r="D56" s="103">
        <f>IFERROR(VLOOKUP($B56,MMWR_TRAD_AGG_ST_DISTRICT_COMP[],D$1,0),"ERROR")</f>
        <v>366.49213459999999</v>
      </c>
      <c r="E56" s="102">
        <f>IFERROR(VLOOKUP($B56,MMWR_TRAD_AGG_ST_DISTRICT_COMP[],E$1,0),"ERROR")</f>
        <v>76522</v>
      </c>
      <c r="F56" s="102">
        <f>IFERROR(VLOOKUP($B56,MMWR_TRAD_AGG_ST_DISTRICT_COMP[],F$1,0),"ERROR")</f>
        <v>18008</v>
      </c>
      <c r="G56" s="104">
        <f t="shared" si="4"/>
        <v>0.23533101591699118</v>
      </c>
      <c r="H56" s="102">
        <f>IFERROR(VLOOKUP($B56,MMWR_TRAD_AGG_ST_DISTRICT_COMP[],H$1,0),"ERROR")</f>
        <v>112619</v>
      </c>
      <c r="I56" s="102">
        <f>IFERROR(VLOOKUP($B56,MMWR_TRAD_AGG_ST_DISTRICT_COMP[],I$1,0),"ERROR")</f>
        <v>74494</v>
      </c>
      <c r="J56" s="105">
        <f t="shared" si="5"/>
        <v>0.66146920146689281</v>
      </c>
      <c r="K56" s="102">
        <f>IFERROR(VLOOKUP($B56,MMWR_TRAD_AGG_ST_DISTRICT_COMP[],K$1,0),"ERROR")</f>
        <v>31062</v>
      </c>
      <c r="L56" s="102">
        <f>IFERROR(VLOOKUP($B56,MMWR_TRAD_AGG_ST_DISTRICT_COMP[],L$1,0),"ERROR")</f>
        <v>20850</v>
      </c>
      <c r="M56" s="105">
        <f t="shared" si="6"/>
        <v>0.67123816882364307</v>
      </c>
      <c r="N56" s="102">
        <f>IFERROR(VLOOKUP($B56,MMWR_TRAD_AGG_ST_DISTRICT_COMP[],N$1,0),"ERROR")</f>
        <v>41999</v>
      </c>
      <c r="O56" s="102">
        <f>IFERROR(VLOOKUP($B56,MMWR_TRAD_AGG_ST_DISTRICT_COMP[],O$1,0),"ERROR")</f>
        <v>26465</v>
      </c>
      <c r="P56" s="105">
        <f t="shared" si="7"/>
        <v>0.63013405081073359</v>
      </c>
      <c r="Q56" s="102">
        <f>IFERROR(VLOOKUP($B56,MMWR_TRAD_AGG_ST_DISTRICT_COMP[],Q$1,0),"ERROR")</f>
        <v>5444</v>
      </c>
      <c r="R56" s="106">
        <f>IFERROR(VLOOKUP($B56,MMWR_TRAD_AGG_ST_DISTRICT_COMP[],R$1,0),"ERROR")</f>
        <v>1089</v>
      </c>
      <c r="S56" s="106">
        <f>SUM(S57:S63)</f>
        <v>89337</v>
      </c>
      <c r="T56" s="28"/>
    </row>
    <row r="57" spans="1:20" s="123" customFormat="1" x14ac:dyDescent="0.2">
      <c r="A57" s="28"/>
      <c r="B57" s="127" t="s">
        <v>388</v>
      </c>
      <c r="C57" s="109">
        <f>IFERROR(VLOOKUP($B57,MMWR_TRAD_AGG_STATE_COMP[],C$1,0),"ERROR")</f>
        <v>13583</v>
      </c>
      <c r="D57" s="110">
        <f>IFERROR(VLOOKUP($B57,MMWR_TRAD_AGG_STATE_COMP[],D$1,0),"ERROR")</f>
        <v>389.04196422000001</v>
      </c>
      <c r="E57" s="111">
        <f>IFERROR(VLOOKUP($B57,MMWR_TRAD_AGG_STATE_COMP[],E$1,0),"ERROR")</f>
        <v>7846</v>
      </c>
      <c r="F57" s="112">
        <f>IFERROR(VLOOKUP($B57,MMWR_TRAD_AGG_STATE_COMP[],F$1,0),"ERROR")</f>
        <v>1361</v>
      </c>
      <c r="G57" s="113">
        <f t="shared" si="4"/>
        <v>0.17346418557226612</v>
      </c>
      <c r="H57" s="111">
        <f>IFERROR(VLOOKUP($B57,MMWR_TRAD_AGG_STATE_COMP[],H$1,0),"ERROR")</f>
        <v>17509</v>
      </c>
      <c r="I57" s="112">
        <f>IFERROR(VLOOKUP($B57,MMWR_TRAD_AGG_STATE_COMP[],I$1,0),"ERROR")</f>
        <v>11847</v>
      </c>
      <c r="J57" s="114">
        <f t="shared" si="5"/>
        <v>0.67662345079673314</v>
      </c>
      <c r="K57" s="111">
        <f>IFERROR(VLOOKUP($B57,MMWR_TRAD_AGG_STATE_COMP[],K$1,0),"ERROR")</f>
        <v>5257</v>
      </c>
      <c r="L57" s="112">
        <f>IFERROR(VLOOKUP($B57,MMWR_TRAD_AGG_STATE_COMP[],L$1,0),"ERROR")</f>
        <v>3956</v>
      </c>
      <c r="M57" s="114">
        <f t="shared" si="6"/>
        <v>0.7525204489252425</v>
      </c>
      <c r="N57" s="111">
        <f>IFERROR(VLOOKUP($B57,MMWR_TRAD_AGG_STATE_COMP[],N$1,0),"ERROR")</f>
        <v>3589</v>
      </c>
      <c r="O57" s="112">
        <f>IFERROR(VLOOKUP($B57,MMWR_TRAD_AGG_STATE_COMP[],O$1,0),"ERROR")</f>
        <v>2139</v>
      </c>
      <c r="P57" s="114">
        <f t="shared" si="7"/>
        <v>0.59598774031763724</v>
      </c>
      <c r="Q57" s="115">
        <f>IFERROR(VLOOKUP($B57,MMWR_TRAD_AGG_STATE_COMP[],Q$1,0),"ERROR")</f>
        <v>378</v>
      </c>
      <c r="R57" s="115">
        <f>IFERROR(VLOOKUP($B57,MMWR_TRAD_AGG_STATE_COMP[],R$1,0),"ERROR")</f>
        <v>356</v>
      </c>
      <c r="S57" s="115">
        <f>IFERROR(VLOOKUP($B57,MMWR_APP_STATE_COMP[],S$1,0),"ERROR")</f>
        <v>10705</v>
      </c>
      <c r="T57" s="28"/>
    </row>
    <row r="58" spans="1:20" s="123" customFormat="1" x14ac:dyDescent="0.2">
      <c r="A58" s="28"/>
      <c r="B58" s="127" t="s">
        <v>425</v>
      </c>
      <c r="C58" s="109">
        <f>IFERROR(VLOOKUP($B58,MMWR_TRAD_AGG_STATE_COMP[],C$1,0),"ERROR")</f>
        <v>20768</v>
      </c>
      <c r="D58" s="110">
        <f>IFERROR(VLOOKUP($B58,MMWR_TRAD_AGG_STATE_COMP[],D$1,0),"ERROR")</f>
        <v>329.33166409860002</v>
      </c>
      <c r="E58" s="111">
        <f>IFERROR(VLOOKUP($B58,MMWR_TRAD_AGG_STATE_COMP[],E$1,0),"ERROR")</f>
        <v>23474</v>
      </c>
      <c r="F58" s="112">
        <f>IFERROR(VLOOKUP($B58,MMWR_TRAD_AGG_STATE_COMP[],F$1,0),"ERROR")</f>
        <v>5790</v>
      </c>
      <c r="G58" s="113">
        <f t="shared" si="4"/>
        <v>0.24665587458464686</v>
      </c>
      <c r="H58" s="111">
        <f>IFERROR(VLOOKUP($B58,MMWR_TRAD_AGG_STATE_COMP[],H$1,0),"ERROR")</f>
        <v>29030</v>
      </c>
      <c r="I58" s="112">
        <f>IFERROR(VLOOKUP($B58,MMWR_TRAD_AGG_STATE_COMP[],I$1,0),"ERROR")</f>
        <v>18761</v>
      </c>
      <c r="J58" s="114">
        <f t="shared" si="5"/>
        <v>0.64626248708232858</v>
      </c>
      <c r="K58" s="111">
        <f>IFERROR(VLOOKUP($B58,MMWR_TRAD_AGG_STATE_COMP[],K$1,0),"ERROR")</f>
        <v>6871</v>
      </c>
      <c r="L58" s="112">
        <f>IFERROR(VLOOKUP($B58,MMWR_TRAD_AGG_STATE_COMP[],L$1,0),"ERROR")</f>
        <v>3811</v>
      </c>
      <c r="M58" s="114">
        <f t="shared" si="6"/>
        <v>0.55464997816911654</v>
      </c>
      <c r="N58" s="111">
        <f>IFERROR(VLOOKUP($B58,MMWR_TRAD_AGG_STATE_COMP[],N$1,0),"ERROR")</f>
        <v>16125</v>
      </c>
      <c r="O58" s="112">
        <f>IFERROR(VLOOKUP($B58,MMWR_TRAD_AGG_STATE_COMP[],O$1,0),"ERROR")</f>
        <v>9242</v>
      </c>
      <c r="P58" s="114">
        <f t="shared" si="7"/>
        <v>0.57314728682170546</v>
      </c>
      <c r="Q58" s="115">
        <f>IFERROR(VLOOKUP($B58,MMWR_TRAD_AGG_STATE_COMP[],Q$1,0),"ERROR")</f>
        <v>2091</v>
      </c>
      <c r="R58" s="115">
        <f>IFERROR(VLOOKUP($B58,MMWR_TRAD_AGG_STATE_COMP[],R$1,0),"ERROR")</f>
        <v>263</v>
      </c>
      <c r="S58" s="115">
        <f>IFERROR(VLOOKUP($B58,MMWR_APP_STATE_COMP[],S$1,0),"ERROR")</f>
        <v>30788</v>
      </c>
      <c r="T58" s="28"/>
    </row>
    <row r="59" spans="1:20" s="123" customFormat="1" x14ac:dyDescent="0.2">
      <c r="A59" s="28"/>
      <c r="B59" s="127" t="s">
        <v>381</v>
      </c>
      <c r="C59" s="109">
        <f>IFERROR(VLOOKUP($B59,MMWR_TRAD_AGG_STATE_COMP[],C$1,0),"ERROR")</f>
        <v>16602</v>
      </c>
      <c r="D59" s="110">
        <f>IFERROR(VLOOKUP($B59,MMWR_TRAD_AGG_STATE_COMP[],D$1,0),"ERROR")</f>
        <v>359.34007950850003</v>
      </c>
      <c r="E59" s="111">
        <f>IFERROR(VLOOKUP($B59,MMWR_TRAD_AGG_STATE_COMP[],E$1,0),"ERROR")</f>
        <v>18485</v>
      </c>
      <c r="F59" s="112">
        <f>IFERROR(VLOOKUP($B59,MMWR_TRAD_AGG_STATE_COMP[],F$1,0),"ERROR")</f>
        <v>4376</v>
      </c>
      <c r="G59" s="113">
        <f t="shared" si="4"/>
        <v>0.23673248579929673</v>
      </c>
      <c r="H59" s="111">
        <f>IFERROR(VLOOKUP($B59,MMWR_TRAD_AGG_STATE_COMP[],H$1,0),"ERROR")</f>
        <v>24597</v>
      </c>
      <c r="I59" s="112">
        <f>IFERROR(VLOOKUP($B59,MMWR_TRAD_AGG_STATE_COMP[],I$1,0),"ERROR")</f>
        <v>17255</v>
      </c>
      <c r="J59" s="114">
        <f t="shared" si="5"/>
        <v>0.70150831402203517</v>
      </c>
      <c r="K59" s="111">
        <f>IFERROR(VLOOKUP($B59,MMWR_TRAD_AGG_STATE_COMP[],K$1,0),"ERROR")</f>
        <v>8303</v>
      </c>
      <c r="L59" s="112">
        <f>IFERROR(VLOOKUP($B59,MMWR_TRAD_AGG_STATE_COMP[],L$1,0),"ERROR")</f>
        <v>5554</v>
      </c>
      <c r="M59" s="114">
        <f t="shared" si="6"/>
        <v>0.66891485005419726</v>
      </c>
      <c r="N59" s="111">
        <f>IFERROR(VLOOKUP($B59,MMWR_TRAD_AGG_STATE_COMP[],N$1,0),"ERROR")</f>
        <v>13403</v>
      </c>
      <c r="O59" s="112">
        <f>IFERROR(VLOOKUP($B59,MMWR_TRAD_AGG_STATE_COMP[],O$1,0),"ERROR")</f>
        <v>10154</v>
      </c>
      <c r="P59" s="114">
        <f t="shared" si="7"/>
        <v>0.75759158397373727</v>
      </c>
      <c r="Q59" s="115">
        <f>IFERROR(VLOOKUP($B59,MMWR_TRAD_AGG_STATE_COMP[],Q$1,0),"ERROR")</f>
        <v>1052</v>
      </c>
      <c r="R59" s="115">
        <f>IFERROR(VLOOKUP($B59,MMWR_TRAD_AGG_STATE_COMP[],R$1,0),"ERROR")</f>
        <v>19</v>
      </c>
      <c r="S59" s="115">
        <f>IFERROR(VLOOKUP($B59,MMWR_APP_STATE_COMP[],S$1,0),"ERROR")</f>
        <v>18025</v>
      </c>
      <c r="T59" s="28"/>
    </row>
    <row r="60" spans="1:20" s="123" customFormat="1" x14ac:dyDescent="0.2">
      <c r="A60" s="28"/>
      <c r="B60" s="127" t="s">
        <v>393</v>
      </c>
      <c r="C60" s="109">
        <f>IFERROR(VLOOKUP($B60,MMWR_TRAD_AGG_STATE_COMP[],C$1,0),"ERROR")</f>
        <v>6870</v>
      </c>
      <c r="D60" s="110">
        <f>IFERROR(VLOOKUP($B60,MMWR_TRAD_AGG_STATE_COMP[],D$1,0),"ERROR")</f>
        <v>542.10611353709999</v>
      </c>
      <c r="E60" s="111">
        <f>IFERROR(VLOOKUP($B60,MMWR_TRAD_AGG_STATE_COMP[],E$1,0),"ERROR")</f>
        <v>3948</v>
      </c>
      <c r="F60" s="112">
        <f>IFERROR(VLOOKUP($B60,MMWR_TRAD_AGG_STATE_COMP[],F$1,0),"ERROR")</f>
        <v>822</v>
      </c>
      <c r="G60" s="113">
        <f t="shared" si="4"/>
        <v>0.20820668693009117</v>
      </c>
      <c r="H60" s="111">
        <f>IFERROR(VLOOKUP($B60,MMWR_TRAD_AGG_STATE_COMP[],H$1,0),"ERROR")</f>
        <v>10280</v>
      </c>
      <c r="I60" s="112">
        <f>IFERROR(VLOOKUP($B60,MMWR_TRAD_AGG_STATE_COMP[],I$1,0),"ERROR")</f>
        <v>6894</v>
      </c>
      <c r="J60" s="114">
        <f t="shared" si="5"/>
        <v>0.67062256809338516</v>
      </c>
      <c r="K60" s="111">
        <f>IFERROR(VLOOKUP($B60,MMWR_TRAD_AGG_STATE_COMP[],K$1,0),"ERROR")</f>
        <v>2969</v>
      </c>
      <c r="L60" s="112">
        <f>IFERROR(VLOOKUP($B60,MMWR_TRAD_AGG_STATE_COMP[],L$1,0),"ERROR")</f>
        <v>2347</v>
      </c>
      <c r="M60" s="114">
        <f t="shared" si="6"/>
        <v>0.79050185247558102</v>
      </c>
      <c r="N60" s="111">
        <f>IFERROR(VLOOKUP($B60,MMWR_TRAD_AGG_STATE_COMP[],N$1,0),"ERROR")</f>
        <v>1391</v>
      </c>
      <c r="O60" s="112">
        <f>IFERROR(VLOOKUP($B60,MMWR_TRAD_AGG_STATE_COMP[],O$1,0),"ERROR")</f>
        <v>670</v>
      </c>
      <c r="P60" s="114">
        <f t="shared" si="7"/>
        <v>0.48166786484543495</v>
      </c>
      <c r="Q60" s="115">
        <f>IFERROR(VLOOKUP($B60,MMWR_TRAD_AGG_STATE_COMP[],Q$1,0),"ERROR")</f>
        <v>444</v>
      </c>
      <c r="R60" s="115">
        <f>IFERROR(VLOOKUP($B60,MMWR_TRAD_AGG_STATE_COMP[],R$1,0),"ERROR")</f>
        <v>142</v>
      </c>
      <c r="S60" s="115">
        <f>IFERROR(VLOOKUP($B60,MMWR_APP_STATE_COMP[],S$1,0),"ERROR")</f>
        <v>3372</v>
      </c>
      <c r="T60" s="28"/>
    </row>
    <row r="61" spans="1:20" s="123" customFormat="1" x14ac:dyDescent="0.2">
      <c r="A61" s="28"/>
      <c r="B61" s="127" t="s">
        <v>427</v>
      </c>
      <c r="C61" s="109">
        <f>IFERROR(VLOOKUP($B61,MMWR_TRAD_AGG_STATE_COMP[],C$1,0),"ERROR")</f>
        <v>2777</v>
      </c>
      <c r="D61" s="110">
        <f>IFERROR(VLOOKUP($B61,MMWR_TRAD_AGG_STATE_COMP[],D$1,0),"ERROR")</f>
        <v>372.97191213539998</v>
      </c>
      <c r="E61" s="111">
        <f>IFERROR(VLOOKUP($B61,MMWR_TRAD_AGG_STATE_COMP[],E$1,0),"ERROR")</f>
        <v>3554</v>
      </c>
      <c r="F61" s="112">
        <f>IFERROR(VLOOKUP($B61,MMWR_TRAD_AGG_STATE_COMP[],F$1,0),"ERROR")</f>
        <v>882</v>
      </c>
      <c r="G61" s="113">
        <f t="shared" si="4"/>
        <v>0.24817107484524478</v>
      </c>
      <c r="H61" s="111">
        <f>IFERROR(VLOOKUP($B61,MMWR_TRAD_AGG_STATE_COMP[],H$1,0),"ERROR")</f>
        <v>5257</v>
      </c>
      <c r="I61" s="112">
        <f>IFERROR(VLOOKUP($B61,MMWR_TRAD_AGG_STATE_COMP[],I$1,0),"ERROR")</f>
        <v>3410</v>
      </c>
      <c r="J61" s="114">
        <f t="shared" si="5"/>
        <v>0.64865893094921057</v>
      </c>
      <c r="K61" s="111">
        <f>IFERROR(VLOOKUP($B61,MMWR_TRAD_AGG_STATE_COMP[],K$1,0),"ERROR")</f>
        <v>938</v>
      </c>
      <c r="L61" s="112">
        <f>IFERROR(VLOOKUP($B61,MMWR_TRAD_AGG_STATE_COMP[],L$1,0),"ERROR")</f>
        <v>715</v>
      </c>
      <c r="M61" s="114">
        <f t="shared" si="6"/>
        <v>0.76226012793176967</v>
      </c>
      <c r="N61" s="111">
        <f>IFERROR(VLOOKUP($B61,MMWR_TRAD_AGG_STATE_COMP[],N$1,0),"ERROR")</f>
        <v>1542</v>
      </c>
      <c r="O61" s="112">
        <f>IFERROR(VLOOKUP($B61,MMWR_TRAD_AGG_STATE_COMP[],O$1,0),"ERROR")</f>
        <v>1019</v>
      </c>
      <c r="P61" s="114">
        <f t="shared" si="7"/>
        <v>0.66083009079118027</v>
      </c>
      <c r="Q61" s="115">
        <f>IFERROR(VLOOKUP($B61,MMWR_TRAD_AGG_STATE_COMP[],Q$1,0),"ERROR")</f>
        <v>346</v>
      </c>
      <c r="R61" s="115">
        <f>IFERROR(VLOOKUP($B61,MMWR_TRAD_AGG_STATE_COMP[],R$1,0),"ERROR")</f>
        <v>2</v>
      </c>
      <c r="S61" s="115">
        <f>IFERROR(VLOOKUP($B61,MMWR_APP_STATE_COMP[],S$1,0),"ERROR")</f>
        <v>6235</v>
      </c>
      <c r="T61" s="28"/>
    </row>
    <row r="62" spans="1:20" s="123" customFormat="1" x14ac:dyDescent="0.2">
      <c r="A62" s="28"/>
      <c r="B62" s="127" t="s">
        <v>383</v>
      </c>
      <c r="C62" s="109">
        <f>IFERROR(VLOOKUP($B62,MMWR_TRAD_AGG_STATE_COMP[],C$1,0),"ERROR")</f>
        <v>10468</v>
      </c>
      <c r="D62" s="110">
        <f>IFERROR(VLOOKUP($B62,MMWR_TRAD_AGG_STATE_COMP[],D$1,0),"ERROR")</f>
        <v>352.60498662589998</v>
      </c>
      <c r="E62" s="111">
        <f>IFERROR(VLOOKUP($B62,MMWR_TRAD_AGG_STATE_COMP[],E$1,0),"ERROR")</f>
        <v>9512</v>
      </c>
      <c r="F62" s="112">
        <f>IFERROR(VLOOKUP($B62,MMWR_TRAD_AGG_STATE_COMP[],F$1,0),"ERROR")</f>
        <v>2646</v>
      </c>
      <c r="G62" s="113">
        <f t="shared" si="4"/>
        <v>0.27817493692178302</v>
      </c>
      <c r="H62" s="111">
        <f>IFERROR(VLOOKUP($B62,MMWR_TRAD_AGG_STATE_COMP[],H$1,0),"ERROR")</f>
        <v>14720</v>
      </c>
      <c r="I62" s="112">
        <f>IFERROR(VLOOKUP($B62,MMWR_TRAD_AGG_STATE_COMP[],I$1,0),"ERROR")</f>
        <v>10574</v>
      </c>
      <c r="J62" s="114">
        <f t="shared" si="5"/>
        <v>0.71834239130434785</v>
      </c>
      <c r="K62" s="111">
        <f>IFERROR(VLOOKUP($B62,MMWR_TRAD_AGG_STATE_COMP[],K$1,0),"ERROR")</f>
        <v>3012</v>
      </c>
      <c r="L62" s="112">
        <f>IFERROR(VLOOKUP($B62,MMWR_TRAD_AGG_STATE_COMP[],L$1,0),"ERROR")</f>
        <v>1912</v>
      </c>
      <c r="M62" s="114">
        <f t="shared" si="6"/>
        <v>0.6347941567065073</v>
      </c>
      <c r="N62" s="111">
        <f>IFERROR(VLOOKUP($B62,MMWR_TRAD_AGG_STATE_COMP[],N$1,0),"ERROR")</f>
        <v>3433</v>
      </c>
      <c r="O62" s="112">
        <f>IFERROR(VLOOKUP($B62,MMWR_TRAD_AGG_STATE_COMP[],O$1,0),"ERROR")</f>
        <v>1777</v>
      </c>
      <c r="P62" s="114">
        <f t="shared" si="7"/>
        <v>0.51762307020099041</v>
      </c>
      <c r="Q62" s="115">
        <f>IFERROR(VLOOKUP($B62,MMWR_TRAD_AGG_STATE_COMP[],Q$1,0),"ERROR")</f>
        <v>584</v>
      </c>
      <c r="R62" s="115">
        <f>IFERROR(VLOOKUP($B62,MMWR_TRAD_AGG_STATE_COMP[],R$1,0),"ERROR")</f>
        <v>61</v>
      </c>
      <c r="S62" s="115">
        <f>IFERROR(VLOOKUP($B62,MMWR_APP_STATE_COMP[],S$1,0),"ERROR")</f>
        <v>13055</v>
      </c>
      <c r="T62" s="28"/>
    </row>
    <row r="63" spans="1:20" s="123" customFormat="1" x14ac:dyDescent="0.2">
      <c r="A63" s="28"/>
      <c r="B63" s="127" t="s">
        <v>384</v>
      </c>
      <c r="C63" s="109">
        <f>IFERROR(VLOOKUP($B63,MMWR_TRAD_AGG_STATE_COMP[],C$1,0),"ERROR")</f>
        <v>6614</v>
      </c>
      <c r="D63" s="110">
        <f>IFERROR(VLOOKUP($B63,MMWR_TRAD_AGG_STATE_COMP[],D$1,0),"ERROR")</f>
        <v>291.66616268519999</v>
      </c>
      <c r="E63" s="111">
        <f>IFERROR(VLOOKUP($B63,MMWR_TRAD_AGG_STATE_COMP[],E$1,0),"ERROR")</f>
        <v>9703</v>
      </c>
      <c r="F63" s="112">
        <f>IFERROR(VLOOKUP($B63,MMWR_TRAD_AGG_STATE_COMP[],F$1,0),"ERROR")</f>
        <v>2131</v>
      </c>
      <c r="G63" s="113">
        <f t="shared" si="4"/>
        <v>0.2196227970730702</v>
      </c>
      <c r="H63" s="111">
        <f>IFERROR(VLOOKUP($B63,MMWR_TRAD_AGG_STATE_COMP[],H$1,0),"ERROR")</f>
        <v>11226</v>
      </c>
      <c r="I63" s="112">
        <f>IFERROR(VLOOKUP($B63,MMWR_TRAD_AGG_STATE_COMP[],I$1,0),"ERROR")</f>
        <v>5753</v>
      </c>
      <c r="J63" s="114">
        <f t="shared" si="5"/>
        <v>0.51247104934972387</v>
      </c>
      <c r="K63" s="111">
        <f>IFERROR(VLOOKUP($B63,MMWR_TRAD_AGG_STATE_COMP[],K$1,0),"ERROR")</f>
        <v>3712</v>
      </c>
      <c r="L63" s="112">
        <f>IFERROR(VLOOKUP($B63,MMWR_TRAD_AGG_STATE_COMP[],L$1,0),"ERROR")</f>
        <v>2555</v>
      </c>
      <c r="M63" s="114">
        <f t="shared" si="6"/>
        <v>0.68830818965517238</v>
      </c>
      <c r="N63" s="111">
        <f>IFERROR(VLOOKUP($B63,MMWR_TRAD_AGG_STATE_COMP[],N$1,0),"ERROR")</f>
        <v>2516</v>
      </c>
      <c r="O63" s="112">
        <f>IFERROR(VLOOKUP($B63,MMWR_TRAD_AGG_STATE_COMP[],O$1,0),"ERROR")</f>
        <v>1464</v>
      </c>
      <c r="P63" s="114">
        <f t="shared" si="7"/>
        <v>0.58187599364069953</v>
      </c>
      <c r="Q63" s="115">
        <f>IFERROR(VLOOKUP($B63,MMWR_TRAD_AGG_STATE_COMP[],Q$1,0),"ERROR")</f>
        <v>549</v>
      </c>
      <c r="R63" s="115">
        <f>IFERROR(VLOOKUP($B63,MMWR_TRAD_AGG_STATE_COMP[],R$1,0),"ERROR")</f>
        <v>246</v>
      </c>
      <c r="S63" s="115">
        <f>IFERROR(VLOOKUP($B63,MMWR_APP_STATE_COMP[],S$1,0),"ERROR")</f>
        <v>7157</v>
      </c>
      <c r="T63" s="28"/>
    </row>
    <row r="64" spans="1:20" s="123" customFormat="1" x14ac:dyDescent="0.2">
      <c r="A64" s="28"/>
      <c r="B64" s="128" t="s">
        <v>8</v>
      </c>
      <c r="C64" s="102">
        <f>IFERROR(VLOOKUP($B64,MMWR_TRAD_AGG_ST_DISTRICT_COMP[],C$1,0),"ERROR")</f>
        <v>4300</v>
      </c>
      <c r="D64" s="103">
        <f>IFERROR(VLOOKUP($B64,MMWR_TRAD_AGG_ST_DISTRICT_COMP[],D$1,0),"ERROR")</f>
        <v>384.07534883720001</v>
      </c>
      <c r="E64" s="102">
        <f>IFERROR(VLOOKUP($B64,MMWR_TRAD_AGG_ST_DISTRICT_COMP[],E$1,0),"ERROR")</f>
        <v>4219</v>
      </c>
      <c r="F64" s="102">
        <f>IFERROR(VLOOKUP($B64,MMWR_TRAD_AGG_ST_DISTRICT_COMP[],F$1,0),"ERROR")</f>
        <v>1706</v>
      </c>
      <c r="G64" s="104">
        <f t="shared" si="4"/>
        <v>0.40436122303863475</v>
      </c>
      <c r="H64" s="102">
        <f>IFERROR(VLOOKUP($B64,MMWR_TRAD_AGG_ST_DISTRICT_COMP[],H$1,0),"ERROR")</f>
        <v>5912</v>
      </c>
      <c r="I64" s="102">
        <f>IFERROR(VLOOKUP($B64,MMWR_TRAD_AGG_ST_DISTRICT_COMP[],I$1,0),"ERROR")</f>
        <v>3928</v>
      </c>
      <c r="J64" s="105">
        <f t="shared" si="5"/>
        <v>0.6644113667117727</v>
      </c>
      <c r="K64" s="102">
        <f>IFERROR(VLOOKUP($B64,MMWR_TRAD_AGG_ST_DISTRICT_COMP[],K$1,0),"ERROR")</f>
        <v>1452</v>
      </c>
      <c r="L64" s="102">
        <f>IFERROR(VLOOKUP($B64,MMWR_TRAD_AGG_ST_DISTRICT_COMP[],L$1,0),"ERROR")</f>
        <v>824</v>
      </c>
      <c r="M64" s="105">
        <f t="shared" si="6"/>
        <v>0.56749311294765836</v>
      </c>
      <c r="N64" s="102">
        <f>IFERROR(VLOOKUP($B64,MMWR_TRAD_AGG_ST_DISTRICT_COMP[],N$1,0),"ERROR")</f>
        <v>1922</v>
      </c>
      <c r="O64" s="102">
        <f>IFERROR(VLOOKUP($B64,MMWR_TRAD_AGG_ST_DISTRICT_COMP[],O$1,0),"ERROR")</f>
        <v>1185</v>
      </c>
      <c r="P64" s="105">
        <f t="shared" si="7"/>
        <v>0.61654526534859522</v>
      </c>
      <c r="Q64" s="102">
        <f>IFERROR(VLOOKUP($B64,MMWR_TRAD_AGG_ST_DISTRICT_COMP[],Q$1,0),"ERROR")</f>
        <v>419</v>
      </c>
      <c r="R64" s="106">
        <f>IFERROR(VLOOKUP($B64,MMWR_TRAD_AGG_ST_DISTRICT_COMP[],R$1,0),"ERROR")</f>
        <v>133</v>
      </c>
      <c r="S64" s="106">
        <f>IFERROR(VLOOKUP($B64,MMWR_APP_STATE_COMP[],S$1,0),"ERROR")</f>
        <v>430</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42" t="s">
        <v>487</v>
      </c>
      <c r="D66" s="443"/>
      <c r="E66" s="443"/>
      <c r="F66" s="443"/>
      <c r="G66" s="443"/>
      <c r="H66" s="443"/>
      <c r="I66" s="443"/>
      <c r="J66" s="443"/>
      <c r="K66" s="443"/>
      <c r="L66" s="443"/>
      <c r="M66" s="443"/>
      <c r="N66" s="443"/>
      <c r="O66" s="443"/>
      <c r="P66" s="443"/>
      <c r="Q66" s="443"/>
      <c r="R66" s="443"/>
      <c r="S66" s="444"/>
      <c r="T66" s="28"/>
    </row>
    <row r="67" spans="1:20" s="123" customFormat="1" x14ac:dyDescent="0.2">
      <c r="A67" s="28"/>
      <c r="B67" s="26"/>
      <c r="C67" s="450" t="s">
        <v>228</v>
      </c>
      <c r="D67" s="450"/>
      <c r="E67" s="447" t="s">
        <v>208</v>
      </c>
      <c r="F67" s="448"/>
      <c r="G67" s="449"/>
      <c r="H67" s="447" t="s">
        <v>7</v>
      </c>
      <c r="I67" s="448"/>
      <c r="J67" s="449"/>
      <c r="K67" s="447" t="s">
        <v>33</v>
      </c>
      <c r="L67" s="448"/>
      <c r="M67" s="449"/>
      <c r="N67" s="447" t="s">
        <v>8</v>
      </c>
      <c r="O67" s="448"/>
      <c r="P67" s="449"/>
      <c r="Q67" s="81" t="s">
        <v>9</v>
      </c>
      <c r="R67" s="82" t="s">
        <v>10</v>
      </c>
      <c r="S67" s="82" t="s">
        <v>11</v>
      </c>
      <c r="T67" s="28"/>
    </row>
    <row r="68" spans="1:20" s="123" customFormat="1" ht="38.25" x14ac:dyDescent="0.2">
      <c r="A68" s="28"/>
      <c r="B68" s="54"/>
      <c r="C68" s="84" t="s">
        <v>12</v>
      </c>
      <c r="D68" s="85" t="s">
        <v>137</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18569</v>
      </c>
      <c r="D69" s="120">
        <f>IFERROR(VLOOKUP($B69,MMWR_TRAD_AGG_RO_PEN[],D$1,0),"ERROR")</f>
        <v>87.991598901399996</v>
      </c>
      <c r="E69" s="119">
        <f>IFERROR(VLOOKUP($B69,MMWR_TRAD_AGG_RO_PEN[],E$1,0),"ERROR")</f>
        <v>32986</v>
      </c>
      <c r="F69" s="119">
        <f>IFERROR(VLOOKUP($B69,MMWR_TRAD_AGG_RO_PEN[],F$1,0),"ERROR")</f>
        <v>4702</v>
      </c>
      <c r="G69" s="98">
        <f t="shared" ref="G69:G100" si="8">IFERROR(F69/E69,"0%")</f>
        <v>0.1425453222579276</v>
      </c>
      <c r="H69" s="119">
        <f>IFERROR(VLOOKUP($B69,MMWR_TRAD_AGG_RO_PEN[],H$1,0),"ERROR")</f>
        <v>27246</v>
      </c>
      <c r="I69" s="119">
        <f>IFERROR(VLOOKUP($B69,MMWR_TRAD_AGG_RO_PEN[],I$1,0),"ERROR")</f>
        <v>7057</v>
      </c>
      <c r="J69" s="98">
        <f t="shared" ref="J69:J100" si="9">IFERROR(I69/H69,"0%")</f>
        <v>0.25901049695368128</v>
      </c>
      <c r="K69" s="119">
        <f>IFERROR(VLOOKUP($B69,MMWR_TRAD_AGG_RO_PEN[],K$1,0),"ERROR")</f>
        <v>608</v>
      </c>
      <c r="L69" s="119">
        <f>IFERROR(VLOOKUP($B69,MMWR_TRAD_AGG_RO_PEN[],L$1,0),"ERROR")</f>
        <v>570</v>
      </c>
      <c r="M69" s="98">
        <f t="shared" ref="M69:M100" si="10">IFERROR(L69/K69,"0%")</f>
        <v>0.9375</v>
      </c>
      <c r="N69" s="119">
        <f>IFERROR(VLOOKUP($B69,MMWR_TRAD_AGG_RO_PEN[],N$1,0),"ERROR")</f>
        <v>1698</v>
      </c>
      <c r="O69" s="119">
        <f>IFERROR(VLOOKUP($B69,MMWR_TRAD_AGG_RO_PEN[],O$1,0),"ERROR")</f>
        <v>519</v>
      </c>
      <c r="P69" s="98">
        <f t="shared" ref="P69:P100" si="11">IFERROR(O69/N69,"0%")</f>
        <v>0.30565371024734983</v>
      </c>
      <c r="Q69" s="119">
        <f>IFERROR(VLOOKUP($B69,MMWR_TRAD_AGG_RO_PEN[],Q$1,0),"ERROR")</f>
        <v>9317</v>
      </c>
      <c r="R69" s="121">
        <f>IFERROR(VLOOKUP($B69,MMWR_TRAD_AGG_RO_PEN[],R$1,0),"ERROR")</f>
        <v>5848</v>
      </c>
      <c r="S69" s="121">
        <f>S70+S86+S99+S109+S119+S127</f>
        <v>7599</v>
      </c>
      <c r="T69" s="28"/>
    </row>
    <row r="70" spans="1:20" s="123" customFormat="1" x14ac:dyDescent="0.2">
      <c r="A70" s="28"/>
      <c r="B70" s="126" t="s">
        <v>369</v>
      </c>
      <c r="C70" s="102">
        <f>IFERROR(VLOOKUP($B70,MMWR_TRAD_AGG_ST_DISTRICT_PEN[],C$1,0),"ERROR")</f>
        <v>7027</v>
      </c>
      <c r="D70" s="103">
        <f>IFERROR(VLOOKUP($B70,MMWR_TRAD_AGG_ST_DISTRICT_PEN[],D$1,0),"ERROR")</f>
        <v>102.4384516864</v>
      </c>
      <c r="E70" s="102">
        <f>IFERROR(VLOOKUP($B70,MMWR_TRAD_AGG_ST_DISTRICT_PEN[],E$1,0),"ERROR")</f>
        <v>10845</v>
      </c>
      <c r="F70" s="102">
        <f>IFERROR(VLOOKUP($B70,MMWR_TRAD_AGG_ST_DISTRICT_PEN[],F$1,0),"ERROR")</f>
        <v>2203</v>
      </c>
      <c r="G70" s="104">
        <f t="shared" si="8"/>
        <v>0.20313508529276164</v>
      </c>
      <c r="H70" s="102">
        <f>IFERROR(VLOOKUP($B70,MMWR_TRAD_AGG_ST_DISTRICT_PEN[],H$1,0),"ERROR")</f>
        <v>9789</v>
      </c>
      <c r="I70" s="102">
        <f>IFERROR(VLOOKUP($B70,MMWR_TRAD_AGG_ST_DISTRICT_PEN[],I$1,0),"ERROR")</f>
        <v>3440</v>
      </c>
      <c r="J70" s="104">
        <f t="shared" si="9"/>
        <v>0.35141485340688527</v>
      </c>
      <c r="K70" s="102">
        <f>IFERROR(VLOOKUP($B70,MMWR_TRAD_AGG_ST_DISTRICT_PEN[],K$1,0),"ERROR")</f>
        <v>355</v>
      </c>
      <c r="L70" s="102">
        <f>IFERROR(VLOOKUP($B70,MMWR_TRAD_AGG_ST_DISTRICT_PEN[],L$1,0),"ERROR")</f>
        <v>344</v>
      </c>
      <c r="M70" s="104">
        <f t="shared" si="10"/>
        <v>0.96901408450704229</v>
      </c>
      <c r="N70" s="102">
        <f>IFERROR(VLOOKUP($B70,MMWR_TRAD_AGG_ST_DISTRICT_PEN[],N$1,0),"ERROR")</f>
        <v>580</v>
      </c>
      <c r="O70" s="102">
        <f>IFERROR(VLOOKUP($B70,MMWR_TRAD_AGG_ST_DISTRICT_PEN[],O$1,0),"ERROR")</f>
        <v>170</v>
      </c>
      <c r="P70" s="104">
        <f t="shared" si="11"/>
        <v>0.29310344827586204</v>
      </c>
      <c r="Q70" s="102">
        <f>IFERROR(VLOOKUP($B70,MMWR_TRAD_AGG_ST_DISTRICT_PEN[],Q$1,0),"ERROR")</f>
        <v>1271</v>
      </c>
      <c r="R70" s="106">
        <f>IFERROR(VLOOKUP($B70,MMWR_TRAD_AGG_ST_DISTRICT_PEN[],R$1,0),"ERROR")</f>
        <v>2512</v>
      </c>
      <c r="S70" s="106">
        <f>IFERROR(VLOOKUP($B70,MMWR_APP_STATE_PEN[],S$1,0),"ERROR")</f>
        <v>1514</v>
      </c>
      <c r="T70" s="28"/>
    </row>
    <row r="71" spans="1:20" s="123" customFormat="1" x14ac:dyDescent="0.2">
      <c r="A71" s="28"/>
      <c r="B71" s="127" t="s">
        <v>373</v>
      </c>
      <c r="C71" s="109">
        <f>IFERROR(VLOOKUP($B71,MMWR_TRAD_AGG_STATE_PEN[],C$1,0),"ERROR")</f>
        <v>192</v>
      </c>
      <c r="D71" s="110">
        <f>IFERROR(VLOOKUP($B71,MMWR_TRAD_AGG_STATE_PEN[],D$1,0),"ERROR")</f>
        <v>106.7083333333</v>
      </c>
      <c r="E71" s="111">
        <f>IFERROR(VLOOKUP($B71,MMWR_TRAD_AGG_STATE_PEN[],E$1,0),"ERROR")</f>
        <v>396</v>
      </c>
      <c r="F71" s="112">
        <f>IFERROR(VLOOKUP($B71,MMWR_TRAD_AGG_STATE_PEN[],F$1,0),"ERROR")</f>
        <v>90</v>
      </c>
      <c r="G71" s="113">
        <f t="shared" si="8"/>
        <v>0.22727272727272727</v>
      </c>
      <c r="H71" s="111">
        <f>IFERROR(VLOOKUP($B71,MMWR_TRAD_AGG_STATE_PEN[],H$1,0),"ERROR")</f>
        <v>268</v>
      </c>
      <c r="I71" s="112">
        <f>IFERROR(VLOOKUP($B71,MMWR_TRAD_AGG_STATE_PEN[],I$1,0),"ERROR")</f>
        <v>97</v>
      </c>
      <c r="J71" s="114">
        <f t="shared" si="9"/>
        <v>0.36194029850746268</v>
      </c>
      <c r="K71" s="111">
        <f>IFERROR(VLOOKUP($B71,MMWR_TRAD_AGG_STATE_PEN[],K$1,0),"ERROR")</f>
        <v>4</v>
      </c>
      <c r="L71" s="112">
        <f>IFERROR(VLOOKUP($B71,MMWR_TRAD_AGG_STATE_PEN[],L$1,0),"ERROR")</f>
        <v>4</v>
      </c>
      <c r="M71" s="114">
        <f t="shared" si="10"/>
        <v>1</v>
      </c>
      <c r="N71" s="111">
        <f>IFERROR(VLOOKUP($B71,MMWR_TRAD_AGG_STATE_PEN[],N$1,0),"ERROR")</f>
        <v>23</v>
      </c>
      <c r="O71" s="112">
        <f>IFERROR(VLOOKUP($B71,MMWR_TRAD_AGG_STATE_PEN[],O$1,0),"ERROR")</f>
        <v>5</v>
      </c>
      <c r="P71" s="114">
        <f t="shared" si="11"/>
        <v>0.21739130434782608</v>
      </c>
      <c r="Q71" s="115">
        <f>IFERROR(VLOOKUP($B71,MMWR_TRAD_AGG_STATE_PEN[],Q$1,0),"ERROR")</f>
        <v>28</v>
      </c>
      <c r="R71" s="115">
        <f>IFERROR(VLOOKUP($B71,MMWR_TRAD_AGG_STATE_PEN[],R$1,0),"ERROR")</f>
        <v>75</v>
      </c>
      <c r="S71" s="115">
        <f>IFERROR(VLOOKUP($B71,MMWR_APP_STATE_PEN[],S$1,0),"ERROR")</f>
        <v>51</v>
      </c>
      <c r="T71" s="28"/>
    </row>
    <row r="72" spans="1:20" s="123" customFormat="1" x14ac:dyDescent="0.2">
      <c r="A72" s="28"/>
      <c r="B72" s="127" t="s">
        <v>423</v>
      </c>
      <c r="C72" s="109">
        <f>IFERROR(VLOOKUP($B72,MMWR_TRAD_AGG_STATE_PEN[],C$1,0),"ERROR")</f>
        <v>57</v>
      </c>
      <c r="D72" s="110">
        <f>IFERROR(VLOOKUP($B72,MMWR_TRAD_AGG_STATE_PEN[],D$1,0),"ERROR")</f>
        <v>98.561403508799998</v>
      </c>
      <c r="E72" s="111">
        <f>IFERROR(VLOOKUP($B72,MMWR_TRAD_AGG_STATE_PEN[],E$1,0),"ERROR")</f>
        <v>105</v>
      </c>
      <c r="F72" s="112">
        <f>IFERROR(VLOOKUP($B72,MMWR_TRAD_AGG_STATE_PEN[],F$1,0),"ERROR")</f>
        <v>15</v>
      </c>
      <c r="G72" s="113">
        <f t="shared" si="8"/>
        <v>0.14285714285714285</v>
      </c>
      <c r="H72" s="111">
        <f>IFERROR(VLOOKUP($B72,MMWR_TRAD_AGG_STATE_PEN[],H$1,0),"ERROR")</f>
        <v>84</v>
      </c>
      <c r="I72" s="112">
        <f>IFERROR(VLOOKUP($B72,MMWR_TRAD_AGG_STATE_PEN[],I$1,0),"ERROR")</f>
        <v>31</v>
      </c>
      <c r="J72" s="114">
        <f t="shared" si="9"/>
        <v>0.36904761904761907</v>
      </c>
      <c r="K72" s="111">
        <f>IFERROR(VLOOKUP($B72,MMWR_TRAD_AGG_STATE_PEN[],K$1,0),"ERROR")</f>
        <v>5</v>
      </c>
      <c r="L72" s="112">
        <f>IFERROR(VLOOKUP($B72,MMWR_TRAD_AGG_STATE_PEN[],L$1,0),"ERROR")</f>
        <v>4</v>
      </c>
      <c r="M72" s="114">
        <f t="shared" si="10"/>
        <v>0.8</v>
      </c>
      <c r="N72" s="111">
        <f>IFERROR(VLOOKUP($B72,MMWR_TRAD_AGG_STATE_PEN[],N$1,0),"ERROR")</f>
        <v>11</v>
      </c>
      <c r="O72" s="112">
        <f>IFERROR(VLOOKUP($B72,MMWR_TRAD_AGG_STATE_PEN[],O$1,0),"ERROR")</f>
        <v>4</v>
      </c>
      <c r="P72" s="114">
        <f t="shared" si="11"/>
        <v>0.36363636363636365</v>
      </c>
      <c r="Q72" s="115">
        <f>IFERROR(VLOOKUP($B72,MMWR_TRAD_AGG_STATE_PEN[],Q$1,0),"ERROR")</f>
        <v>14</v>
      </c>
      <c r="R72" s="115">
        <f>IFERROR(VLOOKUP($B72,MMWR_TRAD_AGG_STATE_PEN[],R$1,0),"ERROR")</f>
        <v>31</v>
      </c>
      <c r="S72" s="115">
        <f>IFERROR(VLOOKUP($B72,MMWR_APP_STATE_PEN[],S$1,0),"ERROR")</f>
        <v>20</v>
      </c>
      <c r="T72" s="28"/>
    </row>
    <row r="73" spans="1:20" s="123" customFormat="1" x14ac:dyDescent="0.2">
      <c r="A73" s="28"/>
      <c r="B73" s="127" t="s">
        <v>414</v>
      </c>
      <c r="C73" s="109">
        <f>IFERROR(VLOOKUP($B73,MMWR_TRAD_AGG_STATE_PEN[],C$1,0),"ERROR")</f>
        <v>50</v>
      </c>
      <c r="D73" s="110">
        <f>IFERROR(VLOOKUP($B73,MMWR_TRAD_AGG_STATE_PEN[],D$1,0),"ERROR")</f>
        <v>110.88</v>
      </c>
      <c r="E73" s="111">
        <f>IFERROR(VLOOKUP($B73,MMWR_TRAD_AGG_STATE_PEN[],E$1,0),"ERROR")</f>
        <v>70</v>
      </c>
      <c r="F73" s="112">
        <f>IFERROR(VLOOKUP($B73,MMWR_TRAD_AGG_STATE_PEN[],F$1,0),"ERROR")</f>
        <v>8</v>
      </c>
      <c r="G73" s="113">
        <f t="shared" si="8"/>
        <v>0.11428571428571428</v>
      </c>
      <c r="H73" s="111">
        <f>IFERROR(VLOOKUP($B73,MMWR_TRAD_AGG_STATE_PEN[],H$1,0),"ERROR")</f>
        <v>63</v>
      </c>
      <c r="I73" s="112">
        <f>IFERROR(VLOOKUP($B73,MMWR_TRAD_AGG_STATE_PEN[],I$1,0),"ERROR")</f>
        <v>27</v>
      </c>
      <c r="J73" s="114">
        <f t="shared" si="9"/>
        <v>0.42857142857142855</v>
      </c>
      <c r="K73" s="111">
        <f>IFERROR(VLOOKUP($B73,MMWR_TRAD_AGG_STATE_PEN[],K$1,0),"ERROR")</f>
        <v>4</v>
      </c>
      <c r="L73" s="112">
        <f>IFERROR(VLOOKUP($B73,MMWR_TRAD_AGG_STATE_PEN[],L$1,0),"ERROR")</f>
        <v>4</v>
      </c>
      <c r="M73" s="114">
        <f t="shared" si="10"/>
        <v>1</v>
      </c>
      <c r="N73" s="111">
        <f>IFERROR(VLOOKUP($B73,MMWR_TRAD_AGG_STATE_PEN[],N$1,0),"ERROR")</f>
        <v>1</v>
      </c>
      <c r="O73" s="112">
        <f>IFERROR(VLOOKUP($B73,MMWR_TRAD_AGG_STATE_PEN[],O$1,0),"ERROR")</f>
        <v>0</v>
      </c>
      <c r="P73" s="114">
        <f t="shared" si="11"/>
        <v>0</v>
      </c>
      <c r="Q73" s="115">
        <f>IFERROR(VLOOKUP($B73,MMWR_TRAD_AGG_STATE_PEN[],Q$1,0),"ERROR")</f>
        <v>15</v>
      </c>
      <c r="R73" s="115">
        <f>IFERROR(VLOOKUP($B73,MMWR_TRAD_AGG_STATE_PEN[],R$1,0),"ERROR")</f>
        <v>18</v>
      </c>
      <c r="S73" s="115">
        <f>IFERROR(VLOOKUP($B73,MMWR_APP_STATE_PEN[],S$1,0),"ERROR")</f>
        <v>17</v>
      </c>
      <c r="T73" s="28"/>
    </row>
    <row r="74" spans="1:20" s="123" customFormat="1" x14ac:dyDescent="0.2">
      <c r="A74" s="28"/>
      <c r="B74" s="127" t="s">
        <v>416</v>
      </c>
      <c r="C74" s="109">
        <f>IFERROR(VLOOKUP($B74,MMWR_TRAD_AGG_STATE_PEN[],C$1,0),"ERROR")</f>
        <v>146</v>
      </c>
      <c r="D74" s="110">
        <f>IFERROR(VLOOKUP($B74,MMWR_TRAD_AGG_STATE_PEN[],D$1,0),"ERROR")</f>
        <v>100.93150684930001</v>
      </c>
      <c r="E74" s="111">
        <f>IFERROR(VLOOKUP($B74,MMWR_TRAD_AGG_STATE_PEN[],E$1,0),"ERROR")</f>
        <v>147</v>
      </c>
      <c r="F74" s="112">
        <f>IFERROR(VLOOKUP($B74,MMWR_TRAD_AGG_STATE_PEN[],F$1,0),"ERROR")</f>
        <v>39</v>
      </c>
      <c r="G74" s="113">
        <f t="shared" si="8"/>
        <v>0.26530612244897961</v>
      </c>
      <c r="H74" s="111">
        <f>IFERROR(VLOOKUP($B74,MMWR_TRAD_AGG_STATE_PEN[],H$1,0),"ERROR")</f>
        <v>187</v>
      </c>
      <c r="I74" s="112">
        <f>IFERROR(VLOOKUP($B74,MMWR_TRAD_AGG_STATE_PEN[],I$1,0),"ERROR")</f>
        <v>65</v>
      </c>
      <c r="J74" s="114">
        <f t="shared" si="9"/>
        <v>0.34759358288770054</v>
      </c>
      <c r="K74" s="111">
        <f>IFERROR(VLOOKUP($B74,MMWR_TRAD_AGG_STATE_PEN[],K$1,0),"ERROR")</f>
        <v>4</v>
      </c>
      <c r="L74" s="112">
        <f>IFERROR(VLOOKUP($B74,MMWR_TRAD_AGG_STATE_PEN[],L$1,0),"ERROR")</f>
        <v>4</v>
      </c>
      <c r="M74" s="114">
        <f t="shared" si="10"/>
        <v>1</v>
      </c>
      <c r="N74" s="111">
        <f>IFERROR(VLOOKUP($B74,MMWR_TRAD_AGG_STATE_PEN[],N$1,0),"ERROR")</f>
        <v>10</v>
      </c>
      <c r="O74" s="112">
        <f>IFERROR(VLOOKUP($B74,MMWR_TRAD_AGG_STATE_PEN[],O$1,0),"ERROR")</f>
        <v>2</v>
      </c>
      <c r="P74" s="114">
        <f t="shared" si="11"/>
        <v>0.2</v>
      </c>
      <c r="Q74" s="115">
        <f>IFERROR(VLOOKUP($B74,MMWR_TRAD_AGG_STATE_PEN[],Q$1,0),"ERROR")</f>
        <v>28</v>
      </c>
      <c r="R74" s="115">
        <f>IFERROR(VLOOKUP($B74,MMWR_TRAD_AGG_STATE_PEN[],R$1,0),"ERROR")</f>
        <v>33</v>
      </c>
      <c r="S74" s="115">
        <f>IFERROR(VLOOKUP($B74,MMWR_APP_STATE_PEN[],S$1,0),"ERROR")</f>
        <v>25</v>
      </c>
      <c r="T74" s="28"/>
    </row>
    <row r="75" spans="1:20" s="123" customFormat="1" x14ac:dyDescent="0.2">
      <c r="A75" s="28"/>
      <c r="B75" s="127" t="s">
        <v>376</v>
      </c>
      <c r="C75" s="109">
        <f>IFERROR(VLOOKUP($B75,MMWR_TRAD_AGG_STATE_PEN[],C$1,0),"ERROR")</f>
        <v>369</v>
      </c>
      <c r="D75" s="110">
        <f>IFERROR(VLOOKUP($B75,MMWR_TRAD_AGG_STATE_PEN[],D$1,0),"ERROR")</f>
        <v>97.173441734400001</v>
      </c>
      <c r="E75" s="111">
        <f>IFERROR(VLOOKUP($B75,MMWR_TRAD_AGG_STATE_PEN[],E$1,0),"ERROR")</f>
        <v>658</v>
      </c>
      <c r="F75" s="112">
        <f>IFERROR(VLOOKUP($B75,MMWR_TRAD_AGG_STATE_PEN[],F$1,0),"ERROR")</f>
        <v>123</v>
      </c>
      <c r="G75" s="113">
        <f t="shared" si="8"/>
        <v>0.18693009118541035</v>
      </c>
      <c r="H75" s="111">
        <f>IFERROR(VLOOKUP($B75,MMWR_TRAD_AGG_STATE_PEN[],H$1,0),"ERROR")</f>
        <v>500</v>
      </c>
      <c r="I75" s="112">
        <f>IFERROR(VLOOKUP($B75,MMWR_TRAD_AGG_STATE_PEN[],I$1,0),"ERROR")</f>
        <v>166</v>
      </c>
      <c r="J75" s="114">
        <f t="shared" si="9"/>
        <v>0.33200000000000002</v>
      </c>
      <c r="K75" s="111">
        <f>IFERROR(VLOOKUP($B75,MMWR_TRAD_AGG_STATE_PEN[],K$1,0),"ERROR")</f>
        <v>18</v>
      </c>
      <c r="L75" s="112">
        <f>IFERROR(VLOOKUP($B75,MMWR_TRAD_AGG_STATE_PEN[],L$1,0),"ERROR")</f>
        <v>16</v>
      </c>
      <c r="M75" s="114">
        <f t="shared" si="10"/>
        <v>0.88888888888888884</v>
      </c>
      <c r="N75" s="111">
        <f>IFERROR(VLOOKUP($B75,MMWR_TRAD_AGG_STATE_PEN[],N$1,0),"ERROR")</f>
        <v>46</v>
      </c>
      <c r="O75" s="112">
        <f>IFERROR(VLOOKUP($B75,MMWR_TRAD_AGG_STATE_PEN[],O$1,0),"ERROR")</f>
        <v>17</v>
      </c>
      <c r="P75" s="114">
        <f t="shared" si="11"/>
        <v>0.36956521739130432</v>
      </c>
      <c r="Q75" s="115">
        <f>IFERROR(VLOOKUP($B75,MMWR_TRAD_AGG_STATE_PEN[],Q$1,0),"ERROR")</f>
        <v>83</v>
      </c>
      <c r="R75" s="115">
        <f>IFERROR(VLOOKUP($B75,MMWR_TRAD_AGG_STATE_PEN[],R$1,0),"ERROR")</f>
        <v>171</v>
      </c>
      <c r="S75" s="115">
        <f>IFERROR(VLOOKUP($B75,MMWR_APP_STATE_PEN[],S$1,0),"ERROR")</f>
        <v>88</v>
      </c>
      <c r="T75" s="28"/>
    </row>
    <row r="76" spans="1:20" s="123" customFormat="1" x14ac:dyDescent="0.2">
      <c r="A76" s="28"/>
      <c r="B76" s="127" t="s">
        <v>371</v>
      </c>
      <c r="C76" s="109">
        <f>IFERROR(VLOOKUP($B76,MMWR_TRAD_AGG_STATE_PEN[],C$1,0),"ERROR")</f>
        <v>398</v>
      </c>
      <c r="D76" s="110">
        <f>IFERROR(VLOOKUP($B76,MMWR_TRAD_AGG_STATE_PEN[],D$1,0),"ERROR")</f>
        <v>100.6582914573</v>
      </c>
      <c r="E76" s="111">
        <f>IFERROR(VLOOKUP($B76,MMWR_TRAD_AGG_STATE_PEN[],E$1,0),"ERROR")</f>
        <v>626</v>
      </c>
      <c r="F76" s="112">
        <f>IFERROR(VLOOKUP($B76,MMWR_TRAD_AGG_STATE_PEN[],F$1,0),"ERROR")</f>
        <v>133</v>
      </c>
      <c r="G76" s="113">
        <f t="shared" si="8"/>
        <v>0.21246006389776359</v>
      </c>
      <c r="H76" s="111">
        <f>IFERROR(VLOOKUP($B76,MMWR_TRAD_AGG_STATE_PEN[],H$1,0),"ERROR")</f>
        <v>543</v>
      </c>
      <c r="I76" s="112">
        <f>IFERROR(VLOOKUP($B76,MMWR_TRAD_AGG_STATE_PEN[],I$1,0),"ERROR")</f>
        <v>204</v>
      </c>
      <c r="J76" s="114">
        <f t="shared" si="9"/>
        <v>0.37569060773480661</v>
      </c>
      <c r="K76" s="111">
        <f>IFERROR(VLOOKUP($B76,MMWR_TRAD_AGG_STATE_PEN[],K$1,0),"ERROR")</f>
        <v>10</v>
      </c>
      <c r="L76" s="112">
        <f>IFERROR(VLOOKUP($B76,MMWR_TRAD_AGG_STATE_PEN[],L$1,0),"ERROR")</f>
        <v>10</v>
      </c>
      <c r="M76" s="114">
        <f t="shared" si="10"/>
        <v>1</v>
      </c>
      <c r="N76" s="111">
        <f>IFERROR(VLOOKUP($B76,MMWR_TRAD_AGG_STATE_PEN[],N$1,0),"ERROR")</f>
        <v>37</v>
      </c>
      <c r="O76" s="112">
        <f>IFERROR(VLOOKUP($B76,MMWR_TRAD_AGG_STATE_PEN[],O$1,0),"ERROR")</f>
        <v>11</v>
      </c>
      <c r="P76" s="114">
        <f t="shared" si="11"/>
        <v>0.29729729729729731</v>
      </c>
      <c r="Q76" s="115">
        <f>IFERROR(VLOOKUP($B76,MMWR_TRAD_AGG_STATE_PEN[],Q$1,0),"ERROR")</f>
        <v>57</v>
      </c>
      <c r="R76" s="115">
        <f>IFERROR(VLOOKUP($B76,MMWR_TRAD_AGG_STATE_PEN[],R$1,0),"ERROR")</f>
        <v>174</v>
      </c>
      <c r="S76" s="115">
        <f>IFERROR(VLOOKUP($B76,MMWR_APP_STATE_PEN[],S$1,0),"ERROR")</f>
        <v>113</v>
      </c>
      <c r="T76" s="28"/>
    </row>
    <row r="77" spans="1:20" s="123" customFormat="1" x14ac:dyDescent="0.2">
      <c r="A77" s="28"/>
      <c r="B77" s="127" t="s">
        <v>415</v>
      </c>
      <c r="C77" s="109">
        <f>IFERROR(VLOOKUP($B77,MMWR_TRAD_AGG_STATE_PEN[],C$1,0),"ERROR")</f>
        <v>120</v>
      </c>
      <c r="D77" s="110">
        <f>IFERROR(VLOOKUP($B77,MMWR_TRAD_AGG_STATE_PEN[],D$1,0),"ERROR")</f>
        <v>97.15</v>
      </c>
      <c r="E77" s="111">
        <f>IFERROR(VLOOKUP($B77,MMWR_TRAD_AGG_STATE_PEN[],E$1,0),"ERROR")</f>
        <v>154</v>
      </c>
      <c r="F77" s="112">
        <f>IFERROR(VLOOKUP($B77,MMWR_TRAD_AGG_STATE_PEN[],F$1,0),"ERROR")</f>
        <v>32</v>
      </c>
      <c r="G77" s="113">
        <f t="shared" si="8"/>
        <v>0.20779220779220781</v>
      </c>
      <c r="H77" s="111">
        <f>IFERROR(VLOOKUP($B77,MMWR_TRAD_AGG_STATE_PEN[],H$1,0),"ERROR")</f>
        <v>164</v>
      </c>
      <c r="I77" s="112">
        <f>IFERROR(VLOOKUP($B77,MMWR_TRAD_AGG_STATE_PEN[],I$1,0),"ERROR")</f>
        <v>57</v>
      </c>
      <c r="J77" s="114">
        <f t="shared" si="9"/>
        <v>0.34756097560975607</v>
      </c>
      <c r="K77" s="111">
        <f>IFERROR(VLOOKUP($B77,MMWR_TRAD_AGG_STATE_PEN[],K$1,0),"ERROR")</f>
        <v>2</v>
      </c>
      <c r="L77" s="112">
        <f>IFERROR(VLOOKUP($B77,MMWR_TRAD_AGG_STATE_PEN[],L$1,0),"ERROR")</f>
        <v>2</v>
      </c>
      <c r="M77" s="114">
        <f t="shared" si="10"/>
        <v>1</v>
      </c>
      <c r="N77" s="111">
        <f>IFERROR(VLOOKUP($B77,MMWR_TRAD_AGG_STATE_PEN[],N$1,0),"ERROR")</f>
        <v>12</v>
      </c>
      <c r="O77" s="112">
        <f>IFERROR(VLOOKUP($B77,MMWR_TRAD_AGG_STATE_PEN[],O$1,0),"ERROR")</f>
        <v>4</v>
      </c>
      <c r="P77" s="114">
        <f t="shared" si="11"/>
        <v>0.33333333333333331</v>
      </c>
      <c r="Q77" s="115">
        <f>IFERROR(VLOOKUP($B77,MMWR_TRAD_AGG_STATE_PEN[],Q$1,0),"ERROR")</f>
        <v>17</v>
      </c>
      <c r="R77" s="115">
        <f>IFERROR(VLOOKUP($B77,MMWR_TRAD_AGG_STATE_PEN[],R$1,0),"ERROR")</f>
        <v>37</v>
      </c>
      <c r="S77" s="115">
        <f>IFERROR(VLOOKUP($B77,MMWR_APP_STATE_PEN[],S$1,0),"ERROR")</f>
        <v>13</v>
      </c>
      <c r="T77" s="28"/>
    </row>
    <row r="78" spans="1:20" s="123" customFormat="1" x14ac:dyDescent="0.2">
      <c r="A78" s="28"/>
      <c r="B78" s="127" t="s">
        <v>374</v>
      </c>
      <c r="C78" s="109">
        <f>IFERROR(VLOOKUP($B78,MMWR_TRAD_AGG_STATE_PEN[],C$1,0),"ERROR")</f>
        <v>479</v>
      </c>
      <c r="D78" s="110">
        <f>IFERROR(VLOOKUP($B78,MMWR_TRAD_AGG_STATE_PEN[],D$1,0),"ERROR")</f>
        <v>103.86430062629999</v>
      </c>
      <c r="E78" s="111">
        <f>IFERROR(VLOOKUP($B78,MMWR_TRAD_AGG_STATE_PEN[],E$1,0),"ERROR")</f>
        <v>791</v>
      </c>
      <c r="F78" s="112">
        <f>IFERROR(VLOOKUP($B78,MMWR_TRAD_AGG_STATE_PEN[],F$1,0),"ERROR")</f>
        <v>168</v>
      </c>
      <c r="G78" s="113">
        <f t="shared" si="8"/>
        <v>0.21238938053097345</v>
      </c>
      <c r="H78" s="111">
        <f>IFERROR(VLOOKUP($B78,MMWR_TRAD_AGG_STATE_PEN[],H$1,0),"ERROR")</f>
        <v>626</v>
      </c>
      <c r="I78" s="112">
        <f>IFERROR(VLOOKUP($B78,MMWR_TRAD_AGG_STATE_PEN[],I$1,0),"ERROR")</f>
        <v>235</v>
      </c>
      <c r="J78" s="114">
        <f t="shared" si="9"/>
        <v>0.37539936102236421</v>
      </c>
      <c r="K78" s="111">
        <f>IFERROR(VLOOKUP($B78,MMWR_TRAD_AGG_STATE_PEN[],K$1,0),"ERROR")</f>
        <v>12</v>
      </c>
      <c r="L78" s="112">
        <f>IFERROR(VLOOKUP($B78,MMWR_TRAD_AGG_STATE_PEN[],L$1,0),"ERROR")</f>
        <v>12</v>
      </c>
      <c r="M78" s="114">
        <f t="shared" si="10"/>
        <v>1</v>
      </c>
      <c r="N78" s="111">
        <f>IFERROR(VLOOKUP($B78,MMWR_TRAD_AGG_STATE_PEN[],N$1,0),"ERROR")</f>
        <v>37</v>
      </c>
      <c r="O78" s="112">
        <f>IFERROR(VLOOKUP($B78,MMWR_TRAD_AGG_STATE_PEN[],O$1,0),"ERROR")</f>
        <v>5</v>
      </c>
      <c r="P78" s="114">
        <f t="shared" si="11"/>
        <v>0.13513513513513514</v>
      </c>
      <c r="Q78" s="115">
        <f>IFERROR(VLOOKUP($B78,MMWR_TRAD_AGG_STATE_PEN[],Q$1,0),"ERROR")</f>
        <v>81</v>
      </c>
      <c r="R78" s="115">
        <f>IFERROR(VLOOKUP($B78,MMWR_TRAD_AGG_STATE_PEN[],R$1,0),"ERROR")</f>
        <v>202</v>
      </c>
      <c r="S78" s="115">
        <f>IFERROR(VLOOKUP($B78,MMWR_APP_STATE_PEN[],S$1,0),"ERROR")</f>
        <v>183</v>
      </c>
      <c r="T78" s="28"/>
    </row>
    <row r="79" spans="1:20" s="123" customFormat="1" x14ac:dyDescent="0.2">
      <c r="A79" s="28"/>
      <c r="B79" s="127" t="s">
        <v>63</v>
      </c>
      <c r="C79" s="109">
        <f>IFERROR(VLOOKUP($B79,MMWR_TRAD_AGG_STATE_PEN[],C$1,0),"ERROR")</f>
        <v>1213</v>
      </c>
      <c r="D79" s="110">
        <f>IFERROR(VLOOKUP($B79,MMWR_TRAD_AGG_STATE_PEN[],D$1,0),"ERROR")</f>
        <v>101.449299258</v>
      </c>
      <c r="E79" s="111">
        <f>IFERROR(VLOOKUP($B79,MMWR_TRAD_AGG_STATE_PEN[],E$1,0),"ERROR")</f>
        <v>2302</v>
      </c>
      <c r="F79" s="112">
        <f>IFERROR(VLOOKUP($B79,MMWR_TRAD_AGG_STATE_PEN[],F$1,0),"ERROR")</f>
        <v>473</v>
      </c>
      <c r="G79" s="113">
        <f t="shared" si="8"/>
        <v>0.2054735013032146</v>
      </c>
      <c r="H79" s="111">
        <f>IFERROR(VLOOKUP($B79,MMWR_TRAD_AGG_STATE_PEN[],H$1,0),"ERROR")</f>
        <v>1734</v>
      </c>
      <c r="I79" s="112">
        <f>IFERROR(VLOOKUP($B79,MMWR_TRAD_AGG_STATE_PEN[],I$1,0),"ERROR")</f>
        <v>597</v>
      </c>
      <c r="J79" s="114">
        <f t="shared" si="9"/>
        <v>0.34429065743944637</v>
      </c>
      <c r="K79" s="111">
        <f>IFERROR(VLOOKUP($B79,MMWR_TRAD_AGG_STATE_PEN[],K$1,0),"ERROR")</f>
        <v>41</v>
      </c>
      <c r="L79" s="112">
        <f>IFERROR(VLOOKUP($B79,MMWR_TRAD_AGG_STATE_PEN[],L$1,0),"ERROR")</f>
        <v>40</v>
      </c>
      <c r="M79" s="114">
        <f t="shared" si="10"/>
        <v>0.97560975609756095</v>
      </c>
      <c r="N79" s="111">
        <f>IFERROR(VLOOKUP($B79,MMWR_TRAD_AGG_STATE_PEN[],N$1,0),"ERROR")</f>
        <v>77</v>
      </c>
      <c r="O79" s="112">
        <f>IFERROR(VLOOKUP($B79,MMWR_TRAD_AGG_STATE_PEN[],O$1,0),"ERROR")</f>
        <v>26</v>
      </c>
      <c r="P79" s="114">
        <f t="shared" si="11"/>
        <v>0.33766233766233766</v>
      </c>
      <c r="Q79" s="115">
        <f>IFERROR(VLOOKUP($B79,MMWR_TRAD_AGG_STATE_PEN[],Q$1,0),"ERROR")</f>
        <v>187</v>
      </c>
      <c r="R79" s="115">
        <f>IFERROR(VLOOKUP($B79,MMWR_TRAD_AGG_STATE_PEN[],R$1,0),"ERROR")</f>
        <v>390</v>
      </c>
      <c r="S79" s="115">
        <f>IFERROR(VLOOKUP($B79,MMWR_APP_STATE_PEN[],S$1,0),"ERROR")</f>
        <v>260</v>
      </c>
      <c r="T79" s="28"/>
    </row>
    <row r="80" spans="1:20" s="123" customFormat="1" x14ac:dyDescent="0.2">
      <c r="A80" s="28"/>
      <c r="B80" s="127" t="s">
        <v>382</v>
      </c>
      <c r="C80" s="109">
        <f>IFERROR(VLOOKUP($B80,MMWR_TRAD_AGG_STATE_PEN[],C$1,0),"ERROR")</f>
        <v>1277</v>
      </c>
      <c r="D80" s="110">
        <f>IFERROR(VLOOKUP($B80,MMWR_TRAD_AGG_STATE_PEN[],D$1,0),"ERROR")</f>
        <v>106.8191072827</v>
      </c>
      <c r="E80" s="111">
        <f>IFERROR(VLOOKUP($B80,MMWR_TRAD_AGG_STATE_PEN[],E$1,0),"ERROR")</f>
        <v>1550</v>
      </c>
      <c r="F80" s="112">
        <f>IFERROR(VLOOKUP($B80,MMWR_TRAD_AGG_STATE_PEN[],F$1,0),"ERROR")</f>
        <v>329</v>
      </c>
      <c r="G80" s="113">
        <f t="shared" si="8"/>
        <v>0.21225806451612902</v>
      </c>
      <c r="H80" s="111">
        <f>IFERROR(VLOOKUP($B80,MMWR_TRAD_AGG_STATE_PEN[],H$1,0),"ERROR")</f>
        <v>1794</v>
      </c>
      <c r="I80" s="112">
        <f>IFERROR(VLOOKUP($B80,MMWR_TRAD_AGG_STATE_PEN[],I$1,0),"ERROR")</f>
        <v>609</v>
      </c>
      <c r="J80" s="114">
        <f t="shared" si="9"/>
        <v>0.33946488294314381</v>
      </c>
      <c r="K80" s="111">
        <f>IFERROR(VLOOKUP($B80,MMWR_TRAD_AGG_STATE_PEN[],K$1,0),"ERROR")</f>
        <v>52</v>
      </c>
      <c r="L80" s="112">
        <f>IFERROR(VLOOKUP($B80,MMWR_TRAD_AGG_STATE_PEN[],L$1,0),"ERROR")</f>
        <v>49</v>
      </c>
      <c r="M80" s="114">
        <f t="shared" si="10"/>
        <v>0.94230769230769229</v>
      </c>
      <c r="N80" s="111">
        <f>IFERROR(VLOOKUP($B80,MMWR_TRAD_AGG_STATE_PEN[],N$1,0),"ERROR")</f>
        <v>108</v>
      </c>
      <c r="O80" s="112">
        <f>IFERROR(VLOOKUP($B80,MMWR_TRAD_AGG_STATE_PEN[],O$1,0),"ERROR")</f>
        <v>37</v>
      </c>
      <c r="P80" s="114">
        <f t="shared" si="11"/>
        <v>0.34259259259259262</v>
      </c>
      <c r="Q80" s="115">
        <f>IFERROR(VLOOKUP($B80,MMWR_TRAD_AGG_STATE_PEN[],Q$1,0),"ERROR")</f>
        <v>316</v>
      </c>
      <c r="R80" s="115">
        <f>IFERROR(VLOOKUP($B80,MMWR_TRAD_AGG_STATE_PEN[],R$1,0),"ERROR")</f>
        <v>466</v>
      </c>
      <c r="S80" s="115">
        <f>IFERROR(VLOOKUP($B80,MMWR_APP_STATE_PEN[],S$1,0),"ERROR")</f>
        <v>224</v>
      </c>
      <c r="T80" s="28"/>
    </row>
    <row r="81" spans="1:20" s="123" customFormat="1" x14ac:dyDescent="0.2">
      <c r="A81" s="28"/>
      <c r="B81" s="127" t="s">
        <v>375</v>
      </c>
      <c r="C81" s="109">
        <f>IFERROR(VLOOKUP($B81,MMWR_TRAD_AGG_STATE_PEN[],C$1,0),"ERROR")</f>
        <v>1568</v>
      </c>
      <c r="D81" s="110">
        <f>IFERROR(VLOOKUP($B81,MMWR_TRAD_AGG_STATE_PEN[],D$1,0),"ERROR")</f>
        <v>103.7557397959</v>
      </c>
      <c r="E81" s="111">
        <f>IFERROR(VLOOKUP($B81,MMWR_TRAD_AGG_STATE_PEN[],E$1,0),"ERROR")</f>
        <v>2661</v>
      </c>
      <c r="F81" s="112">
        <f>IFERROR(VLOOKUP($B81,MMWR_TRAD_AGG_STATE_PEN[],F$1,0),"ERROR")</f>
        <v>516</v>
      </c>
      <c r="G81" s="113">
        <f t="shared" si="8"/>
        <v>0.1939120631341601</v>
      </c>
      <c r="H81" s="111">
        <f>IFERROR(VLOOKUP($B81,MMWR_TRAD_AGG_STATE_PEN[],H$1,0),"ERROR")</f>
        <v>2259</v>
      </c>
      <c r="I81" s="112">
        <f>IFERROR(VLOOKUP($B81,MMWR_TRAD_AGG_STATE_PEN[],I$1,0),"ERROR")</f>
        <v>833</v>
      </c>
      <c r="J81" s="114">
        <f t="shared" si="9"/>
        <v>0.36874723328906595</v>
      </c>
      <c r="K81" s="111">
        <f>IFERROR(VLOOKUP($B81,MMWR_TRAD_AGG_STATE_PEN[],K$1,0),"ERROR")</f>
        <v>42</v>
      </c>
      <c r="L81" s="112">
        <f>IFERROR(VLOOKUP($B81,MMWR_TRAD_AGG_STATE_PEN[],L$1,0),"ERROR")</f>
        <v>39</v>
      </c>
      <c r="M81" s="114">
        <f t="shared" si="10"/>
        <v>0.9285714285714286</v>
      </c>
      <c r="N81" s="111">
        <f>IFERROR(VLOOKUP($B81,MMWR_TRAD_AGG_STATE_PEN[],N$1,0),"ERROR")</f>
        <v>131</v>
      </c>
      <c r="O81" s="112">
        <f>IFERROR(VLOOKUP($B81,MMWR_TRAD_AGG_STATE_PEN[],O$1,0),"ERROR")</f>
        <v>24</v>
      </c>
      <c r="P81" s="114">
        <f t="shared" si="11"/>
        <v>0.18320610687022901</v>
      </c>
      <c r="Q81" s="115">
        <f>IFERROR(VLOOKUP($B81,MMWR_TRAD_AGG_STATE_PEN[],Q$1,0),"ERROR")</f>
        <v>188</v>
      </c>
      <c r="R81" s="115">
        <f>IFERROR(VLOOKUP($B81,MMWR_TRAD_AGG_STATE_PEN[],R$1,0),"ERROR")</f>
        <v>475</v>
      </c>
      <c r="S81" s="115">
        <f>IFERROR(VLOOKUP($B81,MMWR_APP_STATE_PEN[],S$1,0),"ERROR")</f>
        <v>272</v>
      </c>
      <c r="T81" s="28"/>
    </row>
    <row r="82" spans="1:20" s="123" customFormat="1" x14ac:dyDescent="0.2">
      <c r="A82" s="28"/>
      <c r="B82" s="127" t="s">
        <v>372</v>
      </c>
      <c r="C82" s="109">
        <f>IFERROR(VLOOKUP($B82,MMWR_TRAD_AGG_STATE_PEN[],C$1,0),"ERROR")</f>
        <v>94</v>
      </c>
      <c r="D82" s="110">
        <f>IFERROR(VLOOKUP($B82,MMWR_TRAD_AGG_STATE_PEN[],D$1,0),"ERROR")</f>
        <v>83.393617021300003</v>
      </c>
      <c r="E82" s="111">
        <f>IFERROR(VLOOKUP($B82,MMWR_TRAD_AGG_STATE_PEN[],E$1,0),"ERROR")</f>
        <v>174</v>
      </c>
      <c r="F82" s="112">
        <f>IFERROR(VLOOKUP($B82,MMWR_TRAD_AGG_STATE_PEN[],F$1,0),"ERROR")</f>
        <v>33</v>
      </c>
      <c r="G82" s="113">
        <f t="shared" si="8"/>
        <v>0.18965517241379309</v>
      </c>
      <c r="H82" s="111">
        <f>IFERROR(VLOOKUP($B82,MMWR_TRAD_AGG_STATE_PEN[],H$1,0),"ERROR")</f>
        <v>144</v>
      </c>
      <c r="I82" s="112">
        <f>IFERROR(VLOOKUP($B82,MMWR_TRAD_AGG_STATE_PEN[],I$1,0),"ERROR")</f>
        <v>39</v>
      </c>
      <c r="J82" s="114">
        <f t="shared" si="9"/>
        <v>0.27083333333333331</v>
      </c>
      <c r="K82" s="111">
        <f>IFERROR(VLOOKUP($B82,MMWR_TRAD_AGG_STATE_PEN[],K$1,0),"ERROR")</f>
        <v>5</v>
      </c>
      <c r="L82" s="112">
        <f>IFERROR(VLOOKUP($B82,MMWR_TRAD_AGG_STATE_PEN[],L$1,0),"ERROR")</f>
        <v>5</v>
      </c>
      <c r="M82" s="114">
        <f t="shared" si="10"/>
        <v>1</v>
      </c>
      <c r="N82" s="111">
        <f>IFERROR(VLOOKUP($B82,MMWR_TRAD_AGG_STATE_PEN[],N$1,0),"ERROR")</f>
        <v>16</v>
      </c>
      <c r="O82" s="112">
        <f>IFERROR(VLOOKUP($B82,MMWR_TRAD_AGG_STATE_PEN[],O$1,0),"ERROR")</f>
        <v>6</v>
      </c>
      <c r="P82" s="114">
        <f t="shared" si="11"/>
        <v>0.375</v>
      </c>
      <c r="Q82" s="115">
        <f>IFERROR(VLOOKUP($B82,MMWR_TRAD_AGG_STATE_PEN[],Q$1,0),"ERROR")</f>
        <v>19</v>
      </c>
      <c r="R82" s="115">
        <f>IFERROR(VLOOKUP($B82,MMWR_TRAD_AGG_STATE_PEN[],R$1,0),"ERROR")</f>
        <v>30</v>
      </c>
      <c r="S82" s="115">
        <f>IFERROR(VLOOKUP($B82,MMWR_APP_STATE_PEN[],S$1,0),"ERROR")</f>
        <v>22</v>
      </c>
      <c r="T82" s="28"/>
    </row>
    <row r="83" spans="1:20" s="123" customFormat="1" x14ac:dyDescent="0.2">
      <c r="A83" s="28"/>
      <c r="B83" s="127" t="s">
        <v>417</v>
      </c>
      <c r="C83" s="109">
        <f>IFERROR(VLOOKUP($B83,MMWR_TRAD_AGG_STATE_PEN[],C$1,0),"ERROR")</f>
        <v>37</v>
      </c>
      <c r="D83" s="110">
        <f>IFERROR(VLOOKUP($B83,MMWR_TRAD_AGG_STATE_PEN[],D$1,0),"ERROR")</f>
        <v>77.243243243199998</v>
      </c>
      <c r="E83" s="111">
        <f>IFERROR(VLOOKUP($B83,MMWR_TRAD_AGG_STATE_PEN[],E$1,0),"ERROR")</f>
        <v>51</v>
      </c>
      <c r="F83" s="112">
        <f>IFERROR(VLOOKUP($B83,MMWR_TRAD_AGG_STATE_PEN[],F$1,0),"ERROR")</f>
        <v>9</v>
      </c>
      <c r="G83" s="113">
        <f t="shared" si="8"/>
        <v>0.17647058823529413</v>
      </c>
      <c r="H83" s="111">
        <f>IFERROR(VLOOKUP($B83,MMWR_TRAD_AGG_STATE_PEN[],H$1,0),"ERROR")</f>
        <v>43</v>
      </c>
      <c r="I83" s="112">
        <f>IFERROR(VLOOKUP($B83,MMWR_TRAD_AGG_STATE_PEN[],I$1,0),"ERROR")</f>
        <v>10</v>
      </c>
      <c r="J83" s="114">
        <f t="shared" si="9"/>
        <v>0.23255813953488372</v>
      </c>
      <c r="K83" s="111">
        <f>IFERROR(VLOOKUP($B83,MMWR_TRAD_AGG_STATE_PEN[],K$1,0),"ERROR")</f>
        <v>1</v>
      </c>
      <c r="L83" s="112">
        <f>IFERROR(VLOOKUP($B83,MMWR_TRAD_AGG_STATE_PEN[],L$1,0),"ERROR")</f>
        <v>1</v>
      </c>
      <c r="M83" s="114">
        <f t="shared" si="10"/>
        <v>1</v>
      </c>
      <c r="N83" s="111">
        <f>IFERROR(VLOOKUP($B83,MMWR_TRAD_AGG_STATE_PEN[],N$1,0),"ERROR")</f>
        <v>3</v>
      </c>
      <c r="O83" s="112">
        <f>IFERROR(VLOOKUP($B83,MMWR_TRAD_AGG_STATE_PEN[],O$1,0),"ERROR")</f>
        <v>1</v>
      </c>
      <c r="P83" s="114">
        <f t="shared" si="11"/>
        <v>0.33333333333333331</v>
      </c>
      <c r="Q83" s="115">
        <f>IFERROR(VLOOKUP($B83,MMWR_TRAD_AGG_STATE_PEN[],Q$1,0),"ERROR")</f>
        <v>12</v>
      </c>
      <c r="R83" s="115">
        <f>IFERROR(VLOOKUP($B83,MMWR_TRAD_AGG_STATE_PEN[],R$1,0),"ERROR")</f>
        <v>9</v>
      </c>
      <c r="S83" s="115">
        <f>IFERROR(VLOOKUP($B83,MMWR_APP_STATE_PEN[],S$1,0),"ERROR")</f>
        <v>11</v>
      </c>
      <c r="T83" s="28"/>
    </row>
    <row r="84" spans="1:20" s="123" customFormat="1" x14ac:dyDescent="0.2">
      <c r="A84" s="28"/>
      <c r="B84" s="127" t="s">
        <v>378</v>
      </c>
      <c r="C84" s="109">
        <f>IFERROR(VLOOKUP($B84,MMWR_TRAD_AGG_STATE_PEN[],C$1,0),"ERROR")</f>
        <v>782</v>
      </c>
      <c r="D84" s="110">
        <f>IFERROR(VLOOKUP($B84,MMWR_TRAD_AGG_STATE_PEN[],D$1,0),"ERROR")</f>
        <v>99.283887468000003</v>
      </c>
      <c r="E84" s="111">
        <f>IFERROR(VLOOKUP($B84,MMWR_TRAD_AGG_STATE_PEN[],E$1,0),"ERROR")</f>
        <v>864</v>
      </c>
      <c r="F84" s="112">
        <f>IFERROR(VLOOKUP($B84,MMWR_TRAD_AGG_STATE_PEN[],F$1,0),"ERROR")</f>
        <v>188</v>
      </c>
      <c r="G84" s="113">
        <f t="shared" si="8"/>
        <v>0.21759259259259259</v>
      </c>
      <c r="H84" s="111">
        <f>IFERROR(VLOOKUP($B84,MMWR_TRAD_AGG_STATE_PEN[],H$1,0),"ERROR")</f>
        <v>1063</v>
      </c>
      <c r="I84" s="112">
        <f>IFERROR(VLOOKUP($B84,MMWR_TRAD_AGG_STATE_PEN[],I$1,0),"ERROR")</f>
        <v>348</v>
      </c>
      <c r="J84" s="114">
        <f t="shared" si="9"/>
        <v>0.32737535277516461</v>
      </c>
      <c r="K84" s="111">
        <f>IFERROR(VLOOKUP($B84,MMWR_TRAD_AGG_STATE_PEN[],K$1,0),"ERROR")</f>
        <v>148</v>
      </c>
      <c r="L84" s="112">
        <f>IFERROR(VLOOKUP($B84,MMWR_TRAD_AGG_STATE_PEN[],L$1,0),"ERROR")</f>
        <v>147</v>
      </c>
      <c r="M84" s="114">
        <f t="shared" si="10"/>
        <v>0.9932432432432432</v>
      </c>
      <c r="N84" s="111">
        <f>IFERROR(VLOOKUP($B84,MMWR_TRAD_AGG_STATE_PEN[],N$1,0),"ERROR")</f>
        <v>54</v>
      </c>
      <c r="O84" s="112">
        <f>IFERROR(VLOOKUP($B84,MMWR_TRAD_AGG_STATE_PEN[],O$1,0),"ERROR")</f>
        <v>22</v>
      </c>
      <c r="P84" s="114">
        <f t="shared" si="11"/>
        <v>0.40740740740740738</v>
      </c>
      <c r="Q84" s="115">
        <f>IFERROR(VLOOKUP($B84,MMWR_TRAD_AGG_STATE_PEN[],Q$1,0),"ERROR")</f>
        <v>178</v>
      </c>
      <c r="R84" s="115">
        <f>IFERROR(VLOOKUP($B84,MMWR_TRAD_AGG_STATE_PEN[],R$1,0),"ERROR")</f>
        <v>329</v>
      </c>
      <c r="S84" s="115">
        <f>IFERROR(VLOOKUP($B84,MMWR_APP_STATE_PEN[],S$1,0),"ERROR")</f>
        <v>168</v>
      </c>
      <c r="T84" s="28"/>
    </row>
    <row r="85" spans="1:20" s="123" customFormat="1" x14ac:dyDescent="0.2">
      <c r="A85" s="28"/>
      <c r="B85" s="127" t="s">
        <v>379</v>
      </c>
      <c r="C85" s="109">
        <f>IFERROR(VLOOKUP($B85,MMWR_TRAD_AGG_STATE_PEN[],C$1,0),"ERROR")</f>
        <v>245</v>
      </c>
      <c r="D85" s="110">
        <f>IFERROR(VLOOKUP($B85,MMWR_TRAD_AGG_STATE_PEN[],D$1,0),"ERROR")</f>
        <v>104.60816326530001</v>
      </c>
      <c r="E85" s="111">
        <f>IFERROR(VLOOKUP($B85,MMWR_TRAD_AGG_STATE_PEN[],E$1,0),"ERROR")</f>
        <v>296</v>
      </c>
      <c r="F85" s="112">
        <f>IFERROR(VLOOKUP($B85,MMWR_TRAD_AGG_STATE_PEN[],F$1,0),"ERROR")</f>
        <v>47</v>
      </c>
      <c r="G85" s="113">
        <f t="shared" si="8"/>
        <v>0.15878378378378377</v>
      </c>
      <c r="H85" s="111">
        <f>IFERROR(VLOOKUP($B85,MMWR_TRAD_AGG_STATE_PEN[],H$1,0),"ERROR")</f>
        <v>317</v>
      </c>
      <c r="I85" s="112">
        <f>IFERROR(VLOOKUP($B85,MMWR_TRAD_AGG_STATE_PEN[],I$1,0),"ERROR")</f>
        <v>122</v>
      </c>
      <c r="J85" s="114">
        <f t="shared" si="9"/>
        <v>0.38485804416403785</v>
      </c>
      <c r="K85" s="111">
        <f>IFERROR(VLOOKUP($B85,MMWR_TRAD_AGG_STATE_PEN[],K$1,0),"ERROR")</f>
        <v>7</v>
      </c>
      <c r="L85" s="112">
        <f>IFERROR(VLOOKUP($B85,MMWR_TRAD_AGG_STATE_PEN[],L$1,0),"ERROR")</f>
        <v>7</v>
      </c>
      <c r="M85" s="114">
        <f t="shared" si="10"/>
        <v>1</v>
      </c>
      <c r="N85" s="111">
        <f>IFERROR(VLOOKUP($B85,MMWR_TRAD_AGG_STATE_PEN[],N$1,0),"ERROR")</f>
        <v>14</v>
      </c>
      <c r="O85" s="112">
        <f>IFERROR(VLOOKUP($B85,MMWR_TRAD_AGG_STATE_PEN[],O$1,0),"ERROR")</f>
        <v>6</v>
      </c>
      <c r="P85" s="114">
        <f t="shared" si="11"/>
        <v>0.42857142857142855</v>
      </c>
      <c r="Q85" s="115">
        <f>IFERROR(VLOOKUP($B85,MMWR_TRAD_AGG_STATE_PEN[],Q$1,0),"ERROR")</f>
        <v>48</v>
      </c>
      <c r="R85" s="115">
        <f>IFERROR(VLOOKUP($B85,MMWR_TRAD_AGG_STATE_PEN[],R$1,0),"ERROR")</f>
        <v>72</v>
      </c>
      <c r="S85" s="115">
        <f>IFERROR(VLOOKUP($B85,MMWR_APP_STATE_PEN[],S$1,0),"ERROR")</f>
        <v>47</v>
      </c>
      <c r="T85" s="28"/>
    </row>
    <row r="86" spans="1:20" s="123" customFormat="1" x14ac:dyDescent="0.2">
      <c r="A86" s="28"/>
      <c r="B86" s="126" t="s">
        <v>390</v>
      </c>
      <c r="C86" s="102">
        <f>IFERROR(VLOOKUP($B86,MMWR_TRAD_AGG_ST_DISTRICT_PEN[],C$1,0),"ERROR")</f>
        <v>2141</v>
      </c>
      <c r="D86" s="103">
        <f>IFERROR(VLOOKUP($B86,MMWR_TRAD_AGG_ST_DISTRICT_PEN[],D$1,0),"ERROR")</f>
        <v>55.429705745</v>
      </c>
      <c r="E86" s="102">
        <f>IFERROR(VLOOKUP($B86,MMWR_TRAD_AGG_ST_DISTRICT_PEN[],E$1,0),"ERROR")</f>
        <v>5948</v>
      </c>
      <c r="F86" s="102">
        <f>IFERROR(VLOOKUP($B86,MMWR_TRAD_AGG_ST_DISTRICT_PEN[],F$1,0),"ERROR")</f>
        <v>497</v>
      </c>
      <c r="G86" s="104">
        <f t="shared" si="8"/>
        <v>8.3557498318762607E-2</v>
      </c>
      <c r="H86" s="102">
        <f>IFERROR(VLOOKUP($B86,MMWR_TRAD_AGG_ST_DISTRICT_PEN[],H$1,0),"ERROR")</f>
        <v>3539</v>
      </c>
      <c r="I86" s="102">
        <f>IFERROR(VLOOKUP($B86,MMWR_TRAD_AGG_ST_DISTRICT_PEN[],I$1,0),"ERROR")</f>
        <v>217</v>
      </c>
      <c r="J86" s="104">
        <f t="shared" si="9"/>
        <v>6.1316756145803897E-2</v>
      </c>
      <c r="K86" s="102">
        <f>IFERROR(VLOOKUP($B86,MMWR_TRAD_AGG_ST_DISTRICT_PEN[],K$1,0),"ERROR")</f>
        <v>18</v>
      </c>
      <c r="L86" s="102">
        <f>IFERROR(VLOOKUP($B86,MMWR_TRAD_AGG_ST_DISTRICT_PEN[],L$1,0),"ERROR")</f>
        <v>11</v>
      </c>
      <c r="M86" s="104">
        <f t="shared" si="10"/>
        <v>0.61111111111111116</v>
      </c>
      <c r="N86" s="102">
        <f>IFERROR(VLOOKUP($B86,MMWR_TRAD_AGG_ST_DISTRICT_PEN[],N$1,0),"ERROR")</f>
        <v>279</v>
      </c>
      <c r="O86" s="102">
        <f>IFERROR(VLOOKUP($B86,MMWR_TRAD_AGG_ST_DISTRICT_PEN[],O$1,0),"ERROR")</f>
        <v>75</v>
      </c>
      <c r="P86" s="104">
        <f t="shared" si="11"/>
        <v>0.26881720430107525</v>
      </c>
      <c r="Q86" s="102">
        <f>IFERROR(VLOOKUP($B86,MMWR_TRAD_AGG_ST_DISTRICT_PEN[],Q$1,0),"ERROR")</f>
        <v>1834</v>
      </c>
      <c r="R86" s="106">
        <f>IFERROR(VLOOKUP($B86,MMWR_TRAD_AGG_ST_DISTRICT_PEN[],R$1,0),"ERROR")</f>
        <v>533</v>
      </c>
      <c r="S86" s="106">
        <f>IFERROR(VLOOKUP($B86,MMWR_APP_STATE_PEN[],S$1,0),"ERROR")</f>
        <v>1649</v>
      </c>
      <c r="T86" s="28"/>
    </row>
    <row r="87" spans="1:20" s="123" customFormat="1" x14ac:dyDescent="0.2">
      <c r="A87" s="28"/>
      <c r="B87" s="127" t="s">
        <v>394</v>
      </c>
      <c r="C87" s="109">
        <f>IFERROR(VLOOKUP($B87,MMWR_TRAD_AGG_STATE_PEN[],C$1,0),"ERROR")</f>
        <v>302</v>
      </c>
      <c r="D87" s="110">
        <f>IFERROR(VLOOKUP($B87,MMWR_TRAD_AGG_STATE_PEN[],D$1,0),"ERROR")</f>
        <v>62.731788079499999</v>
      </c>
      <c r="E87" s="111">
        <f>IFERROR(VLOOKUP($B87,MMWR_TRAD_AGG_STATE_PEN[],E$1,0),"ERROR")</f>
        <v>876</v>
      </c>
      <c r="F87" s="112">
        <f>IFERROR(VLOOKUP($B87,MMWR_TRAD_AGG_STATE_PEN[],F$1,0),"ERROR")</f>
        <v>87</v>
      </c>
      <c r="G87" s="113">
        <f t="shared" si="8"/>
        <v>9.9315068493150679E-2</v>
      </c>
      <c r="H87" s="111">
        <f>IFERROR(VLOOKUP($B87,MMWR_TRAD_AGG_STATE_PEN[],H$1,0),"ERROR")</f>
        <v>472</v>
      </c>
      <c r="I87" s="112">
        <f>IFERROR(VLOOKUP($B87,MMWR_TRAD_AGG_STATE_PEN[],I$1,0),"ERROR")</f>
        <v>31</v>
      </c>
      <c r="J87" s="114">
        <f t="shared" si="9"/>
        <v>6.5677966101694921E-2</v>
      </c>
      <c r="K87" s="111">
        <f>IFERROR(VLOOKUP($B87,MMWR_TRAD_AGG_STATE_PEN[],K$1,0),"ERROR")</f>
        <v>1</v>
      </c>
      <c r="L87" s="112">
        <f>IFERROR(VLOOKUP($B87,MMWR_TRAD_AGG_STATE_PEN[],L$1,0),"ERROR")</f>
        <v>1</v>
      </c>
      <c r="M87" s="114">
        <f t="shared" si="10"/>
        <v>1</v>
      </c>
      <c r="N87" s="111">
        <f>IFERROR(VLOOKUP($B87,MMWR_TRAD_AGG_STATE_PEN[],N$1,0),"ERROR")</f>
        <v>50</v>
      </c>
      <c r="O87" s="112">
        <f>IFERROR(VLOOKUP($B87,MMWR_TRAD_AGG_STATE_PEN[],O$1,0),"ERROR")</f>
        <v>16</v>
      </c>
      <c r="P87" s="114">
        <f t="shared" si="11"/>
        <v>0.32</v>
      </c>
      <c r="Q87" s="115">
        <f>IFERROR(VLOOKUP($B87,MMWR_TRAD_AGG_STATE_PEN[],Q$1,0),"ERROR")</f>
        <v>89</v>
      </c>
      <c r="R87" s="115">
        <f>IFERROR(VLOOKUP($B87,MMWR_TRAD_AGG_STATE_PEN[],R$1,0),"ERROR")</f>
        <v>123</v>
      </c>
      <c r="S87" s="115">
        <f>IFERROR(VLOOKUP($B87,MMWR_APP_STATE_PEN[],S$1,0),"ERROR")</f>
        <v>353</v>
      </c>
      <c r="T87" s="28"/>
    </row>
    <row r="88" spans="1:20" s="123" customFormat="1" x14ac:dyDescent="0.2">
      <c r="A88" s="28"/>
      <c r="B88" s="127" t="s">
        <v>392</v>
      </c>
      <c r="C88" s="109">
        <f>IFERROR(VLOOKUP($B88,MMWR_TRAD_AGG_STATE_PEN[],C$1,0),"ERROR")</f>
        <v>186</v>
      </c>
      <c r="D88" s="110">
        <f>IFERROR(VLOOKUP($B88,MMWR_TRAD_AGG_STATE_PEN[],D$1,0),"ERROR")</f>
        <v>66.865591397800003</v>
      </c>
      <c r="E88" s="111">
        <f>IFERROR(VLOOKUP($B88,MMWR_TRAD_AGG_STATE_PEN[],E$1,0),"ERROR")</f>
        <v>601</v>
      </c>
      <c r="F88" s="112">
        <f>IFERROR(VLOOKUP($B88,MMWR_TRAD_AGG_STATE_PEN[],F$1,0),"ERROR")</f>
        <v>76</v>
      </c>
      <c r="G88" s="113">
        <f t="shared" si="8"/>
        <v>0.12645590682196339</v>
      </c>
      <c r="H88" s="111">
        <f>IFERROR(VLOOKUP($B88,MMWR_TRAD_AGG_STATE_PEN[],H$1,0),"ERROR")</f>
        <v>344</v>
      </c>
      <c r="I88" s="112">
        <f>IFERROR(VLOOKUP($B88,MMWR_TRAD_AGG_STATE_PEN[],I$1,0),"ERROR")</f>
        <v>28</v>
      </c>
      <c r="J88" s="114">
        <f t="shared" si="9"/>
        <v>8.1395348837209308E-2</v>
      </c>
      <c r="K88" s="111">
        <f>IFERROR(VLOOKUP($B88,MMWR_TRAD_AGG_STATE_PEN[],K$1,0),"ERROR")</f>
        <v>3</v>
      </c>
      <c r="L88" s="112">
        <f>IFERROR(VLOOKUP($B88,MMWR_TRAD_AGG_STATE_PEN[],L$1,0),"ERROR")</f>
        <v>3</v>
      </c>
      <c r="M88" s="114">
        <f t="shared" si="10"/>
        <v>1</v>
      </c>
      <c r="N88" s="111">
        <f>IFERROR(VLOOKUP($B88,MMWR_TRAD_AGG_STATE_PEN[],N$1,0),"ERROR")</f>
        <v>36</v>
      </c>
      <c r="O88" s="112">
        <f>IFERROR(VLOOKUP($B88,MMWR_TRAD_AGG_STATE_PEN[],O$1,0),"ERROR")</f>
        <v>16</v>
      </c>
      <c r="P88" s="114">
        <f t="shared" si="11"/>
        <v>0.44444444444444442</v>
      </c>
      <c r="Q88" s="115">
        <f>IFERROR(VLOOKUP($B88,MMWR_TRAD_AGG_STATE_PEN[],Q$1,0),"ERROR")</f>
        <v>58</v>
      </c>
      <c r="R88" s="115">
        <f>IFERROR(VLOOKUP($B88,MMWR_TRAD_AGG_STATE_PEN[],R$1,0),"ERROR")</f>
        <v>67</v>
      </c>
      <c r="S88" s="115">
        <f>IFERROR(VLOOKUP($B88,MMWR_APP_STATE_PEN[],S$1,0),"ERROR")</f>
        <v>188</v>
      </c>
      <c r="T88" s="28"/>
    </row>
    <row r="89" spans="1:20" s="123" customFormat="1" x14ac:dyDescent="0.2">
      <c r="A89" s="28"/>
      <c r="B89" s="127" t="s">
        <v>399</v>
      </c>
      <c r="C89" s="109">
        <f>IFERROR(VLOOKUP($B89,MMWR_TRAD_AGG_STATE_PEN[],C$1,0),"ERROR")</f>
        <v>110</v>
      </c>
      <c r="D89" s="110">
        <f>IFERROR(VLOOKUP($B89,MMWR_TRAD_AGG_STATE_PEN[],D$1,0),"ERROR")</f>
        <v>46.327272727299999</v>
      </c>
      <c r="E89" s="111">
        <f>IFERROR(VLOOKUP($B89,MMWR_TRAD_AGG_STATE_PEN[],E$1,0),"ERROR")</f>
        <v>308</v>
      </c>
      <c r="F89" s="112">
        <f>IFERROR(VLOOKUP($B89,MMWR_TRAD_AGG_STATE_PEN[],F$1,0),"ERROR")</f>
        <v>7</v>
      </c>
      <c r="G89" s="113">
        <f t="shared" si="8"/>
        <v>2.2727272727272728E-2</v>
      </c>
      <c r="H89" s="111">
        <f>IFERROR(VLOOKUP($B89,MMWR_TRAD_AGG_STATE_PEN[],H$1,0),"ERROR")</f>
        <v>162</v>
      </c>
      <c r="I89" s="112">
        <f>IFERROR(VLOOKUP($B89,MMWR_TRAD_AGG_STATE_PEN[],I$1,0),"ERROR")</f>
        <v>3</v>
      </c>
      <c r="J89" s="114">
        <f t="shared" si="9"/>
        <v>1.8518518518518517E-2</v>
      </c>
      <c r="K89" s="111">
        <f>IFERROR(VLOOKUP($B89,MMWR_TRAD_AGG_STATE_PEN[],K$1,0),"ERROR")</f>
        <v>0</v>
      </c>
      <c r="L89" s="112">
        <f>IFERROR(VLOOKUP($B89,MMWR_TRAD_AGG_STATE_PEN[],L$1,0),"ERROR")</f>
        <v>0</v>
      </c>
      <c r="M89" s="114" t="str">
        <f t="shared" si="10"/>
        <v>0%</v>
      </c>
      <c r="N89" s="111">
        <f>IFERROR(VLOOKUP($B89,MMWR_TRAD_AGG_STATE_PEN[],N$1,0),"ERROR")</f>
        <v>7</v>
      </c>
      <c r="O89" s="112">
        <f>IFERROR(VLOOKUP($B89,MMWR_TRAD_AGG_STATE_PEN[],O$1,0),"ERROR")</f>
        <v>1</v>
      </c>
      <c r="P89" s="114">
        <f t="shared" si="11"/>
        <v>0.14285714285714285</v>
      </c>
      <c r="Q89" s="115">
        <f>IFERROR(VLOOKUP($B89,MMWR_TRAD_AGG_STATE_PEN[],Q$1,0),"ERROR")</f>
        <v>286</v>
      </c>
      <c r="R89" s="115">
        <f>IFERROR(VLOOKUP($B89,MMWR_TRAD_AGG_STATE_PEN[],R$1,0),"ERROR")</f>
        <v>17</v>
      </c>
      <c r="S89" s="115">
        <f>IFERROR(VLOOKUP($B89,MMWR_APP_STATE_PEN[],S$1,0),"ERROR")</f>
        <v>31</v>
      </c>
      <c r="T89" s="28"/>
    </row>
    <row r="90" spans="1:20" s="123" customFormat="1" x14ac:dyDescent="0.2">
      <c r="A90" s="28"/>
      <c r="B90" s="127" t="s">
        <v>422</v>
      </c>
      <c r="C90" s="109">
        <f>IFERROR(VLOOKUP($B90,MMWR_TRAD_AGG_STATE_PEN[],C$1,0),"ERROR")</f>
        <v>79</v>
      </c>
      <c r="D90" s="110">
        <f>IFERROR(VLOOKUP($B90,MMWR_TRAD_AGG_STATE_PEN[],D$1,0),"ERROR")</f>
        <v>43.151898734200003</v>
      </c>
      <c r="E90" s="111">
        <f>IFERROR(VLOOKUP($B90,MMWR_TRAD_AGG_STATE_PEN[],E$1,0),"ERROR")</f>
        <v>232</v>
      </c>
      <c r="F90" s="112">
        <f>IFERROR(VLOOKUP($B90,MMWR_TRAD_AGG_STATE_PEN[],F$1,0),"ERROR")</f>
        <v>7</v>
      </c>
      <c r="G90" s="113">
        <f t="shared" si="8"/>
        <v>3.017241379310345E-2</v>
      </c>
      <c r="H90" s="111">
        <f>IFERROR(VLOOKUP($B90,MMWR_TRAD_AGG_STATE_PEN[],H$1,0),"ERROR")</f>
        <v>121</v>
      </c>
      <c r="I90" s="112">
        <f>IFERROR(VLOOKUP($B90,MMWR_TRAD_AGG_STATE_PEN[],I$1,0),"ERROR")</f>
        <v>2</v>
      </c>
      <c r="J90" s="114">
        <f t="shared" si="9"/>
        <v>1.6528925619834711E-2</v>
      </c>
      <c r="K90" s="111">
        <f>IFERROR(VLOOKUP($B90,MMWR_TRAD_AGG_STATE_PEN[],K$1,0),"ERROR")</f>
        <v>1</v>
      </c>
      <c r="L90" s="112">
        <f>IFERROR(VLOOKUP($B90,MMWR_TRAD_AGG_STATE_PEN[],L$1,0),"ERROR")</f>
        <v>1</v>
      </c>
      <c r="M90" s="114">
        <f t="shared" si="10"/>
        <v>1</v>
      </c>
      <c r="N90" s="111">
        <f>IFERROR(VLOOKUP($B90,MMWR_TRAD_AGG_STATE_PEN[],N$1,0),"ERROR")</f>
        <v>4</v>
      </c>
      <c r="O90" s="112">
        <f>IFERROR(VLOOKUP($B90,MMWR_TRAD_AGG_STATE_PEN[],O$1,0),"ERROR")</f>
        <v>1</v>
      </c>
      <c r="P90" s="114">
        <f t="shared" si="11"/>
        <v>0.25</v>
      </c>
      <c r="Q90" s="115">
        <f>IFERROR(VLOOKUP($B90,MMWR_TRAD_AGG_STATE_PEN[],Q$1,0),"ERROR")</f>
        <v>148</v>
      </c>
      <c r="R90" s="115">
        <f>IFERROR(VLOOKUP($B90,MMWR_TRAD_AGG_STATE_PEN[],R$1,0),"ERROR")</f>
        <v>21</v>
      </c>
      <c r="S90" s="115">
        <f>IFERROR(VLOOKUP($B90,MMWR_APP_STATE_PEN[],S$1,0),"ERROR")</f>
        <v>28</v>
      </c>
      <c r="T90" s="28"/>
    </row>
    <row r="91" spans="1:20" s="123" customFormat="1" x14ac:dyDescent="0.2">
      <c r="A91" s="28"/>
      <c r="B91" s="127" t="s">
        <v>395</v>
      </c>
      <c r="C91" s="109">
        <f>IFERROR(VLOOKUP($B91,MMWR_TRAD_AGG_STATE_PEN[],C$1,0),"ERROR")</f>
        <v>375</v>
      </c>
      <c r="D91" s="110">
        <f>IFERROR(VLOOKUP($B91,MMWR_TRAD_AGG_STATE_PEN[],D$1,0),"ERROR")</f>
        <v>55.394666666699997</v>
      </c>
      <c r="E91" s="111">
        <f>IFERROR(VLOOKUP($B91,MMWR_TRAD_AGG_STATE_PEN[],E$1,0),"ERROR")</f>
        <v>1091</v>
      </c>
      <c r="F91" s="112">
        <f>IFERROR(VLOOKUP($B91,MMWR_TRAD_AGG_STATE_PEN[],F$1,0),"ERROR")</f>
        <v>100</v>
      </c>
      <c r="G91" s="113">
        <f t="shared" si="8"/>
        <v>9.1659028414298807E-2</v>
      </c>
      <c r="H91" s="111">
        <f>IFERROR(VLOOKUP($B91,MMWR_TRAD_AGG_STATE_PEN[],H$1,0),"ERROR")</f>
        <v>593</v>
      </c>
      <c r="I91" s="112">
        <f>IFERROR(VLOOKUP($B91,MMWR_TRAD_AGG_STATE_PEN[],I$1,0),"ERROR")</f>
        <v>43</v>
      </c>
      <c r="J91" s="114">
        <f t="shared" si="9"/>
        <v>7.2512647554806076E-2</v>
      </c>
      <c r="K91" s="111">
        <f>IFERROR(VLOOKUP($B91,MMWR_TRAD_AGG_STATE_PEN[],K$1,0),"ERROR")</f>
        <v>1</v>
      </c>
      <c r="L91" s="112">
        <f>IFERROR(VLOOKUP($B91,MMWR_TRAD_AGG_STATE_PEN[],L$1,0),"ERROR")</f>
        <v>1</v>
      </c>
      <c r="M91" s="114">
        <f t="shared" si="10"/>
        <v>1</v>
      </c>
      <c r="N91" s="111">
        <f>IFERROR(VLOOKUP($B91,MMWR_TRAD_AGG_STATE_PEN[],N$1,0),"ERROR")</f>
        <v>54</v>
      </c>
      <c r="O91" s="112">
        <f>IFERROR(VLOOKUP($B91,MMWR_TRAD_AGG_STATE_PEN[],O$1,0),"ERROR")</f>
        <v>8</v>
      </c>
      <c r="P91" s="114">
        <f t="shared" si="11"/>
        <v>0.14814814814814814</v>
      </c>
      <c r="Q91" s="115">
        <f>IFERROR(VLOOKUP($B91,MMWR_TRAD_AGG_STATE_PEN[],Q$1,0),"ERROR")</f>
        <v>92</v>
      </c>
      <c r="R91" s="115">
        <f>IFERROR(VLOOKUP($B91,MMWR_TRAD_AGG_STATE_PEN[],R$1,0),"ERROR")</f>
        <v>83</v>
      </c>
      <c r="S91" s="115">
        <f>IFERROR(VLOOKUP($B91,MMWR_APP_STATE_PEN[],S$1,0),"ERROR")</f>
        <v>262</v>
      </c>
      <c r="T91" s="28"/>
    </row>
    <row r="92" spans="1:20" s="123" customFormat="1" x14ac:dyDescent="0.2">
      <c r="A92" s="28"/>
      <c r="B92" s="127" t="s">
        <v>401</v>
      </c>
      <c r="C92" s="109">
        <f>IFERROR(VLOOKUP($B92,MMWR_TRAD_AGG_STATE_PEN[],C$1,0),"ERROR")</f>
        <v>123</v>
      </c>
      <c r="D92" s="110">
        <f>IFERROR(VLOOKUP($B92,MMWR_TRAD_AGG_STATE_PEN[],D$1,0),"ERROR")</f>
        <v>41.430894308900001</v>
      </c>
      <c r="E92" s="111">
        <f>IFERROR(VLOOKUP($B92,MMWR_TRAD_AGG_STATE_PEN[],E$1,0),"ERROR")</f>
        <v>333</v>
      </c>
      <c r="F92" s="112">
        <f>IFERROR(VLOOKUP($B92,MMWR_TRAD_AGG_STATE_PEN[],F$1,0),"ERROR")</f>
        <v>11</v>
      </c>
      <c r="G92" s="113">
        <f t="shared" si="8"/>
        <v>3.3033033033033031E-2</v>
      </c>
      <c r="H92" s="111">
        <f>IFERROR(VLOOKUP($B92,MMWR_TRAD_AGG_STATE_PEN[],H$1,0),"ERROR")</f>
        <v>185</v>
      </c>
      <c r="I92" s="112">
        <f>IFERROR(VLOOKUP($B92,MMWR_TRAD_AGG_STATE_PEN[],I$1,0),"ERROR")</f>
        <v>4</v>
      </c>
      <c r="J92" s="114">
        <f t="shared" si="9"/>
        <v>2.1621621621621623E-2</v>
      </c>
      <c r="K92" s="111">
        <f>IFERROR(VLOOKUP($B92,MMWR_TRAD_AGG_STATE_PEN[],K$1,0),"ERROR")</f>
        <v>1</v>
      </c>
      <c r="L92" s="112">
        <f>IFERROR(VLOOKUP($B92,MMWR_TRAD_AGG_STATE_PEN[],L$1,0),"ERROR")</f>
        <v>1</v>
      </c>
      <c r="M92" s="114">
        <f t="shared" si="10"/>
        <v>1</v>
      </c>
      <c r="N92" s="111">
        <f>IFERROR(VLOOKUP($B92,MMWR_TRAD_AGG_STATE_PEN[],N$1,0),"ERROR")</f>
        <v>8</v>
      </c>
      <c r="O92" s="112">
        <f>IFERROR(VLOOKUP($B92,MMWR_TRAD_AGG_STATE_PEN[],O$1,0),"ERROR")</f>
        <v>2</v>
      </c>
      <c r="P92" s="114">
        <f t="shared" si="11"/>
        <v>0.25</v>
      </c>
      <c r="Q92" s="115">
        <f>IFERROR(VLOOKUP($B92,MMWR_TRAD_AGG_STATE_PEN[],Q$1,0),"ERROR")</f>
        <v>563</v>
      </c>
      <c r="R92" s="115">
        <f>IFERROR(VLOOKUP($B92,MMWR_TRAD_AGG_STATE_PEN[],R$1,0),"ERROR")</f>
        <v>20</v>
      </c>
      <c r="S92" s="115">
        <f>IFERROR(VLOOKUP($B92,MMWR_APP_STATE_PEN[],S$1,0),"ERROR")</f>
        <v>28</v>
      </c>
      <c r="T92" s="28"/>
    </row>
    <row r="93" spans="1:20" s="123" customFormat="1" x14ac:dyDescent="0.2">
      <c r="A93" s="28"/>
      <c r="B93" s="127" t="s">
        <v>397</v>
      </c>
      <c r="C93" s="109">
        <f>IFERROR(VLOOKUP($B93,MMWR_TRAD_AGG_STATE_PEN[],C$1,0),"ERROR")</f>
        <v>296</v>
      </c>
      <c r="D93" s="110">
        <f>IFERROR(VLOOKUP($B93,MMWR_TRAD_AGG_STATE_PEN[],D$1,0),"ERROR")</f>
        <v>54.986486486499999</v>
      </c>
      <c r="E93" s="111">
        <f>IFERROR(VLOOKUP($B93,MMWR_TRAD_AGG_STATE_PEN[],E$1,0),"ERROR")</f>
        <v>659</v>
      </c>
      <c r="F93" s="112">
        <f>IFERROR(VLOOKUP($B93,MMWR_TRAD_AGG_STATE_PEN[],F$1,0),"ERROR")</f>
        <v>52</v>
      </c>
      <c r="G93" s="113">
        <f t="shared" si="8"/>
        <v>7.8907435508345974E-2</v>
      </c>
      <c r="H93" s="111">
        <f>IFERROR(VLOOKUP($B93,MMWR_TRAD_AGG_STATE_PEN[],H$1,0),"ERROR")</f>
        <v>494</v>
      </c>
      <c r="I93" s="112">
        <f>IFERROR(VLOOKUP($B93,MMWR_TRAD_AGG_STATE_PEN[],I$1,0),"ERROR")</f>
        <v>33</v>
      </c>
      <c r="J93" s="114">
        <f t="shared" si="9"/>
        <v>6.6801619433198386E-2</v>
      </c>
      <c r="K93" s="111">
        <f>IFERROR(VLOOKUP($B93,MMWR_TRAD_AGG_STATE_PEN[],K$1,0),"ERROR")</f>
        <v>2</v>
      </c>
      <c r="L93" s="112">
        <f>IFERROR(VLOOKUP($B93,MMWR_TRAD_AGG_STATE_PEN[],L$1,0),"ERROR")</f>
        <v>1</v>
      </c>
      <c r="M93" s="114">
        <f t="shared" si="10"/>
        <v>0.5</v>
      </c>
      <c r="N93" s="111">
        <f>IFERROR(VLOOKUP($B93,MMWR_TRAD_AGG_STATE_PEN[],N$1,0),"ERROR")</f>
        <v>36</v>
      </c>
      <c r="O93" s="112">
        <f>IFERROR(VLOOKUP($B93,MMWR_TRAD_AGG_STATE_PEN[],O$1,0),"ERROR")</f>
        <v>11</v>
      </c>
      <c r="P93" s="114">
        <f t="shared" si="11"/>
        <v>0.30555555555555558</v>
      </c>
      <c r="Q93" s="115">
        <f>IFERROR(VLOOKUP($B93,MMWR_TRAD_AGG_STATE_PEN[],Q$1,0),"ERROR")</f>
        <v>95</v>
      </c>
      <c r="R93" s="115">
        <f>IFERROR(VLOOKUP($B93,MMWR_TRAD_AGG_STATE_PEN[],R$1,0),"ERROR")</f>
        <v>46</v>
      </c>
      <c r="S93" s="115">
        <f>IFERROR(VLOOKUP($B93,MMWR_APP_STATE_PEN[],S$1,0),"ERROR")</f>
        <v>219</v>
      </c>
      <c r="T93" s="28"/>
    </row>
    <row r="94" spans="1:20" s="123" customFormat="1" x14ac:dyDescent="0.2">
      <c r="A94" s="28"/>
      <c r="B94" s="127" t="s">
        <v>400</v>
      </c>
      <c r="C94" s="109">
        <f>IFERROR(VLOOKUP($B94,MMWR_TRAD_AGG_STATE_PEN[],C$1,0),"ERROR")</f>
        <v>30</v>
      </c>
      <c r="D94" s="110">
        <f>IFERROR(VLOOKUP($B94,MMWR_TRAD_AGG_STATE_PEN[],D$1,0),"ERROR")</f>
        <v>36.266666666699997</v>
      </c>
      <c r="E94" s="111">
        <f>IFERROR(VLOOKUP($B94,MMWR_TRAD_AGG_STATE_PEN[],E$1,0),"ERROR")</f>
        <v>80</v>
      </c>
      <c r="F94" s="112">
        <f>IFERROR(VLOOKUP($B94,MMWR_TRAD_AGG_STATE_PEN[],F$1,0),"ERROR")</f>
        <v>6</v>
      </c>
      <c r="G94" s="113">
        <f t="shared" si="8"/>
        <v>7.4999999999999997E-2</v>
      </c>
      <c r="H94" s="111">
        <f>IFERROR(VLOOKUP($B94,MMWR_TRAD_AGG_STATE_PEN[],H$1,0),"ERROR")</f>
        <v>51</v>
      </c>
      <c r="I94" s="112">
        <f>IFERROR(VLOOKUP($B94,MMWR_TRAD_AGG_STATE_PEN[],I$1,0),"ERROR")</f>
        <v>1</v>
      </c>
      <c r="J94" s="114">
        <f t="shared" si="9"/>
        <v>1.9607843137254902E-2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1</v>
      </c>
      <c r="P94" s="114">
        <f t="shared" si="11"/>
        <v>0.5</v>
      </c>
      <c r="Q94" s="115">
        <f>IFERROR(VLOOKUP($B94,MMWR_TRAD_AGG_STATE_PEN[],Q$1,0),"ERROR")</f>
        <v>169</v>
      </c>
      <c r="R94" s="115">
        <f>IFERROR(VLOOKUP($B94,MMWR_TRAD_AGG_STATE_PEN[],R$1,0),"ERROR")</f>
        <v>9</v>
      </c>
      <c r="S94" s="115">
        <f>IFERROR(VLOOKUP($B94,MMWR_APP_STATE_PEN[],S$1,0),"ERROR")</f>
        <v>26</v>
      </c>
      <c r="T94" s="28"/>
    </row>
    <row r="95" spans="1:20" s="123" customFormat="1" x14ac:dyDescent="0.2">
      <c r="A95" s="28"/>
      <c r="B95" s="127" t="s">
        <v>419</v>
      </c>
      <c r="C95" s="109">
        <f>IFERROR(VLOOKUP($B95,MMWR_TRAD_AGG_STATE_PEN[],C$1,0),"ERROR")</f>
        <v>13</v>
      </c>
      <c r="D95" s="110">
        <f>IFERROR(VLOOKUP($B95,MMWR_TRAD_AGG_STATE_PEN[],D$1,0),"ERROR")</f>
        <v>28.923076923099998</v>
      </c>
      <c r="E95" s="111">
        <f>IFERROR(VLOOKUP($B95,MMWR_TRAD_AGG_STATE_PEN[],E$1,0),"ERROR")</f>
        <v>56</v>
      </c>
      <c r="F95" s="112">
        <f>IFERROR(VLOOKUP($B95,MMWR_TRAD_AGG_STATE_PEN[],F$1,0),"ERROR")</f>
        <v>2</v>
      </c>
      <c r="G95" s="113">
        <f t="shared" si="8"/>
        <v>3.5714285714285712E-2</v>
      </c>
      <c r="H95" s="111">
        <f>IFERROR(VLOOKUP($B95,MMWR_TRAD_AGG_STATE_PEN[],H$1,0),"ERROR")</f>
        <v>21</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1</v>
      </c>
      <c r="O95" s="112">
        <f>IFERROR(VLOOKUP($B95,MMWR_TRAD_AGG_STATE_PEN[],O$1,0),"ERROR")</f>
        <v>0</v>
      </c>
      <c r="P95" s="114">
        <f t="shared" si="11"/>
        <v>0</v>
      </c>
      <c r="Q95" s="115">
        <f>IFERROR(VLOOKUP($B95,MMWR_TRAD_AGG_STATE_PEN[],Q$1,0),"ERROR")</f>
        <v>57</v>
      </c>
      <c r="R95" s="115">
        <f>IFERROR(VLOOKUP($B95,MMWR_TRAD_AGG_STATE_PEN[],R$1,0),"ERROR")</f>
        <v>3</v>
      </c>
      <c r="S95" s="115">
        <f>IFERROR(VLOOKUP($B95,MMWR_APP_STATE_PEN[],S$1,0),"ERROR")</f>
        <v>9</v>
      </c>
      <c r="T95" s="28"/>
    </row>
    <row r="96" spans="1:20" s="123" customFormat="1" x14ac:dyDescent="0.2">
      <c r="A96" s="28"/>
      <c r="B96" s="127" t="s">
        <v>391</v>
      </c>
      <c r="C96" s="109">
        <f>IFERROR(VLOOKUP($B96,MMWR_TRAD_AGG_STATE_PEN[],C$1,0),"ERROR")</f>
        <v>421</v>
      </c>
      <c r="D96" s="110">
        <f>IFERROR(VLOOKUP($B96,MMWR_TRAD_AGG_STATE_PEN[],D$1,0),"ERROR")</f>
        <v>59.691211401399997</v>
      </c>
      <c r="E96" s="111">
        <f>IFERROR(VLOOKUP($B96,MMWR_TRAD_AGG_STATE_PEN[],E$1,0),"ERROR")</f>
        <v>1269</v>
      </c>
      <c r="F96" s="112">
        <f>IFERROR(VLOOKUP($B96,MMWR_TRAD_AGG_STATE_PEN[],F$1,0),"ERROR")</f>
        <v>124</v>
      </c>
      <c r="G96" s="113">
        <f t="shared" si="8"/>
        <v>9.7714736012608355E-2</v>
      </c>
      <c r="H96" s="111">
        <f>IFERROR(VLOOKUP($B96,MMWR_TRAD_AGG_STATE_PEN[],H$1,0),"ERROR")</f>
        <v>752</v>
      </c>
      <c r="I96" s="112">
        <f>IFERROR(VLOOKUP($B96,MMWR_TRAD_AGG_STATE_PEN[],I$1,0),"ERROR")</f>
        <v>56</v>
      </c>
      <c r="J96" s="114">
        <f t="shared" si="9"/>
        <v>7.4468085106382975E-2</v>
      </c>
      <c r="K96" s="111">
        <f>IFERROR(VLOOKUP($B96,MMWR_TRAD_AGG_STATE_PEN[],K$1,0),"ERROR")</f>
        <v>8</v>
      </c>
      <c r="L96" s="112">
        <f>IFERROR(VLOOKUP($B96,MMWR_TRAD_AGG_STATE_PEN[],L$1,0),"ERROR")</f>
        <v>3</v>
      </c>
      <c r="M96" s="114">
        <f t="shared" si="10"/>
        <v>0.375</v>
      </c>
      <c r="N96" s="111">
        <f>IFERROR(VLOOKUP($B96,MMWR_TRAD_AGG_STATE_PEN[],N$1,0),"ERROR")</f>
        <v>51</v>
      </c>
      <c r="O96" s="112">
        <f>IFERROR(VLOOKUP($B96,MMWR_TRAD_AGG_STATE_PEN[],O$1,0),"ERROR")</f>
        <v>10</v>
      </c>
      <c r="P96" s="114">
        <f t="shared" si="11"/>
        <v>0.19607843137254902</v>
      </c>
      <c r="Q96" s="115">
        <f>IFERROR(VLOOKUP($B96,MMWR_TRAD_AGG_STATE_PEN[],Q$1,0),"ERROR")</f>
        <v>124</v>
      </c>
      <c r="R96" s="115">
        <f>IFERROR(VLOOKUP($B96,MMWR_TRAD_AGG_STATE_PEN[],R$1,0),"ERROR")</f>
        <v>115</v>
      </c>
      <c r="S96" s="115">
        <f>IFERROR(VLOOKUP($B96,MMWR_APP_STATE_PEN[],S$1,0),"ERROR")</f>
        <v>401</v>
      </c>
      <c r="T96" s="28"/>
    </row>
    <row r="97" spans="1:20" s="123" customFormat="1" x14ac:dyDescent="0.2">
      <c r="A97" s="28"/>
      <c r="B97" s="127" t="s">
        <v>420</v>
      </c>
      <c r="C97" s="109">
        <f>IFERROR(VLOOKUP($B97,MMWR_TRAD_AGG_STATE_PEN[],C$1,0),"ERROR")</f>
        <v>26</v>
      </c>
      <c r="D97" s="110">
        <f>IFERROR(VLOOKUP($B97,MMWR_TRAD_AGG_STATE_PEN[],D$1,0),"ERROR")</f>
        <v>45.884615384600004</v>
      </c>
      <c r="E97" s="111">
        <f>IFERROR(VLOOKUP($B97,MMWR_TRAD_AGG_STATE_PEN[],E$1,0),"ERROR")</f>
        <v>45</v>
      </c>
      <c r="F97" s="112">
        <f>IFERROR(VLOOKUP($B97,MMWR_TRAD_AGG_STATE_PEN[],F$1,0),"ERROR")</f>
        <v>1</v>
      </c>
      <c r="G97" s="113">
        <f t="shared" si="8"/>
        <v>2.2222222222222223E-2</v>
      </c>
      <c r="H97" s="111">
        <f>IFERROR(VLOOKUP($B97,MMWR_TRAD_AGG_STATE_PEN[],H$1,0),"ERROR")</f>
        <v>40</v>
      </c>
      <c r="I97" s="112">
        <f>IFERROR(VLOOKUP($B97,MMWR_TRAD_AGG_STATE_PEN[],I$1,0),"ERROR")</f>
        <v>3</v>
      </c>
      <c r="J97" s="114">
        <f t="shared" si="9"/>
        <v>7.4999999999999997E-2</v>
      </c>
      <c r="K97" s="111">
        <f>IFERROR(VLOOKUP($B97,MMWR_TRAD_AGG_STATE_PEN[],K$1,0),"ERROR")</f>
        <v>0</v>
      </c>
      <c r="L97" s="112">
        <f>IFERROR(VLOOKUP($B97,MMWR_TRAD_AGG_STATE_PEN[],L$1,0),"ERROR")</f>
        <v>0</v>
      </c>
      <c r="M97" s="114" t="str">
        <f t="shared" si="10"/>
        <v>0%</v>
      </c>
      <c r="N97" s="111">
        <f>IFERROR(VLOOKUP($B97,MMWR_TRAD_AGG_STATE_PEN[],N$1,0),"ERROR")</f>
        <v>0</v>
      </c>
      <c r="O97" s="112">
        <f>IFERROR(VLOOKUP($B97,MMWR_TRAD_AGG_STATE_PEN[],O$1,0),"ERROR")</f>
        <v>0</v>
      </c>
      <c r="P97" s="114" t="str">
        <f t="shared" si="11"/>
        <v>0%</v>
      </c>
      <c r="Q97" s="115">
        <f>IFERROR(VLOOKUP($B97,MMWR_TRAD_AGG_STATE_PEN[],Q$1,0),"ERROR")</f>
        <v>93</v>
      </c>
      <c r="R97" s="115">
        <f>IFERROR(VLOOKUP($B97,MMWR_TRAD_AGG_STATE_PEN[],R$1,0),"ERROR")</f>
        <v>2</v>
      </c>
      <c r="S97" s="115">
        <f>IFERROR(VLOOKUP($B97,MMWR_APP_STATE_PEN[],S$1,0),"ERROR")</f>
        <v>9</v>
      </c>
      <c r="T97" s="28"/>
    </row>
    <row r="98" spans="1:20" s="123" customFormat="1" x14ac:dyDescent="0.2">
      <c r="A98" s="28"/>
      <c r="B98" s="127" t="s">
        <v>396</v>
      </c>
      <c r="C98" s="109">
        <f>IFERROR(VLOOKUP($B98,MMWR_TRAD_AGG_STATE_PEN[],C$1,0),"ERROR")</f>
        <v>180</v>
      </c>
      <c r="D98" s="110">
        <f>IFERROR(VLOOKUP($B98,MMWR_TRAD_AGG_STATE_PEN[],D$1,0),"ERROR")</f>
        <v>49.2</v>
      </c>
      <c r="E98" s="111">
        <f>IFERROR(VLOOKUP($B98,MMWR_TRAD_AGG_STATE_PEN[],E$1,0),"ERROR")</f>
        <v>398</v>
      </c>
      <c r="F98" s="112">
        <f>IFERROR(VLOOKUP($B98,MMWR_TRAD_AGG_STATE_PEN[],F$1,0),"ERROR")</f>
        <v>24</v>
      </c>
      <c r="G98" s="113">
        <f t="shared" si="8"/>
        <v>6.030150753768844E-2</v>
      </c>
      <c r="H98" s="111">
        <f>IFERROR(VLOOKUP($B98,MMWR_TRAD_AGG_STATE_PEN[],H$1,0),"ERROR")</f>
        <v>304</v>
      </c>
      <c r="I98" s="112">
        <f>IFERROR(VLOOKUP($B98,MMWR_TRAD_AGG_STATE_PEN[],I$1,0),"ERROR")</f>
        <v>13</v>
      </c>
      <c r="J98" s="114">
        <f t="shared" si="9"/>
        <v>4.2763157894736843E-2</v>
      </c>
      <c r="K98" s="111">
        <f>IFERROR(VLOOKUP($B98,MMWR_TRAD_AGG_STATE_PEN[],K$1,0),"ERROR")</f>
        <v>1</v>
      </c>
      <c r="L98" s="112">
        <f>IFERROR(VLOOKUP($B98,MMWR_TRAD_AGG_STATE_PEN[],L$1,0),"ERROR")</f>
        <v>0</v>
      </c>
      <c r="M98" s="114">
        <f t="shared" si="10"/>
        <v>0</v>
      </c>
      <c r="N98" s="111">
        <f>IFERROR(VLOOKUP($B98,MMWR_TRAD_AGG_STATE_PEN[],N$1,0),"ERROR")</f>
        <v>30</v>
      </c>
      <c r="O98" s="112">
        <f>IFERROR(VLOOKUP($B98,MMWR_TRAD_AGG_STATE_PEN[],O$1,0),"ERROR")</f>
        <v>9</v>
      </c>
      <c r="P98" s="114">
        <f t="shared" si="11"/>
        <v>0.3</v>
      </c>
      <c r="Q98" s="115">
        <f>IFERROR(VLOOKUP($B98,MMWR_TRAD_AGG_STATE_PEN[],Q$1,0),"ERROR")</f>
        <v>60</v>
      </c>
      <c r="R98" s="115">
        <f>IFERROR(VLOOKUP($B98,MMWR_TRAD_AGG_STATE_PEN[],R$1,0),"ERROR")</f>
        <v>27</v>
      </c>
      <c r="S98" s="115">
        <f>IFERROR(VLOOKUP($B98,MMWR_APP_STATE_PEN[],S$1,0),"ERROR")</f>
        <v>95</v>
      </c>
      <c r="T98" s="28"/>
    </row>
    <row r="99" spans="1:20" s="123" customFormat="1" x14ac:dyDescent="0.2">
      <c r="A99" s="28"/>
      <c r="B99" s="126" t="s">
        <v>385</v>
      </c>
      <c r="C99" s="102">
        <f>IFERROR(VLOOKUP($B99,MMWR_TRAD_AGG_ST_DISTRICT_PEN[],C$1,0),"ERROR")</f>
        <v>1431</v>
      </c>
      <c r="D99" s="103">
        <f>IFERROR(VLOOKUP($B99,MMWR_TRAD_AGG_ST_DISTRICT_PEN[],D$1,0),"ERROR")</f>
        <v>49.800838574399997</v>
      </c>
      <c r="E99" s="102">
        <f>IFERROR(VLOOKUP($B99,MMWR_TRAD_AGG_ST_DISTRICT_PEN[],E$1,0),"ERROR")</f>
        <v>3356</v>
      </c>
      <c r="F99" s="102">
        <f>IFERROR(VLOOKUP($B99,MMWR_TRAD_AGG_ST_DISTRICT_PEN[],F$1,0),"ERROR")</f>
        <v>151</v>
      </c>
      <c r="G99" s="104">
        <f t="shared" si="8"/>
        <v>4.499404052443385E-2</v>
      </c>
      <c r="H99" s="102">
        <f>IFERROR(VLOOKUP($B99,MMWR_TRAD_AGG_ST_DISTRICT_PEN[],H$1,0),"ERROR")</f>
        <v>2335</v>
      </c>
      <c r="I99" s="102">
        <f>IFERROR(VLOOKUP($B99,MMWR_TRAD_AGG_ST_DISTRICT_PEN[],I$1,0),"ERROR")</f>
        <v>152</v>
      </c>
      <c r="J99" s="104">
        <f t="shared" si="9"/>
        <v>6.5096359743040691E-2</v>
      </c>
      <c r="K99" s="102">
        <f>IFERROR(VLOOKUP($B99,MMWR_TRAD_AGG_ST_DISTRICT_PEN[],K$1,0),"ERROR")</f>
        <v>23</v>
      </c>
      <c r="L99" s="102">
        <f>IFERROR(VLOOKUP($B99,MMWR_TRAD_AGG_ST_DISTRICT_PEN[],L$1,0),"ERROR")</f>
        <v>19</v>
      </c>
      <c r="M99" s="104">
        <f t="shared" si="10"/>
        <v>0.82608695652173914</v>
      </c>
      <c r="N99" s="102">
        <f>IFERROR(VLOOKUP($B99,MMWR_TRAD_AGG_ST_DISTRICT_PEN[],N$1,0),"ERROR")</f>
        <v>182</v>
      </c>
      <c r="O99" s="102">
        <f>IFERROR(VLOOKUP($B99,MMWR_TRAD_AGG_ST_DISTRICT_PEN[],O$1,0),"ERROR")</f>
        <v>63</v>
      </c>
      <c r="P99" s="104">
        <f t="shared" si="11"/>
        <v>0.34615384615384615</v>
      </c>
      <c r="Q99" s="102">
        <f>IFERROR(VLOOKUP($B99,MMWR_TRAD_AGG_ST_DISTRICT_PEN[],Q$1,0),"ERROR")</f>
        <v>2399</v>
      </c>
      <c r="R99" s="106">
        <f>IFERROR(VLOOKUP($B99,MMWR_TRAD_AGG_ST_DISTRICT_PEN[],R$1,0),"ERROR")</f>
        <v>431</v>
      </c>
      <c r="S99" s="106">
        <f>IFERROR(VLOOKUP($B99,MMWR_APP_STATE_PEN[],S$1,0),"ERROR")</f>
        <v>1558</v>
      </c>
      <c r="T99" s="28"/>
    </row>
    <row r="100" spans="1:20" s="123" customFormat="1" x14ac:dyDescent="0.2">
      <c r="A100" s="28"/>
      <c r="B100" s="127" t="s">
        <v>411</v>
      </c>
      <c r="C100" s="109">
        <f>IFERROR(VLOOKUP($B100,MMWR_TRAD_AGG_STATE_PEN[],C$1,0),"ERROR")</f>
        <v>147</v>
      </c>
      <c r="D100" s="110">
        <f>IFERROR(VLOOKUP($B100,MMWR_TRAD_AGG_STATE_PEN[],D$1,0),"ERROR")</f>
        <v>52.857142857100001</v>
      </c>
      <c r="E100" s="111">
        <f>IFERROR(VLOOKUP($B100,MMWR_TRAD_AGG_STATE_PEN[],E$1,0),"ERROR")</f>
        <v>273</v>
      </c>
      <c r="F100" s="112">
        <f>IFERROR(VLOOKUP($B100,MMWR_TRAD_AGG_STATE_PEN[],F$1,0),"ERROR")</f>
        <v>27</v>
      </c>
      <c r="G100" s="113">
        <f t="shared" si="8"/>
        <v>9.8901098901098897E-2</v>
      </c>
      <c r="H100" s="111">
        <f>IFERROR(VLOOKUP($B100,MMWR_TRAD_AGG_STATE_PEN[],H$1,0),"ERROR")</f>
        <v>250</v>
      </c>
      <c r="I100" s="112">
        <f>IFERROR(VLOOKUP($B100,MMWR_TRAD_AGG_STATE_PEN[],I$1,0),"ERROR")</f>
        <v>19</v>
      </c>
      <c r="J100" s="114">
        <f t="shared" si="9"/>
        <v>7.5999999999999998E-2</v>
      </c>
      <c r="K100" s="111">
        <f>IFERROR(VLOOKUP($B100,MMWR_TRAD_AGG_STATE_PEN[],K$1,0),"ERROR")</f>
        <v>5</v>
      </c>
      <c r="L100" s="112">
        <f>IFERROR(VLOOKUP($B100,MMWR_TRAD_AGG_STATE_PEN[],L$1,0),"ERROR")</f>
        <v>4</v>
      </c>
      <c r="M100" s="114">
        <f t="shared" si="10"/>
        <v>0.8</v>
      </c>
      <c r="N100" s="111">
        <f>IFERROR(VLOOKUP($B100,MMWR_TRAD_AGG_STATE_PEN[],N$1,0),"ERROR")</f>
        <v>18</v>
      </c>
      <c r="O100" s="112">
        <f>IFERROR(VLOOKUP($B100,MMWR_TRAD_AGG_STATE_PEN[],O$1,0),"ERROR")</f>
        <v>3</v>
      </c>
      <c r="P100" s="114">
        <f t="shared" si="11"/>
        <v>0.16666666666666666</v>
      </c>
      <c r="Q100" s="115">
        <f>IFERROR(VLOOKUP($B100,MMWR_TRAD_AGG_STATE_PEN[],Q$1,0),"ERROR")</f>
        <v>68</v>
      </c>
      <c r="R100" s="115">
        <f>IFERROR(VLOOKUP($B100,MMWR_TRAD_AGG_STATE_PEN[],R$1,0),"ERROR")</f>
        <v>28</v>
      </c>
      <c r="S100" s="115">
        <f>IFERROR(VLOOKUP($B100,MMWR_APP_STATE_PEN[],S$1,0),"ERROR")</f>
        <v>185</v>
      </c>
      <c r="T100" s="28"/>
    </row>
    <row r="101" spans="1:20" s="123" customFormat="1" x14ac:dyDescent="0.2">
      <c r="A101" s="28"/>
      <c r="B101" s="127" t="s">
        <v>403</v>
      </c>
      <c r="C101" s="109">
        <f>IFERROR(VLOOKUP($B101,MMWR_TRAD_AGG_STATE_PEN[],C$1,0),"ERROR")</f>
        <v>115</v>
      </c>
      <c r="D101" s="110">
        <f>IFERROR(VLOOKUP($B101,MMWR_TRAD_AGG_STATE_PEN[],D$1,0),"ERROR")</f>
        <v>43.765217391299998</v>
      </c>
      <c r="E101" s="111">
        <f>IFERROR(VLOOKUP($B101,MMWR_TRAD_AGG_STATE_PEN[],E$1,0),"ERROR")</f>
        <v>228</v>
      </c>
      <c r="F101" s="112">
        <f>IFERROR(VLOOKUP($B101,MMWR_TRAD_AGG_STATE_PEN[],F$1,0),"ERROR")</f>
        <v>9</v>
      </c>
      <c r="G101" s="113">
        <f t="shared" ref="G101:G127" si="12">IFERROR(F101/E101,"0%")</f>
        <v>3.9473684210526314E-2</v>
      </c>
      <c r="H101" s="111">
        <f>IFERROR(VLOOKUP($B101,MMWR_TRAD_AGG_STATE_PEN[],H$1,0),"ERROR")</f>
        <v>164</v>
      </c>
      <c r="I101" s="112">
        <f>IFERROR(VLOOKUP($B101,MMWR_TRAD_AGG_STATE_PEN[],I$1,0),"ERROR")</f>
        <v>10</v>
      </c>
      <c r="J101" s="114">
        <f t="shared" ref="J101:J127" si="13">IFERROR(I101/H101,"0%")</f>
        <v>6.097560975609756E-2</v>
      </c>
      <c r="K101" s="111">
        <f>IFERROR(VLOOKUP($B101,MMWR_TRAD_AGG_STATE_PEN[],K$1,0),"ERROR")</f>
        <v>1</v>
      </c>
      <c r="L101" s="112">
        <f>IFERROR(VLOOKUP($B101,MMWR_TRAD_AGG_STATE_PEN[],L$1,0),"ERROR")</f>
        <v>1</v>
      </c>
      <c r="M101" s="114">
        <f t="shared" ref="M101:M127" si="14">IFERROR(L101/K101,"0%")</f>
        <v>1</v>
      </c>
      <c r="N101" s="111">
        <f>IFERROR(VLOOKUP($B101,MMWR_TRAD_AGG_STATE_PEN[],N$1,0),"ERROR")</f>
        <v>18</v>
      </c>
      <c r="O101" s="112">
        <f>IFERROR(VLOOKUP($B101,MMWR_TRAD_AGG_STATE_PEN[],O$1,0),"ERROR")</f>
        <v>11</v>
      </c>
      <c r="P101" s="114">
        <f t="shared" ref="P101:P127" si="15">IFERROR(O101/N101,"0%")</f>
        <v>0.61111111111111116</v>
      </c>
      <c r="Q101" s="115">
        <f>IFERROR(VLOOKUP($B101,MMWR_TRAD_AGG_STATE_PEN[],Q$1,0),"ERROR")</f>
        <v>263</v>
      </c>
      <c r="R101" s="115">
        <f>IFERROR(VLOOKUP($B101,MMWR_TRAD_AGG_STATE_PEN[],R$1,0),"ERROR")</f>
        <v>32</v>
      </c>
      <c r="S101" s="115">
        <f>IFERROR(VLOOKUP($B101,MMWR_APP_STATE_PEN[],S$1,0),"ERROR")</f>
        <v>117</v>
      </c>
      <c r="T101" s="28"/>
    </row>
    <row r="102" spans="1:20" s="123" customFormat="1" x14ac:dyDescent="0.2">
      <c r="A102" s="28"/>
      <c r="B102" s="127" t="s">
        <v>387</v>
      </c>
      <c r="C102" s="109">
        <f>IFERROR(VLOOKUP($B102,MMWR_TRAD_AGG_STATE_PEN[],C$1,0),"ERROR")</f>
        <v>234</v>
      </c>
      <c r="D102" s="110">
        <f>IFERROR(VLOOKUP($B102,MMWR_TRAD_AGG_STATE_PEN[],D$1,0),"ERROR")</f>
        <v>63.431623931600001</v>
      </c>
      <c r="E102" s="111">
        <f>IFERROR(VLOOKUP($B102,MMWR_TRAD_AGG_STATE_PEN[],E$1,0),"ERROR")</f>
        <v>465</v>
      </c>
      <c r="F102" s="112">
        <f>IFERROR(VLOOKUP($B102,MMWR_TRAD_AGG_STATE_PEN[],F$1,0),"ERROR")</f>
        <v>30</v>
      </c>
      <c r="G102" s="113">
        <f t="shared" si="12"/>
        <v>6.4516129032258063E-2</v>
      </c>
      <c r="H102" s="111">
        <f>IFERROR(VLOOKUP($B102,MMWR_TRAD_AGG_STATE_PEN[],H$1,0),"ERROR")</f>
        <v>353</v>
      </c>
      <c r="I102" s="112">
        <f>IFERROR(VLOOKUP($B102,MMWR_TRAD_AGG_STATE_PEN[],I$1,0),"ERROR")</f>
        <v>30</v>
      </c>
      <c r="J102" s="114">
        <f t="shared" si="13"/>
        <v>8.4985835694050993E-2</v>
      </c>
      <c r="K102" s="111">
        <f>IFERROR(VLOOKUP($B102,MMWR_TRAD_AGG_STATE_PEN[],K$1,0),"ERROR")</f>
        <v>2</v>
      </c>
      <c r="L102" s="112">
        <f>IFERROR(VLOOKUP($B102,MMWR_TRAD_AGG_STATE_PEN[],L$1,0),"ERROR")</f>
        <v>1</v>
      </c>
      <c r="M102" s="114">
        <f t="shared" si="14"/>
        <v>0.5</v>
      </c>
      <c r="N102" s="111">
        <f>IFERROR(VLOOKUP($B102,MMWR_TRAD_AGG_STATE_PEN[],N$1,0),"ERROR")</f>
        <v>26</v>
      </c>
      <c r="O102" s="112">
        <f>IFERROR(VLOOKUP($B102,MMWR_TRAD_AGG_STATE_PEN[],O$1,0),"ERROR")</f>
        <v>3</v>
      </c>
      <c r="P102" s="114">
        <f t="shared" si="15"/>
        <v>0.11538461538461539</v>
      </c>
      <c r="Q102" s="115">
        <f>IFERROR(VLOOKUP($B102,MMWR_TRAD_AGG_STATE_PEN[],Q$1,0),"ERROR")</f>
        <v>74</v>
      </c>
      <c r="R102" s="115">
        <f>IFERROR(VLOOKUP($B102,MMWR_TRAD_AGG_STATE_PEN[],R$1,0),"ERROR")</f>
        <v>70</v>
      </c>
      <c r="S102" s="115">
        <f>IFERROR(VLOOKUP($B102,MMWR_APP_STATE_PEN[],S$1,0),"ERROR")</f>
        <v>200</v>
      </c>
      <c r="T102" s="28"/>
    </row>
    <row r="103" spans="1:20" s="123" customFormat="1" x14ac:dyDescent="0.2">
      <c r="A103" s="28"/>
      <c r="B103" s="127" t="s">
        <v>389</v>
      </c>
      <c r="C103" s="109">
        <f>IFERROR(VLOOKUP($B103,MMWR_TRAD_AGG_STATE_PEN[],C$1,0),"ERROR")</f>
        <v>140</v>
      </c>
      <c r="D103" s="110">
        <f>IFERROR(VLOOKUP($B103,MMWR_TRAD_AGG_STATE_PEN[],D$1,0),"ERROR")</f>
        <v>54.871428571400003</v>
      </c>
      <c r="E103" s="111">
        <f>IFERROR(VLOOKUP($B103,MMWR_TRAD_AGG_STATE_PEN[],E$1,0),"ERROR")</f>
        <v>320</v>
      </c>
      <c r="F103" s="112">
        <f>IFERROR(VLOOKUP($B103,MMWR_TRAD_AGG_STATE_PEN[],F$1,0),"ERROR")</f>
        <v>28</v>
      </c>
      <c r="G103" s="113">
        <f t="shared" si="12"/>
        <v>8.7499999999999994E-2</v>
      </c>
      <c r="H103" s="111">
        <f>IFERROR(VLOOKUP($B103,MMWR_TRAD_AGG_STATE_PEN[],H$1,0),"ERROR")</f>
        <v>235</v>
      </c>
      <c r="I103" s="112">
        <f>IFERROR(VLOOKUP($B103,MMWR_TRAD_AGG_STATE_PEN[],I$1,0),"ERROR")</f>
        <v>23</v>
      </c>
      <c r="J103" s="114">
        <f t="shared" si="13"/>
        <v>9.7872340425531917E-2</v>
      </c>
      <c r="K103" s="111">
        <f>IFERROR(VLOOKUP($B103,MMWR_TRAD_AGG_STATE_PEN[],K$1,0),"ERROR")</f>
        <v>3</v>
      </c>
      <c r="L103" s="112">
        <f>IFERROR(VLOOKUP($B103,MMWR_TRAD_AGG_STATE_PEN[],L$1,0),"ERROR")</f>
        <v>3</v>
      </c>
      <c r="M103" s="114">
        <f t="shared" si="14"/>
        <v>1</v>
      </c>
      <c r="N103" s="111">
        <f>IFERROR(VLOOKUP($B103,MMWR_TRAD_AGG_STATE_PEN[],N$1,0),"ERROR")</f>
        <v>40</v>
      </c>
      <c r="O103" s="112">
        <f>IFERROR(VLOOKUP($B103,MMWR_TRAD_AGG_STATE_PEN[],O$1,0),"ERROR")</f>
        <v>6</v>
      </c>
      <c r="P103" s="114">
        <f t="shared" si="15"/>
        <v>0.15</v>
      </c>
      <c r="Q103" s="115">
        <f>IFERROR(VLOOKUP($B103,MMWR_TRAD_AGG_STATE_PEN[],Q$1,0),"ERROR")</f>
        <v>78</v>
      </c>
      <c r="R103" s="115">
        <f>IFERROR(VLOOKUP($B103,MMWR_TRAD_AGG_STATE_PEN[],R$1,0),"ERROR")</f>
        <v>23</v>
      </c>
      <c r="S103" s="115">
        <f>IFERROR(VLOOKUP($B103,MMWR_APP_STATE_PEN[],S$1,0),"ERROR")</f>
        <v>172</v>
      </c>
      <c r="T103" s="28"/>
    </row>
    <row r="104" spans="1:20" s="123" customFormat="1" x14ac:dyDescent="0.2">
      <c r="A104" s="28"/>
      <c r="B104" s="127" t="s">
        <v>418</v>
      </c>
      <c r="C104" s="109">
        <f>IFERROR(VLOOKUP($B104,MMWR_TRAD_AGG_STATE_PEN[],C$1,0),"ERROR")</f>
        <v>28</v>
      </c>
      <c r="D104" s="110">
        <f>IFERROR(VLOOKUP($B104,MMWR_TRAD_AGG_STATE_PEN[],D$1,0),"ERROR")</f>
        <v>43.5</v>
      </c>
      <c r="E104" s="111">
        <f>IFERROR(VLOOKUP($B104,MMWR_TRAD_AGG_STATE_PEN[],E$1,0),"ERROR")</f>
        <v>81</v>
      </c>
      <c r="F104" s="112">
        <f>IFERROR(VLOOKUP($B104,MMWR_TRAD_AGG_STATE_PEN[],F$1,0),"ERROR")</f>
        <v>4</v>
      </c>
      <c r="G104" s="113">
        <f t="shared" si="12"/>
        <v>4.9382716049382713E-2</v>
      </c>
      <c r="H104" s="111">
        <f>IFERROR(VLOOKUP($B104,MMWR_TRAD_AGG_STATE_PEN[],H$1,0),"ERROR")</f>
        <v>49</v>
      </c>
      <c r="I104" s="112">
        <f>IFERROR(VLOOKUP($B104,MMWR_TRAD_AGG_STATE_PEN[],I$1,0),"ERROR")</f>
        <v>3</v>
      </c>
      <c r="J104" s="114">
        <f t="shared" si="13"/>
        <v>6.1224489795918366E-2</v>
      </c>
      <c r="K104" s="111">
        <f>IFERROR(VLOOKUP($B104,MMWR_TRAD_AGG_STATE_PEN[],K$1,0),"ERROR")</f>
        <v>0</v>
      </c>
      <c r="L104" s="112">
        <f>IFERROR(VLOOKUP($B104,MMWR_TRAD_AGG_STATE_PEN[],L$1,0),"ERROR")</f>
        <v>0</v>
      </c>
      <c r="M104" s="114" t="str">
        <f t="shared" si="14"/>
        <v>0%</v>
      </c>
      <c r="N104" s="111">
        <f>IFERROR(VLOOKUP($B104,MMWR_TRAD_AGG_STATE_PEN[],N$1,0),"ERROR")</f>
        <v>2</v>
      </c>
      <c r="O104" s="112">
        <f>IFERROR(VLOOKUP($B104,MMWR_TRAD_AGG_STATE_PEN[],O$1,0),"ERROR")</f>
        <v>1</v>
      </c>
      <c r="P104" s="114">
        <f t="shared" si="15"/>
        <v>0.5</v>
      </c>
      <c r="Q104" s="115">
        <f>IFERROR(VLOOKUP($B104,MMWR_TRAD_AGG_STATE_PEN[],Q$1,0),"ERROR")</f>
        <v>86</v>
      </c>
      <c r="R104" s="115">
        <f>IFERROR(VLOOKUP($B104,MMWR_TRAD_AGG_STATE_PEN[],R$1,0),"ERROR")</f>
        <v>4</v>
      </c>
      <c r="S104" s="115">
        <f>IFERROR(VLOOKUP($B104,MMWR_APP_STATE_PEN[],S$1,0),"ERROR")</f>
        <v>7</v>
      </c>
      <c r="T104" s="28"/>
    </row>
    <row r="105" spans="1:20" s="123" customFormat="1" x14ac:dyDescent="0.2">
      <c r="A105" s="28"/>
      <c r="B105" s="127" t="s">
        <v>412</v>
      </c>
      <c r="C105" s="109">
        <f>IFERROR(VLOOKUP($B105,MMWR_TRAD_AGG_STATE_PEN[],C$1,0),"ERROR")</f>
        <v>118</v>
      </c>
      <c r="D105" s="110">
        <f>IFERROR(VLOOKUP($B105,MMWR_TRAD_AGG_STATE_PEN[],D$1,0),"ERROR")</f>
        <v>36.0762711864</v>
      </c>
      <c r="E105" s="111">
        <f>IFERROR(VLOOKUP($B105,MMWR_TRAD_AGG_STATE_PEN[],E$1,0),"ERROR")</f>
        <v>309</v>
      </c>
      <c r="F105" s="112">
        <f>IFERROR(VLOOKUP($B105,MMWR_TRAD_AGG_STATE_PEN[],F$1,0),"ERROR")</f>
        <v>4</v>
      </c>
      <c r="G105" s="113">
        <f t="shared" si="12"/>
        <v>1.2944983818770227E-2</v>
      </c>
      <c r="H105" s="111">
        <f>IFERROR(VLOOKUP($B105,MMWR_TRAD_AGG_STATE_PEN[],H$1,0),"ERROR")</f>
        <v>170</v>
      </c>
      <c r="I105" s="112">
        <f>IFERROR(VLOOKUP($B105,MMWR_TRAD_AGG_STATE_PEN[],I$1,0),"ERROR")</f>
        <v>6</v>
      </c>
      <c r="J105" s="114">
        <f t="shared" si="13"/>
        <v>3.5294117647058823E-2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7</v>
      </c>
      <c r="P105" s="114">
        <f t="shared" si="15"/>
        <v>0.58333333333333337</v>
      </c>
      <c r="Q105" s="115">
        <f>IFERROR(VLOOKUP($B105,MMWR_TRAD_AGG_STATE_PEN[],Q$1,0),"ERROR")</f>
        <v>483</v>
      </c>
      <c r="R105" s="115">
        <f>IFERROR(VLOOKUP($B105,MMWR_TRAD_AGG_STATE_PEN[],R$1,0),"ERROR")</f>
        <v>41</v>
      </c>
      <c r="S105" s="115">
        <f>IFERROR(VLOOKUP($B105,MMWR_APP_STATE_PEN[],S$1,0),"ERROR")</f>
        <v>107</v>
      </c>
      <c r="T105" s="28"/>
    </row>
    <row r="106" spans="1:20" s="123" customFormat="1" x14ac:dyDescent="0.2">
      <c r="A106" s="28"/>
      <c r="B106" s="127" t="s">
        <v>410</v>
      </c>
      <c r="C106" s="109">
        <f>IFERROR(VLOOKUP($B106,MMWR_TRAD_AGG_STATE_PEN[],C$1,0),"ERROR")</f>
        <v>578</v>
      </c>
      <c r="D106" s="110">
        <f>IFERROR(VLOOKUP($B106,MMWR_TRAD_AGG_STATE_PEN[],D$1,0),"ERROR")</f>
        <v>47.370242214500003</v>
      </c>
      <c r="E106" s="111">
        <f>IFERROR(VLOOKUP($B106,MMWR_TRAD_AGG_STATE_PEN[],E$1,0),"ERROR")</f>
        <v>1487</v>
      </c>
      <c r="F106" s="112">
        <f>IFERROR(VLOOKUP($B106,MMWR_TRAD_AGG_STATE_PEN[],F$1,0),"ERROR")</f>
        <v>43</v>
      </c>
      <c r="G106" s="113">
        <f t="shared" si="12"/>
        <v>2.8917283120376596E-2</v>
      </c>
      <c r="H106" s="111">
        <f>IFERROR(VLOOKUP($B106,MMWR_TRAD_AGG_STATE_PEN[],H$1,0),"ERROR")</f>
        <v>1015</v>
      </c>
      <c r="I106" s="112">
        <f>IFERROR(VLOOKUP($B106,MMWR_TRAD_AGG_STATE_PEN[],I$1,0),"ERROR")</f>
        <v>59</v>
      </c>
      <c r="J106" s="114">
        <f t="shared" si="13"/>
        <v>5.8128078817733991E-2</v>
      </c>
      <c r="K106" s="111">
        <f>IFERROR(VLOOKUP($B106,MMWR_TRAD_AGG_STATE_PEN[],K$1,0),"ERROR")</f>
        <v>10</v>
      </c>
      <c r="L106" s="112">
        <f>IFERROR(VLOOKUP($B106,MMWR_TRAD_AGG_STATE_PEN[],L$1,0),"ERROR")</f>
        <v>8</v>
      </c>
      <c r="M106" s="114">
        <f t="shared" si="14"/>
        <v>0.8</v>
      </c>
      <c r="N106" s="111">
        <f>IFERROR(VLOOKUP($B106,MMWR_TRAD_AGG_STATE_PEN[],N$1,0),"ERROR")</f>
        <v>60</v>
      </c>
      <c r="O106" s="112">
        <f>IFERROR(VLOOKUP($B106,MMWR_TRAD_AGG_STATE_PEN[],O$1,0),"ERROR")</f>
        <v>30</v>
      </c>
      <c r="P106" s="114">
        <f t="shared" si="15"/>
        <v>0.5</v>
      </c>
      <c r="Q106" s="115">
        <f>IFERROR(VLOOKUP($B106,MMWR_TRAD_AGG_STATE_PEN[],Q$1,0),"ERROR")</f>
        <v>1178</v>
      </c>
      <c r="R106" s="115">
        <f>IFERROR(VLOOKUP($B106,MMWR_TRAD_AGG_STATE_PEN[],R$1,0),"ERROR")</f>
        <v>219</v>
      </c>
      <c r="S106" s="115">
        <f>IFERROR(VLOOKUP($B106,MMWR_APP_STATE_PEN[],S$1,0),"ERROR")</f>
        <v>738</v>
      </c>
      <c r="T106" s="28"/>
    </row>
    <row r="107" spans="1:20" s="123" customFormat="1" x14ac:dyDescent="0.2">
      <c r="A107" s="28"/>
      <c r="B107" s="127" t="s">
        <v>406</v>
      </c>
      <c r="C107" s="109">
        <f>IFERROR(VLOOKUP($B107,MMWR_TRAD_AGG_STATE_PEN[],C$1,0),"ERROR")</f>
        <v>61</v>
      </c>
      <c r="D107" s="110">
        <f>IFERROR(VLOOKUP($B107,MMWR_TRAD_AGG_STATE_PEN[],D$1,0),"ERROR")</f>
        <v>41.852459016399997</v>
      </c>
      <c r="E107" s="111">
        <f>IFERROR(VLOOKUP($B107,MMWR_TRAD_AGG_STATE_PEN[],E$1,0),"ERROR")</f>
        <v>173</v>
      </c>
      <c r="F107" s="112">
        <f>IFERROR(VLOOKUP($B107,MMWR_TRAD_AGG_STATE_PEN[],F$1,0),"ERROR")</f>
        <v>6</v>
      </c>
      <c r="G107" s="113">
        <f t="shared" si="12"/>
        <v>3.4682080924855488E-2</v>
      </c>
      <c r="H107" s="111">
        <f>IFERROR(VLOOKUP($B107,MMWR_TRAD_AGG_STATE_PEN[],H$1,0),"ERROR")</f>
        <v>79</v>
      </c>
      <c r="I107" s="112">
        <f>IFERROR(VLOOKUP($B107,MMWR_TRAD_AGG_STATE_PEN[],I$1,0),"ERROR")</f>
        <v>0</v>
      </c>
      <c r="J107" s="114">
        <f t="shared" si="13"/>
        <v>0</v>
      </c>
      <c r="K107" s="111">
        <f>IFERROR(VLOOKUP($B107,MMWR_TRAD_AGG_STATE_PEN[],K$1,0),"ERROR")</f>
        <v>0</v>
      </c>
      <c r="L107" s="112">
        <f>IFERROR(VLOOKUP($B107,MMWR_TRAD_AGG_STATE_PEN[],L$1,0),"ERROR")</f>
        <v>0</v>
      </c>
      <c r="M107" s="114" t="str">
        <f t="shared" si="14"/>
        <v>0%</v>
      </c>
      <c r="N107" s="111">
        <f>IFERROR(VLOOKUP($B107,MMWR_TRAD_AGG_STATE_PEN[],N$1,0),"ERROR")</f>
        <v>6</v>
      </c>
      <c r="O107" s="112">
        <f>IFERROR(VLOOKUP($B107,MMWR_TRAD_AGG_STATE_PEN[],O$1,0),"ERROR")</f>
        <v>2</v>
      </c>
      <c r="P107" s="114">
        <f t="shared" si="15"/>
        <v>0.33333333333333331</v>
      </c>
      <c r="Q107" s="115">
        <f>IFERROR(VLOOKUP($B107,MMWR_TRAD_AGG_STATE_PEN[],Q$1,0),"ERROR")</f>
        <v>110</v>
      </c>
      <c r="R107" s="115">
        <f>IFERROR(VLOOKUP($B107,MMWR_TRAD_AGG_STATE_PEN[],R$1,0),"ERROR")</f>
        <v>13</v>
      </c>
      <c r="S107" s="115">
        <f>IFERROR(VLOOKUP($B107,MMWR_APP_STATE_PEN[],S$1,0),"ERROR")</f>
        <v>24</v>
      </c>
      <c r="T107" s="28"/>
    </row>
    <row r="108" spans="1:20" s="123" customFormat="1" x14ac:dyDescent="0.2">
      <c r="A108" s="28"/>
      <c r="B108" s="127" t="s">
        <v>421</v>
      </c>
      <c r="C108" s="109">
        <f>IFERROR(VLOOKUP($B108,MMWR_TRAD_AGG_STATE_PEN[],C$1,0),"ERROR")</f>
        <v>10</v>
      </c>
      <c r="D108" s="110">
        <f>IFERROR(VLOOKUP($B108,MMWR_TRAD_AGG_STATE_PEN[],D$1,0),"ERROR")</f>
        <v>52.9</v>
      </c>
      <c r="E108" s="111">
        <f>IFERROR(VLOOKUP($B108,MMWR_TRAD_AGG_STATE_PEN[],E$1,0),"ERROR")</f>
        <v>20</v>
      </c>
      <c r="F108" s="112">
        <f>IFERROR(VLOOKUP($B108,MMWR_TRAD_AGG_STATE_PEN[],F$1,0),"ERROR")</f>
        <v>0</v>
      </c>
      <c r="G108" s="113">
        <f t="shared" si="12"/>
        <v>0</v>
      </c>
      <c r="H108" s="111">
        <f>IFERROR(VLOOKUP($B108,MMWR_TRAD_AGG_STATE_PEN[],H$1,0),"ERROR")</f>
        <v>20</v>
      </c>
      <c r="I108" s="112">
        <f>IFERROR(VLOOKUP($B108,MMWR_TRAD_AGG_STATE_PEN[],I$1,0),"ERROR")</f>
        <v>2</v>
      </c>
      <c r="J108" s="114">
        <f t="shared" si="13"/>
        <v>0.1</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59</v>
      </c>
      <c r="R108" s="115">
        <f>IFERROR(VLOOKUP($B108,MMWR_TRAD_AGG_STATE_PEN[],R$1,0),"ERROR")</f>
        <v>1</v>
      </c>
      <c r="S108" s="115">
        <f>IFERROR(VLOOKUP($B108,MMWR_APP_STATE_PEN[],S$1,0),"ERROR")</f>
        <v>8</v>
      </c>
      <c r="T108" s="28"/>
    </row>
    <row r="109" spans="1:20" s="123" customFormat="1" x14ac:dyDescent="0.2">
      <c r="A109" s="28"/>
      <c r="B109" s="126" t="s">
        <v>404</v>
      </c>
      <c r="C109" s="102">
        <f>IFERROR(VLOOKUP($B109,MMWR_TRAD_AGG_ST_DISTRICT_PEN[],C$1,0),"ERROR")</f>
        <v>1247</v>
      </c>
      <c r="D109" s="103">
        <f>IFERROR(VLOOKUP($B109,MMWR_TRAD_AGG_ST_DISTRICT_PEN[],D$1,0),"ERROR")</f>
        <v>45.3360064154</v>
      </c>
      <c r="E109" s="102">
        <f>IFERROR(VLOOKUP($B109,MMWR_TRAD_AGG_ST_DISTRICT_PEN[],E$1,0),"ERROR")</f>
        <v>3661</v>
      </c>
      <c r="F109" s="102">
        <f>IFERROR(VLOOKUP($B109,MMWR_TRAD_AGG_ST_DISTRICT_PEN[],F$1,0),"ERROR")</f>
        <v>153</v>
      </c>
      <c r="G109" s="104">
        <f t="shared" si="12"/>
        <v>4.1791860147500685E-2</v>
      </c>
      <c r="H109" s="102">
        <f>IFERROR(VLOOKUP($B109,MMWR_TRAD_AGG_ST_DISTRICT_PEN[],H$1,0),"ERROR")</f>
        <v>1939</v>
      </c>
      <c r="I109" s="102">
        <f>IFERROR(VLOOKUP($B109,MMWR_TRAD_AGG_ST_DISTRICT_PEN[],I$1,0),"ERROR")</f>
        <v>103</v>
      </c>
      <c r="J109" s="104">
        <f t="shared" si="13"/>
        <v>5.3120165033522432E-2</v>
      </c>
      <c r="K109" s="102">
        <f>IFERROR(VLOOKUP($B109,MMWR_TRAD_AGG_ST_DISTRICT_PEN[],K$1,0),"ERROR")</f>
        <v>17</v>
      </c>
      <c r="L109" s="102">
        <f>IFERROR(VLOOKUP($B109,MMWR_TRAD_AGG_ST_DISTRICT_PEN[],L$1,0),"ERROR")</f>
        <v>14</v>
      </c>
      <c r="M109" s="104">
        <f t="shared" si="14"/>
        <v>0.82352941176470584</v>
      </c>
      <c r="N109" s="102">
        <f>IFERROR(VLOOKUP($B109,MMWR_TRAD_AGG_ST_DISTRICT_PEN[],N$1,0),"ERROR")</f>
        <v>133</v>
      </c>
      <c r="O109" s="102">
        <f>IFERROR(VLOOKUP($B109,MMWR_TRAD_AGG_ST_DISTRICT_PEN[],O$1,0),"ERROR")</f>
        <v>49</v>
      </c>
      <c r="P109" s="104">
        <f t="shared" si="15"/>
        <v>0.36842105263157893</v>
      </c>
      <c r="Q109" s="102">
        <f>IFERROR(VLOOKUP($B109,MMWR_TRAD_AGG_ST_DISTRICT_PEN[],Q$1,0),"ERROR")</f>
        <v>2547</v>
      </c>
      <c r="R109" s="106">
        <f>IFERROR(VLOOKUP($B109,MMWR_TRAD_AGG_ST_DISTRICT_PEN[],R$1,0),"ERROR")</f>
        <v>425</v>
      </c>
      <c r="S109" s="106">
        <f>IFERROR(VLOOKUP($B109,MMWR_APP_STATE_PEN[],S$1,0),"ERROR")</f>
        <v>843</v>
      </c>
      <c r="T109" s="28"/>
    </row>
    <row r="110" spans="1:20" s="123" customFormat="1" x14ac:dyDescent="0.2">
      <c r="A110" s="28"/>
      <c r="B110" s="127" t="s">
        <v>424</v>
      </c>
      <c r="C110" s="109">
        <f>IFERROR(VLOOKUP($B110,MMWR_TRAD_AGG_STATE_PEN[],C$1,0),"ERROR")</f>
        <v>13</v>
      </c>
      <c r="D110" s="110">
        <f>IFERROR(VLOOKUP($B110,MMWR_TRAD_AGG_STATE_PEN[],D$1,0),"ERROR")</f>
        <v>127.76923076920001</v>
      </c>
      <c r="E110" s="111">
        <f>IFERROR(VLOOKUP($B110,MMWR_TRAD_AGG_STATE_PEN[],E$1,0),"ERROR")</f>
        <v>19</v>
      </c>
      <c r="F110" s="112">
        <f>IFERROR(VLOOKUP($B110,MMWR_TRAD_AGG_STATE_PEN[],F$1,0),"ERROR")</f>
        <v>2</v>
      </c>
      <c r="G110" s="113">
        <f t="shared" si="12"/>
        <v>0.10526315789473684</v>
      </c>
      <c r="H110" s="111">
        <f>IFERROR(VLOOKUP($B110,MMWR_TRAD_AGG_STATE_PEN[],H$1,0),"ERROR")</f>
        <v>21</v>
      </c>
      <c r="I110" s="112">
        <f>IFERROR(VLOOKUP($B110,MMWR_TRAD_AGG_STATE_PEN[],I$1,0),"ERROR")</f>
        <v>1</v>
      </c>
      <c r="J110" s="114">
        <f t="shared" si="13"/>
        <v>4.7619047619047616E-2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0</v>
      </c>
      <c r="P110" s="114">
        <f t="shared" si="15"/>
        <v>0</v>
      </c>
      <c r="Q110" s="115">
        <f>IFERROR(VLOOKUP($B110,MMWR_TRAD_AGG_STATE_PEN[],Q$1,0),"ERROR")</f>
        <v>31</v>
      </c>
      <c r="R110" s="115">
        <f>IFERROR(VLOOKUP($B110,MMWR_TRAD_AGG_STATE_PEN[],R$1,0),"ERROR")</f>
        <v>2</v>
      </c>
      <c r="S110" s="115">
        <f>IFERROR(VLOOKUP($B110,MMWR_APP_STATE_PEN[],S$1,0),"ERROR")</f>
        <v>3</v>
      </c>
      <c r="T110" s="28"/>
    </row>
    <row r="111" spans="1:20" s="123" customFormat="1" x14ac:dyDescent="0.2">
      <c r="A111" s="28"/>
      <c r="B111" s="127" t="s">
        <v>426</v>
      </c>
      <c r="C111" s="109">
        <f>IFERROR(VLOOKUP($B111,MMWR_TRAD_AGG_STATE_PEN[],C$1,0),"ERROR")</f>
        <v>142</v>
      </c>
      <c r="D111" s="110">
        <f>IFERROR(VLOOKUP($B111,MMWR_TRAD_AGG_STATE_PEN[],D$1,0),"ERROR")</f>
        <v>53.133802816900001</v>
      </c>
      <c r="E111" s="111">
        <f>IFERROR(VLOOKUP($B111,MMWR_TRAD_AGG_STATE_PEN[],E$1,0),"ERROR")</f>
        <v>462</v>
      </c>
      <c r="F111" s="112">
        <f>IFERROR(VLOOKUP($B111,MMWR_TRAD_AGG_STATE_PEN[],F$1,0),"ERROR")</f>
        <v>33</v>
      </c>
      <c r="G111" s="113">
        <f t="shared" si="12"/>
        <v>7.1428571428571425E-2</v>
      </c>
      <c r="H111" s="111">
        <f>IFERROR(VLOOKUP($B111,MMWR_TRAD_AGG_STATE_PEN[],H$1,0),"ERROR")</f>
        <v>224</v>
      </c>
      <c r="I111" s="112">
        <f>IFERROR(VLOOKUP($B111,MMWR_TRAD_AGG_STATE_PEN[],I$1,0),"ERROR")</f>
        <v>15</v>
      </c>
      <c r="J111" s="114">
        <f t="shared" si="13"/>
        <v>6.6964285714285712E-2</v>
      </c>
      <c r="K111" s="111">
        <f>IFERROR(VLOOKUP($B111,MMWR_TRAD_AGG_STATE_PEN[],K$1,0),"ERROR")</f>
        <v>3</v>
      </c>
      <c r="L111" s="112">
        <f>IFERROR(VLOOKUP($B111,MMWR_TRAD_AGG_STATE_PEN[],L$1,0),"ERROR")</f>
        <v>3</v>
      </c>
      <c r="M111" s="114">
        <f t="shared" si="14"/>
        <v>1</v>
      </c>
      <c r="N111" s="111">
        <f>IFERROR(VLOOKUP($B111,MMWR_TRAD_AGG_STATE_PEN[],N$1,0),"ERROR")</f>
        <v>5</v>
      </c>
      <c r="O111" s="112">
        <f>IFERROR(VLOOKUP($B111,MMWR_TRAD_AGG_STATE_PEN[],O$1,0),"ERROR")</f>
        <v>1</v>
      </c>
      <c r="P111" s="114">
        <f t="shared" si="15"/>
        <v>0.2</v>
      </c>
      <c r="Q111" s="115">
        <f>IFERROR(VLOOKUP($B111,MMWR_TRAD_AGG_STATE_PEN[],Q$1,0),"ERROR")</f>
        <v>319</v>
      </c>
      <c r="R111" s="115">
        <f>IFERROR(VLOOKUP($B111,MMWR_TRAD_AGG_STATE_PEN[],R$1,0),"ERROR")</f>
        <v>55</v>
      </c>
      <c r="S111" s="115">
        <f>IFERROR(VLOOKUP($B111,MMWR_APP_STATE_PEN[],S$1,0),"ERROR")</f>
        <v>142</v>
      </c>
      <c r="T111" s="28"/>
    </row>
    <row r="112" spans="1:20" s="123" customFormat="1" x14ac:dyDescent="0.2">
      <c r="A112" s="28"/>
      <c r="B112" s="127" t="s">
        <v>407</v>
      </c>
      <c r="C112" s="109">
        <f>IFERROR(VLOOKUP($B112,MMWR_TRAD_AGG_STATE_PEN[],C$1,0),"ERROR")</f>
        <v>697</v>
      </c>
      <c r="D112" s="110">
        <f>IFERROR(VLOOKUP($B112,MMWR_TRAD_AGG_STATE_PEN[],D$1,0),"ERROR")</f>
        <v>42.814921090399999</v>
      </c>
      <c r="E112" s="111">
        <f>IFERROR(VLOOKUP($B112,MMWR_TRAD_AGG_STATE_PEN[],E$1,0),"ERROR")</f>
        <v>1969</v>
      </c>
      <c r="F112" s="112">
        <f>IFERROR(VLOOKUP($B112,MMWR_TRAD_AGG_STATE_PEN[],F$1,0),"ERROR")</f>
        <v>81</v>
      </c>
      <c r="G112" s="113">
        <f t="shared" si="12"/>
        <v>4.1137633316404264E-2</v>
      </c>
      <c r="H112" s="111">
        <f>IFERROR(VLOOKUP($B112,MMWR_TRAD_AGG_STATE_PEN[],H$1,0),"ERROR")</f>
        <v>1015</v>
      </c>
      <c r="I112" s="112">
        <f>IFERROR(VLOOKUP($B112,MMWR_TRAD_AGG_STATE_PEN[],I$1,0),"ERROR")</f>
        <v>39</v>
      </c>
      <c r="J112" s="114">
        <f t="shared" si="13"/>
        <v>3.8423645320197042E-2</v>
      </c>
      <c r="K112" s="111">
        <f>IFERROR(VLOOKUP($B112,MMWR_TRAD_AGG_STATE_PEN[],K$1,0),"ERROR")</f>
        <v>9</v>
      </c>
      <c r="L112" s="112">
        <f>IFERROR(VLOOKUP($B112,MMWR_TRAD_AGG_STATE_PEN[],L$1,0),"ERROR")</f>
        <v>7</v>
      </c>
      <c r="M112" s="114">
        <f t="shared" si="14"/>
        <v>0.77777777777777779</v>
      </c>
      <c r="N112" s="111">
        <f>IFERROR(VLOOKUP($B112,MMWR_TRAD_AGG_STATE_PEN[],N$1,0),"ERROR")</f>
        <v>76</v>
      </c>
      <c r="O112" s="112">
        <f>IFERROR(VLOOKUP($B112,MMWR_TRAD_AGG_STATE_PEN[],O$1,0),"ERROR")</f>
        <v>34</v>
      </c>
      <c r="P112" s="114">
        <f t="shared" si="15"/>
        <v>0.44736842105263158</v>
      </c>
      <c r="Q112" s="115">
        <f>IFERROR(VLOOKUP($B112,MMWR_TRAD_AGG_STATE_PEN[],Q$1,0),"ERROR")</f>
        <v>1129</v>
      </c>
      <c r="R112" s="115">
        <f>IFERROR(VLOOKUP($B112,MMWR_TRAD_AGG_STATE_PEN[],R$1,0),"ERROR")</f>
        <v>223</v>
      </c>
      <c r="S112" s="115">
        <f>IFERROR(VLOOKUP($B112,MMWR_APP_STATE_PEN[],S$1,0),"ERROR")</f>
        <v>452</v>
      </c>
      <c r="T112" s="28"/>
    </row>
    <row r="113" spans="1:20" s="123" customFormat="1" x14ac:dyDescent="0.2">
      <c r="A113" s="28"/>
      <c r="B113" s="127" t="s">
        <v>428</v>
      </c>
      <c r="C113" s="109">
        <f>IFERROR(VLOOKUP($B113,MMWR_TRAD_AGG_STATE_PEN[],C$1,0),"ERROR")</f>
        <v>14</v>
      </c>
      <c r="D113" s="110">
        <f>IFERROR(VLOOKUP($B113,MMWR_TRAD_AGG_STATE_PEN[],D$1,0),"ERROR")</f>
        <v>58.214285714299997</v>
      </c>
      <c r="E113" s="111">
        <f>IFERROR(VLOOKUP($B113,MMWR_TRAD_AGG_STATE_PEN[],E$1,0),"ERROR")</f>
        <v>29</v>
      </c>
      <c r="F113" s="112">
        <f>IFERROR(VLOOKUP($B113,MMWR_TRAD_AGG_STATE_PEN[],F$1,0),"ERROR")</f>
        <v>4</v>
      </c>
      <c r="G113" s="113">
        <f t="shared" si="12"/>
        <v>0.13793103448275862</v>
      </c>
      <c r="H113" s="111">
        <f>IFERROR(VLOOKUP($B113,MMWR_TRAD_AGG_STATE_PEN[],H$1,0),"ERROR")</f>
        <v>20</v>
      </c>
      <c r="I113" s="112">
        <f>IFERROR(VLOOKUP($B113,MMWR_TRAD_AGG_STATE_PEN[],I$1,0),"ERROR")</f>
        <v>1</v>
      </c>
      <c r="J113" s="114">
        <f t="shared" si="13"/>
        <v>0.05</v>
      </c>
      <c r="K113" s="111">
        <f>IFERROR(VLOOKUP($B113,MMWR_TRAD_AGG_STATE_PEN[],K$1,0),"ERROR")</f>
        <v>2</v>
      </c>
      <c r="L113" s="112">
        <f>IFERROR(VLOOKUP($B113,MMWR_TRAD_AGG_STATE_PEN[],L$1,0),"ERROR")</f>
        <v>2</v>
      </c>
      <c r="M113" s="114">
        <f t="shared" si="14"/>
        <v>1</v>
      </c>
      <c r="N113" s="111">
        <f>IFERROR(VLOOKUP($B113,MMWR_TRAD_AGG_STATE_PEN[],N$1,0),"ERROR")</f>
        <v>2</v>
      </c>
      <c r="O113" s="112">
        <f>IFERROR(VLOOKUP($B113,MMWR_TRAD_AGG_STATE_PEN[],O$1,0),"ERROR")</f>
        <v>0</v>
      </c>
      <c r="P113" s="114">
        <f t="shared" si="15"/>
        <v>0</v>
      </c>
      <c r="Q113" s="115">
        <f>IFERROR(VLOOKUP($B113,MMWR_TRAD_AGG_STATE_PEN[],Q$1,0),"ERROR")</f>
        <v>52</v>
      </c>
      <c r="R113" s="115">
        <f>IFERROR(VLOOKUP($B113,MMWR_TRAD_AGG_STATE_PEN[],R$1,0),"ERROR")</f>
        <v>6</v>
      </c>
      <c r="S113" s="115">
        <f>IFERROR(VLOOKUP($B113,MMWR_APP_STATE_PEN[],S$1,0),"ERROR")</f>
        <v>12</v>
      </c>
      <c r="T113" s="28"/>
    </row>
    <row r="114" spans="1:20" s="123" customFormat="1" x14ac:dyDescent="0.2">
      <c r="A114" s="28"/>
      <c r="B114" s="127" t="s">
        <v>408</v>
      </c>
      <c r="C114" s="109">
        <f>IFERROR(VLOOKUP($B114,MMWR_TRAD_AGG_STATE_PEN[],C$1,0),"ERROR")</f>
        <v>28</v>
      </c>
      <c r="D114" s="110">
        <f>IFERROR(VLOOKUP($B114,MMWR_TRAD_AGG_STATE_PEN[],D$1,0),"ERROR")</f>
        <v>30.714285714300001</v>
      </c>
      <c r="E114" s="111">
        <f>IFERROR(VLOOKUP($B114,MMWR_TRAD_AGG_STATE_PEN[],E$1,0),"ERROR")</f>
        <v>126</v>
      </c>
      <c r="F114" s="112">
        <f>IFERROR(VLOOKUP($B114,MMWR_TRAD_AGG_STATE_PEN[],F$1,0),"ERROR")</f>
        <v>0</v>
      </c>
      <c r="G114" s="113">
        <f t="shared" si="12"/>
        <v>0</v>
      </c>
      <c r="H114" s="111">
        <f>IFERROR(VLOOKUP($B114,MMWR_TRAD_AGG_STATE_PEN[],H$1,0),"ERROR")</f>
        <v>59</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3</v>
      </c>
      <c r="O114" s="112">
        <f>IFERROR(VLOOKUP($B114,MMWR_TRAD_AGG_STATE_PEN[],O$1,0),"ERROR")</f>
        <v>0</v>
      </c>
      <c r="P114" s="114">
        <f t="shared" si="15"/>
        <v>0</v>
      </c>
      <c r="Q114" s="115">
        <f>IFERROR(VLOOKUP($B114,MMWR_TRAD_AGG_STATE_PEN[],Q$1,0),"ERROR")</f>
        <v>94</v>
      </c>
      <c r="R114" s="115">
        <f>IFERROR(VLOOKUP($B114,MMWR_TRAD_AGG_STATE_PEN[],R$1,0),"ERROR")</f>
        <v>11</v>
      </c>
      <c r="S114" s="115">
        <f>IFERROR(VLOOKUP($B114,MMWR_APP_STATE_PEN[],S$1,0),"ERROR")</f>
        <v>13</v>
      </c>
      <c r="T114" s="28"/>
    </row>
    <row r="115" spans="1:20" s="123" customFormat="1" x14ac:dyDescent="0.2">
      <c r="A115" s="28"/>
      <c r="B115" s="127" t="s">
        <v>413</v>
      </c>
      <c r="C115" s="109">
        <f>IFERROR(VLOOKUP($B115,MMWR_TRAD_AGG_STATE_PEN[],C$1,0),"ERROR")</f>
        <v>72</v>
      </c>
      <c r="D115" s="110">
        <f>IFERROR(VLOOKUP($B115,MMWR_TRAD_AGG_STATE_PEN[],D$1,0),"ERROR")</f>
        <v>48.638888888899999</v>
      </c>
      <c r="E115" s="111">
        <f>IFERROR(VLOOKUP($B115,MMWR_TRAD_AGG_STATE_PEN[],E$1,0),"ERROR")</f>
        <v>202</v>
      </c>
      <c r="F115" s="112">
        <f>IFERROR(VLOOKUP($B115,MMWR_TRAD_AGG_STATE_PEN[],F$1,0),"ERROR")</f>
        <v>3</v>
      </c>
      <c r="G115" s="113">
        <f t="shared" si="12"/>
        <v>1.4851485148514851E-2</v>
      </c>
      <c r="H115" s="111">
        <f>IFERROR(VLOOKUP($B115,MMWR_TRAD_AGG_STATE_PEN[],H$1,0),"ERROR")</f>
        <v>106</v>
      </c>
      <c r="I115" s="112">
        <f>IFERROR(VLOOKUP($B115,MMWR_TRAD_AGG_STATE_PEN[],I$1,0),"ERROR")</f>
        <v>9</v>
      </c>
      <c r="J115" s="114">
        <f t="shared" si="13"/>
        <v>8.4905660377358486E-2</v>
      </c>
      <c r="K115" s="111">
        <f>IFERROR(VLOOKUP($B115,MMWR_TRAD_AGG_STATE_PEN[],K$1,0),"ERROR")</f>
        <v>0</v>
      </c>
      <c r="L115" s="112">
        <f>IFERROR(VLOOKUP($B115,MMWR_TRAD_AGG_STATE_PEN[],L$1,0),"ERROR")</f>
        <v>0</v>
      </c>
      <c r="M115" s="114" t="str">
        <f t="shared" si="14"/>
        <v>0%</v>
      </c>
      <c r="N115" s="111">
        <f>IFERROR(VLOOKUP($B115,MMWR_TRAD_AGG_STATE_PEN[],N$1,0),"ERROR")</f>
        <v>8</v>
      </c>
      <c r="O115" s="112">
        <f>IFERROR(VLOOKUP($B115,MMWR_TRAD_AGG_STATE_PEN[],O$1,0),"ERROR")</f>
        <v>4</v>
      </c>
      <c r="P115" s="114">
        <f t="shared" si="15"/>
        <v>0.5</v>
      </c>
      <c r="Q115" s="115">
        <f>IFERROR(VLOOKUP($B115,MMWR_TRAD_AGG_STATE_PEN[],Q$1,0),"ERROR")</f>
        <v>109</v>
      </c>
      <c r="R115" s="115">
        <f>IFERROR(VLOOKUP($B115,MMWR_TRAD_AGG_STATE_PEN[],R$1,0),"ERROR")</f>
        <v>23</v>
      </c>
      <c r="S115" s="115">
        <f>IFERROR(VLOOKUP($B115,MMWR_APP_STATE_PEN[],S$1,0),"ERROR")</f>
        <v>40</v>
      </c>
      <c r="T115" s="28"/>
    </row>
    <row r="116" spans="1:20" s="123" customFormat="1" x14ac:dyDescent="0.2">
      <c r="A116" s="28"/>
      <c r="B116" s="127" t="s">
        <v>405</v>
      </c>
      <c r="C116" s="109">
        <f>IFERROR(VLOOKUP($B116,MMWR_TRAD_AGG_STATE_PEN[],C$1,0),"ERROR")</f>
        <v>42</v>
      </c>
      <c r="D116" s="110">
        <f>IFERROR(VLOOKUP($B116,MMWR_TRAD_AGG_STATE_PEN[],D$1,0),"ERROR")</f>
        <v>37.3095238095</v>
      </c>
      <c r="E116" s="111">
        <f>IFERROR(VLOOKUP($B116,MMWR_TRAD_AGG_STATE_PEN[],E$1,0),"ERROR")</f>
        <v>129</v>
      </c>
      <c r="F116" s="112">
        <f>IFERROR(VLOOKUP($B116,MMWR_TRAD_AGG_STATE_PEN[],F$1,0),"ERROR")</f>
        <v>2</v>
      </c>
      <c r="G116" s="113">
        <f t="shared" si="12"/>
        <v>1.5503875968992248E-2</v>
      </c>
      <c r="H116" s="111">
        <f>IFERROR(VLOOKUP($B116,MMWR_TRAD_AGG_STATE_PEN[],H$1,0),"ERROR")</f>
        <v>71</v>
      </c>
      <c r="I116" s="112">
        <f>IFERROR(VLOOKUP($B116,MMWR_TRAD_AGG_STATE_PEN[],I$1,0),"ERROR")</f>
        <v>3</v>
      </c>
      <c r="J116" s="114">
        <f t="shared" si="13"/>
        <v>4.2253521126760563E-2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1</v>
      </c>
      <c r="P116" s="114">
        <f t="shared" si="15"/>
        <v>0.16666666666666666</v>
      </c>
      <c r="Q116" s="115">
        <f>IFERROR(VLOOKUP($B116,MMWR_TRAD_AGG_STATE_PEN[],Q$1,0),"ERROR")</f>
        <v>173</v>
      </c>
      <c r="R116" s="115">
        <f>IFERROR(VLOOKUP($B116,MMWR_TRAD_AGG_STATE_PEN[],R$1,0),"ERROR")</f>
        <v>14</v>
      </c>
      <c r="S116" s="115">
        <f>IFERROR(VLOOKUP($B116,MMWR_APP_STATE_PEN[],S$1,0),"ERROR")</f>
        <v>35</v>
      </c>
      <c r="T116" s="28"/>
    </row>
    <row r="117" spans="1:20" s="123" customFormat="1" x14ac:dyDescent="0.2">
      <c r="A117" s="28"/>
      <c r="B117" s="127" t="s">
        <v>409</v>
      </c>
      <c r="C117" s="109">
        <f>IFERROR(VLOOKUP($B117,MMWR_TRAD_AGG_STATE_PEN[],C$1,0),"ERROR")</f>
        <v>98</v>
      </c>
      <c r="D117" s="110">
        <f>IFERROR(VLOOKUP($B117,MMWR_TRAD_AGG_STATE_PEN[],D$1,0),"ERROR")</f>
        <v>47.551020408200003</v>
      </c>
      <c r="E117" s="111">
        <f>IFERROR(VLOOKUP($B117,MMWR_TRAD_AGG_STATE_PEN[],E$1,0),"ERROR")</f>
        <v>269</v>
      </c>
      <c r="F117" s="112">
        <f>IFERROR(VLOOKUP($B117,MMWR_TRAD_AGG_STATE_PEN[],F$1,0),"ERROR")</f>
        <v>9</v>
      </c>
      <c r="G117" s="113">
        <f t="shared" si="12"/>
        <v>3.3457249070631967E-2</v>
      </c>
      <c r="H117" s="111">
        <f>IFERROR(VLOOKUP($B117,MMWR_TRAD_AGG_STATE_PEN[],H$1,0),"ERROR")</f>
        <v>154</v>
      </c>
      <c r="I117" s="112">
        <f>IFERROR(VLOOKUP($B117,MMWR_TRAD_AGG_STATE_PEN[],I$1,0),"ERROR")</f>
        <v>9</v>
      </c>
      <c r="J117" s="114">
        <f t="shared" si="13"/>
        <v>5.844155844155844E-2</v>
      </c>
      <c r="K117" s="111">
        <f>IFERROR(VLOOKUP($B117,MMWR_TRAD_AGG_STATE_PEN[],K$1,0),"ERROR")</f>
        <v>1</v>
      </c>
      <c r="L117" s="112">
        <f>IFERROR(VLOOKUP($B117,MMWR_TRAD_AGG_STATE_PEN[],L$1,0),"ERROR")</f>
        <v>1</v>
      </c>
      <c r="M117" s="114">
        <f t="shared" si="14"/>
        <v>1</v>
      </c>
      <c r="N117" s="111">
        <f>IFERROR(VLOOKUP($B117,MMWR_TRAD_AGG_STATE_PEN[],N$1,0),"ERROR")</f>
        <v>10</v>
      </c>
      <c r="O117" s="112">
        <f>IFERROR(VLOOKUP($B117,MMWR_TRAD_AGG_STATE_PEN[],O$1,0),"ERROR")</f>
        <v>4</v>
      </c>
      <c r="P117" s="114">
        <f t="shared" si="15"/>
        <v>0.4</v>
      </c>
      <c r="Q117" s="115">
        <f>IFERROR(VLOOKUP($B117,MMWR_TRAD_AGG_STATE_PEN[],Q$1,0),"ERROR")</f>
        <v>277</v>
      </c>
      <c r="R117" s="115">
        <f>IFERROR(VLOOKUP($B117,MMWR_TRAD_AGG_STATE_PEN[],R$1,0),"ERROR")</f>
        <v>40</v>
      </c>
      <c r="S117" s="115">
        <f>IFERROR(VLOOKUP($B117,MMWR_APP_STATE_PEN[],S$1,0),"ERROR")</f>
        <v>60</v>
      </c>
      <c r="T117" s="28"/>
    </row>
    <row r="118" spans="1:20" s="123" customFormat="1" x14ac:dyDescent="0.2">
      <c r="A118" s="28"/>
      <c r="B118" s="127" t="s">
        <v>83</v>
      </c>
      <c r="C118" s="109">
        <f>IFERROR(VLOOKUP($B118,MMWR_TRAD_AGG_STATE_PEN[],C$1,0),"ERROR")</f>
        <v>141</v>
      </c>
      <c r="D118" s="110">
        <f>IFERROR(VLOOKUP($B118,MMWR_TRAD_AGG_STATE_PEN[],D$1,0),"ERROR")</f>
        <v>43.134751772999998</v>
      </c>
      <c r="E118" s="111">
        <f>IFERROR(VLOOKUP($B118,MMWR_TRAD_AGG_STATE_PEN[],E$1,0),"ERROR")</f>
        <v>456</v>
      </c>
      <c r="F118" s="112">
        <f>IFERROR(VLOOKUP($B118,MMWR_TRAD_AGG_STATE_PEN[],F$1,0),"ERROR")</f>
        <v>19</v>
      </c>
      <c r="G118" s="113">
        <f t="shared" si="12"/>
        <v>4.1666666666666664E-2</v>
      </c>
      <c r="H118" s="111">
        <f>IFERROR(VLOOKUP($B118,MMWR_TRAD_AGG_STATE_PEN[],H$1,0),"ERROR")</f>
        <v>269</v>
      </c>
      <c r="I118" s="112">
        <f>IFERROR(VLOOKUP($B118,MMWR_TRAD_AGG_STATE_PEN[],I$1,0),"ERROR")</f>
        <v>26</v>
      </c>
      <c r="J118" s="114">
        <f t="shared" si="13"/>
        <v>9.6654275092936809E-2</v>
      </c>
      <c r="K118" s="111">
        <f>IFERROR(VLOOKUP($B118,MMWR_TRAD_AGG_STATE_PEN[],K$1,0),"ERROR")</f>
        <v>1</v>
      </c>
      <c r="L118" s="112">
        <f>IFERROR(VLOOKUP($B118,MMWR_TRAD_AGG_STATE_PEN[],L$1,0),"ERROR")</f>
        <v>0</v>
      </c>
      <c r="M118" s="114">
        <f t="shared" si="14"/>
        <v>0</v>
      </c>
      <c r="N118" s="111">
        <f>IFERROR(VLOOKUP($B118,MMWR_TRAD_AGG_STATE_PEN[],N$1,0),"ERROR")</f>
        <v>22</v>
      </c>
      <c r="O118" s="112">
        <f>IFERROR(VLOOKUP($B118,MMWR_TRAD_AGG_STATE_PEN[],O$1,0),"ERROR")</f>
        <v>5</v>
      </c>
      <c r="P118" s="114">
        <f t="shared" si="15"/>
        <v>0.22727272727272727</v>
      </c>
      <c r="Q118" s="115">
        <f>IFERROR(VLOOKUP($B118,MMWR_TRAD_AGG_STATE_PEN[],Q$1,0),"ERROR")</f>
        <v>363</v>
      </c>
      <c r="R118" s="115">
        <f>IFERROR(VLOOKUP($B118,MMWR_TRAD_AGG_STATE_PEN[],R$1,0),"ERROR")</f>
        <v>51</v>
      </c>
      <c r="S118" s="115">
        <f>IFERROR(VLOOKUP($B118,MMWR_APP_STATE_PEN[],S$1,0),"ERROR")</f>
        <v>86</v>
      </c>
      <c r="T118" s="28"/>
    </row>
    <row r="119" spans="1:20" s="123" customFormat="1" x14ac:dyDescent="0.2">
      <c r="A119" s="28"/>
      <c r="B119" s="126" t="s">
        <v>380</v>
      </c>
      <c r="C119" s="102">
        <f>IFERROR(VLOOKUP($B119,MMWR_TRAD_AGG_ST_DISTRICT_PEN[],C$1,0),"ERROR")</f>
        <v>6573</v>
      </c>
      <c r="D119" s="103">
        <f>IFERROR(VLOOKUP($B119,MMWR_TRAD_AGG_ST_DISTRICT_PEN[],D$1,0),"ERROR")</f>
        <v>99.148790506599994</v>
      </c>
      <c r="E119" s="102">
        <f>IFERROR(VLOOKUP($B119,MMWR_TRAD_AGG_ST_DISTRICT_PEN[],E$1,0),"ERROR")</f>
        <v>8976</v>
      </c>
      <c r="F119" s="102">
        <f>IFERROR(VLOOKUP($B119,MMWR_TRAD_AGG_ST_DISTRICT_PEN[],F$1,0),"ERROR")</f>
        <v>1613</v>
      </c>
      <c r="G119" s="104">
        <f t="shared" si="12"/>
        <v>0.17970142602495542</v>
      </c>
      <c r="H119" s="102">
        <f>IFERROR(VLOOKUP($B119,MMWR_TRAD_AGG_ST_DISTRICT_PEN[],H$1,0),"ERROR")</f>
        <v>9335</v>
      </c>
      <c r="I119" s="102">
        <f>IFERROR(VLOOKUP($B119,MMWR_TRAD_AGG_ST_DISTRICT_PEN[],I$1,0),"ERROR")</f>
        <v>2981</v>
      </c>
      <c r="J119" s="104">
        <f t="shared" si="13"/>
        <v>0.31933583288698447</v>
      </c>
      <c r="K119" s="102">
        <f>IFERROR(VLOOKUP($B119,MMWR_TRAD_AGG_ST_DISTRICT_PEN[],K$1,0),"ERROR")</f>
        <v>182</v>
      </c>
      <c r="L119" s="102">
        <f>IFERROR(VLOOKUP($B119,MMWR_TRAD_AGG_ST_DISTRICT_PEN[],L$1,0),"ERROR")</f>
        <v>172</v>
      </c>
      <c r="M119" s="104">
        <f t="shared" si="14"/>
        <v>0.94505494505494503</v>
      </c>
      <c r="N119" s="102">
        <f>IFERROR(VLOOKUP($B119,MMWR_TRAD_AGG_ST_DISTRICT_PEN[],N$1,0),"ERROR")</f>
        <v>518</v>
      </c>
      <c r="O119" s="102">
        <f>IFERROR(VLOOKUP($B119,MMWR_TRAD_AGG_ST_DISTRICT_PEN[],O$1,0),"ERROR")</f>
        <v>158</v>
      </c>
      <c r="P119" s="104">
        <f t="shared" si="15"/>
        <v>0.30501930501930502</v>
      </c>
      <c r="Q119" s="102">
        <f>IFERROR(VLOOKUP($B119,MMWR_TRAD_AGG_ST_DISTRICT_PEN[],Q$1,0),"ERROR")</f>
        <v>1224</v>
      </c>
      <c r="R119" s="106">
        <f>IFERROR(VLOOKUP($B119,MMWR_TRAD_AGG_ST_DISTRICT_PEN[],R$1,0),"ERROR")</f>
        <v>1931</v>
      </c>
      <c r="S119" s="106">
        <f>IFERROR(VLOOKUP($B119,MMWR_APP_STATE_PEN[],S$1,0),"ERROR")</f>
        <v>2027</v>
      </c>
      <c r="T119" s="28"/>
    </row>
    <row r="120" spans="1:20" s="123" customFormat="1" x14ac:dyDescent="0.2">
      <c r="A120" s="28"/>
      <c r="B120" s="127" t="s">
        <v>388</v>
      </c>
      <c r="C120" s="109">
        <f>IFERROR(VLOOKUP($B120,MMWR_TRAD_AGG_STATE_PEN[],C$1,0),"ERROR")</f>
        <v>395</v>
      </c>
      <c r="D120" s="110">
        <f>IFERROR(VLOOKUP($B120,MMWR_TRAD_AGG_STATE_PEN[],D$1,0),"ERROR")</f>
        <v>53.1670886076</v>
      </c>
      <c r="E120" s="111">
        <f>IFERROR(VLOOKUP($B120,MMWR_TRAD_AGG_STATE_PEN[],E$1,0),"ERROR")</f>
        <v>929</v>
      </c>
      <c r="F120" s="112">
        <f>IFERROR(VLOOKUP($B120,MMWR_TRAD_AGG_STATE_PEN[],F$1,0),"ERROR")</f>
        <v>75</v>
      </c>
      <c r="G120" s="113">
        <f t="shared" si="12"/>
        <v>8.073196986006459E-2</v>
      </c>
      <c r="H120" s="111">
        <f>IFERROR(VLOOKUP($B120,MMWR_TRAD_AGG_STATE_PEN[],H$1,0),"ERROR")</f>
        <v>612</v>
      </c>
      <c r="I120" s="112">
        <f>IFERROR(VLOOKUP($B120,MMWR_TRAD_AGG_STATE_PEN[],I$1,0),"ERROR")</f>
        <v>38</v>
      </c>
      <c r="J120" s="114">
        <f t="shared" si="13"/>
        <v>6.2091503267973858E-2</v>
      </c>
      <c r="K120" s="111">
        <f>IFERROR(VLOOKUP($B120,MMWR_TRAD_AGG_STATE_PEN[],K$1,0),"ERROR")</f>
        <v>6</v>
      </c>
      <c r="L120" s="112">
        <f>IFERROR(VLOOKUP($B120,MMWR_TRAD_AGG_STATE_PEN[],L$1,0),"ERROR")</f>
        <v>5</v>
      </c>
      <c r="M120" s="114">
        <f t="shared" si="14"/>
        <v>0.83333333333333337</v>
      </c>
      <c r="N120" s="111">
        <f>IFERROR(VLOOKUP($B120,MMWR_TRAD_AGG_STATE_PEN[],N$1,0),"ERROR")</f>
        <v>58</v>
      </c>
      <c r="O120" s="112">
        <f>IFERROR(VLOOKUP($B120,MMWR_TRAD_AGG_STATE_PEN[],O$1,0),"ERROR")</f>
        <v>13</v>
      </c>
      <c r="P120" s="114">
        <f t="shared" si="15"/>
        <v>0.22413793103448276</v>
      </c>
      <c r="Q120" s="115">
        <f>IFERROR(VLOOKUP($B120,MMWR_TRAD_AGG_STATE_PEN[],Q$1,0),"ERROR")</f>
        <v>120</v>
      </c>
      <c r="R120" s="115">
        <f>IFERROR(VLOOKUP($B120,MMWR_TRAD_AGG_STATE_PEN[],R$1,0),"ERROR")</f>
        <v>96</v>
      </c>
      <c r="S120" s="115">
        <f>IFERROR(VLOOKUP($B120,MMWR_APP_STATE_PEN[],S$1,0),"ERROR")</f>
        <v>284</v>
      </c>
      <c r="T120" s="28"/>
    </row>
    <row r="121" spans="1:20" s="123" customFormat="1" x14ac:dyDescent="0.2">
      <c r="A121" s="28"/>
      <c r="B121" s="127" t="s">
        <v>425</v>
      </c>
      <c r="C121" s="109">
        <f>IFERROR(VLOOKUP($B121,MMWR_TRAD_AGG_STATE_PEN[],C$1,0),"ERROR")</f>
        <v>2543</v>
      </c>
      <c r="D121" s="110">
        <f>IFERROR(VLOOKUP($B121,MMWR_TRAD_AGG_STATE_PEN[],D$1,0),"ERROR")</f>
        <v>102.5068816359</v>
      </c>
      <c r="E121" s="111">
        <f>IFERROR(VLOOKUP($B121,MMWR_TRAD_AGG_STATE_PEN[],E$1,0),"ERROR")</f>
        <v>3635</v>
      </c>
      <c r="F121" s="112">
        <f>IFERROR(VLOOKUP($B121,MMWR_TRAD_AGG_STATE_PEN[],F$1,0),"ERROR")</f>
        <v>747</v>
      </c>
      <c r="G121" s="113">
        <f t="shared" si="12"/>
        <v>0.20550206327372764</v>
      </c>
      <c r="H121" s="111">
        <f>IFERROR(VLOOKUP($B121,MMWR_TRAD_AGG_STATE_PEN[],H$1,0),"ERROR")</f>
        <v>3461</v>
      </c>
      <c r="I121" s="112">
        <f>IFERROR(VLOOKUP($B121,MMWR_TRAD_AGG_STATE_PEN[],I$1,0),"ERROR")</f>
        <v>1222</v>
      </c>
      <c r="J121" s="114">
        <f t="shared" si="13"/>
        <v>0.35307714533371859</v>
      </c>
      <c r="K121" s="111">
        <f>IFERROR(VLOOKUP($B121,MMWR_TRAD_AGG_STATE_PEN[],K$1,0),"ERROR")</f>
        <v>88</v>
      </c>
      <c r="L121" s="112">
        <f>IFERROR(VLOOKUP($B121,MMWR_TRAD_AGG_STATE_PEN[],L$1,0),"ERROR")</f>
        <v>84</v>
      </c>
      <c r="M121" s="114">
        <f t="shared" si="14"/>
        <v>0.95454545454545459</v>
      </c>
      <c r="N121" s="111">
        <f>IFERROR(VLOOKUP($B121,MMWR_TRAD_AGG_STATE_PEN[],N$1,0),"ERROR")</f>
        <v>183</v>
      </c>
      <c r="O121" s="112">
        <f>IFERROR(VLOOKUP($B121,MMWR_TRAD_AGG_STATE_PEN[],O$1,0),"ERROR")</f>
        <v>59</v>
      </c>
      <c r="P121" s="114">
        <f t="shared" si="15"/>
        <v>0.32240437158469948</v>
      </c>
      <c r="Q121" s="115">
        <f>IFERROR(VLOOKUP($B121,MMWR_TRAD_AGG_STATE_PEN[],Q$1,0),"ERROR")</f>
        <v>461</v>
      </c>
      <c r="R121" s="115">
        <f>IFERROR(VLOOKUP($B121,MMWR_TRAD_AGG_STATE_PEN[],R$1,0),"ERROR")</f>
        <v>774</v>
      </c>
      <c r="S121" s="115">
        <f>IFERROR(VLOOKUP($B121,MMWR_APP_STATE_PEN[],S$1,0),"ERROR")</f>
        <v>634</v>
      </c>
      <c r="T121" s="28"/>
    </row>
    <row r="122" spans="1:20" s="123" customFormat="1" x14ac:dyDescent="0.2">
      <c r="A122" s="28"/>
      <c r="B122" s="127" t="s">
        <v>381</v>
      </c>
      <c r="C122" s="109">
        <f>IFERROR(VLOOKUP($B122,MMWR_TRAD_AGG_STATE_PEN[],C$1,0),"ERROR")</f>
        <v>1296</v>
      </c>
      <c r="D122" s="110">
        <f>IFERROR(VLOOKUP($B122,MMWR_TRAD_AGG_STATE_PEN[],D$1,0),"ERROR")</f>
        <v>111.1458333333</v>
      </c>
      <c r="E122" s="111">
        <f>IFERROR(VLOOKUP($B122,MMWR_TRAD_AGG_STATE_PEN[],E$1,0),"ERROR")</f>
        <v>1689</v>
      </c>
      <c r="F122" s="112">
        <f>IFERROR(VLOOKUP($B122,MMWR_TRAD_AGG_STATE_PEN[],F$1,0),"ERROR")</f>
        <v>335</v>
      </c>
      <c r="G122" s="113">
        <f t="shared" si="12"/>
        <v>0.19834221432800472</v>
      </c>
      <c r="H122" s="111">
        <f>IFERROR(VLOOKUP($B122,MMWR_TRAD_AGG_STATE_PEN[],H$1,0),"ERROR")</f>
        <v>1768</v>
      </c>
      <c r="I122" s="112">
        <f>IFERROR(VLOOKUP($B122,MMWR_TRAD_AGG_STATE_PEN[],I$1,0),"ERROR")</f>
        <v>670</v>
      </c>
      <c r="J122" s="114">
        <f t="shared" si="13"/>
        <v>0.37895927601809953</v>
      </c>
      <c r="K122" s="111">
        <f>IFERROR(VLOOKUP($B122,MMWR_TRAD_AGG_STATE_PEN[],K$1,0),"ERROR")</f>
        <v>53</v>
      </c>
      <c r="L122" s="112">
        <f>IFERROR(VLOOKUP($B122,MMWR_TRAD_AGG_STATE_PEN[],L$1,0),"ERROR")</f>
        <v>51</v>
      </c>
      <c r="M122" s="114">
        <f t="shared" si="14"/>
        <v>0.96226415094339623</v>
      </c>
      <c r="N122" s="111">
        <f>IFERROR(VLOOKUP($B122,MMWR_TRAD_AGG_STATE_PEN[],N$1,0),"ERROR")</f>
        <v>121</v>
      </c>
      <c r="O122" s="112">
        <f>IFERROR(VLOOKUP($B122,MMWR_TRAD_AGG_STATE_PEN[],O$1,0),"ERROR")</f>
        <v>37</v>
      </c>
      <c r="P122" s="114">
        <f t="shared" si="15"/>
        <v>0.30578512396694213</v>
      </c>
      <c r="Q122" s="115">
        <f>IFERROR(VLOOKUP($B122,MMWR_TRAD_AGG_STATE_PEN[],Q$1,0),"ERROR")</f>
        <v>208</v>
      </c>
      <c r="R122" s="115">
        <f>IFERROR(VLOOKUP($B122,MMWR_TRAD_AGG_STATE_PEN[],R$1,0),"ERROR")</f>
        <v>514</v>
      </c>
      <c r="S122" s="115">
        <f>IFERROR(VLOOKUP($B122,MMWR_APP_STATE_PEN[],S$1,0),"ERROR")</f>
        <v>394</v>
      </c>
      <c r="T122" s="28"/>
    </row>
    <row r="123" spans="1:20" s="123" customFormat="1" x14ac:dyDescent="0.2">
      <c r="A123" s="28"/>
      <c r="B123" s="127" t="s">
        <v>393</v>
      </c>
      <c r="C123" s="109">
        <f>IFERROR(VLOOKUP($B123,MMWR_TRAD_AGG_STATE_PEN[],C$1,0),"ERROR")</f>
        <v>157</v>
      </c>
      <c r="D123" s="110">
        <f>IFERROR(VLOOKUP($B123,MMWR_TRAD_AGG_STATE_PEN[],D$1,0),"ERROR")</f>
        <v>58.726114649700001</v>
      </c>
      <c r="E123" s="111">
        <f>IFERROR(VLOOKUP($B123,MMWR_TRAD_AGG_STATE_PEN[],E$1,0),"ERROR")</f>
        <v>413</v>
      </c>
      <c r="F123" s="112">
        <f>IFERROR(VLOOKUP($B123,MMWR_TRAD_AGG_STATE_PEN[],F$1,0),"ERROR")</f>
        <v>43</v>
      </c>
      <c r="G123" s="113">
        <f t="shared" si="12"/>
        <v>0.10411622276029056</v>
      </c>
      <c r="H123" s="111">
        <f>IFERROR(VLOOKUP($B123,MMWR_TRAD_AGG_STATE_PEN[],H$1,0),"ERROR")</f>
        <v>286</v>
      </c>
      <c r="I123" s="112">
        <f>IFERROR(VLOOKUP($B123,MMWR_TRAD_AGG_STATE_PEN[],I$1,0),"ERROR")</f>
        <v>21</v>
      </c>
      <c r="J123" s="114">
        <f t="shared" si="13"/>
        <v>7.3426573426573424E-2</v>
      </c>
      <c r="K123" s="111">
        <f>IFERROR(VLOOKUP($B123,MMWR_TRAD_AGG_STATE_PEN[],K$1,0),"ERROR")</f>
        <v>2</v>
      </c>
      <c r="L123" s="112">
        <f>IFERROR(VLOOKUP($B123,MMWR_TRAD_AGG_STATE_PEN[],L$1,0),"ERROR")</f>
        <v>1</v>
      </c>
      <c r="M123" s="114">
        <f t="shared" si="14"/>
        <v>0.5</v>
      </c>
      <c r="N123" s="111">
        <f>IFERROR(VLOOKUP($B123,MMWR_TRAD_AGG_STATE_PEN[],N$1,0),"ERROR")</f>
        <v>49</v>
      </c>
      <c r="O123" s="112">
        <f>IFERROR(VLOOKUP($B123,MMWR_TRAD_AGG_STATE_PEN[],O$1,0),"ERROR")</f>
        <v>10</v>
      </c>
      <c r="P123" s="114">
        <f t="shared" si="15"/>
        <v>0.20408163265306123</v>
      </c>
      <c r="Q123" s="115">
        <f>IFERROR(VLOOKUP($B123,MMWR_TRAD_AGG_STATE_PEN[],Q$1,0),"ERROR")</f>
        <v>66</v>
      </c>
      <c r="R123" s="115">
        <f>IFERROR(VLOOKUP($B123,MMWR_TRAD_AGG_STATE_PEN[],R$1,0),"ERROR")</f>
        <v>63</v>
      </c>
      <c r="S123" s="115">
        <f>IFERROR(VLOOKUP($B123,MMWR_APP_STATE_PEN[],S$1,0),"ERROR")</f>
        <v>140</v>
      </c>
      <c r="T123" s="28"/>
    </row>
    <row r="124" spans="1:20" s="123" customFormat="1" x14ac:dyDescent="0.2">
      <c r="A124" s="28"/>
      <c r="B124" s="127" t="s">
        <v>427</v>
      </c>
      <c r="C124" s="109">
        <f>IFERROR(VLOOKUP($B124,MMWR_TRAD_AGG_STATE_PEN[],C$1,0),"ERROR")</f>
        <v>980</v>
      </c>
      <c r="D124" s="110">
        <f>IFERROR(VLOOKUP($B124,MMWR_TRAD_AGG_STATE_PEN[],D$1,0),"ERROR")</f>
        <v>103.0704081633</v>
      </c>
      <c r="E124" s="111">
        <f>IFERROR(VLOOKUP($B124,MMWR_TRAD_AGG_STATE_PEN[],E$1,0),"ERROR")</f>
        <v>656</v>
      </c>
      <c r="F124" s="112">
        <f>IFERROR(VLOOKUP($B124,MMWR_TRAD_AGG_STATE_PEN[],F$1,0),"ERROR")</f>
        <v>130</v>
      </c>
      <c r="G124" s="113">
        <f t="shared" si="12"/>
        <v>0.19817073170731708</v>
      </c>
      <c r="H124" s="111">
        <f>IFERROR(VLOOKUP($B124,MMWR_TRAD_AGG_STATE_PEN[],H$1,0),"ERROR")</f>
        <v>1489</v>
      </c>
      <c r="I124" s="112">
        <f>IFERROR(VLOOKUP($B124,MMWR_TRAD_AGG_STATE_PEN[],I$1,0),"ERROR")</f>
        <v>521</v>
      </c>
      <c r="J124" s="114">
        <f t="shared" si="13"/>
        <v>0.34989926124916049</v>
      </c>
      <c r="K124" s="111">
        <f>IFERROR(VLOOKUP($B124,MMWR_TRAD_AGG_STATE_PEN[],K$1,0),"ERROR")</f>
        <v>15</v>
      </c>
      <c r="L124" s="112">
        <f>IFERROR(VLOOKUP($B124,MMWR_TRAD_AGG_STATE_PEN[],L$1,0),"ERROR")</f>
        <v>14</v>
      </c>
      <c r="M124" s="114">
        <f t="shared" si="14"/>
        <v>0.93333333333333335</v>
      </c>
      <c r="N124" s="111">
        <f>IFERROR(VLOOKUP($B124,MMWR_TRAD_AGG_STATE_PEN[],N$1,0),"ERROR")</f>
        <v>15</v>
      </c>
      <c r="O124" s="112">
        <f>IFERROR(VLOOKUP($B124,MMWR_TRAD_AGG_STATE_PEN[],O$1,0),"ERROR")</f>
        <v>11</v>
      </c>
      <c r="P124" s="114">
        <f t="shared" si="15"/>
        <v>0.73333333333333328</v>
      </c>
      <c r="Q124" s="115">
        <f>IFERROR(VLOOKUP($B124,MMWR_TRAD_AGG_STATE_PEN[],Q$1,0),"ERROR")</f>
        <v>90</v>
      </c>
      <c r="R124" s="115">
        <f>IFERROR(VLOOKUP($B124,MMWR_TRAD_AGG_STATE_PEN[],R$1,0),"ERROR")</f>
        <v>128</v>
      </c>
      <c r="S124" s="115">
        <f>IFERROR(VLOOKUP($B124,MMWR_APP_STATE_PEN[],S$1,0),"ERROR")</f>
        <v>138</v>
      </c>
      <c r="T124" s="28"/>
    </row>
    <row r="125" spans="1:20" s="123" customFormat="1" x14ac:dyDescent="0.2">
      <c r="A125" s="28"/>
      <c r="B125" s="127" t="s">
        <v>383</v>
      </c>
      <c r="C125" s="109">
        <f>IFERROR(VLOOKUP($B125,MMWR_TRAD_AGG_STATE_PEN[],C$1,0),"ERROR")</f>
        <v>895</v>
      </c>
      <c r="D125" s="110">
        <f>IFERROR(VLOOKUP($B125,MMWR_TRAD_AGG_STATE_PEN[],D$1,0),"ERROR")</f>
        <v>108.7553072626</v>
      </c>
      <c r="E125" s="111">
        <f>IFERROR(VLOOKUP($B125,MMWR_TRAD_AGG_STATE_PEN[],E$1,0),"ERROR")</f>
        <v>954</v>
      </c>
      <c r="F125" s="112">
        <f>IFERROR(VLOOKUP($B125,MMWR_TRAD_AGG_STATE_PEN[],F$1,0),"ERROR")</f>
        <v>225</v>
      </c>
      <c r="G125" s="113">
        <f t="shared" si="12"/>
        <v>0.23584905660377359</v>
      </c>
      <c r="H125" s="111">
        <f>IFERROR(VLOOKUP($B125,MMWR_TRAD_AGG_STATE_PEN[],H$1,0),"ERROR")</f>
        <v>1218</v>
      </c>
      <c r="I125" s="112">
        <f>IFERROR(VLOOKUP($B125,MMWR_TRAD_AGG_STATE_PEN[],I$1,0),"ERROR")</f>
        <v>462</v>
      </c>
      <c r="J125" s="114">
        <f t="shared" si="13"/>
        <v>0.37931034482758619</v>
      </c>
      <c r="K125" s="111">
        <f>IFERROR(VLOOKUP($B125,MMWR_TRAD_AGG_STATE_PEN[],K$1,0),"ERROR")</f>
        <v>15</v>
      </c>
      <c r="L125" s="112">
        <f>IFERROR(VLOOKUP($B125,MMWR_TRAD_AGG_STATE_PEN[],L$1,0),"ERROR")</f>
        <v>14</v>
      </c>
      <c r="M125" s="114">
        <f t="shared" si="14"/>
        <v>0.93333333333333335</v>
      </c>
      <c r="N125" s="111">
        <f>IFERROR(VLOOKUP($B125,MMWR_TRAD_AGG_STATE_PEN[],N$1,0),"ERROR")</f>
        <v>41</v>
      </c>
      <c r="O125" s="112">
        <f>IFERROR(VLOOKUP($B125,MMWR_TRAD_AGG_STATE_PEN[],O$1,0),"ERROR")</f>
        <v>15</v>
      </c>
      <c r="P125" s="114">
        <f t="shared" si="15"/>
        <v>0.36585365853658536</v>
      </c>
      <c r="Q125" s="115">
        <f>IFERROR(VLOOKUP($B125,MMWR_TRAD_AGG_STATE_PEN[],Q$1,0),"ERROR")</f>
        <v>174</v>
      </c>
      <c r="R125" s="115">
        <f>IFERROR(VLOOKUP($B125,MMWR_TRAD_AGG_STATE_PEN[],R$1,0),"ERROR")</f>
        <v>288</v>
      </c>
      <c r="S125" s="115">
        <f>IFERROR(VLOOKUP($B125,MMWR_APP_STATE_PEN[],S$1,0),"ERROR")</f>
        <v>182</v>
      </c>
      <c r="T125" s="28"/>
    </row>
    <row r="126" spans="1:20" s="123" customFormat="1" x14ac:dyDescent="0.2">
      <c r="A126" s="28"/>
      <c r="B126" s="127" t="s">
        <v>384</v>
      </c>
      <c r="C126" s="109">
        <f>IFERROR(VLOOKUP($B126,MMWR_TRAD_AGG_STATE_PEN[],C$1,0),"ERROR")</f>
        <v>307</v>
      </c>
      <c r="D126" s="110">
        <f>IFERROR(VLOOKUP($B126,MMWR_TRAD_AGG_STATE_PEN[],D$1,0),"ERROR")</f>
        <v>59.996742671</v>
      </c>
      <c r="E126" s="111">
        <f>IFERROR(VLOOKUP($B126,MMWR_TRAD_AGG_STATE_PEN[],E$1,0),"ERROR")</f>
        <v>700</v>
      </c>
      <c r="F126" s="112">
        <f>IFERROR(VLOOKUP($B126,MMWR_TRAD_AGG_STATE_PEN[],F$1,0),"ERROR")</f>
        <v>58</v>
      </c>
      <c r="G126" s="113">
        <f t="shared" si="12"/>
        <v>8.2857142857142851E-2</v>
      </c>
      <c r="H126" s="111">
        <f>IFERROR(VLOOKUP($B126,MMWR_TRAD_AGG_STATE_PEN[],H$1,0),"ERROR")</f>
        <v>501</v>
      </c>
      <c r="I126" s="112">
        <f>IFERROR(VLOOKUP($B126,MMWR_TRAD_AGG_STATE_PEN[],I$1,0),"ERROR")</f>
        <v>47</v>
      </c>
      <c r="J126" s="114">
        <f t="shared" si="13"/>
        <v>9.3812375249500993E-2</v>
      </c>
      <c r="K126" s="111">
        <f>IFERROR(VLOOKUP($B126,MMWR_TRAD_AGG_STATE_PEN[],K$1,0),"ERROR")</f>
        <v>3</v>
      </c>
      <c r="L126" s="112">
        <f>IFERROR(VLOOKUP($B126,MMWR_TRAD_AGG_STATE_PEN[],L$1,0),"ERROR")</f>
        <v>3</v>
      </c>
      <c r="M126" s="114">
        <f t="shared" si="14"/>
        <v>1</v>
      </c>
      <c r="N126" s="111">
        <f>IFERROR(VLOOKUP($B126,MMWR_TRAD_AGG_STATE_PEN[],N$1,0),"ERROR")</f>
        <v>51</v>
      </c>
      <c r="O126" s="112">
        <f>IFERROR(VLOOKUP($B126,MMWR_TRAD_AGG_STATE_PEN[],O$1,0),"ERROR")</f>
        <v>13</v>
      </c>
      <c r="P126" s="114">
        <f t="shared" si="15"/>
        <v>0.25490196078431371</v>
      </c>
      <c r="Q126" s="115">
        <f>IFERROR(VLOOKUP($B126,MMWR_TRAD_AGG_STATE_PEN[],Q$1,0),"ERROR")</f>
        <v>105</v>
      </c>
      <c r="R126" s="115">
        <f>IFERROR(VLOOKUP($B126,MMWR_TRAD_AGG_STATE_PEN[],R$1,0),"ERROR")</f>
        <v>68</v>
      </c>
      <c r="S126" s="115">
        <f>IFERROR(VLOOKUP($B126,MMWR_APP_STATE_PEN[],S$1,0),"ERROR")</f>
        <v>255</v>
      </c>
      <c r="T126" s="28"/>
    </row>
    <row r="127" spans="1:20" s="123" customFormat="1" x14ac:dyDescent="0.2">
      <c r="A127" s="28"/>
      <c r="B127" s="128" t="s">
        <v>8</v>
      </c>
      <c r="C127" s="102">
        <f>IFERROR(VLOOKUP($B127,MMWR_TRAD_AGG_ST_DISTRICT_PEN[],C$1,0),"ERROR")</f>
        <v>150</v>
      </c>
      <c r="D127" s="103">
        <f>IFERROR(VLOOKUP($B127,MMWR_TRAD_AGG_ST_DISTRICT_PEN[],D$1,0),"ERROR")</f>
        <v>106.0133333333</v>
      </c>
      <c r="E127" s="102">
        <f>IFERROR(VLOOKUP($B127,MMWR_TRAD_AGG_ST_DISTRICT_PEN[],E$1,0),"ERROR")</f>
        <v>200</v>
      </c>
      <c r="F127" s="102">
        <f>IFERROR(VLOOKUP($B127,MMWR_TRAD_AGG_ST_DISTRICT_PEN[],F$1,0),"ERROR")</f>
        <v>85</v>
      </c>
      <c r="G127" s="104">
        <f t="shared" si="12"/>
        <v>0.42499999999999999</v>
      </c>
      <c r="H127" s="102">
        <f>IFERROR(VLOOKUP($B127,MMWR_TRAD_AGG_ST_DISTRICT_PEN[],H$1,0),"ERROR")</f>
        <v>309</v>
      </c>
      <c r="I127" s="102">
        <f>IFERROR(VLOOKUP($B127,MMWR_TRAD_AGG_ST_DISTRICT_PEN[],I$1,0),"ERROR")</f>
        <v>164</v>
      </c>
      <c r="J127" s="104">
        <f t="shared" si="13"/>
        <v>0.53074433656957931</v>
      </c>
      <c r="K127" s="102">
        <f>IFERROR(VLOOKUP($B127,MMWR_TRAD_AGG_ST_DISTRICT_PEN[],K$1,0),"ERROR")</f>
        <v>13</v>
      </c>
      <c r="L127" s="102">
        <f>IFERROR(VLOOKUP($B127,MMWR_TRAD_AGG_ST_DISTRICT_PEN[],L$1,0),"ERROR")</f>
        <v>10</v>
      </c>
      <c r="M127" s="104">
        <f t="shared" si="14"/>
        <v>0.76923076923076927</v>
      </c>
      <c r="N127" s="102">
        <f>IFERROR(VLOOKUP($B127,MMWR_TRAD_AGG_ST_DISTRICT_PEN[],N$1,0),"ERROR")</f>
        <v>6</v>
      </c>
      <c r="O127" s="102">
        <f>IFERROR(VLOOKUP($B127,MMWR_TRAD_AGG_ST_DISTRICT_PEN[],O$1,0),"ERROR")</f>
        <v>4</v>
      </c>
      <c r="P127" s="104">
        <f t="shared" si="15"/>
        <v>0.66666666666666663</v>
      </c>
      <c r="Q127" s="102">
        <f>IFERROR(VLOOKUP($B127,MMWR_TRAD_AGG_ST_DISTRICT_PEN[],Q$1,0),"ERROR")</f>
        <v>42</v>
      </c>
      <c r="R127" s="106">
        <f>IFERROR(VLOOKUP($B127,MMWR_TRAD_AGG_ST_DISTRICT_PEN[],R$1,0),"ERROR")</f>
        <v>16</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305</v>
      </c>
      <c r="H2" t="s">
        <v>136</v>
      </c>
      <c r="I2" t="s">
        <v>217</v>
      </c>
      <c r="J2" t="s">
        <v>218</v>
      </c>
      <c r="K2" t="s">
        <v>219</v>
      </c>
      <c r="L2" t="s">
        <v>220</v>
      </c>
      <c r="M2" t="s">
        <v>221</v>
      </c>
      <c r="N2" t="s">
        <v>222</v>
      </c>
      <c r="O2" t="s">
        <v>223</v>
      </c>
      <c r="P2" t="s">
        <v>224</v>
      </c>
      <c r="Q2" t="s">
        <v>225</v>
      </c>
      <c r="R2" t="s">
        <v>226</v>
      </c>
      <c r="T2" t="s">
        <v>651</v>
      </c>
      <c r="U2" t="s">
        <v>305</v>
      </c>
      <c r="V2" t="s">
        <v>136</v>
      </c>
      <c r="W2" t="s">
        <v>217</v>
      </c>
      <c r="X2" t="s">
        <v>459</v>
      </c>
      <c r="Y2" t="s">
        <v>219</v>
      </c>
      <c r="Z2" t="s">
        <v>220</v>
      </c>
      <c r="AA2" t="s">
        <v>221</v>
      </c>
      <c r="AB2" t="s">
        <v>460</v>
      </c>
      <c r="AC2" t="s">
        <v>223</v>
      </c>
      <c r="AD2" t="s">
        <v>224</v>
      </c>
      <c r="AE2" t="s">
        <v>225</v>
      </c>
      <c r="AF2" t="s">
        <v>226</v>
      </c>
      <c r="AH2" t="s">
        <v>650</v>
      </c>
      <c r="AI2" t="s">
        <v>305</v>
      </c>
      <c r="AJ2" t="s">
        <v>136</v>
      </c>
      <c r="AK2" t="s">
        <v>217</v>
      </c>
      <c r="AL2" t="s">
        <v>218</v>
      </c>
      <c r="AM2" t="s">
        <v>219</v>
      </c>
      <c r="AN2" t="s">
        <v>220</v>
      </c>
      <c r="AO2" t="s">
        <v>221</v>
      </c>
      <c r="AP2" t="s">
        <v>222</v>
      </c>
      <c r="AQ2" t="s">
        <v>223</v>
      </c>
      <c r="AR2" t="s">
        <v>224</v>
      </c>
      <c r="AS2" t="s">
        <v>225</v>
      </c>
      <c r="AT2" t="s">
        <v>226</v>
      </c>
      <c r="AV2" t="s">
        <v>649</v>
      </c>
      <c r="AW2" t="s">
        <v>305</v>
      </c>
      <c r="AX2" t="s">
        <v>136</v>
      </c>
      <c r="AY2" t="s">
        <v>217</v>
      </c>
      <c r="AZ2" t="s">
        <v>459</v>
      </c>
      <c r="BA2" t="s">
        <v>219</v>
      </c>
      <c r="BB2" t="s">
        <v>220</v>
      </c>
      <c r="BC2" t="s">
        <v>221</v>
      </c>
      <c r="BD2" t="s">
        <v>460</v>
      </c>
      <c r="BE2" t="s">
        <v>223</v>
      </c>
      <c r="BF2" t="s">
        <v>224</v>
      </c>
      <c r="BG2" t="s">
        <v>225</v>
      </c>
      <c r="BH2" t="s">
        <v>226</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1031</v>
      </c>
      <c r="CB2" t="s">
        <v>735</v>
      </c>
      <c r="CC2" t="s">
        <v>736</v>
      </c>
      <c r="CD2" t="s">
        <v>714</v>
      </c>
      <c r="CE2" t="s">
        <v>715</v>
      </c>
      <c r="CF2" t="s">
        <v>716</v>
      </c>
      <c r="CG2" t="s">
        <v>717</v>
      </c>
      <c r="CH2" t="s">
        <v>718</v>
      </c>
      <c r="CI2" t="s">
        <v>719</v>
      </c>
      <c r="CJ2" t="s">
        <v>720</v>
      </c>
      <c r="CL2" t="s">
        <v>1032</v>
      </c>
      <c r="CM2" t="s">
        <v>735</v>
      </c>
      <c r="CN2" t="s">
        <v>736</v>
      </c>
      <c r="CO2" t="s">
        <v>714</v>
      </c>
      <c r="CP2" t="s">
        <v>715</v>
      </c>
      <c r="CQ2" t="s">
        <v>716</v>
      </c>
      <c r="CR2" t="s">
        <v>717</v>
      </c>
      <c r="CS2" t="s">
        <v>718</v>
      </c>
      <c r="CT2" t="s">
        <v>719</v>
      </c>
      <c r="CU2" t="s">
        <v>720</v>
      </c>
      <c r="CW2" t="s">
        <v>1033</v>
      </c>
      <c r="CX2" t="s">
        <v>735</v>
      </c>
      <c r="CY2" t="s">
        <v>736</v>
      </c>
      <c r="CZ2" t="s">
        <v>714</v>
      </c>
      <c r="DA2" t="s">
        <v>715</v>
      </c>
      <c r="DB2" t="s">
        <v>716</v>
      </c>
      <c r="DC2" t="s">
        <v>717</v>
      </c>
      <c r="DD2" t="s">
        <v>718</v>
      </c>
      <c r="DE2" t="s">
        <v>719</v>
      </c>
      <c r="DF2" t="s">
        <v>720</v>
      </c>
      <c r="DH2" t="s">
        <v>1034</v>
      </c>
      <c r="DI2" t="s">
        <v>735</v>
      </c>
      <c r="DJ2" t="s">
        <v>736</v>
      </c>
      <c r="DK2" t="s">
        <v>714</v>
      </c>
      <c r="DL2" t="s">
        <v>715</v>
      </c>
      <c r="DM2" t="s">
        <v>716</v>
      </c>
      <c r="DN2" t="s">
        <v>717</v>
      </c>
      <c r="DO2" t="s">
        <v>718</v>
      </c>
      <c r="DP2" t="s">
        <v>719</v>
      </c>
      <c r="DQ2" t="s">
        <v>720</v>
      </c>
    </row>
    <row r="3" spans="2:121" x14ac:dyDescent="0.2">
      <c r="C3">
        <v>343273</v>
      </c>
      <c r="D3">
        <v>276088</v>
      </c>
      <c r="F3" t="s">
        <v>34</v>
      </c>
      <c r="G3">
        <v>1095</v>
      </c>
      <c r="H3">
        <v>134.71506849319999</v>
      </c>
      <c r="I3">
        <v>3147</v>
      </c>
      <c r="J3">
        <v>574</v>
      </c>
      <c r="K3">
        <v>1546</v>
      </c>
      <c r="L3">
        <v>512</v>
      </c>
      <c r="M3">
        <v>390</v>
      </c>
      <c r="N3">
        <v>137</v>
      </c>
      <c r="O3">
        <v>439</v>
      </c>
      <c r="P3">
        <v>226</v>
      </c>
      <c r="Q3">
        <v>0</v>
      </c>
      <c r="R3">
        <v>8</v>
      </c>
      <c r="T3" t="s">
        <v>212</v>
      </c>
      <c r="U3">
        <v>3001</v>
      </c>
      <c r="V3">
        <v>53.574808397200002</v>
      </c>
      <c r="W3">
        <v>7927</v>
      </c>
      <c r="X3">
        <v>712</v>
      </c>
      <c r="Y3">
        <v>5001</v>
      </c>
      <c r="Z3">
        <v>226</v>
      </c>
      <c r="AA3">
        <v>3</v>
      </c>
      <c r="AB3">
        <v>3</v>
      </c>
      <c r="AC3">
        <v>463</v>
      </c>
      <c r="AD3">
        <v>77</v>
      </c>
      <c r="AE3">
        <v>968</v>
      </c>
      <c r="AF3">
        <v>753</v>
      </c>
      <c r="AH3" t="s">
        <v>388</v>
      </c>
      <c r="AI3">
        <v>13583</v>
      </c>
      <c r="AJ3">
        <v>389.04196422000001</v>
      </c>
      <c r="AK3">
        <v>7846</v>
      </c>
      <c r="AL3">
        <v>1361</v>
      </c>
      <c r="AM3">
        <v>17509</v>
      </c>
      <c r="AN3">
        <v>11847</v>
      </c>
      <c r="AO3">
        <v>5257</v>
      </c>
      <c r="AP3">
        <v>3956</v>
      </c>
      <c r="AQ3">
        <v>3589</v>
      </c>
      <c r="AR3">
        <v>2139</v>
      </c>
      <c r="AS3">
        <v>378</v>
      </c>
      <c r="AT3">
        <v>356</v>
      </c>
      <c r="AV3" t="s">
        <v>413</v>
      </c>
      <c r="AW3">
        <v>72</v>
      </c>
      <c r="AX3">
        <v>48.638888888899999</v>
      </c>
      <c r="AY3">
        <v>202</v>
      </c>
      <c r="AZ3">
        <v>3</v>
      </c>
      <c r="BA3">
        <v>106</v>
      </c>
      <c r="BB3">
        <v>9</v>
      </c>
      <c r="BC3">
        <v>0</v>
      </c>
      <c r="BE3">
        <v>8</v>
      </c>
      <c r="BF3">
        <v>4</v>
      </c>
      <c r="BG3">
        <v>109</v>
      </c>
      <c r="BH3">
        <v>23</v>
      </c>
      <c r="BJ3" t="s">
        <v>728</v>
      </c>
      <c r="BK3" t="s">
        <v>731</v>
      </c>
      <c r="BL3">
        <v>313845</v>
      </c>
      <c r="BM3">
        <v>68199</v>
      </c>
      <c r="BN3">
        <v>94.626462107099997</v>
      </c>
      <c r="BO3">
        <v>246759</v>
      </c>
      <c r="BP3">
        <v>73259</v>
      </c>
      <c r="BQ3">
        <v>135.81233916490001</v>
      </c>
      <c r="BR3">
        <v>135.3829427101</v>
      </c>
      <c r="BS3">
        <v>313845</v>
      </c>
      <c r="BT3">
        <v>68199</v>
      </c>
      <c r="BU3">
        <v>94.626462107099997</v>
      </c>
      <c r="BV3">
        <v>246759</v>
      </c>
      <c r="BW3">
        <v>73259</v>
      </c>
      <c r="BX3">
        <v>135.81233916490001</v>
      </c>
      <c r="BY3">
        <v>135.3829427101</v>
      </c>
      <c r="CA3" t="s">
        <v>1037</v>
      </c>
      <c r="CB3" t="s">
        <v>731</v>
      </c>
      <c r="CC3" t="s">
        <v>917</v>
      </c>
      <c r="CD3">
        <v>11242</v>
      </c>
      <c r="CE3">
        <v>1856</v>
      </c>
      <c r="CF3">
        <v>86.894324853200004</v>
      </c>
      <c r="CG3">
        <v>5396</v>
      </c>
      <c r="CH3">
        <v>1815</v>
      </c>
      <c r="CI3">
        <v>132.08506300959999</v>
      </c>
      <c r="CJ3">
        <v>137.42203856750001</v>
      </c>
      <c r="CL3" t="s">
        <v>1037</v>
      </c>
      <c r="CM3" t="s">
        <v>731</v>
      </c>
      <c r="CN3" t="s">
        <v>917</v>
      </c>
      <c r="CO3">
        <v>11242</v>
      </c>
      <c r="CP3">
        <v>1856</v>
      </c>
      <c r="CQ3">
        <v>86.894324853200004</v>
      </c>
      <c r="CR3">
        <v>5396</v>
      </c>
      <c r="CS3">
        <v>1815</v>
      </c>
      <c r="CT3">
        <v>132.08506300959999</v>
      </c>
      <c r="CU3">
        <v>137.42203856750001</v>
      </c>
      <c r="CW3" t="s">
        <v>1037</v>
      </c>
      <c r="CX3" t="s">
        <v>731</v>
      </c>
      <c r="CY3" t="s">
        <v>917</v>
      </c>
      <c r="CZ3">
        <v>11242</v>
      </c>
      <c r="DA3">
        <v>1856</v>
      </c>
      <c r="DB3">
        <v>86.894324853200004</v>
      </c>
      <c r="DC3">
        <v>5396</v>
      </c>
      <c r="DD3">
        <v>1815</v>
      </c>
      <c r="DE3">
        <v>132.08506300959999</v>
      </c>
      <c r="DF3">
        <v>137.42203856750001</v>
      </c>
      <c r="DH3" t="s">
        <v>1037</v>
      </c>
      <c r="DI3" t="s">
        <v>731</v>
      </c>
      <c r="DJ3" t="s">
        <v>917</v>
      </c>
      <c r="DK3">
        <v>11242</v>
      </c>
      <c r="DL3">
        <v>1856</v>
      </c>
      <c r="DM3">
        <v>86.894324853200004</v>
      </c>
      <c r="DN3">
        <v>5396</v>
      </c>
      <c r="DO3">
        <v>1815</v>
      </c>
      <c r="DP3">
        <v>132.08506300959999</v>
      </c>
      <c r="DQ3">
        <v>137.42203856750001</v>
      </c>
    </row>
    <row r="4" spans="2:121" x14ac:dyDescent="0.2">
      <c r="B4" t="s">
        <v>110</v>
      </c>
      <c r="C4">
        <v>73792</v>
      </c>
      <c r="D4">
        <v>57295</v>
      </c>
      <c r="F4" t="s">
        <v>80</v>
      </c>
      <c r="G4">
        <v>15644</v>
      </c>
      <c r="H4">
        <v>301.41108412170001</v>
      </c>
      <c r="I4">
        <v>21513</v>
      </c>
      <c r="J4">
        <v>5374</v>
      </c>
      <c r="K4">
        <v>18935</v>
      </c>
      <c r="L4">
        <v>12138</v>
      </c>
      <c r="M4">
        <v>4477</v>
      </c>
      <c r="N4">
        <v>2255</v>
      </c>
      <c r="O4">
        <v>11639</v>
      </c>
      <c r="P4">
        <v>6754</v>
      </c>
      <c r="Q4">
        <v>9</v>
      </c>
      <c r="R4">
        <v>246</v>
      </c>
      <c r="T4" t="s">
        <v>227</v>
      </c>
      <c r="U4">
        <v>0</v>
      </c>
      <c r="W4">
        <v>258</v>
      </c>
      <c r="X4">
        <v>112</v>
      </c>
      <c r="Y4">
        <v>463</v>
      </c>
      <c r="Z4">
        <v>323</v>
      </c>
      <c r="AA4">
        <v>225</v>
      </c>
      <c r="AB4">
        <v>219</v>
      </c>
      <c r="AC4">
        <v>208</v>
      </c>
      <c r="AD4">
        <v>158</v>
      </c>
      <c r="AE4">
        <v>13</v>
      </c>
      <c r="AF4">
        <v>0</v>
      </c>
      <c r="AH4" t="s">
        <v>424</v>
      </c>
      <c r="AI4">
        <v>1940</v>
      </c>
      <c r="AJ4">
        <v>446.6417525773</v>
      </c>
      <c r="AK4">
        <v>1143</v>
      </c>
      <c r="AL4">
        <v>294</v>
      </c>
      <c r="AM4">
        <v>2846</v>
      </c>
      <c r="AN4">
        <v>1937</v>
      </c>
      <c r="AO4">
        <v>1948</v>
      </c>
      <c r="AP4">
        <v>1610</v>
      </c>
      <c r="AQ4">
        <v>587</v>
      </c>
      <c r="AR4">
        <v>286</v>
      </c>
      <c r="AS4">
        <v>2</v>
      </c>
      <c r="AT4">
        <v>2</v>
      </c>
      <c r="AV4" t="s">
        <v>400</v>
      </c>
      <c r="AW4">
        <v>30</v>
      </c>
      <c r="AX4">
        <v>36.266666666699997</v>
      </c>
      <c r="AY4">
        <v>80</v>
      </c>
      <c r="AZ4">
        <v>6</v>
      </c>
      <c r="BA4">
        <v>51</v>
      </c>
      <c r="BB4">
        <v>1</v>
      </c>
      <c r="BC4">
        <v>0</v>
      </c>
      <c r="BE4">
        <v>2</v>
      </c>
      <c r="BF4">
        <v>1</v>
      </c>
      <c r="BG4">
        <v>169</v>
      </c>
      <c r="BH4">
        <v>9</v>
      </c>
      <c r="BJ4" t="s">
        <v>637</v>
      </c>
      <c r="BK4" t="s">
        <v>385</v>
      </c>
      <c r="BL4">
        <v>809</v>
      </c>
      <c r="BM4">
        <v>103</v>
      </c>
      <c r="BN4">
        <v>82.286773794799998</v>
      </c>
      <c r="BO4">
        <v>586</v>
      </c>
      <c r="BP4">
        <v>182</v>
      </c>
      <c r="BQ4">
        <v>137.41808873720001</v>
      </c>
      <c r="BR4">
        <v>157.21978021979999</v>
      </c>
      <c r="BS4">
        <v>878</v>
      </c>
      <c r="BT4">
        <v>152</v>
      </c>
      <c r="BU4">
        <v>87.395216400899997</v>
      </c>
      <c r="BV4">
        <v>676</v>
      </c>
      <c r="BW4">
        <v>207</v>
      </c>
      <c r="BX4">
        <v>140.56804733729999</v>
      </c>
      <c r="BY4">
        <v>152.31884057970001</v>
      </c>
      <c r="CA4" t="s">
        <v>1036</v>
      </c>
      <c r="CB4" t="s">
        <v>731</v>
      </c>
      <c r="CC4" t="s">
        <v>917</v>
      </c>
      <c r="CD4">
        <v>313845</v>
      </c>
      <c r="CE4">
        <v>68199</v>
      </c>
      <c r="CF4">
        <v>94.626462107099997</v>
      </c>
      <c r="CG4">
        <v>246759</v>
      </c>
      <c r="CH4">
        <v>73259</v>
      </c>
      <c r="CI4">
        <v>135.81233916490001</v>
      </c>
      <c r="CJ4">
        <v>135.3829427101</v>
      </c>
      <c r="CL4" t="s">
        <v>1036</v>
      </c>
      <c r="CM4" t="s">
        <v>731</v>
      </c>
      <c r="CN4" t="s">
        <v>917</v>
      </c>
      <c r="CO4">
        <v>313845</v>
      </c>
      <c r="CP4">
        <v>68199</v>
      </c>
      <c r="CQ4">
        <v>94.626462107099997</v>
      </c>
      <c r="CR4">
        <v>246759</v>
      </c>
      <c r="CS4">
        <v>73259</v>
      </c>
      <c r="CT4">
        <v>135.81233916490001</v>
      </c>
      <c r="CU4">
        <v>135.3829427101</v>
      </c>
      <c r="CW4" t="s">
        <v>1036</v>
      </c>
      <c r="CX4" t="s">
        <v>731</v>
      </c>
      <c r="CY4" t="s">
        <v>917</v>
      </c>
      <c r="CZ4">
        <v>313845</v>
      </c>
      <c r="DA4">
        <v>68199</v>
      </c>
      <c r="DB4">
        <v>94.626462107099997</v>
      </c>
      <c r="DC4">
        <v>246759</v>
      </c>
      <c r="DD4">
        <v>73259</v>
      </c>
      <c r="DE4">
        <v>135.81233916490001</v>
      </c>
      <c r="DF4">
        <v>135.3829427101</v>
      </c>
      <c r="DH4" t="s">
        <v>1036</v>
      </c>
      <c r="DI4" t="s">
        <v>731</v>
      </c>
      <c r="DJ4" t="s">
        <v>917</v>
      </c>
      <c r="DK4">
        <v>313845</v>
      </c>
      <c r="DL4">
        <v>68199</v>
      </c>
      <c r="DM4">
        <v>94.626462107099997</v>
      </c>
      <c r="DN4">
        <v>246759</v>
      </c>
      <c r="DO4">
        <v>73259</v>
      </c>
      <c r="DP4">
        <v>135.81233916490001</v>
      </c>
      <c r="DQ4">
        <v>135.3829427101</v>
      </c>
    </row>
    <row r="5" spans="2:121" x14ac:dyDescent="0.2">
      <c r="B5" t="s">
        <v>101</v>
      </c>
      <c r="C5">
        <v>109424</v>
      </c>
      <c r="D5">
        <v>87061</v>
      </c>
      <c r="F5" t="s">
        <v>54</v>
      </c>
      <c r="G5">
        <v>5006</v>
      </c>
      <c r="H5">
        <v>365.91250499400002</v>
      </c>
      <c r="I5">
        <v>3435</v>
      </c>
      <c r="J5">
        <v>582</v>
      </c>
      <c r="K5">
        <v>9031</v>
      </c>
      <c r="L5">
        <v>4690</v>
      </c>
      <c r="M5">
        <v>4433</v>
      </c>
      <c r="N5">
        <v>3853</v>
      </c>
      <c r="O5">
        <v>1279</v>
      </c>
      <c r="P5">
        <v>577</v>
      </c>
      <c r="Q5">
        <v>1</v>
      </c>
      <c r="R5">
        <v>134</v>
      </c>
      <c r="T5" t="s">
        <v>213</v>
      </c>
      <c r="U5">
        <v>13159</v>
      </c>
      <c r="V5">
        <v>104.5683562581</v>
      </c>
      <c r="W5">
        <v>17809</v>
      </c>
      <c r="X5">
        <v>3625</v>
      </c>
      <c r="Y5">
        <v>18111</v>
      </c>
      <c r="Z5">
        <v>6479</v>
      </c>
      <c r="AA5">
        <v>353</v>
      </c>
      <c r="AB5">
        <v>343</v>
      </c>
      <c r="AC5">
        <v>878</v>
      </c>
      <c r="AD5">
        <v>247</v>
      </c>
      <c r="AE5">
        <v>2215</v>
      </c>
      <c r="AF5">
        <v>4322</v>
      </c>
      <c r="AH5" t="s">
        <v>426</v>
      </c>
      <c r="AI5">
        <v>6490</v>
      </c>
      <c r="AJ5">
        <v>306.89260400619997</v>
      </c>
      <c r="AK5">
        <v>6223</v>
      </c>
      <c r="AL5">
        <v>1266</v>
      </c>
      <c r="AM5">
        <v>9173</v>
      </c>
      <c r="AN5">
        <v>5567</v>
      </c>
      <c r="AO5">
        <v>1585</v>
      </c>
      <c r="AP5">
        <v>754</v>
      </c>
      <c r="AQ5">
        <v>3586</v>
      </c>
      <c r="AR5">
        <v>2651</v>
      </c>
      <c r="AS5">
        <v>2</v>
      </c>
      <c r="AT5">
        <v>76</v>
      </c>
      <c r="AV5" t="s">
        <v>427</v>
      </c>
      <c r="AW5">
        <v>980</v>
      </c>
      <c r="AX5">
        <v>103.0704081633</v>
      </c>
      <c r="AY5">
        <v>656</v>
      </c>
      <c r="AZ5">
        <v>130</v>
      </c>
      <c r="BA5">
        <v>1489</v>
      </c>
      <c r="BB5">
        <v>521</v>
      </c>
      <c r="BC5">
        <v>15</v>
      </c>
      <c r="BD5">
        <v>14</v>
      </c>
      <c r="BE5">
        <v>15</v>
      </c>
      <c r="BF5">
        <v>11</v>
      </c>
      <c r="BG5">
        <v>90</v>
      </c>
      <c r="BH5">
        <v>128</v>
      </c>
      <c r="BJ5" t="s">
        <v>385</v>
      </c>
      <c r="BK5" t="s">
        <v>385</v>
      </c>
      <c r="BL5">
        <v>61927</v>
      </c>
      <c r="BM5">
        <v>13062</v>
      </c>
      <c r="BN5">
        <v>93.314951475100003</v>
      </c>
      <c r="BO5">
        <v>47968</v>
      </c>
      <c r="BP5">
        <v>13876</v>
      </c>
      <c r="BQ5">
        <v>142.35475733819999</v>
      </c>
      <c r="BR5">
        <v>142.1801671952</v>
      </c>
      <c r="BS5">
        <v>62181</v>
      </c>
      <c r="BT5">
        <v>13378</v>
      </c>
      <c r="BU5">
        <v>93.924687605499997</v>
      </c>
      <c r="BV5">
        <v>48117</v>
      </c>
      <c r="BW5">
        <v>14126</v>
      </c>
      <c r="BX5">
        <v>141.58093812999999</v>
      </c>
      <c r="BY5">
        <v>141.1629619142</v>
      </c>
      <c r="CA5" t="s">
        <v>1038</v>
      </c>
      <c r="CB5" t="s">
        <v>731</v>
      </c>
      <c r="CC5" t="s">
        <v>917</v>
      </c>
      <c r="CD5">
        <v>26409</v>
      </c>
      <c r="CE5">
        <v>2449</v>
      </c>
      <c r="CF5">
        <v>66.619258586100003</v>
      </c>
      <c r="CG5">
        <v>33906</v>
      </c>
      <c r="CH5">
        <v>10354</v>
      </c>
      <c r="CI5">
        <v>71.254940128599998</v>
      </c>
      <c r="CJ5">
        <v>75.242708132100006</v>
      </c>
      <c r="CL5" t="s">
        <v>1038</v>
      </c>
      <c r="CM5" t="s">
        <v>731</v>
      </c>
      <c r="CN5" t="s">
        <v>917</v>
      </c>
      <c r="CO5">
        <v>26409</v>
      </c>
      <c r="CP5">
        <v>2449</v>
      </c>
      <c r="CQ5">
        <v>66.619258586100003</v>
      </c>
      <c r="CR5">
        <v>33906</v>
      </c>
      <c r="CS5">
        <v>10354</v>
      </c>
      <c r="CT5">
        <v>71.254940128599998</v>
      </c>
      <c r="CU5">
        <v>75.242708132100006</v>
      </c>
      <c r="CW5" t="s">
        <v>1038</v>
      </c>
      <c r="CX5" t="s">
        <v>731</v>
      </c>
      <c r="CY5" t="s">
        <v>917</v>
      </c>
      <c r="CZ5">
        <v>26409</v>
      </c>
      <c r="DA5">
        <v>2449</v>
      </c>
      <c r="DB5">
        <v>66.619258586100003</v>
      </c>
      <c r="DC5">
        <v>33906</v>
      </c>
      <c r="DD5">
        <v>10354</v>
      </c>
      <c r="DE5">
        <v>71.254940128599998</v>
      </c>
      <c r="DF5">
        <v>75.242708132100006</v>
      </c>
      <c r="DH5" t="s">
        <v>1038</v>
      </c>
      <c r="DI5" t="s">
        <v>731</v>
      </c>
      <c r="DJ5" t="s">
        <v>917</v>
      </c>
      <c r="DK5">
        <v>26409</v>
      </c>
      <c r="DL5">
        <v>2449</v>
      </c>
      <c r="DM5">
        <v>66.619258586100003</v>
      </c>
      <c r="DN5">
        <v>33906</v>
      </c>
      <c r="DO5">
        <v>10354</v>
      </c>
      <c r="DP5">
        <v>71.254940128599998</v>
      </c>
      <c r="DQ5">
        <v>75.242708132100006</v>
      </c>
    </row>
    <row r="6" spans="2:121" x14ac:dyDescent="0.2">
      <c r="B6" t="s">
        <v>93</v>
      </c>
      <c r="C6">
        <v>8038</v>
      </c>
      <c r="D6">
        <v>1384</v>
      </c>
      <c r="F6" t="s">
        <v>184</v>
      </c>
      <c r="G6">
        <v>632</v>
      </c>
      <c r="H6">
        <v>181.71518987339999</v>
      </c>
      <c r="I6">
        <v>643</v>
      </c>
      <c r="J6">
        <v>50</v>
      </c>
      <c r="K6">
        <v>825</v>
      </c>
      <c r="L6">
        <v>352</v>
      </c>
      <c r="M6">
        <v>494</v>
      </c>
      <c r="N6">
        <v>180</v>
      </c>
      <c r="O6">
        <v>162</v>
      </c>
      <c r="P6">
        <v>50</v>
      </c>
      <c r="Q6">
        <v>0</v>
      </c>
      <c r="R6">
        <v>3</v>
      </c>
      <c r="T6" t="s">
        <v>215</v>
      </c>
      <c r="U6">
        <v>2409</v>
      </c>
      <c r="V6">
        <v>40.316728933199997</v>
      </c>
      <c r="W6">
        <v>6992</v>
      </c>
      <c r="X6">
        <v>253</v>
      </c>
      <c r="Y6">
        <v>3671</v>
      </c>
      <c r="Z6">
        <v>29</v>
      </c>
      <c r="AA6">
        <v>27</v>
      </c>
      <c r="AB6">
        <v>5</v>
      </c>
      <c r="AC6">
        <v>149</v>
      </c>
      <c r="AD6">
        <v>37</v>
      </c>
      <c r="AE6">
        <v>6121</v>
      </c>
      <c r="AF6">
        <v>773</v>
      </c>
      <c r="AH6" t="s">
        <v>411</v>
      </c>
      <c r="AI6">
        <v>5338</v>
      </c>
      <c r="AJ6">
        <v>372.04271262650002</v>
      </c>
      <c r="AK6">
        <v>3708</v>
      </c>
      <c r="AL6">
        <v>651</v>
      </c>
      <c r="AM6">
        <v>6966</v>
      </c>
      <c r="AN6">
        <v>4789</v>
      </c>
      <c r="AO6">
        <v>2066</v>
      </c>
      <c r="AP6">
        <v>1597</v>
      </c>
      <c r="AQ6">
        <v>2058</v>
      </c>
      <c r="AR6">
        <v>1005</v>
      </c>
      <c r="AS6">
        <v>276</v>
      </c>
      <c r="AT6">
        <v>132</v>
      </c>
      <c r="AV6" t="s">
        <v>420</v>
      </c>
      <c r="AW6">
        <v>26</v>
      </c>
      <c r="AX6">
        <v>45.884615384600004</v>
      </c>
      <c r="AY6">
        <v>45</v>
      </c>
      <c r="AZ6">
        <v>1</v>
      </c>
      <c r="BA6">
        <v>40</v>
      </c>
      <c r="BB6">
        <v>3</v>
      </c>
      <c r="BC6">
        <v>0</v>
      </c>
      <c r="BE6">
        <v>0</v>
      </c>
      <c r="BG6">
        <v>93</v>
      </c>
      <c r="BH6">
        <v>2</v>
      </c>
      <c r="BJ6" t="s">
        <v>584</v>
      </c>
      <c r="BK6" t="s">
        <v>385</v>
      </c>
      <c r="BL6">
        <v>6770</v>
      </c>
      <c r="BM6">
        <v>1604</v>
      </c>
      <c r="BN6">
        <v>101.4460856721</v>
      </c>
      <c r="BO6">
        <v>4198</v>
      </c>
      <c r="BP6">
        <v>1208</v>
      </c>
      <c r="BQ6">
        <v>162.97570271559999</v>
      </c>
      <c r="BR6">
        <v>180.20115894040001</v>
      </c>
      <c r="BS6">
        <v>6576</v>
      </c>
      <c r="BT6">
        <v>1616</v>
      </c>
      <c r="BU6">
        <v>101.6654501217</v>
      </c>
      <c r="BV6">
        <v>4135</v>
      </c>
      <c r="BW6">
        <v>1172</v>
      </c>
      <c r="BX6">
        <v>158.9915356711</v>
      </c>
      <c r="BY6">
        <v>180.22184300340001</v>
      </c>
      <c r="CA6" t="s">
        <v>1039</v>
      </c>
      <c r="CB6" t="s">
        <v>731</v>
      </c>
      <c r="CC6" t="s">
        <v>917</v>
      </c>
      <c r="CD6">
        <v>10477</v>
      </c>
      <c r="CE6">
        <v>1844</v>
      </c>
      <c r="CF6">
        <v>86.1505201871</v>
      </c>
      <c r="CG6">
        <v>4458</v>
      </c>
      <c r="CH6">
        <v>1452</v>
      </c>
      <c r="CI6">
        <v>138.9295648273</v>
      </c>
      <c r="CJ6">
        <v>145.5282369146</v>
      </c>
      <c r="CL6" t="s">
        <v>1039</v>
      </c>
      <c r="CM6" t="s">
        <v>731</v>
      </c>
      <c r="CN6" t="s">
        <v>917</v>
      </c>
      <c r="CO6">
        <v>10477</v>
      </c>
      <c r="CP6">
        <v>1844</v>
      </c>
      <c r="CQ6">
        <v>86.1505201871</v>
      </c>
      <c r="CR6">
        <v>4458</v>
      </c>
      <c r="CS6">
        <v>1452</v>
      </c>
      <c r="CT6">
        <v>138.9295648273</v>
      </c>
      <c r="CU6">
        <v>145.5282369146</v>
      </c>
      <c r="CW6" t="s">
        <v>1039</v>
      </c>
      <c r="CX6" t="s">
        <v>731</v>
      </c>
      <c r="CY6" t="s">
        <v>917</v>
      </c>
      <c r="CZ6">
        <v>10477</v>
      </c>
      <c r="DA6">
        <v>1844</v>
      </c>
      <c r="DB6">
        <v>86.1505201871</v>
      </c>
      <c r="DC6">
        <v>4458</v>
      </c>
      <c r="DD6">
        <v>1452</v>
      </c>
      <c r="DE6">
        <v>138.9295648273</v>
      </c>
      <c r="DF6">
        <v>145.5282369146</v>
      </c>
      <c r="DH6" t="s">
        <v>1039</v>
      </c>
      <c r="DI6" t="s">
        <v>731</v>
      </c>
      <c r="DJ6" t="s">
        <v>917</v>
      </c>
      <c r="DK6">
        <v>10477</v>
      </c>
      <c r="DL6">
        <v>1844</v>
      </c>
      <c r="DM6">
        <v>86.1505201871</v>
      </c>
      <c r="DN6">
        <v>4458</v>
      </c>
      <c r="DO6">
        <v>1452</v>
      </c>
      <c r="DP6">
        <v>138.9295648273</v>
      </c>
      <c r="DQ6">
        <v>145.5282369146</v>
      </c>
    </row>
    <row r="7" spans="2:121" x14ac:dyDescent="0.2">
      <c r="B7" t="s">
        <v>94</v>
      </c>
      <c r="C7">
        <v>806</v>
      </c>
      <c r="D7">
        <v>335</v>
      </c>
      <c r="F7" t="s">
        <v>61</v>
      </c>
      <c r="G7">
        <v>4879</v>
      </c>
      <c r="H7">
        <v>233.2100840336</v>
      </c>
      <c r="I7">
        <v>9979</v>
      </c>
      <c r="J7">
        <v>2188</v>
      </c>
      <c r="K7">
        <v>8317</v>
      </c>
      <c r="L7">
        <v>4151</v>
      </c>
      <c r="M7">
        <v>3331</v>
      </c>
      <c r="N7">
        <v>2056</v>
      </c>
      <c r="O7">
        <v>1812</v>
      </c>
      <c r="P7">
        <v>1163</v>
      </c>
      <c r="Q7">
        <v>2</v>
      </c>
      <c r="R7">
        <v>246</v>
      </c>
      <c r="T7" t="s">
        <v>462</v>
      </c>
      <c r="U7">
        <v>18569</v>
      </c>
      <c r="V7">
        <v>87.991598901399996</v>
      </c>
      <c r="W7">
        <v>32986</v>
      </c>
      <c r="X7">
        <v>4702</v>
      </c>
      <c r="Y7">
        <v>27246</v>
      </c>
      <c r="Z7">
        <v>7057</v>
      </c>
      <c r="AA7">
        <v>608</v>
      </c>
      <c r="AB7">
        <v>570</v>
      </c>
      <c r="AC7">
        <v>1698</v>
      </c>
      <c r="AD7">
        <v>519</v>
      </c>
      <c r="AE7">
        <v>9317</v>
      </c>
      <c r="AF7">
        <v>5848</v>
      </c>
      <c r="AH7" t="s">
        <v>407</v>
      </c>
      <c r="AI7">
        <v>28264</v>
      </c>
      <c r="AJ7">
        <v>377.00042456839998</v>
      </c>
      <c r="AK7">
        <v>30947</v>
      </c>
      <c r="AL7">
        <v>6071</v>
      </c>
      <c r="AM7">
        <v>42018</v>
      </c>
      <c r="AN7">
        <v>28491</v>
      </c>
      <c r="AO7">
        <v>9948</v>
      </c>
      <c r="AP7">
        <v>6934</v>
      </c>
      <c r="AQ7">
        <v>15272</v>
      </c>
      <c r="AR7">
        <v>9270</v>
      </c>
      <c r="AS7">
        <v>55</v>
      </c>
      <c r="AT7">
        <v>131</v>
      </c>
      <c r="AV7" t="s">
        <v>388</v>
      </c>
      <c r="AW7">
        <v>395</v>
      </c>
      <c r="AX7">
        <v>53.1670886076</v>
      </c>
      <c r="AY7">
        <v>929</v>
      </c>
      <c r="AZ7">
        <v>75</v>
      </c>
      <c r="BA7">
        <v>612</v>
      </c>
      <c r="BB7">
        <v>38</v>
      </c>
      <c r="BC7">
        <v>6</v>
      </c>
      <c r="BD7">
        <v>5</v>
      </c>
      <c r="BE7">
        <v>58</v>
      </c>
      <c r="BF7">
        <v>13</v>
      </c>
      <c r="BG7">
        <v>120</v>
      </c>
      <c r="BH7">
        <v>96</v>
      </c>
      <c r="BJ7" t="s">
        <v>631</v>
      </c>
      <c r="BK7" t="s">
        <v>385</v>
      </c>
      <c r="BL7">
        <v>665</v>
      </c>
      <c r="BM7">
        <v>49</v>
      </c>
      <c r="BN7">
        <v>61.768421052599997</v>
      </c>
      <c r="BO7">
        <v>984</v>
      </c>
      <c r="BP7">
        <v>230</v>
      </c>
      <c r="BQ7">
        <v>89.416666666699996</v>
      </c>
      <c r="BR7">
        <v>88.743478260900005</v>
      </c>
      <c r="BS7">
        <v>1241</v>
      </c>
      <c r="BT7">
        <v>259</v>
      </c>
      <c r="BU7">
        <v>94.691377920999997</v>
      </c>
      <c r="BV7">
        <v>1460</v>
      </c>
      <c r="BW7">
        <v>411</v>
      </c>
      <c r="BX7">
        <v>125.1890410959</v>
      </c>
      <c r="BY7">
        <v>122.396593674</v>
      </c>
      <c r="CA7" t="s">
        <v>411</v>
      </c>
      <c r="CB7" t="s">
        <v>767</v>
      </c>
      <c r="CC7" t="s">
        <v>994</v>
      </c>
      <c r="CD7">
        <v>3845</v>
      </c>
      <c r="CE7">
        <v>635</v>
      </c>
      <c r="CF7">
        <v>84.811963589100003</v>
      </c>
      <c r="CG7">
        <v>2918</v>
      </c>
      <c r="CH7">
        <v>798</v>
      </c>
      <c r="CI7">
        <v>123.22858122</v>
      </c>
      <c r="CJ7">
        <v>134.94736842110001</v>
      </c>
      <c r="CL7" t="s">
        <v>411</v>
      </c>
      <c r="CM7" t="s">
        <v>748</v>
      </c>
      <c r="CN7" t="s">
        <v>747</v>
      </c>
      <c r="CO7">
        <v>315</v>
      </c>
      <c r="CP7">
        <v>30</v>
      </c>
      <c r="CQ7">
        <v>64.374603174599997</v>
      </c>
      <c r="CR7">
        <v>421</v>
      </c>
      <c r="CS7">
        <v>147</v>
      </c>
      <c r="CT7">
        <v>60.332541567699998</v>
      </c>
      <c r="CU7">
        <v>66.272108843500007</v>
      </c>
      <c r="CW7" t="s">
        <v>411</v>
      </c>
      <c r="CX7" t="s">
        <v>758</v>
      </c>
      <c r="CY7" t="s">
        <v>757</v>
      </c>
      <c r="CZ7">
        <v>61</v>
      </c>
      <c r="DA7">
        <v>4</v>
      </c>
      <c r="DB7">
        <v>71.409836065600004</v>
      </c>
      <c r="DC7">
        <v>23</v>
      </c>
      <c r="DD7">
        <v>9</v>
      </c>
      <c r="DE7">
        <v>138.34782608699999</v>
      </c>
      <c r="DF7">
        <v>129.1111111111</v>
      </c>
      <c r="DH7" t="s">
        <v>411</v>
      </c>
      <c r="DI7" t="s">
        <v>738</v>
      </c>
      <c r="DJ7" t="s">
        <v>737</v>
      </c>
      <c r="DK7">
        <v>41</v>
      </c>
      <c r="DL7">
        <v>1</v>
      </c>
      <c r="DM7">
        <v>70.682926829300001</v>
      </c>
      <c r="DN7">
        <v>26</v>
      </c>
      <c r="DO7">
        <v>6</v>
      </c>
      <c r="DP7">
        <v>134.19230769230001</v>
      </c>
      <c r="DQ7">
        <v>121.6666666667</v>
      </c>
    </row>
    <row r="8" spans="2:121" x14ac:dyDescent="0.2">
      <c r="B8" t="s">
        <v>103</v>
      </c>
      <c r="C8">
        <v>290</v>
      </c>
      <c r="D8">
        <v>192</v>
      </c>
      <c r="F8" t="s">
        <v>27</v>
      </c>
      <c r="G8">
        <v>1397</v>
      </c>
      <c r="H8">
        <v>97.039370078700003</v>
      </c>
      <c r="I8">
        <v>6025</v>
      </c>
      <c r="J8">
        <v>974</v>
      </c>
      <c r="K8">
        <v>8123</v>
      </c>
      <c r="L8">
        <v>3081</v>
      </c>
      <c r="M8">
        <v>1722</v>
      </c>
      <c r="N8">
        <v>729</v>
      </c>
      <c r="O8">
        <v>1407</v>
      </c>
      <c r="P8">
        <v>525</v>
      </c>
      <c r="Q8">
        <v>0</v>
      </c>
      <c r="R8">
        <v>61</v>
      </c>
      <c r="AH8" t="s">
        <v>403</v>
      </c>
      <c r="AI8">
        <v>6811</v>
      </c>
      <c r="AJ8">
        <v>375.27734547059998</v>
      </c>
      <c r="AK8">
        <v>7254</v>
      </c>
      <c r="AL8">
        <v>1693</v>
      </c>
      <c r="AM8">
        <v>10204</v>
      </c>
      <c r="AN8">
        <v>6557</v>
      </c>
      <c r="AO8">
        <v>3473</v>
      </c>
      <c r="AP8">
        <v>2408</v>
      </c>
      <c r="AQ8">
        <v>1689</v>
      </c>
      <c r="AR8">
        <v>877</v>
      </c>
      <c r="AS8">
        <v>11</v>
      </c>
      <c r="AT8">
        <v>60</v>
      </c>
      <c r="AV8" t="s">
        <v>409</v>
      </c>
      <c r="AW8">
        <v>98</v>
      </c>
      <c r="AX8">
        <v>47.551020408200003</v>
      </c>
      <c r="AY8">
        <v>269</v>
      </c>
      <c r="AZ8">
        <v>9</v>
      </c>
      <c r="BA8">
        <v>154</v>
      </c>
      <c r="BB8">
        <v>9</v>
      </c>
      <c r="BC8">
        <v>1</v>
      </c>
      <c r="BD8">
        <v>1</v>
      </c>
      <c r="BE8">
        <v>10</v>
      </c>
      <c r="BF8">
        <v>4</v>
      </c>
      <c r="BG8">
        <v>277</v>
      </c>
      <c r="BH8">
        <v>40</v>
      </c>
      <c r="BJ8" t="s">
        <v>619</v>
      </c>
      <c r="BK8" t="s">
        <v>385</v>
      </c>
      <c r="BL8">
        <v>15024</v>
      </c>
      <c r="BM8">
        <v>3913</v>
      </c>
      <c r="BN8">
        <v>103.10636315230001</v>
      </c>
      <c r="BO8">
        <v>13170</v>
      </c>
      <c r="BP8">
        <v>3420</v>
      </c>
      <c r="BQ8">
        <v>147.4316628702</v>
      </c>
      <c r="BR8">
        <v>151.13713450290001</v>
      </c>
      <c r="BS8">
        <v>11964</v>
      </c>
      <c r="BT8">
        <v>2324</v>
      </c>
      <c r="BU8">
        <v>90.528167836799994</v>
      </c>
      <c r="BV8">
        <v>8507</v>
      </c>
      <c r="BW8">
        <v>2339</v>
      </c>
      <c r="BX8">
        <v>138.36863759260001</v>
      </c>
      <c r="BY8">
        <v>140.6536981616</v>
      </c>
      <c r="CA8" t="s">
        <v>403</v>
      </c>
      <c r="CB8" t="s">
        <v>767</v>
      </c>
      <c r="CC8" t="s">
        <v>995</v>
      </c>
      <c r="CD8">
        <v>6887</v>
      </c>
      <c r="CE8">
        <v>1618</v>
      </c>
      <c r="CF8">
        <v>100.1828081893</v>
      </c>
      <c r="CG8">
        <v>4681</v>
      </c>
      <c r="CH8">
        <v>1350</v>
      </c>
      <c r="CI8">
        <v>150.25550096129999</v>
      </c>
      <c r="CJ8">
        <v>165.25555555560001</v>
      </c>
      <c r="CL8" t="s">
        <v>403</v>
      </c>
      <c r="CM8" t="s">
        <v>748</v>
      </c>
      <c r="CN8" t="s">
        <v>749</v>
      </c>
      <c r="CO8">
        <v>278</v>
      </c>
      <c r="CP8">
        <v>23</v>
      </c>
      <c r="CQ8">
        <v>63.284172661900001</v>
      </c>
      <c r="CR8">
        <v>474</v>
      </c>
      <c r="CS8">
        <v>140</v>
      </c>
      <c r="CT8">
        <v>60.921940928300003</v>
      </c>
      <c r="CU8">
        <v>62.8357142857</v>
      </c>
      <c r="CW8" t="s">
        <v>403</v>
      </c>
      <c r="CX8" t="s">
        <v>758</v>
      </c>
      <c r="CY8" t="s">
        <v>759</v>
      </c>
      <c r="CZ8">
        <v>320</v>
      </c>
      <c r="DA8">
        <v>37</v>
      </c>
      <c r="DB8">
        <v>78.590625000000003</v>
      </c>
      <c r="DC8">
        <v>122</v>
      </c>
      <c r="DD8">
        <v>42</v>
      </c>
      <c r="DE8">
        <v>137.79508196719999</v>
      </c>
      <c r="DF8">
        <v>150.45238095240001</v>
      </c>
      <c r="DH8" t="s">
        <v>403</v>
      </c>
      <c r="DI8" t="s">
        <v>738</v>
      </c>
      <c r="DJ8" t="s">
        <v>739</v>
      </c>
      <c r="DK8">
        <v>461</v>
      </c>
      <c r="DL8">
        <v>37</v>
      </c>
      <c r="DM8">
        <v>75.327548806899998</v>
      </c>
      <c r="DN8">
        <v>198</v>
      </c>
      <c r="DO8">
        <v>63</v>
      </c>
      <c r="DP8">
        <v>121.1666666667</v>
      </c>
      <c r="DQ8">
        <v>125.7142857143</v>
      </c>
    </row>
    <row r="9" spans="2:121" x14ac:dyDescent="0.2">
      <c r="B9" t="s">
        <v>95</v>
      </c>
      <c r="C9">
        <v>17</v>
      </c>
      <c r="D9">
        <v>2</v>
      </c>
      <c r="F9" t="s">
        <v>62</v>
      </c>
      <c r="G9">
        <v>4786</v>
      </c>
      <c r="H9">
        <v>452.75658169659999</v>
      </c>
      <c r="I9">
        <v>5743</v>
      </c>
      <c r="J9">
        <v>1071</v>
      </c>
      <c r="K9">
        <v>6035</v>
      </c>
      <c r="L9">
        <v>4411</v>
      </c>
      <c r="M9">
        <v>1057</v>
      </c>
      <c r="N9">
        <v>648</v>
      </c>
      <c r="O9">
        <v>1261</v>
      </c>
      <c r="P9">
        <v>708</v>
      </c>
      <c r="Q9">
        <v>1</v>
      </c>
      <c r="R9">
        <v>246</v>
      </c>
      <c r="AH9" t="s">
        <v>373</v>
      </c>
      <c r="AI9">
        <v>1542</v>
      </c>
      <c r="AJ9">
        <v>315.85992217900002</v>
      </c>
      <c r="AK9">
        <v>1975</v>
      </c>
      <c r="AL9">
        <v>376</v>
      </c>
      <c r="AM9">
        <v>3204</v>
      </c>
      <c r="AN9">
        <v>2084</v>
      </c>
      <c r="AO9">
        <v>618</v>
      </c>
      <c r="AP9">
        <v>376</v>
      </c>
      <c r="AQ9">
        <v>1035</v>
      </c>
      <c r="AR9">
        <v>687</v>
      </c>
      <c r="AS9">
        <v>302</v>
      </c>
      <c r="AT9">
        <v>5</v>
      </c>
      <c r="AV9" t="s">
        <v>417</v>
      </c>
      <c r="AW9">
        <v>37</v>
      </c>
      <c r="AX9">
        <v>77.243243243199998</v>
      </c>
      <c r="AY9">
        <v>51</v>
      </c>
      <c r="AZ9">
        <v>9</v>
      </c>
      <c r="BA9">
        <v>43</v>
      </c>
      <c r="BB9">
        <v>10</v>
      </c>
      <c r="BC9">
        <v>1</v>
      </c>
      <c r="BD9">
        <v>1</v>
      </c>
      <c r="BE9">
        <v>3</v>
      </c>
      <c r="BF9">
        <v>1</v>
      </c>
      <c r="BG9">
        <v>12</v>
      </c>
      <c r="BH9">
        <v>9</v>
      </c>
      <c r="BJ9" t="s">
        <v>555</v>
      </c>
      <c r="BK9" t="s">
        <v>385</v>
      </c>
      <c r="BL9">
        <v>4093</v>
      </c>
      <c r="BM9">
        <v>1134</v>
      </c>
      <c r="BN9">
        <v>107.0608355729</v>
      </c>
      <c r="BO9">
        <v>2279</v>
      </c>
      <c r="BP9">
        <v>745</v>
      </c>
      <c r="BQ9">
        <v>151.85958753840001</v>
      </c>
      <c r="BR9">
        <v>158.6536912752</v>
      </c>
      <c r="BS9">
        <v>4704</v>
      </c>
      <c r="BT9">
        <v>1663</v>
      </c>
      <c r="BU9">
        <v>127.318877551</v>
      </c>
      <c r="BV9">
        <v>3167</v>
      </c>
      <c r="BW9">
        <v>832</v>
      </c>
      <c r="BX9">
        <v>146.33754341650001</v>
      </c>
      <c r="BY9">
        <v>161.5240384615</v>
      </c>
      <c r="CA9" t="s">
        <v>387</v>
      </c>
      <c r="CB9" t="s">
        <v>767</v>
      </c>
      <c r="CC9" t="s">
        <v>996</v>
      </c>
      <c r="CD9">
        <v>5769</v>
      </c>
      <c r="CE9">
        <v>1099</v>
      </c>
      <c r="CF9">
        <v>88.361067775999999</v>
      </c>
      <c r="CG9">
        <v>4698</v>
      </c>
      <c r="CH9">
        <v>1202</v>
      </c>
      <c r="CI9">
        <v>130.4512558536</v>
      </c>
      <c r="CJ9">
        <v>129.96256239600001</v>
      </c>
      <c r="CL9" t="s">
        <v>387</v>
      </c>
      <c r="CM9" t="s">
        <v>748</v>
      </c>
      <c r="CN9" t="s">
        <v>750</v>
      </c>
      <c r="CO9">
        <v>434</v>
      </c>
      <c r="CP9">
        <v>44</v>
      </c>
      <c r="CQ9">
        <v>67.437788018399999</v>
      </c>
      <c r="CR9">
        <v>630</v>
      </c>
      <c r="CS9">
        <v>214</v>
      </c>
      <c r="CT9">
        <v>66.323809523799994</v>
      </c>
      <c r="CU9">
        <v>78.808411215000007</v>
      </c>
      <c r="CW9" t="s">
        <v>387</v>
      </c>
      <c r="CX9" t="s">
        <v>758</v>
      </c>
      <c r="CY9" t="s">
        <v>760</v>
      </c>
      <c r="CZ9">
        <v>87</v>
      </c>
      <c r="DA9">
        <v>15</v>
      </c>
      <c r="DB9">
        <v>82.942528735600007</v>
      </c>
      <c r="DC9">
        <v>26</v>
      </c>
      <c r="DD9">
        <v>12</v>
      </c>
      <c r="DE9">
        <v>146.11538461539999</v>
      </c>
      <c r="DF9">
        <v>186.9166666667</v>
      </c>
      <c r="DH9" t="s">
        <v>387</v>
      </c>
      <c r="DI9" t="s">
        <v>738</v>
      </c>
      <c r="DJ9" t="s">
        <v>740</v>
      </c>
      <c r="DK9">
        <v>179</v>
      </c>
      <c r="DL9">
        <v>16</v>
      </c>
      <c r="DM9">
        <v>76.156424580999996</v>
      </c>
      <c r="DN9">
        <v>75</v>
      </c>
      <c r="DO9">
        <v>25</v>
      </c>
      <c r="DP9">
        <v>104.76</v>
      </c>
      <c r="DQ9">
        <v>127.8</v>
      </c>
    </row>
    <row r="10" spans="2:121" x14ac:dyDescent="0.2">
      <c r="B10" t="s">
        <v>313</v>
      </c>
      <c r="C10">
        <v>1</v>
      </c>
      <c r="F10" t="s">
        <v>24</v>
      </c>
      <c r="G10">
        <v>1594</v>
      </c>
      <c r="H10">
        <v>170.64178168129999</v>
      </c>
      <c r="I10">
        <v>3940</v>
      </c>
      <c r="J10">
        <v>783</v>
      </c>
      <c r="K10">
        <v>2632</v>
      </c>
      <c r="L10">
        <v>1120</v>
      </c>
      <c r="M10">
        <v>1016</v>
      </c>
      <c r="N10">
        <v>495</v>
      </c>
      <c r="O10">
        <v>485</v>
      </c>
      <c r="P10">
        <v>252</v>
      </c>
      <c r="Q10">
        <v>0</v>
      </c>
      <c r="R10">
        <v>0</v>
      </c>
      <c r="AH10" t="s">
        <v>423</v>
      </c>
      <c r="AI10">
        <v>840</v>
      </c>
      <c r="AJ10">
        <v>405.35</v>
      </c>
      <c r="AK10">
        <v>834</v>
      </c>
      <c r="AL10">
        <v>257</v>
      </c>
      <c r="AM10">
        <v>1129</v>
      </c>
      <c r="AN10">
        <v>779</v>
      </c>
      <c r="AO10">
        <v>258</v>
      </c>
      <c r="AP10">
        <v>156</v>
      </c>
      <c r="AQ10">
        <v>383</v>
      </c>
      <c r="AR10">
        <v>215</v>
      </c>
      <c r="AS10">
        <v>75</v>
      </c>
      <c r="AT10">
        <v>1</v>
      </c>
      <c r="AV10" t="s">
        <v>371</v>
      </c>
      <c r="AW10">
        <v>398</v>
      </c>
      <c r="AX10">
        <v>100.6582914573</v>
      </c>
      <c r="AY10">
        <v>626</v>
      </c>
      <c r="AZ10">
        <v>133</v>
      </c>
      <c r="BA10">
        <v>543</v>
      </c>
      <c r="BB10">
        <v>204</v>
      </c>
      <c r="BC10">
        <v>10</v>
      </c>
      <c r="BD10">
        <v>10</v>
      </c>
      <c r="BE10">
        <v>37</v>
      </c>
      <c r="BF10">
        <v>11</v>
      </c>
      <c r="BG10">
        <v>57</v>
      </c>
      <c r="BH10">
        <v>174</v>
      </c>
      <c r="BJ10" t="s">
        <v>607</v>
      </c>
      <c r="BK10" t="s">
        <v>385</v>
      </c>
      <c r="BL10">
        <v>3793</v>
      </c>
      <c r="BM10">
        <v>597</v>
      </c>
      <c r="BN10">
        <v>83.452148695000005</v>
      </c>
      <c r="BO10">
        <v>2806</v>
      </c>
      <c r="BP10">
        <v>757</v>
      </c>
      <c r="BQ10">
        <v>125.16749821809999</v>
      </c>
      <c r="BR10">
        <v>136.52840158519999</v>
      </c>
      <c r="BS10">
        <v>4025</v>
      </c>
      <c r="BT10">
        <v>870</v>
      </c>
      <c r="BU10">
        <v>91.363478260899996</v>
      </c>
      <c r="BV10">
        <v>3403</v>
      </c>
      <c r="BW10">
        <v>959</v>
      </c>
      <c r="BX10">
        <v>135.8627681458</v>
      </c>
      <c r="BY10">
        <v>149.07299270070001</v>
      </c>
      <c r="CA10" t="s">
        <v>389</v>
      </c>
      <c r="CB10" t="s">
        <v>767</v>
      </c>
      <c r="CC10" t="s">
        <v>997</v>
      </c>
      <c r="CD10">
        <v>4255</v>
      </c>
      <c r="CE10">
        <v>1177</v>
      </c>
      <c r="CF10">
        <v>107.3078730905</v>
      </c>
      <c r="CG10">
        <v>2500</v>
      </c>
      <c r="CH10">
        <v>797</v>
      </c>
      <c r="CI10">
        <v>144.864</v>
      </c>
      <c r="CJ10">
        <v>147.67754077789999</v>
      </c>
      <c r="CL10" t="s">
        <v>389</v>
      </c>
      <c r="CM10" t="s">
        <v>748</v>
      </c>
      <c r="CN10" t="s">
        <v>751</v>
      </c>
      <c r="CO10">
        <v>374</v>
      </c>
      <c r="CP10">
        <v>41</v>
      </c>
      <c r="CQ10">
        <v>68.163101604299996</v>
      </c>
      <c r="CR10">
        <v>440</v>
      </c>
      <c r="CS10">
        <v>140</v>
      </c>
      <c r="CT10">
        <v>70.125</v>
      </c>
      <c r="CU10">
        <v>76.271428571399994</v>
      </c>
      <c r="CW10" t="s">
        <v>389</v>
      </c>
      <c r="CX10" t="s">
        <v>758</v>
      </c>
      <c r="CY10" t="s">
        <v>761</v>
      </c>
      <c r="CZ10">
        <v>82</v>
      </c>
      <c r="DA10">
        <v>20</v>
      </c>
      <c r="DB10">
        <v>91.5</v>
      </c>
      <c r="DC10">
        <v>44</v>
      </c>
      <c r="DD10">
        <v>15</v>
      </c>
      <c r="DE10">
        <v>146.9318181818</v>
      </c>
      <c r="DF10">
        <v>165.53333333329999</v>
      </c>
      <c r="DH10" t="s">
        <v>389</v>
      </c>
      <c r="DI10" t="s">
        <v>738</v>
      </c>
      <c r="DJ10" t="s">
        <v>741</v>
      </c>
      <c r="DK10">
        <v>84</v>
      </c>
      <c r="DL10">
        <v>16</v>
      </c>
      <c r="DM10">
        <v>92.357142857100001</v>
      </c>
      <c r="DN10">
        <v>36</v>
      </c>
      <c r="DO10">
        <v>9</v>
      </c>
      <c r="DP10">
        <v>141.1111111111</v>
      </c>
      <c r="DQ10">
        <v>119.6666666667</v>
      </c>
    </row>
    <row r="11" spans="2:121" x14ac:dyDescent="0.2">
      <c r="B11" t="s">
        <v>114</v>
      </c>
      <c r="C11">
        <v>7948</v>
      </c>
      <c r="D11">
        <v>346</v>
      </c>
      <c r="F11" t="s">
        <v>36</v>
      </c>
      <c r="G11">
        <v>7964</v>
      </c>
      <c r="H11">
        <v>716.57973380210001</v>
      </c>
      <c r="I11">
        <v>4819</v>
      </c>
      <c r="J11">
        <v>967</v>
      </c>
      <c r="K11">
        <v>9313</v>
      </c>
      <c r="L11">
        <v>7641</v>
      </c>
      <c r="M11">
        <v>1448</v>
      </c>
      <c r="N11">
        <v>1088</v>
      </c>
      <c r="O11">
        <v>6062</v>
      </c>
      <c r="P11">
        <v>5172</v>
      </c>
      <c r="Q11">
        <v>0</v>
      </c>
      <c r="R11">
        <v>3</v>
      </c>
      <c r="AH11" t="s">
        <v>414</v>
      </c>
      <c r="AI11">
        <v>473</v>
      </c>
      <c r="AJ11">
        <v>526.97674418600002</v>
      </c>
      <c r="AK11">
        <v>437</v>
      </c>
      <c r="AL11">
        <v>99</v>
      </c>
      <c r="AM11">
        <v>663</v>
      </c>
      <c r="AN11">
        <v>471</v>
      </c>
      <c r="AO11">
        <v>218</v>
      </c>
      <c r="AP11">
        <v>163</v>
      </c>
      <c r="AQ11">
        <v>396</v>
      </c>
      <c r="AR11">
        <v>306</v>
      </c>
      <c r="AS11">
        <v>22</v>
      </c>
      <c r="AT11">
        <v>0</v>
      </c>
      <c r="AV11" t="s">
        <v>425</v>
      </c>
      <c r="AW11">
        <v>2543</v>
      </c>
      <c r="AX11">
        <v>102.5068816359</v>
      </c>
      <c r="AY11">
        <v>3635</v>
      </c>
      <c r="AZ11">
        <v>747</v>
      </c>
      <c r="BA11">
        <v>3461</v>
      </c>
      <c r="BB11">
        <v>1222</v>
      </c>
      <c r="BC11">
        <v>88</v>
      </c>
      <c r="BD11">
        <v>84</v>
      </c>
      <c r="BE11">
        <v>183</v>
      </c>
      <c r="BF11">
        <v>59</v>
      </c>
      <c r="BG11">
        <v>461</v>
      </c>
      <c r="BH11">
        <v>774</v>
      </c>
      <c r="BJ11" t="s">
        <v>609</v>
      </c>
      <c r="BK11" t="s">
        <v>385</v>
      </c>
      <c r="BL11">
        <v>5788</v>
      </c>
      <c r="BM11">
        <v>938</v>
      </c>
      <c r="BN11">
        <v>80.423116793399998</v>
      </c>
      <c r="BO11">
        <v>5848</v>
      </c>
      <c r="BP11">
        <v>1978</v>
      </c>
      <c r="BQ11">
        <v>138.32900136800001</v>
      </c>
      <c r="BR11">
        <v>110.496966633</v>
      </c>
      <c r="BS11">
        <v>7467</v>
      </c>
      <c r="BT11">
        <v>1855</v>
      </c>
      <c r="BU11">
        <v>94.924467657700006</v>
      </c>
      <c r="BV11">
        <v>8680</v>
      </c>
      <c r="BW11">
        <v>2691</v>
      </c>
      <c r="BX11">
        <v>140.749078341</v>
      </c>
      <c r="BY11">
        <v>121.2820512821</v>
      </c>
      <c r="CA11" t="s">
        <v>418</v>
      </c>
      <c r="CB11" t="s">
        <v>767</v>
      </c>
      <c r="CC11" t="s">
        <v>998</v>
      </c>
      <c r="CD11">
        <v>714</v>
      </c>
      <c r="CE11">
        <v>59</v>
      </c>
      <c r="CF11">
        <v>64.191876750700004</v>
      </c>
      <c r="CG11">
        <v>1065</v>
      </c>
      <c r="CH11">
        <v>250</v>
      </c>
      <c r="CI11">
        <v>92.313615023500006</v>
      </c>
      <c r="CJ11">
        <v>89.855999999999995</v>
      </c>
      <c r="CL11" t="s">
        <v>418</v>
      </c>
      <c r="CM11" t="s">
        <v>748</v>
      </c>
      <c r="CN11" t="s">
        <v>752</v>
      </c>
      <c r="CO11">
        <v>78</v>
      </c>
      <c r="CP11">
        <v>9</v>
      </c>
      <c r="CQ11">
        <v>59.807692307700002</v>
      </c>
      <c r="CR11">
        <v>154</v>
      </c>
      <c r="CS11">
        <v>48</v>
      </c>
      <c r="CT11">
        <v>53.948051948100002</v>
      </c>
      <c r="CU11">
        <v>62.770833333299997</v>
      </c>
      <c r="CW11" t="s">
        <v>418</v>
      </c>
      <c r="CX11" t="s">
        <v>758</v>
      </c>
      <c r="CY11" t="s">
        <v>762</v>
      </c>
      <c r="CZ11">
        <v>23</v>
      </c>
      <c r="DA11">
        <v>2</v>
      </c>
      <c r="DB11">
        <v>71.434782608700004</v>
      </c>
      <c r="DC11">
        <v>12</v>
      </c>
      <c r="DD11">
        <v>6</v>
      </c>
      <c r="DE11">
        <v>122.9166666667</v>
      </c>
      <c r="DF11">
        <v>133.6666666667</v>
      </c>
      <c r="DH11" t="s">
        <v>418</v>
      </c>
      <c r="DI11" t="s">
        <v>738</v>
      </c>
      <c r="DJ11" t="s">
        <v>742</v>
      </c>
      <c r="DK11">
        <v>20</v>
      </c>
      <c r="DL11">
        <v>1</v>
      </c>
      <c r="DM11">
        <v>78.25</v>
      </c>
      <c r="DN11">
        <v>8</v>
      </c>
      <c r="DO11">
        <v>2</v>
      </c>
      <c r="DP11">
        <v>103.5</v>
      </c>
      <c r="DQ11">
        <v>111.5</v>
      </c>
    </row>
    <row r="12" spans="2:121" x14ac:dyDescent="0.2">
      <c r="B12" t="s">
        <v>124</v>
      </c>
      <c r="C12">
        <v>737</v>
      </c>
      <c r="D12">
        <v>375</v>
      </c>
      <c r="F12" t="s">
        <v>60</v>
      </c>
      <c r="G12">
        <v>12331</v>
      </c>
      <c r="H12">
        <v>375.5137458438</v>
      </c>
      <c r="I12">
        <v>7310</v>
      </c>
      <c r="J12">
        <v>1244</v>
      </c>
      <c r="K12">
        <v>13751</v>
      </c>
      <c r="L12">
        <v>10038</v>
      </c>
      <c r="M12">
        <v>4747</v>
      </c>
      <c r="N12">
        <v>3769</v>
      </c>
      <c r="O12">
        <v>1856</v>
      </c>
      <c r="P12">
        <v>1263</v>
      </c>
      <c r="Q12">
        <v>0</v>
      </c>
      <c r="R12">
        <v>354</v>
      </c>
      <c r="T12" t="s">
        <v>648</v>
      </c>
      <c r="U12" t="s">
        <v>305</v>
      </c>
      <c r="V12" t="s">
        <v>136</v>
      </c>
      <c r="W12" t="s">
        <v>217</v>
      </c>
      <c r="X12" t="s">
        <v>218</v>
      </c>
      <c r="Y12" t="s">
        <v>219</v>
      </c>
      <c r="Z12" t="s">
        <v>220</v>
      </c>
      <c r="AA12" t="s">
        <v>221</v>
      </c>
      <c r="AB12" t="s">
        <v>222</v>
      </c>
      <c r="AC12" t="s">
        <v>223</v>
      </c>
      <c r="AD12" t="s">
        <v>224</v>
      </c>
      <c r="AE12" t="s">
        <v>225</v>
      </c>
      <c r="AF12" t="s">
        <v>226</v>
      </c>
      <c r="AH12" t="s">
        <v>425</v>
      </c>
      <c r="AI12">
        <v>20768</v>
      </c>
      <c r="AJ12">
        <v>329.33166409860002</v>
      </c>
      <c r="AK12">
        <v>23474</v>
      </c>
      <c r="AL12">
        <v>5790</v>
      </c>
      <c r="AM12">
        <v>29030</v>
      </c>
      <c r="AN12">
        <v>18761</v>
      </c>
      <c r="AO12">
        <v>6871</v>
      </c>
      <c r="AP12">
        <v>3811</v>
      </c>
      <c r="AQ12">
        <v>16125</v>
      </c>
      <c r="AR12">
        <v>9242</v>
      </c>
      <c r="AS12">
        <v>2091</v>
      </c>
      <c r="AT12">
        <v>263</v>
      </c>
      <c r="AV12" t="s">
        <v>387</v>
      </c>
      <c r="AW12">
        <v>234</v>
      </c>
      <c r="AX12">
        <v>63.431623931600001</v>
      </c>
      <c r="AY12">
        <v>465</v>
      </c>
      <c r="AZ12">
        <v>30</v>
      </c>
      <c r="BA12">
        <v>353</v>
      </c>
      <c r="BB12">
        <v>30</v>
      </c>
      <c r="BC12">
        <v>2</v>
      </c>
      <c r="BD12">
        <v>1</v>
      </c>
      <c r="BE12">
        <v>26</v>
      </c>
      <c r="BF12">
        <v>3</v>
      </c>
      <c r="BG12">
        <v>74</v>
      </c>
      <c r="BH12">
        <v>70</v>
      </c>
      <c r="BJ12" t="s">
        <v>551</v>
      </c>
      <c r="BK12" t="s">
        <v>385</v>
      </c>
      <c r="BL12">
        <v>5655</v>
      </c>
      <c r="BM12">
        <v>1051</v>
      </c>
      <c r="BN12">
        <v>87.3278514589</v>
      </c>
      <c r="BO12">
        <v>4366</v>
      </c>
      <c r="BP12">
        <v>1105</v>
      </c>
      <c r="BQ12">
        <v>133.12116353639999</v>
      </c>
      <c r="BR12">
        <v>133.2009049774</v>
      </c>
      <c r="BS12">
        <v>5261</v>
      </c>
      <c r="BT12">
        <v>690</v>
      </c>
      <c r="BU12">
        <v>76.842995628200001</v>
      </c>
      <c r="BV12">
        <v>3313</v>
      </c>
      <c r="BW12">
        <v>958</v>
      </c>
      <c r="BX12">
        <v>125.543616058</v>
      </c>
      <c r="BY12">
        <v>121.3308977035</v>
      </c>
      <c r="CA12" t="s">
        <v>412</v>
      </c>
      <c r="CB12" t="s">
        <v>767</v>
      </c>
      <c r="CC12" t="s">
        <v>999</v>
      </c>
      <c r="CD12">
        <v>5924</v>
      </c>
      <c r="CE12">
        <v>962</v>
      </c>
      <c r="CF12">
        <v>79.213538149900003</v>
      </c>
      <c r="CG12">
        <v>5903</v>
      </c>
      <c r="CH12">
        <v>2008</v>
      </c>
      <c r="CI12">
        <v>108.8434694223</v>
      </c>
      <c r="CJ12">
        <v>100.8217131474</v>
      </c>
      <c r="CL12" t="s">
        <v>412</v>
      </c>
      <c r="CM12" t="s">
        <v>748</v>
      </c>
      <c r="CN12" t="s">
        <v>753</v>
      </c>
      <c r="CO12">
        <v>426</v>
      </c>
      <c r="CP12">
        <v>34</v>
      </c>
      <c r="CQ12">
        <v>61.7112676056</v>
      </c>
      <c r="CR12">
        <v>713</v>
      </c>
      <c r="CS12">
        <v>204</v>
      </c>
      <c r="CT12">
        <v>63.119214586299996</v>
      </c>
      <c r="CU12">
        <v>63.107843137300002</v>
      </c>
      <c r="CW12" t="s">
        <v>412</v>
      </c>
      <c r="CX12" t="s">
        <v>758</v>
      </c>
      <c r="CY12" t="s">
        <v>763</v>
      </c>
      <c r="CZ12">
        <v>125</v>
      </c>
      <c r="DA12">
        <v>15</v>
      </c>
      <c r="DB12">
        <v>75.792000000000002</v>
      </c>
      <c r="DC12">
        <v>62</v>
      </c>
      <c r="DD12">
        <v>17</v>
      </c>
      <c r="DE12">
        <v>136.6451612903</v>
      </c>
      <c r="DF12">
        <v>152.1176470588</v>
      </c>
      <c r="DH12" t="s">
        <v>412</v>
      </c>
      <c r="DI12" t="s">
        <v>738</v>
      </c>
      <c r="DJ12" t="s">
        <v>743</v>
      </c>
      <c r="DK12">
        <v>200</v>
      </c>
      <c r="DL12">
        <v>17</v>
      </c>
      <c r="DM12">
        <v>76.844999999999999</v>
      </c>
      <c r="DN12">
        <v>96</v>
      </c>
      <c r="DO12">
        <v>27</v>
      </c>
      <c r="DP12">
        <v>118.6979166667</v>
      </c>
      <c r="DQ12">
        <v>127.1111111111</v>
      </c>
    </row>
    <row r="13" spans="2:121" x14ac:dyDescent="0.2">
      <c r="B13" t="s">
        <v>100</v>
      </c>
      <c r="C13">
        <v>212</v>
      </c>
      <c r="D13">
        <v>133</v>
      </c>
      <c r="F13" t="s">
        <v>37</v>
      </c>
      <c r="G13">
        <v>180</v>
      </c>
      <c r="H13">
        <v>75.422222222200006</v>
      </c>
      <c r="I13">
        <v>1287</v>
      </c>
      <c r="J13">
        <v>246</v>
      </c>
      <c r="K13">
        <v>376</v>
      </c>
      <c r="L13">
        <v>46</v>
      </c>
      <c r="M13">
        <v>269</v>
      </c>
      <c r="N13">
        <v>27</v>
      </c>
      <c r="O13">
        <v>164</v>
      </c>
      <c r="P13">
        <v>47</v>
      </c>
      <c r="Q13">
        <v>0</v>
      </c>
      <c r="R13">
        <v>3</v>
      </c>
      <c r="T13" t="s">
        <v>385</v>
      </c>
      <c r="U13">
        <v>55001</v>
      </c>
      <c r="V13">
        <v>339.87778404030001</v>
      </c>
      <c r="W13">
        <v>64441</v>
      </c>
      <c r="X13">
        <v>13989</v>
      </c>
      <c r="Y13">
        <v>86859</v>
      </c>
      <c r="Z13">
        <v>52372</v>
      </c>
      <c r="AA13">
        <v>23412</v>
      </c>
      <c r="AB13">
        <v>14552</v>
      </c>
      <c r="AC13">
        <v>14860</v>
      </c>
      <c r="AD13">
        <v>8155</v>
      </c>
      <c r="AE13">
        <v>46</v>
      </c>
      <c r="AF13">
        <v>1112</v>
      </c>
      <c r="AH13" t="s">
        <v>381</v>
      </c>
      <c r="AI13">
        <v>16602</v>
      </c>
      <c r="AJ13">
        <v>359.34007950850003</v>
      </c>
      <c r="AK13">
        <v>18485</v>
      </c>
      <c r="AL13">
        <v>4376</v>
      </c>
      <c r="AM13">
        <v>24597</v>
      </c>
      <c r="AN13">
        <v>17255</v>
      </c>
      <c r="AO13">
        <v>8303</v>
      </c>
      <c r="AP13">
        <v>5554</v>
      </c>
      <c r="AQ13">
        <v>13403</v>
      </c>
      <c r="AR13">
        <v>10154</v>
      </c>
      <c r="AS13">
        <v>1052</v>
      </c>
      <c r="AT13">
        <v>19</v>
      </c>
      <c r="AV13" t="s">
        <v>408</v>
      </c>
      <c r="AW13">
        <v>28</v>
      </c>
      <c r="AX13">
        <v>30.714285714300001</v>
      </c>
      <c r="AY13">
        <v>126</v>
      </c>
      <c r="BA13">
        <v>59</v>
      </c>
      <c r="BC13">
        <v>1</v>
      </c>
      <c r="BD13">
        <v>1</v>
      </c>
      <c r="BE13">
        <v>3</v>
      </c>
      <c r="BG13">
        <v>94</v>
      </c>
      <c r="BH13">
        <v>11</v>
      </c>
      <c r="BJ13" t="s">
        <v>588</v>
      </c>
      <c r="BK13" t="s">
        <v>385</v>
      </c>
      <c r="BL13">
        <v>2348</v>
      </c>
      <c r="BM13">
        <v>489</v>
      </c>
      <c r="BN13">
        <v>91.7448892675</v>
      </c>
      <c r="BO13">
        <v>1361</v>
      </c>
      <c r="BP13">
        <v>395</v>
      </c>
      <c r="BQ13">
        <v>149.91697281410001</v>
      </c>
      <c r="BR13">
        <v>140.0936708861</v>
      </c>
      <c r="BS13">
        <v>4247</v>
      </c>
      <c r="BT13">
        <v>954</v>
      </c>
      <c r="BU13">
        <v>99.937132093200006</v>
      </c>
      <c r="BV13">
        <v>2753</v>
      </c>
      <c r="BW13">
        <v>792</v>
      </c>
      <c r="BX13">
        <v>166.74028332730001</v>
      </c>
      <c r="BY13">
        <v>151.89646464649999</v>
      </c>
      <c r="CA13" t="s">
        <v>410</v>
      </c>
      <c r="CB13" t="s">
        <v>767</v>
      </c>
      <c r="CC13" t="s">
        <v>1000</v>
      </c>
      <c r="CD13">
        <v>33093</v>
      </c>
      <c r="CE13">
        <v>7255</v>
      </c>
      <c r="CF13">
        <v>94.847218444999996</v>
      </c>
      <c r="CG13">
        <v>27376</v>
      </c>
      <c r="CH13">
        <v>7789</v>
      </c>
      <c r="CI13">
        <v>137.82952220920001</v>
      </c>
      <c r="CJ13">
        <v>140.3431762742</v>
      </c>
      <c r="CL13" t="s">
        <v>410</v>
      </c>
      <c r="CM13" t="s">
        <v>748</v>
      </c>
      <c r="CN13" t="s">
        <v>754</v>
      </c>
      <c r="CO13">
        <v>1771</v>
      </c>
      <c r="CP13">
        <v>138</v>
      </c>
      <c r="CQ13">
        <v>60.568605307699997</v>
      </c>
      <c r="CR13">
        <v>2770</v>
      </c>
      <c r="CS13">
        <v>777</v>
      </c>
      <c r="CT13">
        <v>64.216967509</v>
      </c>
      <c r="CU13">
        <v>66.881595881600006</v>
      </c>
      <c r="CW13" t="s">
        <v>410</v>
      </c>
      <c r="CX13" t="s">
        <v>758</v>
      </c>
      <c r="CY13" t="s">
        <v>764</v>
      </c>
      <c r="CZ13">
        <v>1233</v>
      </c>
      <c r="DA13">
        <v>160</v>
      </c>
      <c r="DB13">
        <v>80.893755068900006</v>
      </c>
      <c r="DC13">
        <v>514</v>
      </c>
      <c r="DD13">
        <v>168</v>
      </c>
      <c r="DE13">
        <v>133.8151750973</v>
      </c>
      <c r="DF13">
        <v>136.9583333333</v>
      </c>
      <c r="DH13" t="s">
        <v>410</v>
      </c>
      <c r="DI13" t="s">
        <v>738</v>
      </c>
      <c r="DJ13" t="s">
        <v>744</v>
      </c>
      <c r="DK13">
        <v>1110</v>
      </c>
      <c r="DL13">
        <v>146</v>
      </c>
      <c r="DM13">
        <v>84.417117117100005</v>
      </c>
      <c r="DN13">
        <v>606</v>
      </c>
      <c r="DO13">
        <v>176</v>
      </c>
      <c r="DP13">
        <v>131.7062706271</v>
      </c>
      <c r="DQ13">
        <v>140.3409090909</v>
      </c>
    </row>
    <row r="14" spans="2:121" x14ac:dyDescent="0.2">
      <c r="B14" t="s">
        <v>131</v>
      </c>
      <c r="C14">
        <v>1420</v>
      </c>
      <c r="D14">
        <v>300</v>
      </c>
      <c r="F14" t="s">
        <v>41</v>
      </c>
      <c r="G14">
        <v>5865</v>
      </c>
      <c r="H14">
        <v>433.67791986359998</v>
      </c>
      <c r="I14">
        <v>8054</v>
      </c>
      <c r="J14">
        <v>2054</v>
      </c>
      <c r="K14">
        <v>8196</v>
      </c>
      <c r="L14">
        <v>5411</v>
      </c>
      <c r="M14">
        <v>1649</v>
      </c>
      <c r="N14">
        <v>846</v>
      </c>
      <c r="O14">
        <v>3276</v>
      </c>
      <c r="P14">
        <v>1743</v>
      </c>
      <c r="Q14">
        <v>0</v>
      </c>
      <c r="R14">
        <v>330</v>
      </c>
      <c r="T14" t="s">
        <v>390</v>
      </c>
      <c r="U14">
        <v>40597</v>
      </c>
      <c r="V14">
        <v>351.19077764370002</v>
      </c>
      <c r="W14">
        <v>56602</v>
      </c>
      <c r="X14">
        <v>11404</v>
      </c>
      <c r="Y14">
        <v>68584</v>
      </c>
      <c r="Z14">
        <v>37104</v>
      </c>
      <c r="AA14">
        <v>14786</v>
      </c>
      <c r="AB14">
        <v>8780</v>
      </c>
      <c r="AC14">
        <v>16028</v>
      </c>
      <c r="AD14">
        <v>10331</v>
      </c>
      <c r="AE14">
        <v>5490</v>
      </c>
      <c r="AF14">
        <v>1034</v>
      </c>
      <c r="AH14" t="s">
        <v>428</v>
      </c>
      <c r="AI14">
        <v>1674</v>
      </c>
      <c r="AJ14">
        <v>306.25209080050001</v>
      </c>
      <c r="AK14">
        <v>1962</v>
      </c>
      <c r="AL14">
        <v>286</v>
      </c>
      <c r="AM14">
        <v>2343</v>
      </c>
      <c r="AN14">
        <v>1540</v>
      </c>
      <c r="AO14">
        <v>1049</v>
      </c>
      <c r="AP14">
        <v>557</v>
      </c>
      <c r="AQ14">
        <v>509</v>
      </c>
      <c r="AR14">
        <v>249</v>
      </c>
      <c r="AS14">
        <v>3</v>
      </c>
      <c r="AT14">
        <v>4</v>
      </c>
      <c r="AV14" t="s">
        <v>393</v>
      </c>
      <c r="AW14">
        <v>157</v>
      </c>
      <c r="AX14">
        <v>58.726114649700001</v>
      </c>
      <c r="AY14">
        <v>413</v>
      </c>
      <c r="AZ14">
        <v>43</v>
      </c>
      <c r="BA14">
        <v>286</v>
      </c>
      <c r="BB14">
        <v>21</v>
      </c>
      <c r="BC14">
        <v>2</v>
      </c>
      <c r="BD14">
        <v>1</v>
      </c>
      <c r="BE14">
        <v>49</v>
      </c>
      <c r="BF14">
        <v>10</v>
      </c>
      <c r="BG14">
        <v>66</v>
      </c>
      <c r="BH14">
        <v>63</v>
      </c>
      <c r="BJ14" t="s">
        <v>605</v>
      </c>
      <c r="BK14" t="s">
        <v>385</v>
      </c>
      <c r="BL14">
        <v>16982</v>
      </c>
      <c r="BM14">
        <v>3184</v>
      </c>
      <c r="BN14">
        <v>88.666234836900003</v>
      </c>
      <c r="BO14">
        <v>12370</v>
      </c>
      <c r="BP14">
        <v>3856</v>
      </c>
      <c r="BQ14">
        <v>140.87413096200001</v>
      </c>
      <c r="BR14">
        <v>141.7684128631</v>
      </c>
      <c r="BS14">
        <v>15818</v>
      </c>
      <c r="BT14">
        <v>2995</v>
      </c>
      <c r="BU14">
        <v>87.8937918827</v>
      </c>
      <c r="BV14">
        <v>12023</v>
      </c>
      <c r="BW14">
        <v>3765</v>
      </c>
      <c r="BX14">
        <v>139.53771937120001</v>
      </c>
      <c r="BY14">
        <v>141.23984063750001</v>
      </c>
      <c r="CA14" t="s">
        <v>406</v>
      </c>
      <c r="CB14" t="s">
        <v>767</v>
      </c>
      <c r="CC14" t="s">
        <v>1001</v>
      </c>
      <c r="CD14">
        <v>2091</v>
      </c>
      <c r="CE14">
        <v>467</v>
      </c>
      <c r="CF14">
        <v>93.171688187499996</v>
      </c>
      <c r="CG14">
        <v>1183</v>
      </c>
      <c r="CH14">
        <v>342</v>
      </c>
      <c r="CI14">
        <v>146.92138630599999</v>
      </c>
      <c r="CJ14">
        <v>136.33918128650001</v>
      </c>
      <c r="CL14" t="s">
        <v>406</v>
      </c>
      <c r="CM14" t="s">
        <v>748</v>
      </c>
      <c r="CN14" t="s">
        <v>755</v>
      </c>
      <c r="CO14">
        <v>160</v>
      </c>
      <c r="CP14">
        <v>13</v>
      </c>
      <c r="CQ14">
        <v>62.731250000000003</v>
      </c>
      <c r="CR14">
        <v>245</v>
      </c>
      <c r="CS14">
        <v>68</v>
      </c>
      <c r="CT14">
        <v>64.077551020399994</v>
      </c>
      <c r="CU14">
        <v>73.808823529400001</v>
      </c>
      <c r="CW14" t="s">
        <v>406</v>
      </c>
      <c r="CX14" t="s">
        <v>758</v>
      </c>
      <c r="CY14" t="s">
        <v>765</v>
      </c>
      <c r="CZ14">
        <v>55</v>
      </c>
      <c r="DA14">
        <v>10</v>
      </c>
      <c r="DB14">
        <v>86.872727272700004</v>
      </c>
      <c r="DC14">
        <v>44</v>
      </c>
      <c r="DD14">
        <v>14</v>
      </c>
      <c r="DE14">
        <v>139</v>
      </c>
      <c r="DF14">
        <v>168.21428571429999</v>
      </c>
      <c r="DH14" t="s">
        <v>406</v>
      </c>
      <c r="DI14" t="s">
        <v>738</v>
      </c>
      <c r="DJ14" t="s">
        <v>745</v>
      </c>
      <c r="DK14">
        <v>70</v>
      </c>
      <c r="DL14">
        <v>11</v>
      </c>
      <c r="DM14">
        <v>93.585714285700007</v>
      </c>
      <c r="DN14">
        <v>41</v>
      </c>
      <c r="DO14">
        <v>9</v>
      </c>
      <c r="DP14">
        <v>101.3170731707</v>
      </c>
      <c r="DQ14">
        <v>109.8888888889</v>
      </c>
    </row>
    <row r="15" spans="2:121" x14ac:dyDescent="0.2">
      <c r="B15" t="s">
        <v>976</v>
      </c>
      <c r="C15">
        <v>4</v>
      </c>
      <c r="D15">
        <v>3</v>
      </c>
      <c r="F15" t="s">
        <v>39</v>
      </c>
      <c r="G15">
        <v>400</v>
      </c>
      <c r="H15">
        <v>280.58249999999998</v>
      </c>
      <c r="I15">
        <v>799</v>
      </c>
      <c r="J15">
        <v>103</v>
      </c>
      <c r="K15">
        <v>638</v>
      </c>
      <c r="L15">
        <v>356</v>
      </c>
      <c r="M15">
        <v>143</v>
      </c>
      <c r="N15">
        <v>60</v>
      </c>
      <c r="O15">
        <v>113</v>
      </c>
      <c r="P15">
        <v>28</v>
      </c>
      <c r="Q15">
        <v>2</v>
      </c>
      <c r="R15">
        <v>4</v>
      </c>
      <c r="T15" t="s">
        <v>369</v>
      </c>
      <c r="U15">
        <v>104748</v>
      </c>
      <c r="V15">
        <v>452.31794401799999</v>
      </c>
      <c r="W15">
        <v>78707</v>
      </c>
      <c r="X15">
        <v>18187</v>
      </c>
      <c r="Y15">
        <v>137941</v>
      </c>
      <c r="Z15">
        <v>101703</v>
      </c>
      <c r="AA15">
        <v>37915</v>
      </c>
      <c r="AB15">
        <v>26229</v>
      </c>
      <c r="AC15">
        <v>32720</v>
      </c>
      <c r="AD15">
        <v>25197</v>
      </c>
      <c r="AE15">
        <v>12652</v>
      </c>
      <c r="AF15">
        <v>51</v>
      </c>
      <c r="AH15" t="s">
        <v>408</v>
      </c>
      <c r="AI15">
        <v>710</v>
      </c>
      <c r="AJ15">
        <v>307.49859154929999</v>
      </c>
      <c r="AK15">
        <v>1455</v>
      </c>
      <c r="AL15">
        <v>273</v>
      </c>
      <c r="AM15">
        <v>1133</v>
      </c>
      <c r="AN15">
        <v>617</v>
      </c>
      <c r="AO15">
        <v>406</v>
      </c>
      <c r="AP15">
        <v>162</v>
      </c>
      <c r="AQ15">
        <v>381</v>
      </c>
      <c r="AR15">
        <v>202</v>
      </c>
      <c r="AS15">
        <v>2</v>
      </c>
      <c r="AT15">
        <v>4</v>
      </c>
      <c r="AV15" t="s">
        <v>412</v>
      </c>
      <c r="AW15">
        <v>118</v>
      </c>
      <c r="AX15">
        <v>36.0762711864</v>
      </c>
      <c r="AY15">
        <v>309</v>
      </c>
      <c r="AZ15">
        <v>4</v>
      </c>
      <c r="BA15">
        <v>170</v>
      </c>
      <c r="BB15">
        <v>6</v>
      </c>
      <c r="BC15">
        <v>2</v>
      </c>
      <c r="BD15">
        <v>2</v>
      </c>
      <c r="BE15">
        <v>12</v>
      </c>
      <c r="BF15">
        <v>7</v>
      </c>
      <c r="BG15">
        <v>483</v>
      </c>
      <c r="BH15">
        <v>41</v>
      </c>
      <c r="BJ15" t="s">
        <v>567</v>
      </c>
      <c r="BK15" t="s">
        <v>390</v>
      </c>
      <c r="BL15">
        <v>6813</v>
      </c>
      <c r="BM15">
        <v>1748</v>
      </c>
      <c r="BN15">
        <v>102.83164538379999</v>
      </c>
      <c r="BO15">
        <v>4439</v>
      </c>
      <c r="BP15">
        <v>1482</v>
      </c>
      <c r="BQ15">
        <v>159.74543816170001</v>
      </c>
      <c r="BR15">
        <v>152.7510121457</v>
      </c>
      <c r="BS15">
        <v>4007</v>
      </c>
      <c r="BT15">
        <v>994</v>
      </c>
      <c r="BU15">
        <v>91.8173196905</v>
      </c>
      <c r="BV15">
        <v>2644</v>
      </c>
      <c r="BW15">
        <v>935</v>
      </c>
      <c r="BX15">
        <v>139.6074130106</v>
      </c>
      <c r="BY15">
        <v>132.4053475936</v>
      </c>
      <c r="CA15" t="s">
        <v>421</v>
      </c>
      <c r="CB15" t="s">
        <v>767</v>
      </c>
      <c r="CC15" t="s">
        <v>1002</v>
      </c>
      <c r="CD15">
        <v>846</v>
      </c>
      <c r="CE15">
        <v>116</v>
      </c>
      <c r="CF15">
        <v>85.796690307299997</v>
      </c>
      <c r="CG15">
        <v>616</v>
      </c>
      <c r="CH15">
        <v>205</v>
      </c>
      <c r="CI15">
        <v>141.53733766229999</v>
      </c>
      <c r="CJ15">
        <v>156.75609756099999</v>
      </c>
      <c r="CL15" t="s">
        <v>421</v>
      </c>
      <c r="CM15" t="s">
        <v>748</v>
      </c>
      <c r="CN15" t="s">
        <v>756</v>
      </c>
      <c r="CO15">
        <v>20</v>
      </c>
      <c r="CP15">
        <v>1</v>
      </c>
      <c r="CQ15">
        <v>54.15</v>
      </c>
      <c r="CR15">
        <v>50</v>
      </c>
      <c r="CS15">
        <v>18</v>
      </c>
      <c r="CT15">
        <v>62.66</v>
      </c>
      <c r="CU15">
        <v>60</v>
      </c>
      <c r="CW15" t="s">
        <v>421</v>
      </c>
      <c r="CX15" t="s">
        <v>758</v>
      </c>
      <c r="CY15" t="s">
        <v>766</v>
      </c>
      <c r="CZ15">
        <v>18</v>
      </c>
      <c r="DA15">
        <v>6</v>
      </c>
      <c r="DB15">
        <v>101.44444444440001</v>
      </c>
      <c r="DC15">
        <v>12</v>
      </c>
      <c r="DD15">
        <v>5</v>
      </c>
      <c r="DE15">
        <v>143</v>
      </c>
      <c r="DF15">
        <v>150.4</v>
      </c>
      <c r="DH15" t="s">
        <v>421</v>
      </c>
      <c r="DI15" t="s">
        <v>738</v>
      </c>
      <c r="DJ15" t="s">
        <v>746</v>
      </c>
      <c r="DK15">
        <v>13</v>
      </c>
      <c r="DL15">
        <v>4</v>
      </c>
      <c r="DM15">
        <v>119.1538461538</v>
      </c>
      <c r="DN15">
        <v>14</v>
      </c>
      <c r="DO15">
        <v>4</v>
      </c>
      <c r="DP15">
        <v>100.42857142859999</v>
      </c>
      <c r="DQ15">
        <v>126.25</v>
      </c>
    </row>
    <row r="16" spans="2:121" x14ac:dyDescent="0.2">
      <c r="B16" t="s">
        <v>121</v>
      </c>
      <c r="C16">
        <v>24</v>
      </c>
      <c r="D16">
        <v>10</v>
      </c>
      <c r="F16" t="s">
        <v>64</v>
      </c>
      <c r="G16">
        <v>861</v>
      </c>
      <c r="H16">
        <v>132.08594657379999</v>
      </c>
      <c r="I16">
        <v>2497</v>
      </c>
      <c r="J16">
        <v>468</v>
      </c>
      <c r="K16">
        <v>1522</v>
      </c>
      <c r="L16">
        <v>496</v>
      </c>
      <c r="M16">
        <v>756</v>
      </c>
      <c r="N16">
        <v>547</v>
      </c>
      <c r="O16">
        <v>2104</v>
      </c>
      <c r="P16">
        <v>1564</v>
      </c>
      <c r="Q16">
        <v>0</v>
      </c>
      <c r="R16">
        <v>1</v>
      </c>
      <c r="T16" t="s">
        <v>8</v>
      </c>
      <c r="U16">
        <v>55</v>
      </c>
      <c r="V16">
        <v>841.52727272729999</v>
      </c>
      <c r="W16">
        <v>14</v>
      </c>
      <c r="Y16">
        <v>58</v>
      </c>
      <c r="Z16">
        <v>51</v>
      </c>
      <c r="AA16">
        <v>8</v>
      </c>
      <c r="AB16">
        <v>7</v>
      </c>
      <c r="AC16">
        <v>48818</v>
      </c>
      <c r="AD16">
        <v>22138</v>
      </c>
      <c r="AE16">
        <v>0</v>
      </c>
      <c r="AF16">
        <v>1</v>
      </c>
      <c r="AH16" t="s">
        <v>394</v>
      </c>
      <c r="AI16">
        <v>7188</v>
      </c>
      <c r="AJ16">
        <v>487.22871452419997</v>
      </c>
      <c r="AK16">
        <v>7478</v>
      </c>
      <c r="AL16">
        <v>1813</v>
      </c>
      <c r="AM16">
        <v>9852</v>
      </c>
      <c r="AN16">
        <v>6839</v>
      </c>
      <c r="AO16">
        <v>2176</v>
      </c>
      <c r="AP16">
        <v>1661</v>
      </c>
      <c r="AQ16">
        <v>2841</v>
      </c>
      <c r="AR16">
        <v>1393</v>
      </c>
      <c r="AS16">
        <v>614</v>
      </c>
      <c r="AT16">
        <v>212</v>
      </c>
      <c r="AV16" t="s">
        <v>375</v>
      </c>
      <c r="AW16">
        <v>1568</v>
      </c>
      <c r="AX16">
        <v>103.7557397959</v>
      </c>
      <c r="AY16">
        <v>2661</v>
      </c>
      <c r="AZ16">
        <v>516</v>
      </c>
      <c r="BA16">
        <v>2259</v>
      </c>
      <c r="BB16">
        <v>833</v>
      </c>
      <c r="BC16">
        <v>42</v>
      </c>
      <c r="BD16">
        <v>39</v>
      </c>
      <c r="BE16">
        <v>131</v>
      </c>
      <c r="BF16">
        <v>24</v>
      </c>
      <c r="BG16">
        <v>188</v>
      </c>
      <c r="BH16">
        <v>475</v>
      </c>
      <c r="BJ16" t="s">
        <v>559</v>
      </c>
      <c r="BK16" t="s">
        <v>390</v>
      </c>
      <c r="BL16">
        <v>8301</v>
      </c>
      <c r="BM16">
        <v>2063</v>
      </c>
      <c r="BN16">
        <v>102.50234911459999</v>
      </c>
      <c r="BO16">
        <v>6756</v>
      </c>
      <c r="BP16">
        <v>2098</v>
      </c>
      <c r="BQ16">
        <v>127.9350207223</v>
      </c>
      <c r="BR16">
        <v>130.35224022880001</v>
      </c>
      <c r="BS16">
        <v>8776</v>
      </c>
      <c r="BT16">
        <v>2550</v>
      </c>
      <c r="BU16">
        <v>110.92570647220001</v>
      </c>
      <c r="BV16">
        <v>7792</v>
      </c>
      <c r="BW16">
        <v>2330</v>
      </c>
      <c r="BX16">
        <v>141.70277207390001</v>
      </c>
      <c r="BY16">
        <v>142.54635193129999</v>
      </c>
      <c r="CA16" t="s">
        <v>385</v>
      </c>
      <c r="CB16" t="s">
        <v>767</v>
      </c>
      <c r="CD16">
        <v>63424</v>
      </c>
      <c r="CE16">
        <v>13388</v>
      </c>
      <c r="CF16">
        <v>93.082902371299994</v>
      </c>
      <c r="CG16">
        <v>50940</v>
      </c>
      <c r="CH16">
        <v>14741</v>
      </c>
      <c r="CI16">
        <v>133.74519042009999</v>
      </c>
      <c r="CJ16">
        <v>135.77823756870001</v>
      </c>
      <c r="CL16" t="s">
        <v>385</v>
      </c>
      <c r="CM16" t="s">
        <v>748</v>
      </c>
      <c r="CO16">
        <v>3856</v>
      </c>
      <c r="CP16">
        <v>333</v>
      </c>
      <c r="CQ16">
        <v>62.752334024900001</v>
      </c>
      <c r="CR16">
        <v>5897</v>
      </c>
      <c r="CS16">
        <v>1756</v>
      </c>
      <c r="CT16">
        <v>63.9208071901</v>
      </c>
      <c r="CU16">
        <v>68.357061503400004</v>
      </c>
      <c r="CW16" t="s">
        <v>385</v>
      </c>
      <c r="CX16" t="s">
        <v>758</v>
      </c>
      <c r="CZ16">
        <v>2004</v>
      </c>
      <c r="DA16">
        <v>269</v>
      </c>
      <c r="DB16">
        <v>80.6821357285</v>
      </c>
      <c r="DC16">
        <v>859</v>
      </c>
      <c r="DD16">
        <v>288</v>
      </c>
      <c r="DE16">
        <v>135.99185098949999</v>
      </c>
      <c r="DF16">
        <v>144.8298611111</v>
      </c>
      <c r="DH16" t="s">
        <v>385</v>
      </c>
      <c r="DI16" t="s">
        <v>738</v>
      </c>
      <c r="DK16">
        <v>2178</v>
      </c>
      <c r="DL16">
        <v>249</v>
      </c>
      <c r="DM16">
        <v>81.612029384799996</v>
      </c>
      <c r="DN16">
        <v>1100</v>
      </c>
      <c r="DO16">
        <v>321</v>
      </c>
      <c r="DP16">
        <v>125.4672727273</v>
      </c>
      <c r="DQ16">
        <v>133.24299065420001</v>
      </c>
    </row>
    <row r="17" spans="2:121" x14ac:dyDescent="0.2">
      <c r="B17" t="s">
        <v>97</v>
      </c>
      <c r="C17">
        <v>364</v>
      </c>
      <c r="D17">
        <v>27</v>
      </c>
      <c r="F17" t="s">
        <v>86</v>
      </c>
      <c r="G17">
        <v>18384</v>
      </c>
      <c r="H17">
        <v>355.08855526539998</v>
      </c>
      <c r="I17">
        <v>19175</v>
      </c>
      <c r="J17">
        <v>4888</v>
      </c>
      <c r="K17">
        <v>30966</v>
      </c>
      <c r="L17">
        <v>19422</v>
      </c>
      <c r="M17">
        <v>10530</v>
      </c>
      <c r="N17">
        <v>6813</v>
      </c>
      <c r="O17">
        <v>3929</v>
      </c>
      <c r="P17">
        <v>2704</v>
      </c>
      <c r="Q17">
        <v>0</v>
      </c>
      <c r="R17">
        <v>16</v>
      </c>
      <c r="T17" t="s">
        <v>404</v>
      </c>
      <c r="U17">
        <v>56391</v>
      </c>
      <c r="V17">
        <v>372.11028355590003</v>
      </c>
      <c r="W17">
        <v>59719</v>
      </c>
      <c r="X17">
        <v>11962</v>
      </c>
      <c r="Y17">
        <v>81581</v>
      </c>
      <c r="Z17">
        <v>54033</v>
      </c>
      <c r="AA17">
        <v>25719</v>
      </c>
      <c r="AB17">
        <v>17672</v>
      </c>
      <c r="AC17">
        <v>21184</v>
      </c>
      <c r="AD17">
        <v>15254</v>
      </c>
      <c r="AE17">
        <v>358</v>
      </c>
      <c r="AF17">
        <v>664</v>
      </c>
      <c r="AH17" t="s">
        <v>392</v>
      </c>
      <c r="AI17">
        <v>7310</v>
      </c>
      <c r="AJ17">
        <v>607.16662106700005</v>
      </c>
      <c r="AK17">
        <v>5247</v>
      </c>
      <c r="AL17">
        <v>936</v>
      </c>
      <c r="AM17">
        <v>11219</v>
      </c>
      <c r="AN17">
        <v>7502</v>
      </c>
      <c r="AO17">
        <v>2194</v>
      </c>
      <c r="AP17">
        <v>1521</v>
      </c>
      <c r="AQ17">
        <v>2909</v>
      </c>
      <c r="AR17">
        <v>1863</v>
      </c>
      <c r="AS17">
        <v>452</v>
      </c>
      <c r="AT17">
        <v>190</v>
      </c>
      <c r="AV17" t="s">
        <v>428</v>
      </c>
      <c r="AW17">
        <v>14</v>
      </c>
      <c r="AX17">
        <v>58.214285714299997</v>
      </c>
      <c r="AY17">
        <v>29</v>
      </c>
      <c r="AZ17">
        <v>4</v>
      </c>
      <c r="BA17">
        <v>20</v>
      </c>
      <c r="BB17">
        <v>1</v>
      </c>
      <c r="BC17">
        <v>2</v>
      </c>
      <c r="BD17">
        <v>2</v>
      </c>
      <c r="BE17">
        <v>2</v>
      </c>
      <c r="BG17">
        <v>52</v>
      </c>
      <c r="BH17">
        <v>6</v>
      </c>
      <c r="BJ17" t="s">
        <v>576</v>
      </c>
      <c r="BK17" t="s">
        <v>390</v>
      </c>
      <c r="BL17">
        <v>2283</v>
      </c>
      <c r="BM17">
        <v>355</v>
      </c>
      <c r="BN17">
        <v>80.237406920699996</v>
      </c>
      <c r="BO17">
        <v>2099</v>
      </c>
      <c r="BP17">
        <v>595</v>
      </c>
      <c r="BQ17">
        <v>109.2920438304</v>
      </c>
      <c r="BR17">
        <v>103.7781512605</v>
      </c>
      <c r="BS17">
        <v>2829</v>
      </c>
      <c r="BT17">
        <v>790</v>
      </c>
      <c r="BU17">
        <v>101.2407211029</v>
      </c>
      <c r="BV17">
        <v>2879</v>
      </c>
      <c r="BW17">
        <v>855</v>
      </c>
      <c r="BX17">
        <v>125.1097603334</v>
      </c>
      <c r="BY17">
        <v>123.0678362573</v>
      </c>
      <c r="CA17" t="s">
        <v>394</v>
      </c>
      <c r="CB17" t="s">
        <v>807</v>
      </c>
      <c r="CC17" t="s">
        <v>1003</v>
      </c>
      <c r="CD17">
        <v>7060</v>
      </c>
      <c r="CE17">
        <v>1751</v>
      </c>
      <c r="CF17">
        <v>100.1879603399</v>
      </c>
      <c r="CG17">
        <v>4762</v>
      </c>
      <c r="CH17">
        <v>1559</v>
      </c>
      <c r="CI17">
        <v>155.63334733310001</v>
      </c>
      <c r="CJ17">
        <v>150.19114817190001</v>
      </c>
      <c r="CL17" t="s">
        <v>394</v>
      </c>
      <c r="CM17" t="s">
        <v>782</v>
      </c>
      <c r="CN17" t="s">
        <v>781</v>
      </c>
      <c r="CO17">
        <v>762</v>
      </c>
      <c r="CP17">
        <v>86</v>
      </c>
      <c r="CQ17">
        <v>72.975065616799995</v>
      </c>
      <c r="CR17">
        <v>1089</v>
      </c>
      <c r="CS17">
        <v>367</v>
      </c>
      <c r="CT17">
        <v>70.052341597799995</v>
      </c>
      <c r="CU17">
        <v>70.583106267000005</v>
      </c>
      <c r="CW17" t="s">
        <v>394</v>
      </c>
      <c r="CX17" t="s">
        <v>795</v>
      </c>
      <c r="CY17" t="s">
        <v>794</v>
      </c>
      <c r="CZ17">
        <v>256</v>
      </c>
      <c r="DA17">
        <v>56</v>
      </c>
      <c r="DB17">
        <v>91.80078125</v>
      </c>
      <c r="DC17">
        <v>86</v>
      </c>
      <c r="DD17">
        <v>28</v>
      </c>
      <c r="DE17">
        <v>134.4534883721</v>
      </c>
      <c r="DF17">
        <v>132.1071428571</v>
      </c>
      <c r="DH17" t="s">
        <v>394</v>
      </c>
      <c r="DI17" t="s">
        <v>769</v>
      </c>
      <c r="DJ17" t="s">
        <v>768</v>
      </c>
      <c r="DK17">
        <v>175</v>
      </c>
      <c r="DL17">
        <v>18</v>
      </c>
      <c r="DM17">
        <v>76.182857142900005</v>
      </c>
      <c r="DN17">
        <v>120</v>
      </c>
      <c r="DO17">
        <v>37</v>
      </c>
      <c r="DP17">
        <v>120.3083333333</v>
      </c>
      <c r="DQ17">
        <v>138.64864864859999</v>
      </c>
    </row>
    <row r="18" spans="2:121" x14ac:dyDescent="0.2">
      <c r="B18" t="s">
        <v>122</v>
      </c>
      <c r="C18">
        <v>66</v>
      </c>
      <c r="D18">
        <v>45</v>
      </c>
      <c r="F18" t="s">
        <v>73</v>
      </c>
      <c r="G18">
        <v>7577</v>
      </c>
      <c r="H18">
        <v>243.4739342748</v>
      </c>
      <c r="I18">
        <v>2300</v>
      </c>
      <c r="J18">
        <v>491</v>
      </c>
      <c r="K18">
        <v>16369</v>
      </c>
      <c r="L18">
        <v>8451</v>
      </c>
      <c r="M18">
        <v>1730</v>
      </c>
      <c r="N18">
        <v>675</v>
      </c>
      <c r="O18">
        <v>410</v>
      </c>
      <c r="P18">
        <v>109</v>
      </c>
      <c r="Q18">
        <v>0</v>
      </c>
      <c r="R18">
        <v>2</v>
      </c>
      <c r="T18" t="s">
        <v>380</v>
      </c>
      <c r="U18">
        <v>66979</v>
      </c>
      <c r="V18">
        <v>345.20322787740002</v>
      </c>
      <c r="W18">
        <v>72454</v>
      </c>
      <c r="X18">
        <v>17438</v>
      </c>
      <c r="Y18">
        <v>95089</v>
      </c>
      <c r="Z18">
        <v>63334</v>
      </c>
      <c r="AA18">
        <v>27732</v>
      </c>
      <c r="AB18">
        <v>19054</v>
      </c>
      <c r="AC18">
        <v>29951</v>
      </c>
      <c r="AD18">
        <v>20249</v>
      </c>
      <c r="AE18">
        <v>144</v>
      </c>
      <c r="AF18">
        <v>1152</v>
      </c>
      <c r="AH18" t="s">
        <v>399</v>
      </c>
      <c r="AI18">
        <v>1427</v>
      </c>
      <c r="AJ18">
        <v>194.1990189208</v>
      </c>
      <c r="AK18">
        <v>2406</v>
      </c>
      <c r="AL18">
        <v>388</v>
      </c>
      <c r="AM18">
        <v>2378</v>
      </c>
      <c r="AN18">
        <v>1123</v>
      </c>
      <c r="AO18">
        <v>426</v>
      </c>
      <c r="AP18">
        <v>215</v>
      </c>
      <c r="AQ18">
        <v>569</v>
      </c>
      <c r="AR18">
        <v>298</v>
      </c>
      <c r="AS18">
        <v>1</v>
      </c>
      <c r="AT18">
        <v>8</v>
      </c>
      <c r="AV18" t="s">
        <v>399</v>
      </c>
      <c r="AW18">
        <v>110</v>
      </c>
      <c r="AX18">
        <v>46.327272727299999</v>
      </c>
      <c r="AY18">
        <v>308</v>
      </c>
      <c r="AZ18">
        <v>7</v>
      </c>
      <c r="BA18">
        <v>162</v>
      </c>
      <c r="BB18">
        <v>3</v>
      </c>
      <c r="BC18">
        <v>0</v>
      </c>
      <c r="BE18">
        <v>7</v>
      </c>
      <c r="BF18">
        <v>1</v>
      </c>
      <c r="BG18">
        <v>286</v>
      </c>
      <c r="BH18">
        <v>17</v>
      </c>
      <c r="BJ18" t="s">
        <v>569</v>
      </c>
      <c r="BK18" t="s">
        <v>390</v>
      </c>
      <c r="BL18">
        <v>7088</v>
      </c>
      <c r="BM18">
        <v>1730</v>
      </c>
      <c r="BN18">
        <v>100.77722911959999</v>
      </c>
      <c r="BO18">
        <v>5086</v>
      </c>
      <c r="BP18">
        <v>1663</v>
      </c>
      <c r="BQ18">
        <v>145.64667715300001</v>
      </c>
      <c r="BR18">
        <v>136.6614552014</v>
      </c>
      <c r="BS18">
        <v>7032</v>
      </c>
      <c r="BT18">
        <v>1679</v>
      </c>
      <c r="BU18">
        <v>99.456769055699993</v>
      </c>
      <c r="BV18">
        <v>5059</v>
      </c>
      <c r="BW18">
        <v>1644</v>
      </c>
      <c r="BX18">
        <v>142.13639059100001</v>
      </c>
      <c r="BY18">
        <v>135.37591240879999</v>
      </c>
      <c r="CA18" t="s">
        <v>392</v>
      </c>
      <c r="CB18" t="s">
        <v>807</v>
      </c>
      <c r="CC18" t="s">
        <v>1004</v>
      </c>
      <c r="CD18">
        <v>4987</v>
      </c>
      <c r="CE18">
        <v>881</v>
      </c>
      <c r="CF18">
        <v>86.855624624000001</v>
      </c>
      <c r="CG18">
        <v>4094</v>
      </c>
      <c r="CH18">
        <v>1210</v>
      </c>
      <c r="CI18">
        <v>124.4579872985</v>
      </c>
      <c r="CJ18">
        <v>123.9785123967</v>
      </c>
      <c r="CL18" t="s">
        <v>392</v>
      </c>
      <c r="CM18" t="s">
        <v>782</v>
      </c>
      <c r="CN18" t="s">
        <v>783</v>
      </c>
      <c r="CO18">
        <v>426</v>
      </c>
      <c r="CP18">
        <v>38</v>
      </c>
      <c r="CQ18">
        <v>65.169014084500006</v>
      </c>
      <c r="CR18">
        <v>648</v>
      </c>
      <c r="CS18">
        <v>209</v>
      </c>
      <c r="CT18">
        <v>76.311728395100005</v>
      </c>
      <c r="CU18">
        <v>72.488038277499996</v>
      </c>
      <c r="CW18" t="s">
        <v>392</v>
      </c>
      <c r="CX18" t="s">
        <v>795</v>
      </c>
      <c r="CY18" t="s">
        <v>796</v>
      </c>
      <c r="CZ18">
        <v>120</v>
      </c>
      <c r="DA18">
        <v>16</v>
      </c>
      <c r="DB18">
        <v>83.758333333300001</v>
      </c>
      <c r="DC18">
        <v>48</v>
      </c>
      <c r="DD18">
        <v>17</v>
      </c>
      <c r="DE18">
        <v>140.7083333333</v>
      </c>
      <c r="DF18">
        <v>134.70588235290001</v>
      </c>
      <c r="DH18" t="s">
        <v>392</v>
      </c>
      <c r="DI18" t="s">
        <v>769</v>
      </c>
      <c r="DJ18" t="s">
        <v>770</v>
      </c>
      <c r="DK18">
        <v>90</v>
      </c>
      <c r="DL18">
        <v>19</v>
      </c>
      <c r="DM18">
        <v>89.888888888899999</v>
      </c>
      <c r="DN18">
        <v>52</v>
      </c>
      <c r="DO18">
        <v>16</v>
      </c>
      <c r="DP18">
        <v>129.51923076919999</v>
      </c>
      <c r="DQ18">
        <v>125.625</v>
      </c>
    </row>
    <row r="19" spans="2:121" x14ac:dyDescent="0.2">
      <c r="B19" t="s">
        <v>126</v>
      </c>
      <c r="C19">
        <v>38</v>
      </c>
      <c r="D19">
        <v>28</v>
      </c>
      <c r="F19" t="s">
        <v>71</v>
      </c>
      <c r="G19">
        <v>3191</v>
      </c>
      <c r="H19">
        <v>470.59542463179997</v>
      </c>
      <c r="I19">
        <v>3350</v>
      </c>
      <c r="J19">
        <v>678</v>
      </c>
      <c r="K19">
        <v>3633</v>
      </c>
      <c r="L19">
        <v>2656</v>
      </c>
      <c r="M19">
        <v>565</v>
      </c>
      <c r="N19">
        <v>412</v>
      </c>
      <c r="O19">
        <v>1085</v>
      </c>
      <c r="P19">
        <v>772</v>
      </c>
      <c r="Q19">
        <v>0</v>
      </c>
      <c r="R19">
        <v>116</v>
      </c>
      <c r="T19" t="s">
        <v>461</v>
      </c>
      <c r="U19">
        <v>323771</v>
      </c>
      <c r="V19">
        <v>384.4743105467</v>
      </c>
      <c r="W19">
        <v>331937</v>
      </c>
      <c r="X19">
        <v>72980</v>
      </c>
      <c r="Y19">
        <v>470112</v>
      </c>
      <c r="Z19">
        <v>308597</v>
      </c>
      <c r="AA19">
        <v>129572</v>
      </c>
      <c r="AB19">
        <v>86294</v>
      </c>
      <c r="AC19">
        <v>163561</v>
      </c>
      <c r="AD19">
        <v>101324</v>
      </c>
      <c r="AE19">
        <v>18690</v>
      </c>
      <c r="AF19">
        <v>4014</v>
      </c>
      <c r="AH19" t="s">
        <v>422</v>
      </c>
      <c r="AI19">
        <v>2104</v>
      </c>
      <c r="AJ19">
        <v>235.60693916349999</v>
      </c>
      <c r="AK19">
        <v>2719</v>
      </c>
      <c r="AL19">
        <v>496</v>
      </c>
      <c r="AM19">
        <v>3300</v>
      </c>
      <c r="AN19">
        <v>1778</v>
      </c>
      <c r="AO19">
        <v>1147</v>
      </c>
      <c r="AP19">
        <v>458</v>
      </c>
      <c r="AQ19">
        <v>682</v>
      </c>
      <c r="AR19">
        <v>330</v>
      </c>
      <c r="AS19">
        <v>9</v>
      </c>
      <c r="AT19">
        <v>13</v>
      </c>
      <c r="AV19" t="s">
        <v>382</v>
      </c>
      <c r="AW19">
        <v>1277</v>
      </c>
      <c r="AX19">
        <v>106.8191072827</v>
      </c>
      <c r="AY19">
        <v>1550</v>
      </c>
      <c r="AZ19">
        <v>329</v>
      </c>
      <c r="BA19">
        <v>1794</v>
      </c>
      <c r="BB19">
        <v>609</v>
      </c>
      <c r="BC19">
        <v>52</v>
      </c>
      <c r="BD19">
        <v>49</v>
      </c>
      <c r="BE19">
        <v>108</v>
      </c>
      <c r="BF19">
        <v>37</v>
      </c>
      <c r="BG19">
        <v>316</v>
      </c>
      <c r="BH19">
        <v>466</v>
      </c>
      <c r="BJ19" t="s">
        <v>633</v>
      </c>
      <c r="BK19" t="s">
        <v>390</v>
      </c>
      <c r="BL19">
        <v>857</v>
      </c>
      <c r="BM19">
        <v>143</v>
      </c>
      <c r="BN19">
        <v>78.373395565899997</v>
      </c>
      <c r="BO19">
        <v>821</v>
      </c>
      <c r="BP19">
        <v>207</v>
      </c>
      <c r="BQ19">
        <v>102.85992691840001</v>
      </c>
      <c r="BR19">
        <v>100.02898550720001</v>
      </c>
      <c r="BS19">
        <v>1196</v>
      </c>
      <c r="BT19">
        <v>344</v>
      </c>
      <c r="BU19">
        <v>99.101170568599997</v>
      </c>
      <c r="BV19">
        <v>1139</v>
      </c>
      <c r="BW19">
        <v>318</v>
      </c>
      <c r="BX19">
        <v>141.72783143109999</v>
      </c>
      <c r="BY19">
        <v>123.7452830189</v>
      </c>
      <c r="CA19" t="s">
        <v>399</v>
      </c>
      <c r="CB19" t="s">
        <v>807</v>
      </c>
      <c r="CC19" t="s">
        <v>1005</v>
      </c>
      <c r="CD19">
        <v>2335</v>
      </c>
      <c r="CE19">
        <v>368</v>
      </c>
      <c r="CF19">
        <v>80.505781584600001</v>
      </c>
      <c r="CG19">
        <v>2202</v>
      </c>
      <c r="CH19">
        <v>620</v>
      </c>
      <c r="CI19">
        <v>109.0881017257</v>
      </c>
      <c r="CJ19">
        <v>102.3548387097</v>
      </c>
      <c r="CL19" t="s">
        <v>399</v>
      </c>
      <c r="CM19" t="s">
        <v>782</v>
      </c>
      <c r="CN19" t="s">
        <v>784</v>
      </c>
      <c r="CO19">
        <v>263</v>
      </c>
      <c r="CP19">
        <v>14</v>
      </c>
      <c r="CQ19">
        <v>57.250950570299999</v>
      </c>
      <c r="CR19">
        <v>384</v>
      </c>
      <c r="CS19">
        <v>105</v>
      </c>
      <c r="CT19">
        <v>64.893229166699996</v>
      </c>
      <c r="CU19">
        <v>63.8952380952</v>
      </c>
      <c r="CW19" t="s">
        <v>399</v>
      </c>
      <c r="CX19" t="s">
        <v>795</v>
      </c>
      <c r="CY19" t="s">
        <v>797</v>
      </c>
      <c r="CZ19">
        <v>57</v>
      </c>
      <c r="DA19">
        <v>10</v>
      </c>
      <c r="DB19">
        <v>83.9122807018</v>
      </c>
      <c r="DC19">
        <v>25</v>
      </c>
      <c r="DD19">
        <v>7</v>
      </c>
      <c r="DE19">
        <v>128</v>
      </c>
      <c r="DF19">
        <v>127.7142857143</v>
      </c>
      <c r="DH19" t="s">
        <v>399</v>
      </c>
      <c r="DI19" t="s">
        <v>769</v>
      </c>
      <c r="DJ19" t="s">
        <v>771</v>
      </c>
      <c r="DK19">
        <v>27</v>
      </c>
      <c r="DL19">
        <v>2</v>
      </c>
      <c r="DM19">
        <v>78.222222222200003</v>
      </c>
      <c r="DN19">
        <v>36</v>
      </c>
      <c r="DO19">
        <v>12</v>
      </c>
      <c r="DP19">
        <v>123.05555555559999</v>
      </c>
      <c r="DQ19">
        <v>101.8333333333</v>
      </c>
    </row>
    <row r="20" spans="2:121" x14ac:dyDescent="0.2">
      <c r="B20" t="s">
        <v>119</v>
      </c>
      <c r="C20">
        <v>11439</v>
      </c>
      <c r="D20">
        <v>3006</v>
      </c>
      <c r="F20" t="s">
        <v>77</v>
      </c>
      <c r="G20">
        <v>256</v>
      </c>
      <c r="H20">
        <v>96.14453125</v>
      </c>
      <c r="I20">
        <v>761</v>
      </c>
      <c r="J20">
        <v>150</v>
      </c>
      <c r="K20">
        <v>492</v>
      </c>
      <c r="L20">
        <v>123</v>
      </c>
      <c r="M20">
        <v>392</v>
      </c>
      <c r="N20">
        <v>178</v>
      </c>
      <c r="O20">
        <v>60</v>
      </c>
      <c r="P20">
        <v>12</v>
      </c>
      <c r="Q20">
        <v>0</v>
      </c>
      <c r="R20">
        <v>0</v>
      </c>
      <c r="AH20" t="s">
        <v>393</v>
      </c>
      <c r="AI20">
        <v>6870</v>
      </c>
      <c r="AJ20">
        <v>542.10611353709999</v>
      </c>
      <c r="AK20">
        <v>3948</v>
      </c>
      <c r="AL20">
        <v>822</v>
      </c>
      <c r="AM20">
        <v>10280</v>
      </c>
      <c r="AN20">
        <v>6894</v>
      </c>
      <c r="AO20">
        <v>2969</v>
      </c>
      <c r="AP20">
        <v>2347</v>
      </c>
      <c r="AQ20">
        <v>1391</v>
      </c>
      <c r="AR20">
        <v>670</v>
      </c>
      <c r="AS20">
        <v>444</v>
      </c>
      <c r="AT20">
        <v>142</v>
      </c>
      <c r="AV20" t="s">
        <v>8</v>
      </c>
      <c r="AW20">
        <v>150</v>
      </c>
      <c r="AX20">
        <v>106.0133333333</v>
      </c>
      <c r="AY20">
        <v>200</v>
      </c>
      <c r="AZ20">
        <v>85</v>
      </c>
      <c r="BA20">
        <v>309</v>
      </c>
      <c r="BB20">
        <v>164</v>
      </c>
      <c r="BC20">
        <v>13</v>
      </c>
      <c r="BD20">
        <v>10</v>
      </c>
      <c r="BE20">
        <v>6</v>
      </c>
      <c r="BF20">
        <v>4</v>
      </c>
      <c r="BG20">
        <v>42</v>
      </c>
      <c r="BH20">
        <v>16</v>
      </c>
      <c r="BJ20" t="s">
        <v>561</v>
      </c>
      <c r="BK20" t="s">
        <v>390</v>
      </c>
      <c r="BL20">
        <v>4881</v>
      </c>
      <c r="BM20">
        <v>876</v>
      </c>
      <c r="BN20">
        <v>87.684695759099995</v>
      </c>
      <c r="BO20">
        <v>3912</v>
      </c>
      <c r="BP20">
        <v>1158</v>
      </c>
      <c r="BQ20">
        <v>128.01431492840001</v>
      </c>
      <c r="BR20">
        <v>125.8739205527</v>
      </c>
      <c r="BS20">
        <v>5208</v>
      </c>
      <c r="BT20">
        <v>1178</v>
      </c>
      <c r="BU20">
        <v>95.822580645200006</v>
      </c>
      <c r="BV20">
        <v>4282</v>
      </c>
      <c r="BW20">
        <v>1279</v>
      </c>
      <c r="BX20">
        <v>132.56352171879999</v>
      </c>
      <c r="BY20">
        <v>129.99061767009999</v>
      </c>
      <c r="CA20" t="s">
        <v>422</v>
      </c>
      <c r="CB20" t="s">
        <v>807</v>
      </c>
      <c r="CC20" t="s">
        <v>1006</v>
      </c>
      <c r="CD20">
        <v>2616</v>
      </c>
      <c r="CE20">
        <v>467</v>
      </c>
      <c r="CF20">
        <v>85.934633027499999</v>
      </c>
      <c r="CG20">
        <v>2273</v>
      </c>
      <c r="CH20">
        <v>693</v>
      </c>
      <c r="CI20">
        <v>130.80466344039999</v>
      </c>
      <c r="CJ20">
        <v>128.3910533911</v>
      </c>
      <c r="CL20" t="s">
        <v>422</v>
      </c>
      <c r="CM20" t="s">
        <v>782</v>
      </c>
      <c r="CN20" t="s">
        <v>785</v>
      </c>
      <c r="CO20">
        <v>223</v>
      </c>
      <c r="CP20">
        <v>17</v>
      </c>
      <c r="CQ20">
        <v>62.865470852000001</v>
      </c>
      <c r="CR20">
        <v>354</v>
      </c>
      <c r="CS20">
        <v>106</v>
      </c>
      <c r="CT20">
        <v>66.935028248600005</v>
      </c>
      <c r="CU20">
        <v>63.603773584899997</v>
      </c>
      <c r="CW20" t="s">
        <v>422</v>
      </c>
      <c r="CX20" t="s">
        <v>795</v>
      </c>
      <c r="CY20" t="s">
        <v>798</v>
      </c>
      <c r="CZ20">
        <v>83</v>
      </c>
      <c r="DA20">
        <v>8</v>
      </c>
      <c r="DB20">
        <v>71.614457831300001</v>
      </c>
      <c r="DC20">
        <v>35</v>
      </c>
      <c r="DD20">
        <v>6</v>
      </c>
      <c r="DE20">
        <v>105.6</v>
      </c>
      <c r="DF20">
        <v>117.8333333333</v>
      </c>
      <c r="DH20" t="s">
        <v>422</v>
      </c>
      <c r="DI20" t="s">
        <v>769</v>
      </c>
      <c r="DJ20" t="s">
        <v>772</v>
      </c>
      <c r="DK20">
        <v>156</v>
      </c>
      <c r="DL20">
        <v>12</v>
      </c>
      <c r="DM20">
        <v>77.769230769200007</v>
      </c>
      <c r="DN20">
        <v>76</v>
      </c>
      <c r="DO20">
        <v>23</v>
      </c>
      <c r="DP20">
        <v>114.17105263160001</v>
      </c>
      <c r="DQ20">
        <v>120.21739130429999</v>
      </c>
    </row>
    <row r="21" spans="2:121" x14ac:dyDescent="0.2">
      <c r="B21" t="s">
        <v>314</v>
      </c>
      <c r="C21">
        <v>1</v>
      </c>
      <c r="D21">
        <v>1</v>
      </c>
      <c r="F21" t="s">
        <v>8</v>
      </c>
      <c r="G21">
        <v>55</v>
      </c>
      <c r="H21">
        <v>841.52727272729999</v>
      </c>
      <c r="I21">
        <v>14</v>
      </c>
      <c r="K21">
        <v>58</v>
      </c>
      <c r="L21">
        <v>51</v>
      </c>
      <c r="M21">
        <v>8</v>
      </c>
      <c r="N21">
        <v>7</v>
      </c>
      <c r="O21">
        <v>48818</v>
      </c>
      <c r="P21">
        <v>22138</v>
      </c>
      <c r="Q21">
        <v>0</v>
      </c>
      <c r="R21">
        <v>1</v>
      </c>
      <c r="AH21" t="s">
        <v>387</v>
      </c>
      <c r="AI21">
        <v>5699</v>
      </c>
      <c r="AJ21">
        <v>445.50500087730001</v>
      </c>
      <c r="AK21">
        <v>5890</v>
      </c>
      <c r="AL21">
        <v>1162</v>
      </c>
      <c r="AM21">
        <v>8335</v>
      </c>
      <c r="AN21">
        <v>5574</v>
      </c>
      <c r="AO21">
        <v>1935</v>
      </c>
      <c r="AP21">
        <v>1332</v>
      </c>
      <c r="AQ21">
        <v>2136</v>
      </c>
      <c r="AR21">
        <v>1209</v>
      </c>
      <c r="AS21">
        <v>230</v>
      </c>
      <c r="AT21">
        <v>243</v>
      </c>
      <c r="AV21" t="s">
        <v>376</v>
      </c>
      <c r="AW21">
        <v>369</v>
      </c>
      <c r="AX21">
        <v>97.173441734400001</v>
      </c>
      <c r="AY21">
        <v>658</v>
      </c>
      <c r="AZ21">
        <v>123</v>
      </c>
      <c r="BA21">
        <v>500</v>
      </c>
      <c r="BB21">
        <v>166</v>
      </c>
      <c r="BC21">
        <v>18</v>
      </c>
      <c r="BD21">
        <v>16</v>
      </c>
      <c r="BE21">
        <v>46</v>
      </c>
      <c r="BF21">
        <v>17</v>
      </c>
      <c r="BG21">
        <v>83</v>
      </c>
      <c r="BH21">
        <v>171</v>
      </c>
      <c r="BJ21" t="s">
        <v>578</v>
      </c>
      <c r="BK21" t="s">
        <v>390</v>
      </c>
      <c r="BL21">
        <v>2083</v>
      </c>
      <c r="BM21">
        <v>240</v>
      </c>
      <c r="BN21">
        <v>75.232357177099999</v>
      </c>
      <c r="BO21">
        <v>1511</v>
      </c>
      <c r="BP21">
        <v>416</v>
      </c>
      <c r="BQ21">
        <v>115.8193249504</v>
      </c>
      <c r="BR21">
        <v>121.3461538462</v>
      </c>
      <c r="BS21">
        <v>5519</v>
      </c>
      <c r="BT21">
        <v>1498</v>
      </c>
      <c r="BU21">
        <v>101.542127197</v>
      </c>
      <c r="BV21">
        <v>4389</v>
      </c>
      <c r="BW21">
        <v>1233</v>
      </c>
      <c r="BX21">
        <v>146.5753018911</v>
      </c>
      <c r="BY21">
        <v>152.98215733980001</v>
      </c>
      <c r="CA21" t="s">
        <v>395</v>
      </c>
      <c r="CB21" t="s">
        <v>807</v>
      </c>
      <c r="CC21" t="s">
        <v>1007</v>
      </c>
      <c r="CD21">
        <v>7122</v>
      </c>
      <c r="CE21">
        <v>1695</v>
      </c>
      <c r="CF21">
        <v>99.655012636899997</v>
      </c>
      <c r="CG21">
        <v>5294</v>
      </c>
      <c r="CH21">
        <v>1728</v>
      </c>
      <c r="CI21">
        <v>145.3596524367</v>
      </c>
      <c r="CJ21">
        <v>134.8616898148</v>
      </c>
      <c r="CL21" t="s">
        <v>395</v>
      </c>
      <c r="CM21" t="s">
        <v>782</v>
      </c>
      <c r="CN21" t="s">
        <v>786</v>
      </c>
      <c r="CO21">
        <v>816</v>
      </c>
      <c r="CP21">
        <v>72</v>
      </c>
      <c r="CQ21">
        <v>69.420343137299994</v>
      </c>
      <c r="CR21">
        <v>1176</v>
      </c>
      <c r="CS21">
        <v>382</v>
      </c>
      <c r="CT21">
        <v>70.499149659899999</v>
      </c>
      <c r="CU21">
        <v>76.646596858600006</v>
      </c>
      <c r="CW21" t="s">
        <v>395</v>
      </c>
      <c r="CX21" t="s">
        <v>795</v>
      </c>
      <c r="CY21" t="s">
        <v>799</v>
      </c>
      <c r="CZ21">
        <v>180</v>
      </c>
      <c r="DA21">
        <v>27</v>
      </c>
      <c r="DB21">
        <v>88.538888888900004</v>
      </c>
      <c r="DC21">
        <v>74</v>
      </c>
      <c r="DD21">
        <v>30</v>
      </c>
      <c r="DE21">
        <v>140.0810810811</v>
      </c>
      <c r="DF21">
        <v>140.46666666670001</v>
      </c>
      <c r="DH21" t="s">
        <v>395</v>
      </c>
      <c r="DI21" t="s">
        <v>769</v>
      </c>
      <c r="DJ21" t="s">
        <v>773</v>
      </c>
      <c r="DK21">
        <v>104</v>
      </c>
      <c r="DL21">
        <v>17</v>
      </c>
      <c r="DM21">
        <v>76.211538461499998</v>
      </c>
      <c r="DN21">
        <v>88</v>
      </c>
      <c r="DO21">
        <v>26</v>
      </c>
      <c r="DP21">
        <v>130.5681818182</v>
      </c>
      <c r="DQ21">
        <v>137.4615384615</v>
      </c>
    </row>
    <row r="22" spans="2:121" x14ac:dyDescent="0.2">
      <c r="B22" t="s">
        <v>112</v>
      </c>
      <c r="C22">
        <v>23092</v>
      </c>
      <c r="D22">
        <v>11887</v>
      </c>
      <c r="F22" t="s">
        <v>47</v>
      </c>
      <c r="G22">
        <v>1340</v>
      </c>
      <c r="H22">
        <v>299.35074626869999</v>
      </c>
      <c r="I22">
        <v>1885</v>
      </c>
      <c r="J22">
        <v>354</v>
      </c>
      <c r="K22">
        <v>2964</v>
      </c>
      <c r="L22">
        <v>1946</v>
      </c>
      <c r="M22">
        <v>602</v>
      </c>
      <c r="N22">
        <v>308</v>
      </c>
      <c r="O22">
        <v>870</v>
      </c>
      <c r="P22">
        <v>617</v>
      </c>
      <c r="Q22">
        <v>0</v>
      </c>
      <c r="R22">
        <v>6</v>
      </c>
      <c r="AH22" t="s">
        <v>416</v>
      </c>
      <c r="AI22">
        <v>1475</v>
      </c>
      <c r="AJ22">
        <v>287.16610169490002</v>
      </c>
      <c r="AK22">
        <v>1263</v>
      </c>
      <c r="AL22">
        <v>183</v>
      </c>
      <c r="AM22">
        <v>2063</v>
      </c>
      <c r="AN22">
        <v>1273</v>
      </c>
      <c r="AO22">
        <v>1083</v>
      </c>
      <c r="AP22">
        <v>835</v>
      </c>
      <c r="AQ22">
        <v>380</v>
      </c>
      <c r="AR22">
        <v>229</v>
      </c>
      <c r="AS22">
        <v>361</v>
      </c>
      <c r="AT22">
        <v>3</v>
      </c>
      <c r="AV22" t="s">
        <v>422</v>
      </c>
      <c r="AW22">
        <v>79</v>
      </c>
      <c r="AX22">
        <v>43.151898734200003</v>
      </c>
      <c r="AY22">
        <v>232</v>
      </c>
      <c r="AZ22">
        <v>7</v>
      </c>
      <c r="BA22">
        <v>121</v>
      </c>
      <c r="BB22">
        <v>2</v>
      </c>
      <c r="BC22">
        <v>1</v>
      </c>
      <c r="BD22">
        <v>1</v>
      </c>
      <c r="BE22">
        <v>4</v>
      </c>
      <c r="BF22">
        <v>1</v>
      </c>
      <c r="BG22">
        <v>148</v>
      </c>
      <c r="BH22">
        <v>21</v>
      </c>
      <c r="BJ22" t="s">
        <v>390</v>
      </c>
      <c r="BK22" t="s">
        <v>390</v>
      </c>
      <c r="BL22">
        <v>52274</v>
      </c>
      <c r="BM22">
        <v>10734</v>
      </c>
      <c r="BN22">
        <v>91.528503653800001</v>
      </c>
      <c r="BO22">
        <v>41503</v>
      </c>
      <c r="BP22">
        <v>12958</v>
      </c>
      <c r="BQ22">
        <v>129.55581524230001</v>
      </c>
      <c r="BR22">
        <v>127.645855842</v>
      </c>
      <c r="BS22">
        <v>55711</v>
      </c>
      <c r="BT22">
        <v>13893</v>
      </c>
      <c r="BU22">
        <v>99.305505196499993</v>
      </c>
      <c r="BV22">
        <v>47797</v>
      </c>
      <c r="BW22">
        <v>14534</v>
      </c>
      <c r="BX22">
        <v>138.43243299790001</v>
      </c>
      <c r="BY22">
        <v>136.77569836250001</v>
      </c>
      <c r="CA22" t="s">
        <v>401</v>
      </c>
      <c r="CB22" t="s">
        <v>807</v>
      </c>
      <c r="CC22" t="s">
        <v>1008</v>
      </c>
      <c r="CD22">
        <v>4809</v>
      </c>
      <c r="CE22">
        <v>882</v>
      </c>
      <c r="CF22">
        <v>84.038053649399998</v>
      </c>
      <c r="CG22">
        <v>5051</v>
      </c>
      <c r="CH22">
        <v>1563</v>
      </c>
      <c r="CI22">
        <v>113.2223322114</v>
      </c>
      <c r="CJ22">
        <v>112.6225207933</v>
      </c>
      <c r="CL22" t="s">
        <v>401</v>
      </c>
      <c r="CM22" t="s">
        <v>782</v>
      </c>
      <c r="CN22" t="s">
        <v>787</v>
      </c>
      <c r="CO22">
        <v>280</v>
      </c>
      <c r="CP22">
        <v>23</v>
      </c>
      <c r="CQ22">
        <v>60.407142857099998</v>
      </c>
      <c r="CR22">
        <v>498</v>
      </c>
      <c r="CS22">
        <v>135</v>
      </c>
      <c r="CT22">
        <v>60.267068273100001</v>
      </c>
      <c r="CU22">
        <v>81.237037036999993</v>
      </c>
      <c r="CW22" t="s">
        <v>401</v>
      </c>
      <c r="CX22" t="s">
        <v>795</v>
      </c>
      <c r="CY22" t="s">
        <v>800</v>
      </c>
      <c r="CZ22">
        <v>85</v>
      </c>
      <c r="DA22">
        <v>13</v>
      </c>
      <c r="DB22">
        <v>82</v>
      </c>
      <c r="DC22">
        <v>36</v>
      </c>
      <c r="DD22">
        <v>10</v>
      </c>
      <c r="DE22">
        <v>121.6388888889</v>
      </c>
      <c r="DF22">
        <v>122.3</v>
      </c>
      <c r="DH22" t="s">
        <v>401</v>
      </c>
      <c r="DI22" t="s">
        <v>769</v>
      </c>
      <c r="DJ22" t="s">
        <v>774</v>
      </c>
      <c r="DK22">
        <v>35</v>
      </c>
      <c r="DL22">
        <v>6</v>
      </c>
      <c r="DM22">
        <v>83.971428571399997</v>
      </c>
      <c r="DN22">
        <v>25</v>
      </c>
      <c r="DO22">
        <v>9</v>
      </c>
      <c r="DP22">
        <v>116.8</v>
      </c>
      <c r="DQ22">
        <v>142</v>
      </c>
    </row>
    <row r="23" spans="2:121" x14ac:dyDescent="0.2">
      <c r="B23" t="s">
        <v>1063</v>
      </c>
      <c r="C23">
        <v>1156</v>
      </c>
      <c r="D23">
        <v>739</v>
      </c>
      <c r="F23" t="s">
        <v>46</v>
      </c>
      <c r="G23">
        <v>68</v>
      </c>
      <c r="H23">
        <v>109.0588235294</v>
      </c>
      <c r="I23">
        <v>841</v>
      </c>
      <c r="J23">
        <v>144</v>
      </c>
      <c r="K23">
        <v>193</v>
      </c>
      <c r="L23">
        <v>23</v>
      </c>
      <c r="M23">
        <v>104</v>
      </c>
      <c r="N23">
        <v>41</v>
      </c>
      <c r="O23">
        <v>97</v>
      </c>
      <c r="P23">
        <v>30</v>
      </c>
      <c r="Q23">
        <v>0</v>
      </c>
      <c r="R23">
        <v>2</v>
      </c>
      <c r="AH23" t="s">
        <v>376</v>
      </c>
      <c r="AI23">
        <v>8519</v>
      </c>
      <c r="AJ23">
        <v>632.21352271390003</v>
      </c>
      <c r="AK23">
        <v>5799</v>
      </c>
      <c r="AL23">
        <v>1161</v>
      </c>
      <c r="AM23">
        <v>11658</v>
      </c>
      <c r="AN23">
        <v>8381</v>
      </c>
      <c r="AO23">
        <v>3281</v>
      </c>
      <c r="AP23">
        <v>2387</v>
      </c>
      <c r="AQ23">
        <v>7515</v>
      </c>
      <c r="AR23">
        <v>5849</v>
      </c>
      <c r="AS23">
        <v>430</v>
      </c>
      <c r="AT23">
        <v>4</v>
      </c>
      <c r="AV23" t="s">
        <v>83</v>
      </c>
      <c r="AW23">
        <v>141</v>
      </c>
      <c r="AX23">
        <v>43.134751772999998</v>
      </c>
      <c r="AY23">
        <v>456</v>
      </c>
      <c r="AZ23">
        <v>19</v>
      </c>
      <c r="BA23">
        <v>269</v>
      </c>
      <c r="BB23">
        <v>26</v>
      </c>
      <c r="BC23">
        <v>1</v>
      </c>
      <c r="BE23">
        <v>22</v>
      </c>
      <c r="BF23">
        <v>5</v>
      </c>
      <c r="BG23">
        <v>363</v>
      </c>
      <c r="BH23">
        <v>51</v>
      </c>
      <c r="BJ23" t="s">
        <v>571</v>
      </c>
      <c r="BK23" t="s">
        <v>390</v>
      </c>
      <c r="BL23">
        <v>4075</v>
      </c>
      <c r="BM23">
        <v>744</v>
      </c>
      <c r="BN23">
        <v>84.393374233100005</v>
      </c>
      <c r="BO23">
        <v>3189</v>
      </c>
      <c r="BP23">
        <v>1015</v>
      </c>
      <c r="BQ23">
        <v>122.6393853873</v>
      </c>
      <c r="BR23">
        <v>123.36157635470001</v>
      </c>
      <c r="BS23">
        <v>4501</v>
      </c>
      <c r="BT23">
        <v>1162</v>
      </c>
      <c r="BU23">
        <v>100.6554099089</v>
      </c>
      <c r="BV23">
        <v>3975</v>
      </c>
      <c r="BW23">
        <v>1212</v>
      </c>
      <c r="BX23">
        <v>145.91396226419999</v>
      </c>
      <c r="BY23">
        <v>148.5041254125</v>
      </c>
      <c r="CA23" t="s">
        <v>397</v>
      </c>
      <c r="CB23" t="s">
        <v>807</v>
      </c>
      <c r="CC23" t="s">
        <v>1009</v>
      </c>
      <c r="CD23">
        <v>5936</v>
      </c>
      <c r="CE23">
        <v>929</v>
      </c>
      <c r="CF23">
        <v>80.393194070099995</v>
      </c>
      <c r="CG23">
        <v>4781</v>
      </c>
      <c r="CH23">
        <v>1572</v>
      </c>
      <c r="CI23">
        <v>118.6517464965</v>
      </c>
      <c r="CJ23">
        <v>113.9402035623</v>
      </c>
      <c r="CL23" t="s">
        <v>397</v>
      </c>
      <c r="CM23" t="s">
        <v>782</v>
      </c>
      <c r="CN23" t="s">
        <v>788</v>
      </c>
      <c r="CO23">
        <v>547</v>
      </c>
      <c r="CP23">
        <v>64</v>
      </c>
      <c r="CQ23">
        <v>72.018281535599996</v>
      </c>
      <c r="CR23">
        <v>796</v>
      </c>
      <c r="CS23">
        <v>237</v>
      </c>
      <c r="CT23">
        <v>68.904522613099999</v>
      </c>
      <c r="CU23">
        <v>70.827004219399996</v>
      </c>
      <c r="CW23" t="s">
        <v>397</v>
      </c>
      <c r="CX23" t="s">
        <v>795</v>
      </c>
      <c r="CY23" t="s">
        <v>801</v>
      </c>
      <c r="CZ23">
        <v>179</v>
      </c>
      <c r="DA23">
        <v>25</v>
      </c>
      <c r="DB23">
        <v>82.178770949699995</v>
      </c>
      <c r="DC23">
        <v>94</v>
      </c>
      <c r="DD23">
        <v>28</v>
      </c>
      <c r="DE23">
        <v>126.32978723399999</v>
      </c>
      <c r="DF23">
        <v>124.6428571429</v>
      </c>
      <c r="DH23" t="s">
        <v>397</v>
      </c>
      <c r="DI23" t="s">
        <v>769</v>
      </c>
      <c r="DJ23" t="s">
        <v>775</v>
      </c>
      <c r="DK23">
        <v>160</v>
      </c>
      <c r="DL23">
        <v>22</v>
      </c>
      <c r="DM23">
        <v>84.181250000000006</v>
      </c>
      <c r="DN23">
        <v>84</v>
      </c>
      <c r="DO23">
        <v>32</v>
      </c>
      <c r="DP23">
        <v>134</v>
      </c>
      <c r="DQ23">
        <v>134.09375</v>
      </c>
    </row>
    <row r="24" spans="2:121" x14ac:dyDescent="0.2">
      <c r="B24" t="s">
        <v>113</v>
      </c>
      <c r="C24">
        <v>1691</v>
      </c>
      <c r="D24">
        <v>588</v>
      </c>
      <c r="F24" t="s">
        <v>82</v>
      </c>
      <c r="G24">
        <v>12228</v>
      </c>
      <c r="H24">
        <v>330.21663395489998</v>
      </c>
      <c r="I24">
        <v>17860</v>
      </c>
      <c r="J24">
        <v>3240</v>
      </c>
      <c r="K24">
        <v>14581</v>
      </c>
      <c r="L24">
        <v>9180</v>
      </c>
      <c r="M24">
        <v>5154</v>
      </c>
      <c r="N24">
        <v>2473</v>
      </c>
      <c r="O24">
        <v>3792</v>
      </c>
      <c r="P24">
        <v>1624</v>
      </c>
      <c r="Q24">
        <v>2</v>
      </c>
      <c r="R24">
        <v>200</v>
      </c>
      <c r="T24" t="s">
        <v>647</v>
      </c>
      <c r="U24" t="s">
        <v>305</v>
      </c>
      <c r="V24" t="s">
        <v>136</v>
      </c>
      <c r="W24" t="s">
        <v>217</v>
      </c>
      <c r="X24" t="s">
        <v>218</v>
      </c>
      <c r="Y24" t="s">
        <v>219</v>
      </c>
      <c r="Z24" t="s">
        <v>220</v>
      </c>
      <c r="AA24" t="s">
        <v>221</v>
      </c>
      <c r="AB24" t="s">
        <v>222</v>
      </c>
      <c r="AC24" t="s">
        <v>223</v>
      </c>
      <c r="AD24" t="s">
        <v>224</v>
      </c>
      <c r="AE24" t="s">
        <v>225</v>
      </c>
      <c r="AF24" t="s">
        <v>226</v>
      </c>
      <c r="AH24" t="s">
        <v>371</v>
      </c>
      <c r="AI24">
        <v>4799</v>
      </c>
      <c r="AJ24">
        <v>536.94436340899995</v>
      </c>
      <c r="AK24">
        <v>4380</v>
      </c>
      <c r="AL24">
        <v>1132</v>
      </c>
      <c r="AM24">
        <v>6992</v>
      </c>
      <c r="AN24">
        <v>5140</v>
      </c>
      <c r="AO24">
        <v>3030</v>
      </c>
      <c r="AP24">
        <v>2448</v>
      </c>
      <c r="AQ24">
        <v>1686</v>
      </c>
      <c r="AR24">
        <v>1145</v>
      </c>
      <c r="AS24">
        <v>779</v>
      </c>
      <c r="AT24">
        <v>9</v>
      </c>
      <c r="AV24" t="s">
        <v>407</v>
      </c>
      <c r="AW24">
        <v>697</v>
      </c>
      <c r="AX24">
        <v>42.814921090399999</v>
      </c>
      <c r="AY24">
        <v>1969</v>
      </c>
      <c r="AZ24">
        <v>81</v>
      </c>
      <c r="BA24">
        <v>1015</v>
      </c>
      <c r="BB24">
        <v>39</v>
      </c>
      <c r="BC24">
        <v>9</v>
      </c>
      <c r="BD24">
        <v>7</v>
      </c>
      <c r="BE24">
        <v>76</v>
      </c>
      <c r="BF24">
        <v>34</v>
      </c>
      <c r="BG24">
        <v>1129</v>
      </c>
      <c r="BH24">
        <v>223</v>
      </c>
      <c r="BJ24" t="s">
        <v>635</v>
      </c>
      <c r="BK24" t="s">
        <v>390</v>
      </c>
      <c r="BL24">
        <v>818</v>
      </c>
      <c r="BM24">
        <v>148</v>
      </c>
      <c r="BN24">
        <v>77.039119804400002</v>
      </c>
      <c r="BO24">
        <v>805</v>
      </c>
      <c r="BP24">
        <v>242</v>
      </c>
      <c r="BQ24">
        <v>107.7900621118</v>
      </c>
      <c r="BR24">
        <v>106.2190082645</v>
      </c>
      <c r="BS24">
        <v>1408</v>
      </c>
      <c r="BT24">
        <v>374</v>
      </c>
      <c r="BU24">
        <v>104.9161931818</v>
      </c>
      <c r="BV24">
        <v>1424</v>
      </c>
      <c r="BW24">
        <v>415</v>
      </c>
      <c r="BX24">
        <v>139.04564606740001</v>
      </c>
      <c r="BY24">
        <v>138.12048192770001</v>
      </c>
      <c r="CA24" t="s">
        <v>400</v>
      </c>
      <c r="CB24" t="s">
        <v>807</v>
      </c>
      <c r="CC24" t="s">
        <v>1010</v>
      </c>
      <c r="CD24">
        <v>2079</v>
      </c>
      <c r="CE24">
        <v>243</v>
      </c>
      <c r="CF24">
        <v>74.849446849399996</v>
      </c>
      <c r="CG24">
        <v>1581</v>
      </c>
      <c r="CH24">
        <v>434</v>
      </c>
      <c r="CI24">
        <v>114.238456673</v>
      </c>
      <c r="CJ24">
        <v>118.33410138249999</v>
      </c>
      <c r="CL24" t="s">
        <v>400</v>
      </c>
      <c r="CM24" t="s">
        <v>782</v>
      </c>
      <c r="CN24" t="s">
        <v>789</v>
      </c>
      <c r="CO24">
        <v>92</v>
      </c>
      <c r="CP24">
        <v>12</v>
      </c>
      <c r="CQ24">
        <v>73.358695652199998</v>
      </c>
      <c r="CR24">
        <v>138</v>
      </c>
      <c r="CS24">
        <v>34</v>
      </c>
      <c r="CT24">
        <v>64.775362318800006</v>
      </c>
      <c r="CU24">
        <v>66.882352941199997</v>
      </c>
      <c r="CW24" t="s">
        <v>400</v>
      </c>
      <c r="CX24" t="s">
        <v>795</v>
      </c>
      <c r="CY24" t="s">
        <v>802</v>
      </c>
      <c r="CZ24">
        <v>57</v>
      </c>
      <c r="DA24">
        <v>2</v>
      </c>
      <c r="DB24">
        <v>60.8596491228</v>
      </c>
      <c r="DC24">
        <v>21</v>
      </c>
      <c r="DD24">
        <v>5</v>
      </c>
      <c r="DE24">
        <v>111.5238095238</v>
      </c>
      <c r="DF24">
        <v>118.6</v>
      </c>
      <c r="DH24" t="s">
        <v>400</v>
      </c>
      <c r="DI24" t="s">
        <v>769</v>
      </c>
      <c r="DJ24" t="s">
        <v>776</v>
      </c>
      <c r="DK24">
        <v>86</v>
      </c>
      <c r="DL24">
        <v>5</v>
      </c>
      <c r="DM24">
        <v>72.290697674399993</v>
      </c>
      <c r="DN24">
        <v>37</v>
      </c>
      <c r="DO24">
        <v>14</v>
      </c>
      <c r="DP24">
        <v>112</v>
      </c>
      <c r="DQ24">
        <v>111.42857142859999</v>
      </c>
    </row>
    <row r="25" spans="2:121" x14ac:dyDescent="0.2">
      <c r="B25" t="s">
        <v>107</v>
      </c>
      <c r="C25">
        <v>43221</v>
      </c>
      <c r="D25">
        <v>10923</v>
      </c>
      <c r="F25" t="s">
        <v>42</v>
      </c>
      <c r="G25">
        <v>10425</v>
      </c>
      <c r="H25">
        <v>293.88748201440001</v>
      </c>
      <c r="I25">
        <v>8800</v>
      </c>
      <c r="J25">
        <v>2458</v>
      </c>
      <c r="K25">
        <v>18916</v>
      </c>
      <c r="L25">
        <v>12319</v>
      </c>
      <c r="M25">
        <v>3166</v>
      </c>
      <c r="N25">
        <v>2179</v>
      </c>
      <c r="O25">
        <v>1563</v>
      </c>
      <c r="P25">
        <v>689</v>
      </c>
      <c r="Q25">
        <v>1</v>
      </c>
      <c r="R25">
        <v>52</v>
      </c>
      <c r="T25" t="s">
        <v>385</v>
      </c>
      <c r="U25">
        <v>60127</v>
      </c>
      <c r="V25">
        <v>367.11991285110003</v>
      </c>
      <c r="W25">
        <v>66699</v>
      </c>
      <c r="X25">
        <v>14053</v>
      </c>
      <c r="Y25">
        <v>84814</v>
      </c>
      <c r="Z25">
        <v>54675</v>
      </c>
      <c r="AA25">
        <v>22193</v>
      </c>
      <c r="AB25">
        <v>13268</v>
      </c>
      <c r="AC25">
        <v>24093</v>
      </c>
      <c r="AD25">
        <v>13195</v>
      </c>
      <c r="AE25">
        <v>834</v>
      </c>
      <c r="AF25">
        <v>1061</v>
      </c>
      <c r="AH25" t="s">
        <v>395</v>
      </c>
      <c r="AI25">
        <v>4381</v>
      </c>
      <c r="AJ25">
        <v>277.47728829030001</v>
      </c>
      <c r="AK25">
        <v>7426</v>
      </c>
      <c r="AL25">
        <v>1776</v>
      </c>
      <c r="AM25">
        <v>7657</v>
      </c>
      <c r="AN25">
        <v>4519</v>
      </c>
      <c r="AO25">
        <v>1707</v>
      </c>
      <c r="AP25">
        <v>1043</v>
      </c>
      <c r="AQ25">
        <v>1992</v>
      </c>
      <c r="AR25">
        <v>1003</v>
      </c>
      <c r="AS25">
        <v>671</v>
      </c>
      <c r="AT25">
        <v>198</v>
      </c>
      <c r="AV25" t="s">
        <v>374</v>
      </c>
      <c r="AW25">
        <v>479</v>
      </c>
      <c r="AX25">
        <v>103.86430062629999</v>
      </c>
      <c r="AY25">
        <v>791</v>
      </c>
      <c r="AZ25">
        <v>168</v>
      </c>
      <c r="BA25">
        <v>626</v>
      </c>
      <c r="BB25">
        <v>235</v>
      </c>
      <c r="BC25">
        <v>12</v>
      </c>
      <c r="BD25">
        <v>12</v>
      </c>
      <c r="BE25">
        <v>37</v>
      </c>
      <c r="BF25">
        <v>5</v>
      </c>
      <c r="BG25">
        <v>81</v>
      </c>
      <c r="BH25">
        <v>202</v>
      </c>
      <c r="BJ25" t="s">
        <v>574</v>
      </c>
      <c r="BK25" t="s">
        <v>390</v>
      </c>
      <c r="BL25">
        <v>5777</v>
      </c>
      <c r="BM25">
        <v>886</v>
      </c>
      <c r="BN25">
        <v>79.608447291000004</v>
      </c>
      <c r="BO25">
        <v>4445</v>
      </c>
      <c r="BP25">
        <v>1480</v>
      </c>
      <c r="BQ25">
        <v>119.75680539930001</v>
      </c>
      <c r="BR25">
        <v>116.88243243239999</v>
      </c>
      <c r="BS25">
        <v>6002</v>
      </c>
      <c r="BT25">
        <v>1107</v>
      </c>
      <c r="BU25">
        <v>83.933022325899998</v>
      </c>
      <c r="BV25">
        <v>5300</v>
      </c>
      <c r="BW25">
        <v>1600</v>
      </c>
      <c r="BX25">
        <v>122.9545283019</v>
      </c>
      <c r="BY25">
        <v>121.859375</v>
      </c>
      <c r="CA25" t="s">
        <v>419</v>
      </c>
      <c r="CB25" t="s">
        <v>807</v>
      </c>
      <c r="CC25" t="s">
        <v>1011</v>
      </c>
      <c r="CD25">
        <v>624</v>
      </c>
      <c r="CE25">
        <v>100</v>
      </c>
      <c r="CF25">
        <v>76.879807692300005</v>
      </c>
      <c r="CG25">
        <v>629</v>
      </c>
      <c r="CH25">
        <v>155</v>
      </c>
      <c r="CI25">
        <v>98.055643879200005</v>
      </c>
      <c r="CJ25">
        <v>94.890322580599999</v>
      </c>
      <c r="CL25" t="s">
        <v>419</v>
      </c>
      <c r="CM25" t="s">
        <v>782</v>
      </c>
      <c r="CN25" t="s">
        <v>790</v>
      </c>
      <c r="CO25">
        <v>46</v>
      </c>
      <c r="CP25">
        <v>1</v>
      </c>
      <c r="CQ25">
        <v>53.717391304300001</v>
      </c>
      <c r="CR25">
        <v>59</v>
      </c>
      <c r="CS25">
        <v>16</v>
      </c>
      <c r="CT25">
        <v>57.542372881399999</v>
      </c>
      <c r="CU25">
        <v>40.3125</v>
      </c>
      <c r="CW25" t="s">
        <v>419</v>
      </c>
      <c r="CX25" t="s">
        <v>795</v>
      </c>
      <c r="CY25" t="s">
        <v>803</v>
      </c>
      <c r="CZ25">
        <v>13</v>
      </c>
      <c r="DA25">
        <v>2</v>
      </c>
      <c r="DB25">
        <v>82.538461538500002</v>
      </c>
      <c r="DC25">
        <v>15</v>
      </c>
      <c r="DD25">
        <v>6</v>
      </c>
      <c r="DE25">
        <v>89.066666666700002</v>
      </c>
      <c r="DF25">
        <v>100.1666666667</v>
      </c>
      <c r="DH25" t="s">
        <v>419</v>
      </c>
      <c r="DI25" t="s">
        <v>769</v>
      </c>
      <c r="DJ25" t="s">
        <v>777</v>
      </c>
      <c r="DK25">
        <v>4</v>
      </c>
      <c r="DL25">
        <v>0</v>
      </c>
      <c r="DM25">
        <v>57.75</v>
      </c>
      <c r="DN25">
        <v>4</v>
      </c>
      <c r="DO25">
        <v>0</v>
      </c>
      <c r="DP25">
        <v>122</v>
      </c>
      <c r="DQ25">
        <v>0</v>
      </c>
    </row>
    <row r="26" spans="2:121" x14ac:dyDescent="0.2">
      <c r="B26" t="s">
        <v>106</v>
      </c>
      <c r="C26">
        <v>55</v>
      </c>
      <c r="D26">
        <v>46</v>
      </c>
      <c r="F26" t="s">
        <v>38</v>
      </c>
      <c r="G26">
        <v>4271</v>
      </c>
      <c r="H26">
        <v>598.53921798169995</v>
      </c>
      <c r="I26">
        <v>3376</v>
      </c>
      <c r="J26">
        <v>899</v>
      </c>
      <c r="K26">
        <v>5602</v>
      </c>
      <c r="L26">
        <v>4448</v>
      </c>
      <c r="M26">
        <v>2588</v>
      </c>
      <c r="N26">
        <v>2113</v>
      </c>
      <c r="O26">
        <v>973</v>
      </c>
      <c r="P26">
        <v>757</v>
      </c>
      <c r="Q26">
        <v>0</v>
      </c>
      <c r="R26">
        <v>2</v>
      </c>
      <c r="T26" t="s">
        <v>390</v>
      </c>
      <c r="U26">
        <v>42830</v>
      </c>
      <c r="V26">
        <v>386.30938594439999</v>
      </c>
      <c r="W26">
        <v>52581</v>
      </c>
      <c r="X26">
        <v>10764</v>
      </c>
      <c r="Y26">
        <v>67547</v>
      </c>
      <c r="Z26">
        <v>40246</v>
      </c>
      <c r="AA26">
        <v>14853</v>
      </c>
      <c r="AB26">
        <v>9574</v>
      </c>
      <c r="AC26">
        <v>24843</v>
      </c>
      <c r="AD26">
        <v>14426</v>
      </c>
      <c r="AE26">
        <v>3389</v>
      </c>
      <c r="AF26">
        <v>1054</v>
      </c>
      <c r="AH26" t="s">
        <v>401</v>
      </c>
      <c r="AI26">
        <v>1435</v>
      </c>
      <c r="AJ26">
        <v>199.07874564459999</v>
      </c>
      <c r="AK26">
        <v>4748</v>
      </c>
      <c r="AL26">
        <v>916</v>
      </c>
      <c r="AM26">
        <v>3121</v>
      </c>
      <c r="AN26">
        <v>1503</v>
      </c>
      <c r="AO26">
        <v>663</v>
      </c>
      <c r="AP26">
        <v>286</v>
      </c>
      <c r="AQ26">
        <v>1222</v>
      </c>
      <c r="AR26">
        <v>685</v>
      </c>
      <c r="AS26">
        <v>5</v>
      </c>
      <c r="AT26">
        <v>5</v>
      </c>
      <c r="AV26" t="s">
        <v>397</v>
      </c>
      <c r="AW26">
        <v>296</v>
      </c>
      <c r="AX26">
        <v>54.986486486499999</v>
      </c>
      <c r="AY26">
        <v>659</v>
      </c>
      <c r="AZ26">
        <v>52</v>
      </c>
      <c r="BA26">
        <v>494</v>
      </c>
      <c r="BB26">
        <v>33</v>
      </c>
      <c r="BC26">
        <v>2</v>
      </c>
      <c r="BD26">
        <v>1</v>
      </c>
      <c r="BE26">
        <v>36</v>
      </c>
      <c r="BF26">
        <v>11</v>
      </c>
      <c r="BG26">
        <v>95</v>
      </c>
      <c r="BH26">
        <v>46</v>
      </c>
      <c r="BJ26" t="s">
        <v>580</v>
      </c>
      <c r="BK26" t="s">
        <v>390</v>
      </c>
      <c r="BL26">
        <v>6576</v>
      </c>
      <c r="BM26">
        <v>1314</v>
      </c>
      <c r="BN26">
        <v>88.992244525499999</v>
      </c>
      <c r="BO26">
        <v>6325</v>
      </c>
      <c r="BP26">
        <v>1966</v>
      </c>
      <c r="BQ26">
        <v>120.7550988142</v>
      </c>
      <c r="BR26">
        <v>120.2599186165</v>
      </c>
      <c r="BS26">
        <v>7416</v>
      </c>
      <c r="BT26">
        <v>1857</v>
      </c>
      <c r="BU26">
        <v>102.4178802589</v>
      </c>
      <c r="BV26">
        <v>7382</v>
      </c>
      <c r="BW26">
        <v>2243</v>
      </c>
      <c r="BX26">
        <v>138.38106204280001</v>
      </c>
      <c r="BY26">
        <v>136.45073562190001</v>
      </c>
      <c r="CA26" t="s">
        <v>391</v>
      </c>
      <c r="CB26" t="s">
        <v>807</v>
      </c>
      <c r="CC26" t="s">
        <v>1012</v>
      </c>
      <c r="CD26">
        <v>8406</v>
      </c>
      <c r="CE26">
        <v>2068</v>
      </c>
      <c r="CF26">
        <v>102.0174875089</v>
      </c>
      <c r="CG26">
        <v>7002</v>
      </c>
      <c r="CH26">
        <v>2185</v>
      </c>
      <c r="CI26">
        <v>125.75949728649999</v>
      </c>
      <c r="CJ26">
        <v>127.7231121281</v>
      </c>
      <c r="CL26" t="s">
        <v>391</v>
      </c>
      <c r="CM26" t="s">
        <v>782</v>
      </c>
      <c r="CN26" t="s">
        <v>791</v>
      </c>
      <c r="CO26">
        <v>944</v>
      </c>
      <c r="CP26">
        <v>94</v>
      </c>
      <c r="CQ26">
        <v>68.598516949200004</v>
      </c>
      <c r="CR26">
        <v>1347</v>
      </c>
      <c r="CS26">
        <v>424</v>
      </c>
      <c r="CT26">
        <v>65.956941351200001</v>
      </c>
      <c r="CU26">
        <v>71.851415094299995</v>
      </c>
      <c r="CW26" t="s">
        <v>391</v>
      </c>
      <c r="CX26" t="s">
        <v>795</v>
      </c>
      <c r="CY26" t="s">
        <v>804</v>
      </c>
      <c r="CZ26">
        <v>267</v>
      </c>
      <c r="DA26">
        <v>45</v>
      </c>
      <c r="DB26">
        <v>84.415730337100001</v>
      </c>
      <c r="DC26">
        <v>109</v>
      </c>
      <c r="DD26">
        <v>33</v>
      </c>
      <c r="DE26">
        <v>135.119266055</v>
      </c>
      <c r="DF26">
        <v>147.39393939390001</v>
      </c>
      <c r="DH26" t="s">
        <v>391</v>
      </c>
      <c r="DI26" t="s">
        <v>769</v>
      </c>
      <c r="DJ26" t="s">
        <v>778</v>
      </c>
      <c r="DK26">
        <v>146</v>
      </c>
      <c r="DL26">
        <v>28</v>
      </c>
      <c r="DM26">
        <v>93.116438356200007</v>
      </c>
      <c r="DN26">
        <v>93</v>
      </c>
      <c r="DO26">
        <v>33</v>
      </c>
      <c r="DP26">
        <v>129.23655913979999</v>
      </c>
      <c r="DQ26">
        <v>125.36363636359999</v>
      </c>
    </row>
    <row r="27" spans="2:121" x14ac:dyDescent="0.2">
      <c r="B27" t="s">
        <v>91</v>
      </c>
      <c r="C27">
        <v>80626</v>
      </c>
      <c r="D27">
        <v>19746</v>
      </c>
      <c r="F27" t="s">
        <v>58</v>
      </c>
      <c r="G27">
        <v>868</v>
      </c>
      <c r="H27">
        <v>179.88364055299999</v>
      </c>
      <c r="I27">
        <v>860</v>
      </c>
      <c r="J27">
        <v>200</v>
      </c>
      <c r="K27">
        <v>979</v>
      </c>
      <c r="L27">
        <v>533</v>
      </c>
      <c r="M27">
        <v>261</v>
      </c>
      <c r="N27">
        <v>94</v>
      </c>
      <c r="O27">
        <v>951</v>
      </c>
      <c r="P27">
        <v>518</v>
      </c>
      <c r="Q27">
        <v>353</v>
      </c>
      <c r="R27">
        <v>137</v>
      </c>
      <c r="T27" t="s">
        <v>369</v>
      </c>
      <c r="U27">
        <v>73423</v>
      </c>
      <c r="V27">
        <v>421.98219903839998</v>
      </c>
      <c r="W27">
        <v>72608</v>
      </c>
      <c r="X27">
        <v>16497</v>
      </c>
      <c r="Y27">
        <v>104116</v>
      </c>
      <c r="Z27">
        <v>70796</v>
      </c>
      <c r="AA27">
        <v>35104</v>
      </c>
      <c r="AB27">
        <v>24773</v>
      </c>
      <c r="AC27">
        <v>39043</v>
      </c>
      <c r="AD27">
        <v>26546</v>
      </c>
      <c r="AE27">
        <v>8513</v>
      </c>
      <c r="AF27">
        <v>121</v>
      </c>
      <c r="AH27" t="s">
        <v>389</v>
      </c>
      <c r="AI27">
        <v>5059</v>
      </c>
      <c r="AJ27">
        <v>401.49693615339999</v>
      </c>
      <c r="AK27">
        <v>4520</v>
      </c>
      <c r="AL27">
        <v>1237</v>
      </c>
      <c r="AM27">
        <v>7433</v>
      </c>
      <c r="AN27">
        <v>5167</v>
      </c>
      <c r="AO27">
        <v>1490</v>
      </c>
      <c r="AP27">
        <v>1072</v>
      </c>
      <c r="AQ27">
        <v>2851</v>
      </c>
      <c r="AR27">
        <v>2016</v>
      </c>
      <c r="AS27">
        <v>273</v>
      </c>
      <c r="AT27">
        <v>153</v>
      </c>
      <c r="AV27" t="s">
        <v>403</v>
      </c>
      <c r="AW27">
        <v>115</v>
      </c>
      <c r="AX27">
        <v>43.765217391299998</v>
      </c>
      <c r="AY27">
        <v>228</v>
      </c>
      <c r="AZ27">
        <v>9</v>
      </c>
      <c r="BA27">
        <v>164</v>
      </c>
      <c r="BB27">
        <v>10</v>
      </c>
      <c r="BC27">
        <v>1</v>
      </c>
      <c r="BD27">
        <v>1</v>
      </c>
      <c r="BE27">
        <v>18</v>
      </c>
      <c r="BF27">
        <v>11</v>
      </c>
      <c r="BG27">
        <v>263</v>
      </c>
      <c r="BH27">
        <v>32</v>
      </c>
      <c r="BJ27" t="s">
        <v>639</v>
      </c>
      <c r="BK27" t="s">
        <v>390</v>
      </c>
      <c r="BL27">
        <v>2722</v>
      </c>
      <c r="BM27">
        <v>487</v>
      </c>
      <c r="BN27">
        <v>85.1249081558</v>
      </c>
      <c r="BO27">
        <v>2115</v>
      </c>
      <c r="BP27">
        <v>636</v>
      </c>
      <c r="BQ27">
        <v>141.4406619385</v>
      </c>
      <c r="BR27">
        <v>138.17767295600001</v>
      </c>
      <c r="BS27">
        <v>1817</v>
      </c>
      <c r="BT27">
        <v>360</v>
      </c>
      <c r="BU27">
        <v>89.804072647200002</v>
      </c>
      <c r="BV27">
        <v>1532</v>
      </c>
      <c r="BW27">
        <v>470</v>
      </c>
      <c r="BX27">
        <v>157.01370757180001</v>
      </c>
      <c r="BY27">
        <v>152.35744680849999</v>
      </c>
      <c r="CA27" t="s">
        <v>420</v>
      </c>
      <c r="CB27" t="s">
        <v>807</v>
      </c>
      <c r="CC27" t="s">
        <v>1013</v>
      </c>
      <c r="CD27">
        <v>843</v>
      </c>
      <c r="CE27">
        <v>145</v>
      </c>
      <c r="CF27">
        <v>77.1909845789</v>
      </c>
      <c r="CG27">
        <v>862</v>
      </c>
      <c r="CH27">
        <v>255</v>
      </c>
      <c r="CI27">
        <v>112.05452436189999</v>
      </c>
      <c r="CJ27">
        <v>120.2705882353</v>
      </c>
      <c r="CL27" t="s">
        <v>420</v>
      </c>
      <c r="CM27" t="s">
        <v>782</v>
      </c>
      <c r="CN27" t="s">
        <v>792</v>
      </c>
      <c r="CO27">
        <v>48</v>
      </c>
      <c r="CP27">
        <v>4</v>
      </c>
      <c r="CQ27">
        <v>60.229166666700003</v>
      </c>
      <c r="CR27">
        <v>104</v>
      </c>
      <c r="CS27">
        <v>31</v>
      </c>
      <c r="CT27">
        <v>62.913461538500002</v>
      </c>
      <c r="CU27">
        <v>63.064516128999998</v>
      </c>
      <c r="CW27" t="s">
        <v>420</v>
      </c>
      <c r="CX27" t="s">
        <v>795</v>
      </c>
      <c r="CY27" t="s">
        <v>805</v>
      </c>
      <c r="CZ27">
        <v>20</v>
      </c>
      <c r="DA27">
        <v>2</v>
      </c>
      <c r="DB27">
        <v>82.4</v>
      </c>
      <c r="DC27">
        <v>3</v>
      </c>
      <c r="DD27">
        <v>2</v>
      </c>
      <c r="DE27">
        <v>186</v>
      </c>
      <c r="DF27">
        <v>155.5</v>
      </c>
      <c r="DH27" t="s">
        <v>420</v>
      </c>
      <c r="DI27" t="s">
        <v>769</v>
      </c>
      <c r="DJ27" t="s">
        <v>779</v>
      </c>
      <c r="DK27">
        <v>8</v>
      </c>
      <c r="DL27">
        <v>4</v>
      </c>
      <c r="DM27">
        <v>111</v>
      </c>
      <c r="DN27">
        <v>11</v>
      </c>
      <c r="DO27">
        <v>4</v>
      </c>
      <c r="DP27">
        <v>157.2727272727</v>
      </c>
      <c r="DQ27">
        <v>206.5</v>
      </c>
    </row>
    <row r="28" spans="2:121" x14ac:dyDescent="0.2">
      <c r="B28" t="s">
        <v>99</v>
      </c>
      <c r="C28">
        <v>130659</v>
      </c>
      <c r="D28">
        <v>67370</v>
      </c>
      <c r="F28" t="s">
        <v>72</v>
      </c>
      <c r="G28">
        <v>14523</v>
      </c>
      <c r="H28">
        <v>473.26881498310001</v>
      </c>
      <c r="I28">
        <v>12393</v>
      </c>
      <c r="J28">
        <v>2356</v>
      </c>
      <c r="K28">
        <v>16353</v>
      </c>
      <c r="L28">
        <v>11880</v>
      </c>
      <c r="M28">
        <v>7642</v>
      </c>
      <c r="N28">
        <v>5770</v>
      </c>
      <c r="O28">
        <v>4493</v>
      </c>
      <c r="P28">
        <v>3731</v>
      </c>
      <c r="Q28">
        <v>7</v>
      </c>
      <c r="R28">
        <v>8</v>
      </c>
      <c r="T28" t="s">
        <v>8</v>
      </c>
      <c r="U28">
        <v>4300</v>
      </c>
      <c r="V28">
        <v>384.07534883720001</v>
      </c>
      <c r="W28">
        <v>4219</v>
      </c>
      <c r="X28">
        <v>1706</v>
      </c>
      <c r="Y28">
        <v>5912</v>
      </c>
      <c r="Z28">
        <v>3928</v>
      </c>
      <c r="AA28">
        <v>1452</v>
      </c>
      <c r="AB28">
        <v>824</v>
      </c>
      <c r="AC28">
        <v>1922</v>
      </c>
      <c r="AD28">
        <v>1185</v>
      </c>
      <c r="AE28">
        <v>419</v>
      </c>
      <c r="AF28">
        <v>133</v>
      </c>
      <c r="AH28" t="s">
        <v>397</v>
      </c>
      <c r="AI28">
        <v>5660</v>
      </c>
      <c r="AJ28">
        <v>283.86042402829997</v>
      </c>
      <c r="AK28">
        <v>6277</v>
      </c>
      <c r="AL28">
        <v>1005</v>
      </c>
      <c r="AM28">
        <v>8178</v>
      </c>
      <c r="AN28">
        <v>5059</v>
      </c>
      <c r="AO28">
        <v>2612</v>
      </c>
      <c r="AP28">
        <v>1958</v>
      </c>
      <c r="AQ28">
        <v>8383</v>
      </c>
      <c r="AR28">
        <v>5720</v>
      </c>
      <c r="AS28">
        <v>574</v>
      </c>
      <c r="AT28">
        <v>77</v>
      </c>
      <c r="AV28" t="s">
        <v>381</v>
      </c>
      <c r="AW28">
        <v>1296</v>
      </c>
      <c r="AX28">
        <v>111.1458333333</v>
      </c>
      <c r="AY28">
        <v>1689</v>
      </c>
      <c r="AZ28">
        <v>335</v>
      </c>
      <c r="BA28">
        <v>1768</v>
      </c>
      <c r="BB28">
        <v>670</v>
      </c>
      <c r="BC28">
        <v>53</v>
      </c>
      <c r="BD28">
        <v>51</v>
      </c>
      <c r="BE28">
        <v>121</v>
      </c>
      <c r="BF28">
        <v>37</v>
      </c>
      <c r="BG28">
        <v>208</v>
      </c>
      <c r="BH28">
        <v>514</v>
      </c>
      <c r="BJ28" t="s">
        <v>533</v>
      </c>
      <c r="BK28" t="s">
        <v>369</v>
      </c>
      <c r="BL28">
        <v>4575</v>
      </c>
      <c r="BM28">
        <v>892</v>
      </c>
      <c r="BN28">
        <v>94.584262295100004</v>
      </c>
      <c r="BO28">
        <v>3733</v>
      </c>
      <c r="BP28">
        <v>1075</v>
      </c>
      <c r="BQ28">
        <v>142.69300830430001</v>
      </c>
      <c r="BR28">
        <v>140.46604651160001</v>
      </c>
      <c r="BS28">
        <v>2602</v>
      </c>
      <c r="BT28">
        <v>434</v>
      </c>
      <c r="BU28">
        <v>83.737125288200005</v>
      </c>
      <c r="BV28">
        <v>2388</v>
      </c>
      <c r="BW28">
        <v>732</v>
      </c>
      <c r="BX28">
        <v>129.4149916248</v>
      </c>
      <c r="BY28">
        <v>122.75683060110001</v>
      </c>
      <c r="CA28" t="s">
        <v>396</v>
      </c>
      <c r="CB28" t="s">
        <v>807</v>
      </c>
      <c r="CC28" t="s">
        <v>1014</v>
      </c>
      <c r="CD28">
        <v>3871</v>
      </c>
      <c r="CE28">
        <v>694</v>
      </c>
      <c r="CF28">
        <v>84.011883234300001</v>
      </c>
      <c r="CG28">
        <v>3112</v>
      </c>
      <c r="CH28">
        <v>984</v>
      </c>
      <c r="CI28">
        <v>119.99035989719999</v>
      </c>
      <c r="CJ28">
        <v>121.94004065039999</v>
      </c>
      <c r="CL28" t="s">
        <v>396</v>
      </c>
      <c r="CM28" t="s">
        <v>782</v>
      </c>
      <c r="CN28" t="s">
        <v>793</v>
      </c>
      <c r="CO28">
        <v>304</v>
      </c>
      <c r="CP28">
        <v>27</v>
      </c>
      <c r="CQ28">
        <v>63.651315789500003</v>
      </c>
      <c r="CR28">
        <v>507</v>
      </c>
      <c r="CS28">
        <v>172</v>
      </c>
      <c r="CT28">
        <v>55.0453648915</v>
      </c>
      <c r="CU28">
        <v>58.848837209300001</v>
      </c>
      <c r="CW28" t="s">
        <v>396</v>
      </c>
      <c r="CX28" t="s">
        <v>795</v>
      </c>
      <c r="CY28" t="s">
        <v>806</v>
      </c>
      <c r="CZ28">
        <v>90</v>
      </c>
      <c r="DA28">
        <v>17</v>
      </c>
      <c r="DB28">
        <v>89.188888888899996</v>
      </c>
      <c r="DC28">
        <v>49</v>
      </c>
      <c r="DD28">
        <v>12</v>
      </c>
      <c r="DE28">
        <v>129</v>
      </c>
      <c r="DF28">
        <v>147.0833333333</v>
      </c>
      <c r="DH28" t="s">
        <v>396</v>
      </c>
      <c r="DI28" t="s">
        <v>769</v>
      </c>
      <c r="DJ28" t="s">
        <v>780</v>
      </c>
      <c r="DK28">
        <v>51</v>
      </c>
      <c r="DL28">
        <v>11</v>
      </c>
      <c r="DM28">
        <v>80.666666666699996</v>
      </c>
      <c r="DN28">
        <v>40</v>
      </c>
      <c r="DO28">
        <v>14</v>
      </c>
      <c r="DP28">
        <v>123.35</v>
      </c>
      <c r="DQ28">
        <v>132.71428571429999</v>
      </c>
    </row>
    <row r="29" spans="2:121" x14ac:dyDescent="0.2">
      <c r="B29" t="s">
        <v>109</v>
      </c>
      <c r="C29">
        <v>56015</v>
      </c>
      <c r="D29">
        <v>24575</v>
      </c>
      <c r="F29" t="s">
        <v>44</v>
      </c>
      <c r="G29">
        <v>1101</v>
      </c>
      <c r="H29">
        <v>131.87738419620001</v>
      </c>
      <c r="I29">
        <v>2194</v>
      </c>
      <c r="J29">
        <v>351</v>
      </c>
      <c r="K29">
        <v>1747</v>
      </c>
      <c r="L29">
        <v>762</v>
      </c>
      <c r="M29">
        <v>344</v>
      </c>
      <c r="N29">
        <v>109</v>
      </c>
      <c r="O29">
        <v>323</v>
      </c>
      <c r="P29">
        <v>138</v>
      </c>
      <c r="Q29">
        <v>0</v>
      </c>
      <c r="R29">
        <v>6</v>
      </c>
      <c r="T29" t="s">
        <v>404</v>
      </c>
      <c r="U29">
        <v>65409</v>
      </c>
      <c r="V29">
        <v>378.50474705319999</v>
      </c>
      <c r="W29">
        <v>59308</v>
      </c>
      <c r="X29">
        <v>11952</v>
      </c>
      <c r="Y29">
        <v>95104</v>
      </c>
      <c r="Z29">
        <v>64458</v>
      </c>
      <c r="AA29">
        <v>24908</v>
      </c>
      <c r="AB29">
        <v>17005</v>
      </c>
      <c r="AC29">
        <v>31661</v>
      </c>
      <c r="AD29">
        <v>19507</v>
      </c>
      <c r="AE29">
        <v>91</v>
      </c>
      <c r="AF29">
        <v>556</v>
      </c>
      <c r="AH29" t="s">
        <v>418</v>
      </c>
      <c r="AI29">
        <v>930</v>
      </c>
      <c r="AJ29">
        <v>253.49569892470001</v>
      </c>
      <c r="AK29">
        <v>734</v>
      </c>
      <c r="AL29">
        <v>68</v>
      </c>
      <c r="AM29">
        <v>1429</v>
      </c>
      <c r="AN29">
        <v>740</v>
      </c>
      <c r="AO29">
        <v>525</v>
      </c>
      <c r="AP29">
        <v>262</v>
      </c>
      <c r="AQ29">
        <v>320</v>
      </c>
      <c r="AR29">
        <v>136</v>
      </c>
      <c r="AS29">
        <v>4</v>
      </c>
      <c r="AT29">
        <v>6</v>
      </c>
      <c r="AV29" t="s">
        <v>418</v>
      </c>
      <c r="AW29">
        <v>28</v>
      </c>
      <c r="AX29">
        <v>43.5</v>
      </c>
      <c r="AY29">
        <v>81</v>
      </c>
      <c r="AZ29">
        <v>4</v>
      </c>
      <c r="BA29">
        <v>49</v>
      </c>
      <c r="BB29">
        <v>3</v>
      </c>
      <c r="BC29">
        <v>0</v>
      </c>
      <c r="BE29">
        <v>2</v>
      </c>
      <c r="BF29">
        <v>1</v>
      </c>
      <c r="BG29">
        <v>86</v>
      </c>
      <c r="BH29">
        <v>4</v>
      </c>
      <c r="BJ29" t="s">
        <v>512</v>
      </c>
      <c r="BK29" t="s">
        <v>369</v>
      </c>
      <c r="BL29">
        <v>3481</v>
      </c>
      <c r="BM29">
        <v>910</v>
      </c>
      <c r="BN29">
        <v>98.704395288699999</v>
      </c>
      <c r="BO29">
        <v>2744</v>
      </c>
      <c r="BP29">
        <v>824</v>
      </c>
      <c r="BQ29">
        <v>122.7485422741</v>
      </c>
      <c r="BR29">
        <v>127.895631068</v>
      </c>
      <c r="BS29">
        <v>3212</v>
      </c>
      <c r="BT29">
        <v>669</v>
      </c>
      <c r="BU29">
        <v>87.677459526800007</v>
      </c>
      <c r="BV29">
        <v>2524</v>
      </c>
      <c r="BW29">
        <v>766</v>
      </c>
      <c r="BX29">
        <v>114.46275752770001</v>
      </c>
      <c r="BY29">
        <v>120.7976501305</v>
      </c>
      <c r="CA29" t="s">
        <v>390</v>
      </c>
      <c r="CB29" t="s">
        <v>807</v>
      </c>
      <c r="CD29">
        <v>50688</v>
      </c>
      <c r="CE29">
        <v>10223</v>
      </c>
      <c r="CF29">
        <v>90.668087121200003</v>
      </c>
      <c r="CG29">
        <v>41643</v>
      </c>
      <c r="CH29">
        <v>12958</v>
      </c>
      <c r="CI29">
        <v>127.02588670359999</v>
      </c>
      <c r="CJ29">
        <v>125.0639759222</v>
      </c>
      <c r="CL29" t="s">
        <v>390</v>
      </c>
      <c r="CM29" t="s">
        <v>782</v>
      </c>
      <c r="CO29">
        <v>4751</v>
      </c>
      <c r="CP29">
        <v>452</v>
      </c>
      <c r="CQ29">
        <v>67.694801094499994</v>
      </c>
      <c r="CR29">
        <v>7100</v>
      </c>
      <c r="CS29">
        <v>2218</v>
      </c>
      <c r="CT29">
        <v>67.288450704200002</v>
      </c>
      <c r="CU29">
        <v>70.783588818799998</v>
      </c>
      <c r="CW29" t="s">
        <v>390</v>
      </c>
      <c r="CX29" t="s">
        <v>795</v>
      </c>
      <c r="CZ29">
        <v>1407</v>
      </c>
      <c r="DA29">
        <v>223</v>
      </c>
      <c r="DB29">
        <v>84.329779673100006</v>
      </c>
      <c r="DC29">
        <v>595</v>
      </c>
      <c r="DD29">
        <v>184</v>
      </c>
      <c r="DE29">
        <v>129.6100840336</v>
      </c>
      <c r="DF29">
        <v>133.97282608699999</v>
      </c>
      <c r="DH29" t="s">
        <v>390</v>
      </c>
      <c r="DI29" t="s">
        <v>769</v>
      </c>
      <c r="DK29">
        <v>1042</v>
      </c>
      <c r="DL29">
        <v>144</v>
      </c>
      <c r="DM29">
        <v>81.617082533599998</v>
      </c>
      <c r="DN29">
        <v>666</v>
      </c>
      <c r="DO29">
        <v>220</v>
      </c>
      <c r="DP29">
        <v>125.015015015</v>
      </c>
      <c r="DQ29">
        <v>130.23181818180001</v>
      </c>
    </row>
    <row r="30" spans="2:121" x14ac:dyDescent="0.2">
      <c r="B30" t="s">
        <v>20</v>
      </c>
      <c r="C30">
        <v>285</v>
      </c>
      <c r="D30">
        <v>164</v>
      </c>
      <c r="F30" t="s">
        <v>48</v>
      </c>
      <c r="G30">
        <v>1672</v>
      </c>
      <c r="H30">
        <v>266.66566985650002</v>
      </c>
      <c r="I30">
        <v>2008</v>
      </c>
      <c r="J30">
        <v>407</v>
      </c>
      <c r="K30">
        <v>2101</v>
      </c>
      <c r="L30">
        <v>1440</v>
      </c>
      <c r="M30">
        <v>1085</v>
      </c>
      <c r="N30">
        <v>604</v>
      </c>
      <c r="O30">
        <v>208</v>
      </c>
      <c r="P30">
        <v>93</v>
      </c>
      <c r="Q30">
        <v>0</v>
      </c>
      <c r="R30">
        <v>0</v>
      </c>
      <c r="T30" t="s">
        <v>380</v>
      </c>
      <c r="U30">
        <v>77682</v>
      </c>
      <c r="V30">
        <v>366.49213459999999</v>
      </c>
      <c r="W30">
        <v>76522</v>
      </c>
      <c r="X30">
        <v>18008</v>
      </c>
      <c r="Y30">
        <v>112619</v>
      </c>
      <c r="Z30">
        <v>74494</v>
      </c>
      <c r="AA30">
        <v>31062</v>
      </c>
      <c r="AB30">
        <v>20850</v>
      </c>
      <c r="AC30">
        <v>41999</v>
      </c>
      <c r="AD30">
        <v>26465</v>
      </c>
      <c r="AE30">
        <v>5444</v>
      </c>
      <c r="AF30">
        <v>1089</v>
      </c>
      <c r="AH30" t="s">
        <v>400</v>
      </c>
      <c r="AI30">
        <v>1383</v>
      </c>
      <c r="AJ30">
        <v>224.46203904559999</v>
      </c>
      <c r="AK30">
        <v>2140</v>
      </c>
      <c r="AL30">
        <v>260</v>
      </c>
      <c r="AM30">
        <v>2219</v>
      </c>
      <c r="AN30">
        <v>1165</v>
      </c>
      <c r="AO30">
        <v>801</v>
      </c>
      <c r="AP30">
        <v>576</v>
      </c>
      <c r="AQ30">
        <v>570</v>
      </c>
      <c r="AR30">
        <v>262</v>
      </c>
      <c r="AS30">
        <v>2</v>
      </c>
      <c r="AT30">
        <v>13</v>
      </c>
      <c r="AV30" t="s">
        <v>384</v>
      </c>
      <c r="AW30">
        <v>307</v>
      </c>
      <c r="AX30">
        <v>59.996742671</v>
      </c>
      <c r="AY30">
        <v>700</v>
      </c>
      <c r="AZ30">
        <v>58</v>
      </c>
      <c r="BA30">
        <v>501</v>
      </c>
      <c r="BB30">
        <v>47</v>
      </c>
      <c r="BC30">
        <v>3</v>
      </c>
      <c r="BD30">
        <v>3</v>
      </c>
      <c r="BE30">
        <v>51</v>
      </c>
      <c r="BF30">
        <v>13</v>
      </c>
      <c r="BG30">
        <v>105</v>
      </c>
      <c r="BH30">
        <v>68</v>
      </c>
      <c r="BJ30" t="s">
        <v>520</v>
      </c>
      <c r="BK30" t="s">
        <v>369</v>
      </c>
      <c r="BL30">
        <v>3756</v>
      </c>
      <c r="BM30">
        <v>730</v>
      </c>
      <c r="BN30">
        <v>90.920394036199994</v>
      </c>
      <c r="BO30">
        <v>3016</v>
      </c>
      <c r="BP30">
        <v>803</v>
      </c>
      <c r="BQ30">
        <v>149.650862069</v>
      </c>
      <c r="BR30">
        <v>146.12453300120001</v>
      </c>
      <c r="BS30">
        <v>3216</v>
      </c>
      <c r="BT30">
        <v>487</v>
      </c>
      <c r="BU30">
        <v>80.1567164179</v>
      </c>
      <c r="BV30">
        <v>2336</v>
      </c>
      <c r="BW30">
        <v>650</v>
      </c>
      <c r="BX30">
        <v>146.6331335616</v>
      </c>
      <c r="BY30">
        <v>146.84153846149999</v>
      </c>
      <c r="CA30" t="s">
        <v>373</v>
      </c>
      <c r="CB30" t="s">
        <v>856</v>
      </c>
      <c r="CC30" t="s">
        <v>980</v>
      </c>
      <c r="CD30">
        <v>1976</v>
      </c>
      <c r="CE30">
        <v>335</v>
      </c>
      <c r="CF30">
        <v>85.515182186199993</v>
      </c>
      <c r="CG30">
        <v>1445</v>
      </c>
      <c r="CH30">
        <v>316</v>
      </c>
      <c r="CI30">
        <v>112.0643598616</v>
      </c>
      <c r="CJ30">
        <v>122.45569620249999</v>
      </c>
      <c r="CL30" t="s">
        <v>373</v>
      </c>
      <c r="CM30" t="s">
        <v>825</v>
      </c>
      <c r="CN30" t="s">
        <v>824</v>
      </c>
      <c r="CO30">
        <v>214</v>
      </c>
      <c r="CP30">
        <v>28</v>
      </c>
      <c r="CQ30">
        <v>75.504672897199995</v>
      </c>
      <c r="CR30">
        <v>192</v>
      </c>
      <c r="CS30">
        <v>58</v>
      </c>
      <c r="CT30">
        <v>77.994791666699996</v>
      </c>
      <c r="CU30">
        <v>76.482758620699997</v>
      </c>
      <c r="CW30" t="s">
        <v>373</v>
      </c>
      <c r="CX30" t="s">
        <v>841</v>
      </c>
      <c r="CY30" t="s">
        <v>840</v>
      </c>
      <c r="CZ30">
        <v>51</v>
      </c>
      <c r="DA30">
        <v>11</v>
      </c>
      <c r="DB30">
        <v>91.882352941199997</v>
      </c>
      <c r="DC30">
        <v>29</v>
      </c>
      <c r="DD30">
        <v>10</v>
      </c>
      <c r="DE30">
        <v>125.03448275860001</v>
      </c>
      <c r="DF30">
        <v>132.80000000000001</v>
      </c>
      <c r="DH30" t="s">
        <v>373</v>
      </c>
      <c r="DI30" t="s">
        <v>809</v>
      </c>
      <c r="DJ30" t="s">
        <v>808</v>
      </c>
      <c r="DK30">
        <v>59</v>
      </c>
      <c r="DL30">
        <v>15</v>
      </c>
      <c r="DM30">
        <v>96.288135593199996</v>
      </c>
      <c r="DN30">
        <v>30</v>
      </c>
      <c r="DO30">
        <v>14</v>
      </c>
      <c r="DP30">
        <v>137.96666666670001</v>
      </c>
      <c r="DQ30">
        <v>146.3571428571</v>
      </c>
    </row>
    <row r="31" spans="2:121" x14ac:dyDescent="0.2">
      <c r="B31" t="s">
        <v>22</v>
      </c>
      <c r="C31">
        <v>200696</v>
      </c>
      <c r="D31">
        <v>38562</v>
      </c>
      <c r="F31" t="s">
        <v>76</v>
      </c>
      <c r="G31">
        <v>12005</v>
      </c>
      <c r="H31">
        <v>393.25714285710001</v>
      </c>
      <c r="I31">
        <v>7066</v>
      </c>
      <c r="J31">
        <v>1198</v>
      </c>
      <c r="K31">
        <v>17129</v>
      </c>
      <c r="L31">
        <v>12269</v>
      </c>
      <c r="M31">
        <v>6253</v>
      </c>
      <c r="N31">
        <v>4122</v>
      </c>
      <c r="O31">
        <v>4304</v>
      </c>
      <c r="P31">
        <v>3616</v>
      </c>
      <c r="Q31">
        <v>2</v>
      </c>
      <c r="R31">
        <v>144</v>
      </c>
      <c r="T31" t="s">
        <v>461</v>
      </c>
      <c r="U31">
        <v>323771</v>
      </c>
      <c r="V31">
        <v>384.4743105467</v>
      </c>
      <c r="W31">
        <v>331937</v>
      </c>
      <c r="X31">
        <v>72980</v>
      </c>
      <c r="Y31">
        <v>470112</v>
      </c>
      <c r="Z31">
        <v>308597</v>
      </c>
      <c r="AA31">
        <v>129572</v>
      </c>
      <c r="AB31">
        <v>86294</v>
      </c>
      <c r="AC31">
        <v>163561</v>
      </c>
      <c r="AD31">
        <v>101324</v>
      </c>
      <c r="AE31">
        <v>18690</v>
      </c>
      <c r="AF31">
        <v>4014</v>
      </c>
      <c r="AH31" t="s">
        <v>413</v>
      </c>
      <c r="AI31">
        <v>3901</v>
      </c>
      <c r="AJ31">
        <v>442.42758267110003</v>
      </c>
      <c r="AK31">
        <v>3652</v>
      </c>
      <c r="AL31">
        <v>773</v>
      </c>
      <c r="AM31">
        <v>5207</v>
      </c>
      <c r="AN31">
        <v>3464</v>
      </c>
      <c r="AO31">
        <v>1024</v>
      </c>
      <c r="AP31">
        <v>601</v>
      </c>
      <c r="AQ31">
        <v>1866</v>
      </c>
      <c r="AR31">
        <v>1190</v>
      </c>
      <c r="AS31">
        <v>6</v>
      </c>
      <c r="AT31">
        <v>115</v>
      </c>
      <c r="AV31" t="s">
        <v>405</v>
      </c>
      <c r="AW31">
        <v>42</v>
      </c>
      <c r="AX31">
        <v>37.3095238095</v>
      </c>
      <c r="AY31">
        <v>129</v>
      </c>
      <c r="AZ31">
        <v>2</v>
      </c>
      <c r="BA31">
        <v>71</v>
      </c>
      <c r="BB31">
        <v>3</v>
      </c>
      <c r="BC31">
        <v>0</v>
      </c>
      <c r="BE31">
        <v>6</v>
      </c>
      <c r="BF31">
        <v>1</v>
      </c>
      <c r="BG31">
        <v>173</v>
      </c>
      <c r="BH31">
        <v>14</v>
      </c>
      <c r="BJ31" t="s">
        <v>522</v>
      </c>
      <c r="BK31" t="s">
        <v>369</v>
      </c>
      <c r="BL31">
        <v>1932</v>
      </c>
      <c r="BM31">
        <v>327</v>
      </c>
      <c r="BN31">
        <v>85.825569358199999</v>
      </c>
      <c r="BO31">
        <v>1408</v>
      </c>
      <c r="BP31">
        <v>308</v>
      </c>
      <c r="BQ31">
        <v>114.49573863640001</v>
      </c>
      <c r="BR31">
        <v>124.3831168831</v>
      </c>
      <c r="BS31">
        <v>3110</v>
      </c>
      <c r="BT31">
        <v>562</v>
      </c>
      <c r="BU31">
        <v>91.323151125400003</v>
      </c>
      <c r="BV31">
        <v>2139</v>
      </c>
      <c r="BW31">
        <v>537</v>
      </c>
      <c r="BX31">
        <v>139.12482468440001</v>
      </c>
      <c r="BY31">
        <v>152.81005586590001</v>
      </c>
      <c r="CA31" t="s">
        <v>423</v>
      </c>
      <c r="CB31" t="s">
        <v>856</v>
      </c>
      <c r="CC31" t="s">
        <v>981</v>
      </c>
      <c r="CD31">
        <v>807</v>
      </c>
      <c r="CE31">
        <v>251</v>
      </c>
      <c r="CF31">
        <v>112.063197026</v>
      </c>
      <c r="CG31">
        <v>698</v>
      </c>
      <c r="CH31">
        <v>203</v>
      </c>
      <c r="CI31">
        <v>141.600286533</v>
      </c>
      <c r="CJ31">
        <v>143.6157635468</v>
      </c>
      <c r="CL31" t="s">
        <v>423</v>
      </c>
      <c r="CM31" t="s">
        <v>825</v>
      </c>
      <c r="CN31" t="s">
        <v>826</v>
      </c>
      <c r="CO31">
        <v>68</v>
      </c>
      <c r="CP31">
        <v>7</v>
      </c>
      <c r="CQ31">
        <v>86.044117647099995</v>
      </c>
      <c r="CR31">
        <v>64</v>
      </c>
      <c r="CS31">
        <v>23</v>
      </c>
      <c r="CT31">
        <v>82.4375</v>
      </c>
      <c r="CU31">
        <v>107.652173913</v>
      </c>
      <c r="CW31" t="s">
        <v>423</v>
      </c>
      <c r="CX31" t="s">
        <v>841</v>
      </c>
      <c r="CY31" t="s">
        <v>842</v>
      </c>
      <c r="CZ31">
        <v>20</v>
      </c>
      <c r="DA31">
        <v>3</v>
      </c>
      <c r="DB31">
        <v>89</v>
      </c>
      <c r="DC31">
        <v>10</v>
      </c>
      <c r="DD31">
        <v>2</v>
      </c>
      <c r="DE31">
        <v>148.1</v>
      </c>
      <c r="DF31">
        <v>142.5</v>
      </c>
      <c r="DH31" t="s">
        <v>423</v>
      </c>
      <c r="DI31" t="s">
        <v>809</v>
      </c>
      <c r="DJ31" t="s">
        <v>810</v>
      </c>
      <c r="DK31">
        <v>27</v>
      </c>
      <c r="DL31">
        <v>5</v>
      </c>
      <c r="DM31">
        <v>101</v>
      </c>
      <c r="DN31">
        <v>8</v>
      </c>
      <c r="DO31">
        <v>7</v>
      </c>
      <c r="DP31">
        <v>171.125</v>
      </c>
      <c r="DQ31">
        <v>163.71428571429999</v>
      </c>
    </row>
    <row r="32" spans="2:121" x14ac:dyDescent="0.2">
      <c r="B32" t="s">
        <v>117</v>
      </c>
      <c r="C32">
        <v>6904</v>
      </c>
      <c r="D32">
        <v>1685</v>
      </c>
      <c r="F32" t="s">
        <v>68</v>
      </c>
      <c r="G32">
        <v>4248</v>
      </c>
      <c r="H32">
        <v>492.78413370999999</v>
      </c>
      <c r="I32">
        <v>5148</v>
      </c>
      <c r="J32">
        <v>1505</v>
      </c>
      <c r="K32">
        <v>5794</v>
      </c>
      <c r="L32">
        <v>4529</v>
      </c>
      <c r="M32">
        <v>792</v>
      </c>
      <c r="N32">
        <v>450</v>
      </c>
      <c r="O32">
        <v>1087</v>
      </c>
      <c r="P32">
        <v>727</v>
      </c>
      <c r="Q32">
        <v>0</v>
      </c>
      <c r="R32">
        <v>1</v>
      </c>
      <c r="AH32" t="s">
        <v>415</v>
      </c>
      <c r="AI32">
        <v>1594</v>
      </c>
      <c r="AJ32">
        <v>404.36072772900002</v>
      </c>
      <c r="AK32">
        <v>1183</v>
      </c>
      <c r="AL32">
        <v>272</v>
      </c>
      <c r="AM32">
        <v>2245</v>
      </c>
      <c r="AN32">
        <v>1506</v>
      </c>
      <c r="AO32">
        <v>519</v>
      </c>
      <c r="AP32">
        <v>467</v>
      </c>
      <c r="AQ32">
        <v>233</v>
      </c>
      <c r="AR32">
        <v>119</v>
      </c>
      <c r="AS32">
        <v>168</v>
      </c>
      <c r="AT32">
        <v>3</v>
      </c>
      <c r="AV32" t="s">
        <v>415</v>
      </c>
      <c r="AW32">
        <v>120</v>
      </c>
      <c r="AX32">
        <v>97.15</v>
      </c>
      <c r="AY32">
        <v>154</v>
      </c>
      <c r="AZ32">
        <v>32</v>
      </c>
      <c r="BA32">
        <v>164</v>
      </c>
      <c r="BB32">
        <v>57</v>
      </c>
      <c r="BC32">
        <v>2</v>
      </c>
      <c r="BD32">
        <v>2</v>
      </c>
      <c r="BE32">
        <v>12</v>
      </c>
      <c r="BF32">
        <v>4</v>
      </c>
      <c r="BG32">
        <v>17</v>
      </c>
      <c r="BH32">
        <v>37</v>
      </c>
      <c r="BJ32" t="s">
        <v>537</v>
      </c>
      <c r="BK32" t="s">
        <v>369</v>
      </c>
      <c r="BL32">
        <v>2474</v>
      </c>
      <c r="BM32">
        <v>353</v>
      </c>
      <c r="BN32">
        <v>84.037186742100005</v>
      </c>
      <c r="BO32">
        <v>1997</v>
      </c>
      <c r="BP32">
        <v>591</v>
      </c>
      <c r="BQ32">
        <v>116.7496244367</v>
      </c>
      <c r="BR32">
        <v>122.2808798646</v>
      </c>
      <c r="BS32">
        <v>5201</v>
      </c>
      <c r="BT32">
        <v>1146</v>
      </c>
      <c r="BU32">
        <v>99.115170159599998</v>
      </c>
      <c r="BV32">
        <v>4288</v>
      </c>
      <c r="BW32">
        <v>1330</v>
      </c>
      <c r="BX32">
        <v>136.60914179100001</v>
      </c>
      <c r="BY32">
        <v>140.5676691729</v>
      </c>
      <c r="CA32" t="s">
        <v>414</v>
      </c>
      <c r="CB32" t="s">
        <v>856</v>
      </c>
      <c r="CC32" t="s">
        <v>982</v>
      </c>
      <c r="CD32">
        <v>375</v>
      </c>
      <c r="CE32">
        <v>86</v>
      </c>
      <c r="CF32">
        <v>105.8346666667</v>
      </c>
      <c r="CG32">
        <v>307</v>
      </c>
      <c r="CH32">
        <v>81</v>
      </c>
      <c r="CI32">
        <v>151.4462540717</v>
      </c>
      <c r="CJ32">
        <v>150.02469135800001</v>
      </c>
      <c r="CL32" t="s">
        <v>414</v>
      </c>
      <c r="CM32" t="s">
        <v>825</v>
      </c>
      <c r="CN32" t="s">
        <v>827</v>
      </c>
      <c r="CO32">
        <v>64</v>
      </c>
      <c r="CP32">
        <v>5</v>
      </c>
      <c r="CQ32">
        <v>72.109375</v>
      </c>
      <c r="CR32">
        <v>68</v>
      </c>
      <c r="CS32">
        <v>17</v>
      </c>
      <c r="CT32">
        <v>87.308823529400001</v>
      </c>
      <c r="CU32">
        <v>88.411764705899998</v>
      </c>
      <c r="CW32" t="s">
        <v>414</v>
      </c>
      <c r="CX32" t="s">
        <v>841</v>
      </c>
      <c r="CY32" t="s">
        <v>843</v>
      </c>
      <c r="CZ32">
        <v>25</v>
      </c>
      <c r="DA32">
        <v>5</v>
      </c>
      <c r="DB32">
        <v>85.92</v>
      </c>
      <c r="DC32">
        <v>7</v>
      </c>
      <c r="DD32">
        <v>3</v>
      </c>
      <c r="DE32">
        <v>145.28571428570001</v>
      </c>
      <c r="DF32">
        <v>147.3333333333</v>
      </c>
      <c r="DH32" t="s">
        <v>414</v>
      </c>
      <c r="DI32" t="s">
        <v>809</v>
      </c>
      <c r="DJ32" t="s">
        <v>811</v>
      </c>
      <c r="DK32">
        <v>26</v>
      </c>
      <c r="DL32">
        <v>6</v>
      </c>
      <c r="DM32">
        <v>96.653846153800004</v>
      </c>
      <c r="DN32">
        <v>14</v>
      </c>
      <c r="DO32">
        <v>5</v>
      </c>
      <c r="DP32">
        <v>136.92857142860001</v>
      </c>
      <c r="DQ32">
        <v>161.4</v>
      </c>
    </row>
    <row r="33" spans="2:121" x14ac:dyDescent="0.2">
      <c r="B33" t="s">
        <v>160</v>
      </c>
      <c r="C33">
        <v>4178</v>
      </c>
      <c r="D33">
        <v>3990</v>
      </c>
      <c r="F33" t="s">
        <v>70</v>
      </c>
      <c r="G33">
        <v>1041</v>
      </c>
      <c r="H33">
        <v>194.61575408260001</v>
      </c>
      <c r="I33">
        <v>2185</v>
      </c>
      <c r="J33">
        <v>380</v>
      </c>
      <c r="K33">
        <v>4364</v>
      </c>
      <c r="L33">
        <v>1207</v>
      </c>
      <c r="M33">
        <v>3422</v>
      </c>
      <c r="N33">
        <v>2507</v>
      </c>
      <c r="O33">
        <v>432</v>
      </c>
      <c r="P33">
        <v>168</v>
      </c>
      <c r="Q33">
        <v>0</v>
      </c>
      <c r="R33">
        <v>0</v>
      </c>
      <c r="AH33" t="s">
        <v>374</v>
      </c>
      <c r="AI33">
        <v>2597</v>
      </c>
      <c r="AJ33">
        <v>307.64266461300002</v>
      </c>
      <c r="AK33">
        <v>4153</v>
      </c>
      <c r="AL33">
        <v>928</v>
      </c>
      <c r="AM33">
        <v>4124</v>
      </c>
      <c r="AN33">
        <v>2274</v>
      </c>
      <c r="AO33">
        <v>1386</v>
      </c>
      <c r="AP33">
        <v>928</v>
      </c>
      <c r="AQ33">
        <v>2259</v>
      </c>
      <c r="AR33">
        <v>1463</v>
      </c>
      <c r="AS33">
        <v>752</v>
      </c>
      <c r="AT33">
        <v>4</v>
      </c>
      <c r="AV33" t="s">
        <v>426</v>
      </c>
      <c r="AW33">
        <v>142</v>
      </c>
      <c r="AX33">
        <v>53.133802816900001</v>
      </c>
      <c r="AY33">
        <v>462</v>
      </c>
      <c r="AZ33">
        <v>33</v>
      </c>
      <c r="BA33">
        <v>224</v>
      </c>
      <c r="BB33">
        <v>15</v>
      </c>
      <c r="BC33">
        <v>3</v>
      </c>
      <c r="BD33">
        <v>3</v>
      </c>
      <c r="BE33">
        <v>5</v>
      </c>
      <c r="BF33">
        <v>1</v>
      </c>
      <c r="BG33">
        <v>319</v>
      </c>
      <c r="BH33">
        <v>55</v>
      </c>
      <c r="BJ33" t="s">
        <v>622</v>
      </c>
      <c r="BK33" t="s">
        <v>369</v>
      </c>
      <c r="BL33">
        <v>1165</v>
      </c>
      <c r="BM33">
        <v>241</v>
      </c>
      <c r="BN33">
        <v>98.480686695299994</v>
      </c>
      <c r="BO33">
        <v>933</v>
      </c>
      <c r="BP33">
        <v>348</v>
      </c>
      <c r="BQ33">
        <v>128.70525187569999</v>
      </c>
      <c r="BR33">
        <v>125.48563218389999</v>
      </c>
      <c r="BS33">
        <v>1190</v>
      </c>
      <c r="BT33">
        <v>272</v>
      </c>
      <c r="BU33">
        <v>101.3235294118</v>
      </c>
      <c r="BV33">
        <v>942</v>
      </c>
      <c r="BW33">
        <v>357</v>
      </c>
      <c r="BX33">
        <v>135.94692144370001</v>
      </c>
      <c r="BY33">
        <v>125.3865546218</v>
      </c>
      <c r="CA33" t="s">
        <v>416</v>
      </c>
      <c r="CB33" t="s">
        <v>856</v>
      </c>
      <c r="CC33" t="s">
        <v>983</v>
      </c>
      <c r="CD33">
        <v>1297</v>
      </c>
      <c r="CE33">
        <v>171</v>
      </c>
      <c r="CF33">
        <v>75.007710100200001</v>
      </c>
      <c r="CG33">
        <v>1184</v>
      </c>
      <c r="CH33">
        <v>319</v>
      </c>
      <c r="CI33">
        <v>105.06756756759999</v>
      </c>
      <c r="CJ33">
        <v>104.3040752351</v>
      </c>
      <c r="CL33" t="s">
        <v>416</v>
      </c>
      <c r="CM33" t="s">
        <v>825</v>
      </c>
      <c r="CN33" t="s">
        <v>828</v>
      </c>
      <c r="CO33">
        <v>112</v>
      </c>
      <c r="CP33">
        <v>13</v>
      </c>
      <c r="CQ33">
        <v>69.241071428599994</v>
      </c>
      <c r="CR33">
        <v>135</v>
      </c>
      <c r="CS33">
        <v>42</v>
      </c>
      <c r="CT33">
        <v>80.585185185200004</v>
      </c>
      <c r="CU33">
        <v>105.6428571429</v>
      </c>
      <c r="CW33" t="s">
        <v>416</v>
      </c>
      <c r="CX33" t="s">
        <v>841</v>
      </c>
      <c r="CY33" t="s">
        <v>844</v>
      </c>
      <c r="CZ33">
        <v>34</v>
      </c>
      <c r="DA33">
        <v>5</v>
      </c>
      <c r="DB33">
        <v>86.764705882399994</v>
      </c>
      <c r="DC33">
        <v>7</v>
      </c>
      <c r="DD33">
        <v>3</v>
      </c>
      <c r="DE33">
        <v>150.1428571429</v>
      </c>
      <c r="DF33">
        <v>153.6666666667</v>
      </c>
      <c r="DH33" t="s">
        <v>416</v>
      </c>
      <c r="DI33" t="s">
        <v>809</v>
      </c>
      <c r="DJ33" t="s">
        <v>812</v>
      </c>
      <c r="DK33">
        <v>22</v>
      </c>
      <c r="DL33">
        <v>6</v>
      </c>
      <c r="DM33">
        <v>103.2727272727</v>
      </c>
      <c r="DN33">
        <v>9</v>
      </c>
      <c r="DO33">
        <v>1</v>
      </c>
      <c r="DP33">
        <v>161.55555555559999</v>
      </c>
      <c r="DQ33">
        <v>113</v>
      </c>
    </row>
    <row r="34" spans="2:121" x14ac:dyDescent="0.2">
      <c r="B34" t="s">
        <v>125</v>
      </c>
      <c r="C34">
        <v>717</v>
      </c>
      <c r="D34">
        <v>20</v>
      </c>
      <c r="F34" t="s">
        <v>74</v>
      </c>
      <c r="G34">
        <v>7101</v>
      </c>
      <c r="H34">
        <v>342.91536403319998</v>
      </c>
      <c r="I34">
        <v>12068</v>
      </c>
      <c r="J34">
        <v>1782</v>
      </c>
      <c r="K34">
        <v>17381</v>
      </c>
      <c r="L34">
        <v>9289</v>
      </c>
      <c r="M34">
        <v>4495</v>
      </c>
      <c r="N34">
        <v>2399</v>
      </c>
      <c r="O34">
        <v>2684</v>
      </c>
      <c r="P34">
        <v>1561</v>
      </c>
      <c r="Q34">
        <v>0</v>
      </c>
      <c r="R34">
        <v>58</v>
      </c>
      <c r="AH34" t="s">
        <v>405</v>
      </c>
      <c r="AI34">
        <v>1577</v>
      </c>
      <c r="AJ34">
        <v>218.81991122380001</v>
      </c>
      <c r="AK34">
        <v>2715</v>
      </c>
      <c r="AL34">
        <v>588</v>
      </c>
      <c r="AM34">
        <v>2419</v>
      </c>
      <c r="AN34">
        <v>1063</v>
      </c>
      <c r="AO34">
        <v>609</v>
      </c>
      <c r="AP34">
        <v>287</v>
      </c>
      <c r="AQ34">
        <v>836</v>
      </c>
      <c r="AR34">
        <v>444</v>
      </c>
      <c r="AS34">
        <v>3</v>
      </c>
      <c r="AT34">
        <v>9</v>
      </c>
      <c r="AV34" t="s">
        <v>395</v>
      </c>
      <c r="AW34">
        <v>375</v>
      </c>
      <c r="AX34">
        <v>55.394666666699997</v>
      </c>
      <c r="AY34">
        <v>1091</v>
      </c>
      <c r="AZ34">
        <v>100</v>
      </c>
      <c r="BA34">
        <v>593</v>
      </c>
      <c r="BB34">
        <v>43</v>
      </c>
      <c r="BC34">
        <v>1</v>
      </c>
      <c r="BD34">
        <v>1</v>
      </c>
      <c r="BE34">
        <v>54</v>
      </c>
      <c r="BF34">
        <v>8</v>
      </c>
      <c r="BG34">
        <v>92</v>
      </c>
      <c r="BH34">
        <v>83</v>
      </c>
      <c r="BJ34" t="s">
        <v>518</v>
      </c>
      <c r="BK34" t="s">
        <v>369</v>
      </c>
      <c r="BL34">
        <v>4926</v>
      </c>
      <c r="BM34">
        <v>1171</v>
      </c>
      <c r="BN34">
        <v>97.740560292300003</v>
      </c>
      <c r="BO34">
        <v>3176</v>
      </c>
      <c r="BP34">
        <v>931</v>
      </c>
      <c r="BQ34">
        <v>140.42789672539999</v>
      </c>
      <c r="BR34">
        <v>142.97099892590001</v>
      </c>
      <c r="BS34">
        <v>3921</v>
      </c>
      <c r="BT34">
        <v>907</v>
      </c>
      <c r="BU34">
        <v>93.569242540199994</v>
      </c>
      <c r="BV34">
        <v>2621</v>
      </c>
      <c r="BW34">
        <v>722</v>
      </c>
      <c r="BX34">
        <v>131.11446012970001</v>
      </c>
      <c r="BY34">
        <v>135.8351800554</v>
      </c>
      <c r="CA34" t="s">
        <v>376</v>
      </c>
      <c r="CB34" t="s">
        <v>856</v>
      </c>
      <c r="CC34" t="s">
        <v>984</v>
      </c>
      <c r="CD34">
        <v>5128</v>
      </c>
      <c r="CE34">
        <v>996</v>
      </c>
      <c r="CF34">
        <v>94.050897035899993</v>
      </c>
      <c r="CG34">
        <v>4281</v>
      </c>
      <c r="CH34">
        <v>1237</v>
      </c>
      <c r="CI34">
        <v>137.1217005373</v>
      </c>
      <c r="CJ34">
        <v>135.9304769604</v>
      </c>
      <c r="CL34" t="s">
        <v>376</v>
      </c>
      <c r="CM34" t="s">
        <v>825</v>
      </c>
      <c r="CN34" t="s">
        <v>829</v>
      </c>
      <c r="CO34">
        <v>492</v>
      </c>
      <c r="CP34">
        <v>48</v>
      </c>
      <c r="CQ34">
        <v>68.813008130100002</v>
      </c>
      <c r="CR34">
        <v>432</v>
      </c>
      <c r="CS34">
        <v>159</v>
      </c>
      <c r="CT34">
        <v>82.462962962999995</v>
      </c>
      <c r="CU34">
        <v>80.811320754700006</v>
      </c>
      <c r="CW34" t="s">
        <v>376</v>
      </c>
      <c r="CX34" t="s">
        <v>841</v>
      </c>
      <c r="CY34" t="s">
        <v>845</v>
      </c>
      <c r="CZ34">
        <v>258</v>
      </c>
      <c r="DA34">
        <v>62</v>
      </c>
      <c r="DB34">
        <v>93.976744186000005</v>
      </c>
      <c r="DC34">
        <v>110</v>
      </c>
      <c r="DD34">
        <v>38</v>
      </c>
      <c r="DE34">
        <v>142.20909090910001</v>
      </c>
      <c r="DF34">
        <v>154.1052631579</v>
      </c>
      <c r="DH34" t="s">
        <v>376</v>
      </c>
      <c r="DI34" t="s">
        <v>809</v>
      </c>
      <c r="DJ34" t="s">
        <v>813</v>
      </c>
      <c r="DK34">
        <v>367</v>
      </c>
      <c r="DL34">
        <v>74</v>
      </c>
      <c r="DM34">
        <v>90.498637602200006</v>
      </c>
      <c r="DN34">
        <v>130</v>
      </c>
      <c r="DO34">
        <v>55</v>
      </c>
      <c r="DP34">
        <v>144.7538461538</v>
      </c>
      <c r="DQ34">
        <v>146.05454545449999</v>
      </c>
    </row>
    <row r="35" spans="2:121" x14ac:dyDescent="0.2">
      <c r="B35" t="s">
        <v>96</v>
      </c>
      <c r="C35">
        <v>187</v>
      </c>
      <c r="D35">
        <v>160</v>
      </c>
      <c r="F35" t="s">
        <v>40</v>
      </c>
      <c r="G35">
        <v>6035</v>
      </c>
      <c r="H35">
        <v>509.2187241094</v>
      </c>
      <c r="I35">
        <v>6741</v>
      </c>
      <c r="J35">
        <v>1692</v>
      </c>
      <c r="K35">
        <v>7328</v>
      </c>
      <c r="L35">
        <v>5646</v>
      </c>
      <c r="M35">
        <v>1811</v>
      </c>
      <c r="N35">
        <v>1496</v>
      </c>
      <c r="O35">
        <v>1143</v>
      </c>
      <c r="P35">
        <v>651</v>
      </c>
      <c r="Q35">
        <v>0</v>
      </c>
      <c r="R35">
        <v>212</v>
      </c>
      <c r="AH35" t="s">
        <v>63</v>
      </c>
      <c r="AI35">
        <v>6675</v>
      </c>
      <c r="AJ35">
        <v>296.83071161049997</v>
      </c>
      <c r="AK35">
        <v>8998</v>
      </c>
      <c r="AL35">
        <v>1958</v>
      </c>
      <c r="AM35">
        <v>10040</v>
      </c>
      <c r="AN35">
        <v>6164</v>
      </c>
      <c r="AO35">
        <v>4435</v>
      </c>
      <c r="AP35">
        <v>3281</v>
      </c>
      <c r="AQ35">
        <v>3061</v>
      </c>
      <c r="AR35">
        <v>1439</v>
      </c>
      <c r="AS35">
        <v>1537</v>
      </c>
      <c r="AT35">
        <v>8</v>
      </c>
      <c r="AV35" t="s">
        <v>372</v>
      </c>
      <c r="AW35">
        <v>94</v>
      </c>
      <c r="AX35">
        <v>83.393617021300003</v>
      </c>
      <c r="AY35">
        <v>174</v>
      </c>
      <c r="AZ35">
        <v>33</v>
      </c>
      <c r="BA35">
        <v>144</v>
      </c>
      <c r="BB35">
        <v>39</v>
      </c>
      <c r="BC35">
        <v>5</v>
      </c>
      <c r="BD35">
        <v>5</v>
      </c>
      <c r="BE35">
        <v>16</v>
      </c>
      <c r="BF35">
        <v>6</v>
      </c>
      <c r="BG35">
        <v>19</v>
      </c>
      <c r="BH35">
        <v>30</v>
      </c>
      <c r="BJ35" t="s">
        <v>524</v>
      </c>
      <c r="BK35" t="s">
        <v>369</v>
      </c>
      <c r="BL35">
        <v>2760</v>
      </c>
      <c r="BM35">
        <v>469</v>
      </c>
      <c r="BN35">
        <v>86.263768115900007</v>
      </c>
      <c r="BO35">
        <v>1888</v>
      </c>
      <c r="BP35">
        <v>435</v>
      </c>
      <c r="BQ35">
        <v>144.7706567797</v>
      </c>
      <c r="BR35">
        <v>159.724137931</v>
      </c>
      <c r="BS35">
        <v>2382</v>
      </c>
      <c r="BT35">
        <v>317</v>
      </c>
      <c r="BU35">
        <v>78.940806045299993</v>
      </c>
      <c r="BV35">
        <v>1514</v>
      </c>
      <c r="BW35">
        <v>319</v>
      </c>
      <c r="BX35">
        <v>142.06803170410001</v>
      </c>
      <c r="BY35">
        <v>160.8996865204</v>
      </c>
      <c r="CA35" t="s">
        <v>371</v>
      </c>
      <c r="CB35" t="s">
        <v>856</v>
      </c>
      <c r="CC35" t="s">
        <v>985</v>
      </c>
      <c r="CD35">
        <v>4272</v>
      </c>
      <c r="CE35">
        <v>1089</v>
      </c>
      <c r="CF35">
        <v>98.641619850200001</v>
      </c>
      <c r="CG35">
        <v>3304</v>
      </c>
      <c r="CH35">
        <v>997</v>
      </c>
      <c r="CI35">
        <v>121.5626513317</v>
      </c>
      <c r="CJ35">
        <v>124.71514543630001</v>
      </c>
      <c r="CL35" t="s">
        <v>371</v>
      </c>
      <c r="CM35" t="s">
        <v>825</v>
      </c>
      <c r="CN35" t="s">
        <v>830</v>
      </c>
      <c r="CO35">
        <v>435</v>
      </c>
      <c r="CP35">
        <v>35</v>
      </c>
      <c r="CQ35">
        <v>68.475862069000001</v>
      </c>
      <c r="CR35">
        <v>427</v>
      </c>
      <c r="CS35">
        <v>131</v>
      </c>
      <c r="CT35">
        <v>81.018735363000005</v>
      </c>
      <c r="CU35">
        <v>78.450381679399996</v>
      </c>
      <c r="CW35" t="s">
        <v>371</v>
      </c>
      <c r="CX35" t="s">
        <v>841</v>
      </c>
      <c r="CY35" t="s">
        <v>846</v>
      </c>
      <c r="CZ35">
        <v>89</v>
      </c>
      <c r="DA35">
        <v>19</v>
      </c>
      <c r="DB35">
        <v>90.898876404500001</v>
      </c>
      <c r="DC35">
        <v>55</v>
      </c>
      <c r="DD35">
        <v>18</v>
      </c>
      <c r="DE35">
        <v>133.92727272729999</v>
      </c>
      <c r="DF35">
        <v>127.7222222222</v>
      </c>
      <c r="DH35" t="s">
        <v>371</v>
      </c>
      <c r="DI35" t="s">
        <v>809</v>
      </c>
      <c r="DJ35" t="s">
        <v>814</v>
      </c>
      <c r="DK35">
        <v>58</v>
      </c>
      <c r="DL35">
        <v>12</v>
      </c>
      <c r="DM35">
        <v>97.034482758600006</v>
      </c>
      <c r="DN35">
        <v>24</v>
      </c>
      <c r="DO35">
        <v>5</v>
      </c>
      <c r="DP35">
        <v>113.0833333333</v>
      </c>
      <c r="DQ35">
        <v>69.400000000000006</v>
      </c>
    </row>
    <row r="36" spans="2:121" x14ac:dyDescent="0.2">
      <c r="B36" t="s">
        <v>92</v>
      </c>
      <c r="C36">
        <v>4</v>
      </c>
      <c r="D36">
        <v>1</v>
      </c>
      <c r="F36" t="s">
        <v>50</v>
      </c>
      <c r="G36">
        <v>2188</v>
      </c>
      <c r="H36">
        <v>240.9291590494</v>
      </c>
      <c r="I36">
        <v>2296</v>
      </c>
      <c r="J36">
        <v>351</v>
      </c>
      <c r="K36">
        <v>3374</v>
      </c>
      <c r="L36">
        <v>2182</v>
      </c>
      <c r="M36">
        <v>479</v>
      </c>
      <c r="N36">
        <v>109</v>
      </c>
      <c r="O36">
        <v>1183</v>
      </c>
      <c r="P36">
        <v>828</v>
      </c>
      <c r="Q36">
        <v>1</v>
      </c>
      <c r="R36">
        <v>11</v>
      </c>
      <c r="T36" t="s">
        <v>646</v>
      </c>
      <c r="U36" t="s">
        <v>305</v>
      </c>
      <c r="V36" t="s">
        <v>136</v>
      </c>
      <c r="W36" t="s">
        <v>217</v>
      </c>
      <c r="X36" t="s">
        <v>459</v>
      </c>
      <c r="Y36" t="s">
        <v>219</v>
      </c>
      <c r="Z36" t="s">
        <v>220</v>
      </c>
      <c r="AA36" t="s">
        <v>221</v>
      </c>
      <c r="AB36" t="s">
        <v>460</v>
      </c>
      <c r="AC36" t="s">
        <v>223</v>
      </c>
      <c r="AD36" t="s">
        <v>224</v>
      </c>
      <c r="AE36" t="s">
        <v>225</v>
      </c>
      <c r="AF36" t="s">
        <v>226</v>
      </c>
      <c r="AH36" t="s">
        <v>382</v>
      </c>
      <c r="AI36">
        <v>16150</v>
      </c>
      <c r="AJ36">
        <v>323.09238390090002</v>
      </c>
      <c r="AK36">
        <v>17554</v>
      </c>
      <c r="AL36">
        <v>4422</v>
      </c>
      <c r="AM36">
        <v>22116</v>
      </c>
      <c r="AN36">
        <v>14983</v>
      </c>
      <c r="AO36">
        <v>8509</v>
      </c>
      <c r="AP36">
        <v>5376</v>
      </c>
      <c r="AQ36">
        <v>6597</v>
      </c>
      <c r="AR36">
        <v>3932</v>
      </c>
      <c r="AS36">
        <v>1147</v>
      </c>
      <c r="AT36">
        <v>37</v>
      </c>
      <c r="AV36" t="s">
        <v>383</v>
      </c>
      <c r="AW36">
        <v>895</v>
      </c>
      <c r="AX36">
        <v>108.7553072626</v>
      </c>
      <c r="AY36">
        <v>954</v>
      </c>
      <c r="AZ36">
        <v>225</v>
      </c>
      <c r="BA36">
        <v>1218</v>
      </c>
      <c r="BB36">
        <v>462</v>
      </c>
      <c r="BC36">
        <v>15</v>
      </c>
      <c r="BD36">
        <v>14</v>
      </c>
      <c r="BE36">
        <v>41</v>
      </c>
      <c r="BF36">
        <v>15</v>
      </c>
      <c r="BG36">
        <v>174</v>
      </c>
      <c r="BH36">
        <v>288</v>
      </c>
      <c r="BJ36" t="s">
        <v>369</v>
      </c>
      <c r="BK36" t="s">
        <v>369</v>
      </c>
      <c r="BL36">
        <v>70362</v>
      </c>
      <c r="BM36">
        <v>15874</v>
      </c>
      <c r="BN36">
        <v>96.875415707299993</v>
      </c>
      <c r="BO36">
        <v>54027</v>
      </c>
      <c r="BP36">
        <v>15784</v>
      </c>
      <c r="BQ36">
        <v>136.4993614304</v>
      </c>
      <c r="BR36">
        <v>137.73200709579999</v>
      </c>
      <c r="BS36">
        <v>68996</v>
      </c>
      <c r="BT36">
        <v>14951</v>
      </c>
      <c r="BU36">
        <v>94.453229172700006</v>
      </c>
      <c r="BV36">
        <v>53169</v>
      </c>
      <c r="BW36">
        <v>15441</v>
      </c>
      <c r="BX36">
        <v>135.26972483969999</v>
      </c>
      <c r="BY36">
        <v>136.4273039311</v>
      </c>
      <c r="CA36" t="s">
        <v>415</v>
      </c>
      <c r="CB36" t="s">
        <v>856</v>
      </c>
      <c r="CC36" t="s">
        <v>986</v>
      </c>
      <c r="CD36">
        <v>1230</v>
      </c>
      <c r="CE36">
        <v>270</v>
      </c>
      <c r="CF36">
        <v>99.626016260200004</v>
      </c>
      <c r="CG36">
        <v>980</v>
      </c>
      <c r="CH36">
        <v>360</v>
      </c>
      <c r="CI36">
        <v>128.07142857139999</v>
      </c>
      <c r="CJ36">
        <v>124.51944444439999</v>
      </c>
      <c r="CL36" t="s">
        <v>415</v>
      </c>
      <c r="CM36" t="s">
        <v>825</v>
      </c>
      <c r="CN36" t="s">
        <v>831</v>
      </c>
      <c r="CO36">
        <v>97</v>
      </c>
      <c r="CP36">
        <v>7</v>
      </c>
      <c r="CQ36">
        <v>68.164948453600005</v>
      </c>
      <c r="CR36">
        <v>97</v>
      </c>
      <c r="CS36">
        <v>24</v>
      </c>
      <c r="CT36">
        <v>85.113402061900004</v>
      </c>
      <c r="CU36">
        <v>91.208333333300004</v>
      </c>
      <c r="CW36" t="s">
        <v>415</v>
      </c>
      <c r="CX36" t="s">
        <v>841</v>
      </c>
      <c r="CY36" t="s">
        <v>847</v>
      </c>
      <c r="CZ36">
        <v>27</v>
      </c>
      <c r="DA36">
        <v>5</v>
      </c>
      <c r="DB36">
        <v>87.629629629600004</v>
      </c>
      <c r="DC36">
        <v>7</v>
      </c>
      <c r="DD36">
        <v>2</v>
      </c>
      <c r="DE36">
        <v>137.28571428570001</v>
      </c>
      <c r="DF36">
        <v>123</v>
      </c>
      <c r="DH36" t="s">
        <v>415</v>
      </c>
      <c r="DI36" t="s">
        <v>809</v>
      </c>
      <c r="DJ36" t="s">
        <v>815</v>
      </c>
      <c r="DK36">
        <v>20</v>
      </c>
      <c r="DL36">
        <v>3</v>
      </c>
      <c r="DM36">
        <v>85.95</v>
      </c>
      <c r="DN36">
        <v>14</v>
      </c>
      <c r="DO36">
        <v>4</v>
      </c>
      <c r="DP36">
        <v>131.42857142860001</v>
      </c>
      <c r="DQ36">
        <v>75.25</v>
      </c>
    </row>
    <row r="37" spans="2:121" x14ac:dyDescent="0.2">
      <c r="B37" t="s">
        <v>98</v>
      </c>
      <c r="C37">
        <v>1022</v>
      </c>
      <c r="D37">
        <v>604</v>
      </c>
      <c r="F37" t="s">
        <v>85</v>
      </c>
      <c r="G37">
        <v>608</v>
      </c>
      <c r="H37">
        <v>381.40789473680002</v>
      </c>
      <c r="I37">
        <v>675</v>
      </c>
      <c r="J37">
        <v>219</v>
      </c>
      <c r="K37">
        <v>673</v>
      </c>
      <c r="L37">
        <v>531</v>
      </c>
      <c r="M37">
        <v>51</v>
      </c>
      <c r="N37">
        <v>13</v>
      </c>
      <c r="O37">
        <v>178</v>
      </c>
      <c r="P37">
        <v>74</v>
      </c>
      <c r="Q37">
        <v>0</v>
      </c>
      <c r="R37">
        <v>0</v>
      </c>
      <c r="T37" t="s">
        <v>390</v>
      </c>
      <c r="U37">
        <v>2141</v>
      </c>
      <c r="V37">
        <v>55.429705745</v>
      </c>
      <c r="W37">
        <v>5948</v>
      </c>
      <c r="X37">
        <v>497</v>
      </c>
      <c r="Y37">
        <v>3539</v>
      </c>
      <c r="Z37">
        <v>217</v>
      </c>
      <c r="AA37">
        <v>18</v>
      </c>
      <c r="AB37">
        <v>11</v>
      </c>
      <c r="AC37">
        <v>279</v>
      </c>
      <c r="AD37">
        <v>75</v>
      </c>
      <c r="AE37">
        <v>1834</v>
      </c>
      <c r="AF37">
        <v>533</v>
      </c>
      <c r="AH37" t="s">
        <v>419</v>
      </c>
      <c r="AI37">
        <v>175</v>
      </c>
      <c r="AJ37">
        <v>297.10285714290001</v>
      </c>
      <c r="AK37">
        <v>627</v>
      </c>
      <c r="AL37">
        <v>103</v>
      </c>
      <c r="AM37">
        <v>328</v>
      </c>
      <c r="AN37">
        <v>150</v>
      </c>
      <c r="AO37">
        <v>119</v>
      </c>
      <c r="AP37">
        <v>58</v>
      </c>
      <c r="AQ37">
        <v>153</v>
      </c>
      <c r="AR37">
        <v>76</v>
      </c>
      <c r="AS37">
        <v>0</v>
      </c>
      <c r="AT37">
        <v>0</v>
      </c>
      <c r="AV37" t="s">
        <v>391</v>
      </c>
      <c r="AW37">
        <v>421</v>
      </c>
      <c r="AX37">
        <v>59.691211401399997</v>
      </c>
      <c r="AY37">
        <v>1269</v>
      </c>
      <c r="AZ37">
        <v>124</v>
      </c>
      <c r="BA37">
        <v>752</v>
      </c>
      <c r="BB37">
        <v>56</v>
      </c>
      <c r="BC37">
        <v>8</v>
      </c>
      <c r="BD37">
        <v>3</v>
      </c>
      <c r="BE37">
        <v>51</v>
      </c>
      <c r="BF37">
        <v>10</v>
      </c>
      <c r="BG37">
        <v>124</v>
      </c>
      <c r="BH37">
        <v>115</v>
      </c>
      <c r="BJ37" t="s">
        <v>526</v>
      </c>
      <c r="BK37" t="s">
        <v>369</v>
      </c>
      <c r="BL37">
        <v>7487</v>
      </c>
      <c r="BM37">
        <v>2161</v>
      </c>
      <c r="BN37">
        <v>111.6704955256</v>
      </c>
      <c r="BO37">
        <v>5829</v>
      </c>
      <c r="BP37">
        <v>1815</v>
      </c>
      <c r="BQ37">
        <v>156.34242580200001</v>
      </c>
      <c r="BR37">
        <v>149.0286501377</v>
      </c>
      <c r="BS37">
        <v>7584</v>
      </c>
      <c r="BT37">
        <v>2210</v>
      </c>
      <c r="BU37">
        <v>111.6673259494</v>
      </c>
      <c r="BV37">
        <v>6056</v>
      </c>
      <c r="BW37">
        <v>1899</v>
      </c>
      <c r="BX37">
        <v>155.95574636719999</v>
      </c>
      <c r="BY37">
        <v>149.4865718799</v>
      </c>
      <c r="CA37" t="s">
        <v>374</v>
      </c>
      <c r="CB37" t="s">
        <v>856</v>
      </c>
      <c r="CC37" t="s">
        <v>987</v>
      </c>
      <c r="CD37">
        <v>4062</v>
      </c>
      <c r="CE37">
        <v>855</v>
      </c>
      <c r="CF37">
        <v>95.828902018700006</v>
      </c>
      <c r="CG37">
        <v>3011</v>
      </c>
      <c r="CH37">
        <v>785</v>
      </c>
      <c r="CI37">
        <v>143.90302225170001</v>
      </c>
      <c r="CJ37">
        <v>150.9006369427</v>
      </c>
      <c r="CL37" t="s">
        <v>374</v>
      </c>
      <c r="CM37" t="s">
        <v>825</v>
      </c>
      <c r="CN37" t="s">
        <v>832</v>
      </c>
      <c r="CO37">
        <v>477</v>
      </c>
      <c r="CP37">
        <v>56</v>
      </c>
      <c r="CQ37">
        <v>70.115303983199993</v>
      </c>
      <c r="CR37">
        <v>466</v>
      </c>
      <c r="CS37">
        <v>131</v>
      </c>
      <c r="CT37">
        <v>77.070815450599994</v>
      </c>
      <c r="CU37">
        <v>78.938931297699995</v>
      </c>
      <c r="CW37" t="s">
        <v>374</v>
      </c>
      <c r="CX37" t="s">
        <v>841</v>
      </c>
      <c r="CY37" t="s">
        <v>848</v>
      </c>
      <c r="CZ37">
        <v>127</v>
      </c>
      <c r="DA37">
        <v>28</v>
      </c>
      <c r="DB37">
        <v>83.4173228346</v>
      </c>
      <c r="DC37">
        <v>36</v>
      </c>
      <c r="DD37">
        <v>14</v>
      </c>
      <c r="DE37">
        <v>145.6388888889</v>
      </c>
      <c r="DF37">
        <v>157.07142857139999</v>
      </c>
      <c r="DH37" t="s">
        <v>374</v>
      </c>
      <c r="DI37" t="s">
        <v>809</v>
      </c>
      <c r="DJ37" t="s">
        <v>816</v>
      </c>
      <c r="DK37">
        <v>89</v>
      </c>
      <c r="DL37">
        <v>16</v>
      </c>
      <c r="DM37">
        <v>84.730337078700003</v>
      </c>
      <c r="DN37">
        <v>47</v>
      </c>
      <c r="DO37">
        <v>15</v>
      </c>
      <c r="DP37">
        <v>132.02127659569999</v>
      </c>
      <c r="DQ37">
        <v>143.46666666670001</v>
      </c>
    </row>
    <row r="38" spans="2:121" x14ac:dyDescent="0.2">
      <c r="B38" t="s">
        <v>1064</v>
      </c>
      <c r="C38">
        <v>114</v>
      </c>
      <c r="D38">
        <v>111</v>
      </c>
      <c r="F38" t="s">
        <v>63</v>
      </c>
      <c r="G38">
        <v>4409</v>
      </c>
      <c r="H38">
        <v>307.41936947149998</v>
      </c>
      <c r="I38">
        <v>4705</v>
      </c>
      <c r="J38">
        <v>1147</v>
      </c>
      <c r="K38">
        <v>5983</v>
      </c>
      <c r="L38">
        <v>4113</v>
      </c>
      <c r="M38">
        <v>3668</v>
      </c>
      <c r="N38">
        <v>3070</v>
      </c>
      <c r="O38">
        <v>1001</v>
      </c>
      <c r="P38">
        <v>195</v>
      </c>
      <c r="Q38">
        <v>0</v>
      </c>
      <c r="R38">
        <v>2</v>
      </c>
      <c r="T38" t="s">
        <v>380</v>
      </c>
      <c r="U38">
        <v>6573</v>
      </c>
      <c r="V38">
        <v>99.148790506599994</v>
      </c>
      <c r="W38">
        <v>8976</v>
      </c>
      <c r="X38">
        <v>1613</v>
      </c>
      <c r="Y38">
        <v>9335</v>
      </c>
      <c r="Z38">
        <v>2981</v>
      </c>
      <c r="AA38">
        <v>182</v>
      </c>
      <c r="AB38">
        <v>172</v>
      </c>
      <c r="AC38">
        <v>518</v>
      </c>
      <c r="AD38">
        <v>158</v>
      </c>
      <c r="AE38">
        <v>1224</v>
      </c>
      <c r="AF38">
        <v>1931</v>
      </c>
      <c r="AH38" t="s">
        <v>391</v>
      </c>
      <c r="AI38">
        <v>7301</v>
      </c>
      <c r="AJ38">
        <v>422.81933981650002</v>
      </c>
      <c r="AK38">
        <v>8768</v>
      </c>
      <c r="AL38">
        <v>2175</v>
      </c>
      <c r="AM38">
        <v>12249</v>
      </c>
      <c r="AN38">
        <v>7000</v>
      </c>
      <c r="AO38">
        <v>1947</v>
      </c>
      <c r="AP38">
        <v>1169</v>
      </c>
      <c r="AQ38">
        <v>4463</v>
      </c>
      <c r="AR38">
        <v>2242</v>
      </c>
      <c r="AS38">
        <v>679</v>
      </c>
      <c r="AT38">
        <v>331</v>
      </c>
      <c r="AV38" t="s">
        <v>396</v>
      </c>
      <c r="AW38">
        <v>180</v>
      </c>
      <c r="AX38">
        <v>49.2</v>
      </c>
      <c r="AY38">
        <v>398</v>
      </c>
      <c r="AZ38">
        <v>24</v>
      </c>
      <c r="BA38">
        <v>304</v>
      </c>
      <c r="BB38">
        <v>13</v>
      </c>
      <c r="BC38">
        <v>1</v>
      </c>
      <c r="BE38">
        <v>30</v>
      </c>
      <c r="BF38">
        <v>9</v>
      </c>
      <c r="BG38">
        <v>60</v>
      </c>
      <c r="BH38">
        <v>27</v>
      </c>
      <c r="BJ38" t="s">
        <v>529</v>
      </c>
      <c r="BK38" t="s">
        <v>369</v>
      </c>
      <c r="BL38">
        <v>4886</v>
      </c>
      <c r="BM38">
        <v>1425</v>
      </c>
      <c r="BN38">
        <v>112.2013917315</v>
      </c>
      <c r="BO38">
        <v>3123</v>
      </c>
      <c r="BP38">
        <v>879</v>
      </c>
      <c r="BQ38">
        <v>165.93211655459999</v>
      </c>
      <c r="BR38">
        <v>174.3003412969</v>
      </c>
      <c r="BS38">
        <v>4130</v>
      </c>
      <c r="BT38">
        <v>1391</v>
      </c>
      <c r="BU38">
        <v>123.999031477</v>
      </c>
      <c r="BV38">
        <v>2483</v>
      </c>
      <c r="BW38">
        <v>674</v>
      </c>
      <c r="BX38">
        <v>182.49617398309999</v>
      </c>
      <c r="BY38">
        <v>179.89169139469999</v>
      </c>
      <c r="CA38" t="s">
        <v>63</v>
      </c>
      <c r="CB38" t="s">
        <v>856</v>
      </c>
      <c r="CC38" t="s">
        <v>518</v>
      </c>
      <c r="CD38">
        <v>8665</v>
      </c>
      <c r="CE38">
        <v>1832</v>
      </c>
      <c r="CF38">
        <v>93.589497980399997</v>
      </c>
      <c r="CG38">
        <v>6467</v>
      </c>
      <c r="CH38">
        <v>1836</v>
      </c>
      <c r="CI38">
        <v>138.86608937680001</v>
      </c>
      <c r="CJ38">
        <v>135.74183006539999</v>
      </c>
      <c r="CL38" t="s">
        <v>63</v>
      </c>
      <c r="CM38" t="s">
        <v>825</v>
      </c>
      <c r="CN38" t="s">
        <v>833</v>
      </c>
      <c r="CO38">
        <v>1268</v>
      </c>
      <c r="CP38">
        <v>108</v>
      </c>
      <c r="CQ38">
        <v>70.511041009500005</v>
      </c>
      <c r="CR38">
        <v>1147</v>
      </c>
      <c r="CS38">
        <v>362</v>
      </c>
      <c r="CT38">
        <v>82.602441150800004</v>
      </c>
      <c r="CU38">
        <v>89.580110497199996</v>
      </c>
      <c r="CW38" t="s">
        <v>63</v>
      </c>
      <c r="CX38" t="s">
        <v>841</v>
      </c>
      <c r="CY38" t="s">
        <v>849</v>
      </c>
      <c r="CZ38">
        <v>258</v>
      </c>
      <c r="DA38">
        <v>45</v>
      </c>
      <c r="DB38">
        <v>84.2325581395</v>
      </c>
      <c r="DC38">
        <v>111</v>
      </c>
      <c r="DD38">
        <v>38</v>
      </c>
      <c r="DE38">
        <v>121.6486486486</v>
      </c>
      <c r="DF38">
        <v>132.7894736842</v>
      </c>
      <c r="DH38" t="s">
        <v>63</v>
      </c>
      <c r="DI38" t="s">
        <v>809</v>
      </c>
      <c r="DJ38" t="s">
        <v>817</v>
      </c>
      <c r="DK38">
        <v>142</v>
      </c>
      <c r="DL38">
        <v>25</v>
      </c>
      <c r="DM38">
        <v>86.253521126799995</v>
      </c>
      <c r="DN38">
        <v>86</v>
      </c>
      <c r="DO38">
        <v>34</v>
      </c>
      <c r="DP38">
        <v>141.8953488372</v>
      </c>
      <c r="DQ38">
        <v>139.4411764706</v>
      </c>
    </row>
    <row r="39" spans="2:121" x14ac:dyDescent="0.2">
      <c r="B39" t="s">
        <v>118</v>
      </c>
      <c r="C39">
        <v>3355</v>
      </c>
      <c r="D39">
        <v>1137</v>
      </c>
      <c r="F39" t="s">
        <v>52</v>
      </c>
      <c r="G39">
        <v>4291</v>
      </c>
      <c r="H39">
        <v>398.6732696341</v>
      </c>
      <c r="I39">
        <v>4176</v>
      </c>
      <c r="J39">
        <v>1175</v>
      </c>
      <c r="K39">
        <v>6483</v>
      </c>
      <c r="L39">
        <v>4534</v>
      </c>
      <c r="M39">
        <v>2105</v>
      </c>
      <c r="N39">
        <v>1672</v>
      </c>
      <c r="O39">
        <v>2276</v>
      </c>
      <c r="P39">
        <v>1818</v>
      </c>
      <c r="Q39">
        <v>39</v>
      </c>
      <c r="R39">
        <v>182</v>
      </c>
      <c r="T39" t="s">
        <v>369</v>
      </c>
      <c r="U39">
        <v>7027</v>
      </c>
      <c r="V39">
        <v>102.4384516864</v>
      </c>
      <c r="W39">
        <v>10845</v>
      </c>
      <c r="X39">
        <v>2203</v>
      </c>
      <c r="Y39">
        <v>9789</v>
      </c>
      <c r="Z39">
        <v>3440</v>
      </c>
      <c r="AA39">
        <v>355</v>
      </c>
      <c r="AB39">
        <v>344</v>
      </c>
      <c r="AC39">
        <v>580</v>
      </c>
      <c r="AD39">
        <v>170</v>
      </c>
      <c r="AE39">
        <v>1271</v>
      </c>
      <c r="AF39">
        <v>2512</v>
      </c>
      <c r="AH39" t="s">
        <v>412</v>
      </c>
      <c r="AI39">
        <v>3210</v>
      </c>
      <c r="AJ39">
        <v>329.62710280369998</v>
      </c>
      <c r="AK39">
        <v>6290</v>
      </c>
      <c r="AL39">
        <v>1030</v>
      </c>
      <c r="AM39">
        <v>4915</v>
      </c>
      <c r="AN39">
        <v>2585</v>
      </c>
      <c r="AO39">
        <v>1630</v>
      </c>
      <c r="AP39">
        <v>778</v>
      </c>
      <c r="AQ39">
        <v>2441</v>
      </c>
      <c r="AR39">
        <v>1027</v>
      </c>
      <c r="AS39">
        <v>8</v>
      </c>
      <c r="AT39">
        <v>61</v>
      </c>
      <c r="AV39" t="s">
        <v>414</v>
      </c>
      <c r="AW39">
        <v>50</v>
      </c>
      <c r="AX39">
        <v>110.88</v>
      </c>
      <c r="AY39">
        <v>70</v>
      </c>
      <c r="AZ39">
        <v>8</v>
      </c>
      <c r="BA39">
        <v>63</v>
      </c>
      <c r="BB39">
        <v>27</v>
      </c>
      <c r="BC39">
        <v>4</v>
      </c>
      <c r="BD39">
        <v>4</v>
      </c>
      <c r="BE39">
        <v>1</v>
      </c>
      <c r="BG39">
        <v>15</v>
      </c>
      <c r="BH39">
        <v>18</v>
      </c>
      <c r="BJ39" t="s">
        <v>514</v>
      </c>
      <c r="BK39" t="s">
        <v>369</v>
      </c>
      <c r="BL39">
        <v>2433</v>
      </c>
      <c r="BM39">
        <v>382</v>
      </c>
      <c r="BN39">
        <v>78.156596794099997</v>
      </c>
      <c r="BO39">
        <v>4637</v>
      </c>
      <c r="BP39">
        <v>1402</v>
      </c>
      <c r="BQ39">
        <v>52.890662065999997</v>
      </c>
      <c r="BR39">
        <v>58.373038516400001</v>
      </c>
      <c r="BS39">
        <v>3631</v>
      </c>
      <c r="BT39">
        <v>976</v>
      </c>
      <c r="BU39">
        <v>100.0118424676</v>
      </c>
      <c r="BV39">
        <v>5700</v>
      </c>
      <c r="BW39">
        <v>1747</v>
      </c>
      <c r="BX39">
        <v>80.495263157899998</v>
      </c>
      <c r="BY39">
        <v>82.944476245000004</v>
      </c>
      <c r="CA39" t="s">
        <v>382</v>
      </c>
      <c r="CB39" t="s">
        <v>856</v>
      </c>
      <c r="CC39" t="s">
        <v>988</v>
      </c>
      <c r="CD39">
        <v>16002</v>
      </c>
      <c r="CE39">
        <v>4054</v>
      </c>
      <c r="CF39">
        <v>101.1610423697</v>
      </c>
      <c r="CG39">
        <v>12235</v>
      </c>
      <c r="CH39">
        <v>3774</v>
      </c>
      <c r="CI39">
        <v>143.4961176951</v>
      </c>
      <c r="CJ39">
        <v>139.26523582409999</v>
      </c>
      <c r="CL39" t="s">
        <v>382</v>
      </c>
      <c r="CM39" t="s">
        <v>825</v>
      </c>
      <c r="CN39" t="s">
        <v>834</v>
      </c>
      <c r="CO39">
        <v>1189</v>
      </c>
      <c r="CP39">
        <v>133</v>
      </c>
      <c r="CQ39">
        <v>70.091673675400003</v>
      </c>
      <c r="CR39">
        <v>1124</v>
      </c>
      <c r="CS39">
        <v>363</v>
      </c>
      <c r="CT39">
        <v>81.180604982199995</v>
      </c>
      <c r="CU39">
        <v>85.586776859500006</v>
      </c>
      <c r="CW39" t="s">
        <v>382</v>
      </c>
      <c r="CX39" t="s">
        <v>841</v>
      </c>
      <c r="CY39" t="s">
        <v>850</v>
      </c>
      <c r="CZ39">
        <v>651</v>
      </c>
      <c r="DA39">
        <v>138</v>
      </c>
      <c r="DB39">
        <v>88.761904761899999</v>
      </c>
      <c r="DC39">
        <v>257</v>
      </c>
      <c r="DD39">
        <v>83</v>
      </c>
      <c r="DE39">
        <v>146.6498054475</v>
      </c>
      <c r="DF39">
        <v>147.8554216867</v>
      </c>
      <c r="DH39" t="s">
        <v>382</v>
      </c>
      <c r="DI39" t="s">
        <v>809</v>
      </c>
      <c r="DJ39" t="s">
        <v>818</v>
      </c>
      <c r="DK39">
        <v>1229</v>
      </c>
      <c r="DL39">
        <v>210</v>
      </c>
      <c r="DM39">
        <v>85.9218877136</v>
      </c>
      <c r="DN39">
        <v>453</v>
      </c>
      <c r="DO39">
        <v>149</v>
      </c>
      <c r="DP39">
        <v>141.55408388519999</v>
      </c>
      <c r="DQ39">
        <v>144.8053691275</v>
      </c>
    </row>
    <row r="40" spans="2:121" x14ac:dyDescent="0.2">
      <c r="B40" t="s">
        <v>102</v>
      </c>
      <c r="C40">
        <v>15009</v>
      </c>
      <c r="D40">
        <v>1512</v>
      </c>
      <c r="F40" t="s">
        <v>55</v>
      </c>
      <c r="G40">
        <v>7714</v>
      </c>
      <c r="H40">
        <v>372.5165932072</v>
      </c>
      <c r="I40">
        <v>8949</v>
      </c>
      <c r="J40">
        <v>1897</v>
      </c>
      <c r="K40">
        <v>9242</v>
      </c>
      <c r="L40">
        <v>6176</v>
      </c>
      <c r="M40">
        <v>1051</v>
      </c>
      <c r="N40">
        <v>888</v>
      </c>
      <c r="O40">
        <v>4214</v>
      </c>
      <c r="P40">
        <v>3503</v>
      </c>
      <c r="Q40">
        <v>2</v>
      </c>
      <c r="R40">
        <v>29</v>
      </c>
      <c r="T40" t="s">
        <v>8</v>
      </c>
      <c r="U40">
        <v>150</v>
      </c>
      <c r="V40">
        <v>106.0133333333</v>
      </c>
      <c r="W40">
        <v>200</v>
      </c>
      <c r="X40">
        <v>85</v>
      </c>
      <c r="Y40">
        <v>309</v>
      </c>
      <c r="Z40">
        <v>164</v>
      </c>
      <c r="AA40">
        <v>13</v>
      </c>
      <c r="AB40">
        <v>10</v>
      </c>
      <c r="AC40">
        <v>6</v>
      </c>
      <c r="AD40">
        <v>4</v>
      </c>
      <c r="AE40">
        <v>42</v>
      </c>
      <c r="AF40">
        <v>16</v>
      </c>
      <c r="AH40" t="s">
        <v>409</v>
      </c>
      <c r="AI40">
        <v>8399</v>
      </c>
      <c r="AJ40">
        <v>418.85379211809999</v>
      </c>
      <c r="AK40">
        <v>4840</v>
      </c>
      <c r="AL40">
        <v>1239</v>
      </c>
      <c r="AM40">
        <v>11286</v>
      </c>
      <c r="AN40">
        <v>8303</v>
      </c>
      <c r="AO40">
        <v>3428</v>
      </c>
      <c r="AP40">
        <v>2712</v>
      </c>
      <c r="AQ40">
        <v>2663</v>
      </c>
      <c r="AR40">
        <v>1259</v>
      </c>
      <c r="AS40">
        <v>5</v>
      </c>
      <c r="AT40">
        <v>74</v>
      </c>
      <c r="AV40" t="s">
        <v>410</v>
      </c>
      <c r="AW40">
        <v>578</v>
      </c>
      <c r="AX40">
        <v>47.370242214500003</v>
      </c>
      <c r="AY40">
        <v>1487</v>
      </c>
      <c r="AZ40">
        <v>43</v>
      </c>
      <c r="BA40">
        <v>1015</v>
      </c>
      <c r="BB40">
        <v>59</v>
      </c>
      <c r="BC40">
        <v>10</v>
      </c>
      <c r="BD40">
        <v>8</v>
      </c>
      <c r="BE40">
        <v>60</v>
      </c>
      <c r="BF40">
        <v>30</v>
      </c>
      <c r="BG40">
        <v>1178</v>
      </c>
      <c r="BH40">
        <v>219</v>
      </c>
      <c r="BJ40" t="s">
        <v>535</v>
      </c>
      <c r="BK40" t="s">
        <v>369</v>
      </c>
      <c r="BL40">
        <v>11094</v>
      </c>
      <c r="BM40">
        <v>2058</v>
      </c>
      <c r="BN40">
        <v>89.326753199899997</v>
      </c>
      <c r="BO40">
        <v>7204</v>
      </c>
      <c r="BP40">
        <v>2078</v>
      </c>
      <c r="BQ40">
        <v>146.58425874509999</v>
      </c>
      <c r="BR40">
        <v>153.98123195380001</v>
      </c>
      <c r="BS40">
        <v>11018</v>
      </c>
      <c r="BT40">
        <v>1991</v>
      </c>
      <c r="BU40">
        <v>86.911236158999998</v>
      </c>
      <c r="BV40">
        <v>7480</v>
      </c>
      <c r="BW40">
        <v>2013</v>
      </c>
      <c r="BX40">
        <v>140.46818181820001</v>
      </c>
      <c r="BY40">
        <v>148.86388474910001</v>
      </c>
      <c r="CA40" t="s">
        <v>375</v>
      </c>
      <c r="CB40" t="s">
        <v>856</v>
      </c>
      <c r="CC40" t="s">
        <v>989</v>
      </c>
      <c r="CD40">
        <v>9005</v>
      </c>
      <c r="CE40">
        <v>2375</v>
      </c>
      <c r="CF40">
        <v>105.26285396999999</v>
      </c>
      <c r="CG40">
        <v>7105</v>
      </c>
      <c r="CH40">
        <v>2093</v>
      </c>
      <c r="CI40">
        <v>149.15665024629999</v>
      </c>
      <c r="CJ40">
        <v>145.87482083130001</v>
      </c>
      <c r="CL40" t="s">
        <v>375</v>
      </c>
      <c r="CM40" t="s">
        <v>825</v>
      </c>
      <c r="CN40" t="s">
        <v>835</v>
      </c>
      <c r="CO40">
        <v>1510</v>
      </c>
      <c r="CP40">
        <v>132</v>
      </c>
      <c r="CQ40">
        <v>67.413245033099997</v>
      </c>
      <c r="CR40">
        <v>1369</v>
      </c>
      <c r="CS40">
        <v>441</v>
      </c>
      <c r="CT40">
        <v>81.371073776499998</v>
      </c>
      <c r="CU40">
        <v>79.535147392300004</v>
      </c>
      <c r="CW40" t="s">
        <v>375</v>
      </c>
      <c r="CX40" t="s">
        <v>841</v>
      </c>
      <c r="CY40" t="s">
        <v>851</v>
      </c>
      <c r="CZ40">
        <v>197</v>
      </c>
      <c r="DA40">
        <v>32</v>
      </c>
      <c r="DB40">
        <v>86.715736040600007</v>
      </c>
      <c r="DC40">
        <v>102</v>
      </c>
      <c r="DD40">
        <v>38</v>
      </c>
      <c r="DE40">
        <v>134.8431372549</v>
      </c>
      <c r="DF40">
        <v>149.65789473679999</v>
      </c>
      <c r="DH40" t="s">
        <v>375</v>
      </c>
      <c r="DI40" t="s">
        <v>809</v>
      </c>
      <c r="DJ40" t="s">
        <v>819</v>
      </c>
      <c r="DK40">
        <v>134</v>
      </c>
      <c r="DL40">
        <v>26</v>
      </c>
      <c r="DM40">
        <v>89.164179104499993</v>
      </c>
      <c r="DN40">
        <v>92</v>
      </c>
      <c r="DO40">
        <v>33</v>
      </c>
      <c r="DP40">
        <v>127.67391304349999</v>
      </c>
      <c r="DQ40">
        <v>139.54545454550001</v>
      </c>
    </row>
    <row r="41" spans="2:121" x14ac:dyDescent="0.2">
      <c r="B41" t="s">
        <v>127</v>
      </c>
      <c r="C41">
        <v>206</v>
      </c>
      <c r="D41">
        <v>96</v>
      </c>
      <c r="F41" t="s">
        <v>25</v>
      </c>
      <c r="G41">
        <v>13440</v>
      </c>
      <c r="H41">
        <v>350.65081845240002</v>
      </c>
      <c r="I41">
        <v>17233</v>
      </c>
      <c r="J41">
        <v>4197</v>
      </c>
      <c r="K41">
        <v>19113</v>
      </c>
      <c r="L41">
        <v>13638</v>
      </c>
      <c r="M41">
        <v>7425</v>
      </c>
      <c r="N41">
        <v>4982</v>
      </c>
      <c r="O41">
        <v>11065</v>
      </c>
      <c r="P41">
        <v>9242</v>
      </c>
      <c r="Q41">
        <v>62</v>
      </c>
      <c r="R41">
        <v>5</v>
      </c>
      <c r="T41" t="s">
        <v>385</v>
      </c>
      <c r="U41">
        <v>1431</v>
      </c>
      <c r="V41">
        <v>49.800838574399997</v>
      </c>
      <c r="W41">
        <v>3356</v>
      </c>
      <c r="X41">
        <v>151</v>
      </c>
      <c r="Y41">
        <v>2335</v>
      </c>
      <c r="Z41">
        <v>152</v>
      </c>
      <c r="AA41">
        <v>23</v>
      </c>
      <c r="AB41">
        <v>19</v>
      </c>
      <c r="AC41">
        <v>182</v>
      </c>
      <c r="AD41">
        <v>63</v>
      </c>
      <c r="AE41">
        <v>2399</v>
      </c>
      <c r="AF41">
        <v>431</v>
      </c>
      <c r="AH41" t="s">
        <v>8</v>
      </c>
      <c r="AI41">
        <v>4300</v>
      </c>
      <c r="AJ41">
        <v>384.07534883720001</v>
      </c>
      <c r="AK41">
        <v>4219</v>
      </c>
      <c r="AL41">
        <v>1706</v>
      </c>
      <c r="AM41">
        <v>5912</v>
      </c>
      <c r="AN41">
        <v>3928</v>
      </c>
      <c r="AO41">
        <v>1452</v>
      </c>
      <c r="AP41">
        <v>824</v>
      </c>
      <c r="AQ41">
        <v>1922</v>
      </c>
      <c r="AR41">
        <v>1185</v>
      </c>
      <c r="AS41">
        <v>419</v>
      </c>
      <c r="AT41">
        <v>133</v>
      </c>
      <c r="AV41" t="s">
        <v>63</v>
      </c>
      <c r="AW41">
        <v>1213</v>
      </c>
      <c r="AX41">
        <v>101.449299258</v>
      </c>
      <c r="AY41">
        <v>2302</v>
      </c>
      <c r="AZ41">
        <v>473</v>
      </c>
      <c r="BA41">
        <v>1734</v>
      </c>
      <c r="BB41">
        <v>597</v>
      </c>
      <c r="BC41">
        <v>41</v>
      </c>
      <c r="BD41">
        <v>40</v>
      </c>
      <c r="BE41">
        <v>77</v>
      </c>
      <c r="BF41">
        <v>26</v>
      </c>
      <c r="BG41">
        <v>187</v>
      </c>
      <c r="BH41">
        <v>390</v>
      </c>
      <c r="BJ41" t="s">
        <v>627</v>
      </c>
      <c r="BK41" t="s">
        <v>369</v>
      </c>
      <c r="BL41">
        <v>1260</v>
      </c>
      <c r="BM41">
        <v>151</v>
      </c>
      <c r="BN41">
        <v>72.299206349200006</v>
      </c>
      <c r="BO41">
        <v>1144</v>
      </c>
      <c r="BP41">
        <v>303</v>
      </c>
      <c r="BQ41">
        <v>106.5314685315</v>
      </c>
      <c r="BR41">
        <v>104.8415841584</v>
      </c>
      <c r="BS41">
        <v>5724</v>
      </c>
      <c r="BT41">
        <v>1102</v>
      </c>
      <c r="BU41">
        <v>95.329315164199997</v>
      </c>
      <c r="BV41">
        <v>4209</v>
      </c>
      <c r="BW41">
        <v>1166</v>
      </c>
      <c r="BX41">
        <v>132.43905915889999</v>
      </c>
      <c r="BY41">
        <v>139.76843910810001</v>
      </c>
      <c r="CA41" t="s">
        <v>372</v>
      </c>
      <c r="CB41" t="s">
        <v>856</v>
      </c>
      <c r="CC41" t="s">
        <v>990</v>
      </c>
      <c r="CD41">
        <v>891</v>
      </c>
      <c r="CE41">
        <v>172</v>
      </c>
      <c r="CF41">
        <v>90.406285073000006</v>
      </c>
      <c r="CG41">
        <v>741</v>
      </c>
      <c r="CH41">
        <v>225</v>
      </c>
      <c r="CI41">
        <v>113.49122807019999</v>
      </c>
      <c r="CJ41">
        <v>117.29777777779999</v>
      </c>
      <c r="CL41" t="s">
        <v>372</v>
      </c>
      <c r="CM41" t="s">
        <v>825</v>
      </c>
      <c r="CN41" t="s">
        <v>836</v>
      </c>
      <c r="CO41">
        <v>107</v>
      </c>
      <c r="CP41">
        <v>15</v>
      </c>
      <c r="CQ41">
        <v>69.467289719600004</v>
      </c>
      <c r="CR41">
        <v>123</v>
      </c>
      <c r="CS41">
        <v>36</v>
      </c>
      <c r="CT41">
        <v>90.186991869899998</v>
      </c>
      <c r="CU41">
        <v>104.80555555559999</v>
      </c>
      <c r="CW41" t="s">
        <v>372</v>
      </c>
      <c r="CX41" t="s">
        <v>841</v>
      </c>
      <c r="CY41" t="s">
        <v>852</v>
      </c>
      <c r="CZ41">
        <v>10</v>
      </c>
      <c r="DA41">
        <v>2</v>
      </c>
      <c r="DB41">
        <v>95.3</v>
      </c>
      <c r="DC41">
        <v>7</v>
      </c>
      <c r="DD41">
        <v>4</v>
      </c>
      <c r="DE41">
        <v>158.1428571429</v>
      </c>
      <c r="DF41">
        <v>146.75</v>
      </c>
      <c r="DH41" t="s">
        <v>372</v>
      </c>
      <c r="DI41" t="s">
        <v>809</v>
      </c>
      <c r="DJ41" t="s">
        <v>820</v>
      </c>
      <c r="DK41">
        <v>9</v>
      </c>
      <c r="DL41">
        <v>1</v>
      </c>
      <c r="DM41">
        <v>94.777777777799997</v>
      </c>
      <c r="DN41">
        <v>8</v>
      </c>
      <c r="DO41">
        <v>2</v>
      </c>
      <c r="DP41">
        <v>111.5</v>
      </c>
      <c r="DQ41">
        <v>93.5</v>
      </c>
    </row>
    <row r="42" spans="2:121" x14ac:dyDescent="0.2">
      <c r="B42" t="s">
        <v>108</v>
      </c>
      <c r="C42">
        <v>7158</v>
      </c>
      <c r="D42">
        <v>5677</v>
      </c>
      <c r="F42" t="s">
        <v>69</v>
      </c>
      <c r="G42">
        <v>7605</v>
      </c>
      <c r="H42">
        <v>421.7483234714</v>
      </c>
      <c r="I42">
        <v>4517</v>
      </c>
      <c r="J42">
        <v>1200</v>
      </c>
      <c r="K42">
        <v>9280</v>
      </c>
      <c r="L42">
        <v>7016</v>
      </c>
      <c r="M42">
        <v>3433</v>
      </c>
      <c r="N42">
        <v>2851</v>
      </c>
      <c r="O42">
        <v>1889</v>
      </c>
      <c r="P42">
        <v>1009</v>
      </c>
      <c r="Q42">
        <v>0</v>
      </c>
      <c r="R42">
        <v>72</v>
      </c>
      <c r="T42" t="s">
        <v>404</v>
      </c>
      <c r="U42">
        <v>1247</v>
      </c>
      <c r="V42">
        <v>45.3360064154</v>
      </c>
      <c r="W42">
        <v>3661</v>
      </c>
      <c r="X42">
        <v>153</v>
      </c>
      <c r="Y42">
        <v>1939</v>
      </c>
      <c r="Z42">
        <v>103</v>
      </c>
      <c r="AA42">
        <v>17</v>
      </c>
      <c r="AB42">
        <v>14</v>
      </c>
      <c r="AC42">
        <v>133</v>
      </c>
      <c r="AD42">
        <v>49</v>
      </c>
      <c r="AE42">
        <v>2547</v>
      </c>
      <c r="AF42">
        <v>425</v>
      </c>
      <c r="AH42" t="s">
        <v>375</v>
      </c>
      <c r="AI42">
        <v>8207</v>
      </c>
      <c r="AJ42">
        <v>436.40696966000002</v>
      </c>
      <c r="AK42">
        <v>9350</v>
      </c>
      <c r="AL42">
        <v>2470</v>
      </c>
      <c r="AM42">
        <v>12496</v>
      </c>
      <c r="AN42">
        <v>8762</v>
      </c>
      <c r="AO42">
        <v>2113</v>
      </c>
      <c r="AP42">
        <v>1324</v>
      </c>
      <c r="AQ42">
        <v>6677</v>
      </c>
      <c r="AR42">
        <v>5082</v>
      </c>
      <c r="AS42">
        <v>1398</v>
      </c>
      <c r="AT42">
        <v>10</v>
      </c>
      <c r="AV42" t="s">
        <v>416</v>
      </c>
      <c r="AW42">
        <v>146</v>
      </c>
      <c r="AX42">
        <v>100.93150684930001</v>
      </c>
      <c r="AY42">
        <v>147</v>
      </c>
      <c r="AZ42">
        <v>39</v>
      </c>
      <c r="BA42">
        <v>187</v>
      </c>
      <c r="BB42">
        <v>65</v>
      </c>
      <c r="BC42">
        <v>4</v>
      </c>
      <c r="BD42">
        <v>4</v>
      </c>
      <c r="BE42">
        <v>10</v>
      </c>
      <c r="BF42">
        <v>2</v>
      </c>
      <c r="BG42">
        <v>28</v>
      </c>
      <c r="BH42">
        <v>33</v>
      </c>
      <c r="BJ42" t="s">
        <v>629</v>
      </c>
      <c r="BK42" t="s">
        <v>369</v>
      </c>
      <c r="BL42">
        <v>614</v>
      </c>
      <c r="BM42">
        <v>155</v>
      </c>
      <c r="BN42">
        <v>95.249185667800006</v>
      </c>
      <c r="BO42">
        <v>222</v>
      </c>
      <c r="BP42">
        <v>100</v>
      </c>
      <c r="BQ42">
        <v>137.027027027</v>
      </c>
      <c r="BR42">
        <v>147.72999999999999</v>
      </c>
      <c r="BS42">
        <v>703</v>
      </c>
      <c r="BT42">
        <v>260</v>
      </c>
      <c r="BU42">
        <v>117.8421052632</v>
      </c>
      <c r="BV42">
        <v>410</v>
      </c>
      <c r="BW42">
        <v>137</v>
      </c>
      <c r="BX42">
        <v>168.21951219510001</v>
      </c>
      <c r="BY42">
        <v>170.2189781022</v>
      </c>
      <c r="CA42" t="s">
        <v>417</v>
      </c>
      <c r="CB42" t="s">
        <v>856</v>
      </c>
      <c r="CC42" t="s">
        <v>991</v>
      </c>
      <c r="CD42">
        <v>553</v>
      </c>
      <c r="CE42">
        <v>133</v>
      </c>
      <c r="CF42">
        <v>93.757685352600006</v>
      </c>
      <c r="CG42">
        <v>260</v>
      </c>
      <c r="CH42">
        <v>105</v>
      </c>
      <c r="CI42">
        <v>135.4</v>
      </c>
      <c r="CJ42">
        <v>142.8571428571</v>
      </c>
      <c r="CL42" t="s">
        <v>417</v>
      </c>
      <c r="CM42" t="s">
        <v>825</v>
      </c>
      <c r="CN42" t="s">
        <v>837</v>
      </c>
      <c r="CO42">
        <v>47</v>
      </c>
      <c r="CP42">
        <v>3</v>
      </c>
      <c r="CQ42">
        <v>62.340425531900003</v>
      </c>
      <c r="CR42">
        <v>26</v>
      </c>
      <c r="CS42">
        <v>6</v>
      </c>
      <c r="CT42">
        <v>93.384615384599996</v>
      </c>
      <c r="CU42">
        <v>101.6666666667</v>
      </c>
      <c r="CW42" t="s">
        <v>417</v>
      </c>
      <c r="CX42" t="s">
        <v>841</v>
      </c>
      <c r="CY42" t="s">
        <v>853</v>
      </c>
      <c r="CZ42">
        <v>4</v>
      </c>
      <c r="DA42">
        <v>1</v>
      </c>
      <c r="DB42">
        <v>112.5</v>
      </c>
      <c r="DC42">
        <v>3</v>
      </c>
      <c r="DD42">
        <v>1</v>
      </c>
      <c r="DE42">
        <v>108</v>
      </c>
      <c r="DF42">
        <v>132</v>
      </c>
      <c r="DH42" t="s">
        <v>417</v>
      </c>
      <c r="DI42" t="s">
        <v>809</v>
      </c>
      <c r="DJ42" t="s">
        <v>821</v>
      </c>
      <c r="DK42">
        <v>4</v>
      </c>
      <c r="DL42">
        <v>1</v>
      </c>
      <c r="DM42">
        <v>87.75</v>
      </c>
      <c r="DN42">
        <v>5</v>
      </c>
      <c r="DO42">
        <v>1</v>
      </c>
      <c r="DP42">
        <v>93.2</v>
      </c>
      <c r="DQ42">
        <v>129</v>
      </c>
    </row>
    <row r="43" spans="2:121" x14ac:dyDescent="0.2">
      <c r="B43" t="s">
        <v>116</v>
      </c>
      <c r="C43">
        <v>16465</v>
      </c>
      <c r="D43">
        <v>3918</v>
      </c>
      <c r="F43" t="s">
        <v>35</v>
      </c>
      <c r="G43">
        <v>1979</v>
      </c>
      <c r="H43">
        <v>451.22890348660002</v>
      </c>
      <c r="I43">
        <v>1126</v>
      </c>
      <c r="J43">
        <v>299</v>
      </c>
      <c r="K43">
        <v>2671</v>
      </c>
      <c r="L43">
        <v>1894</v>
      </c>
      <c r="M43">
        <v>2221</v>
      </c>
      <c r="N43">
        <v>1921</v>
      </c>
      <c r="O43">
        <v>459</v>
      </c>
      <c r="P43">
        <v>179</v>
      </c>
      <c r="Q43">
        <v>0</v>
      </c>
      <c r="R43">
        <v>2</v>
      </c>
      <c r="AH43" t="s">
        <v>427</v>
      </c>
      <c r="AI43">
        <v>2777</v>
      </c>
      <c r="AJ43">
        <v>372.97191213539998</v>
      </c>
      <c r="AK43">
        <v>3554</v>
      </c>
      <c r="AL43">
        <v>882</v>
      </c>
      <c r="AM43">
        <v>5257</v>
      </c>
      <c r="AN43">
        <v>3410</v>
      </c>
      <c r="AO43">
        <v>938</v>
      </c>
      <c r="AP43">
        <v>715</v>
      </c>
      <c r="AQ43">
        <v>1542</v>
      </c>
      <c r="AR43">
        <v>1019</v>
      </c>
      <c r="AS43">
        <v>346</v>
      </c>
      <c r="AT43">
        <v>2</v>
      </c>
      <c r="AV43" t="s">
        <v>411</v>
      </c>
      <c r="AW43">
        <v>147</v>
      </c>
      <c r="AX43">
        <v>52.857142857100001</v>
      </c>
      <c r="AY43">
        <v>273</v>
      </c>
      <c r="AZ43">
        <v>27</v>
      </c>
      <c r="BA43">
        <v>250</v>
      </c>
      <c r="BB43">
        <v>19</v>
      </c>
      <c r="BC43">
        <v>5</v>
      </c>
      <c r="BD43">
        <v>4</v>
      </c>
      <c r="BE43">
        <v>18</v>
      </c>
      <c r="BF43">
        <v>3</v>
      </c>
      <c r="BG43">
        <v>68</v>
      </c>
      <c r="BH43">
        <v>28</v>
      </c>
      <c r="BJ43" t="s">
        <v>643</v>
      </c>
      <c r="BK43" t="s">
        <v>369</v>
      </c>
      <c r="BL43">
        <v>698</v>
      </c>
      <c r="BM43">
        <v>227</v>
      </c>
      <c r="BN43">
        <v>112.4957020057</v>
      </c>
      <c r="BO43">
        <v>590</v>
      </c>
      <c r="BP43">
        <v>174</v>
      </c>
      <c r="BQ43">
        <v>140.2491525424</v>
      </c>
      <c r="BR43">
        <v>144.45977011490001</v>
      </c>
      <c r="BS43">
        <v>474</v>
      </c>
      <c r="BT43">
        <v>99</v>
      </c>
      <c r="BU43">
        <v>83.407172995799996</v>
      </c>
      <c r="BV43">
        <v>269</v>
      </c>
      <c r="BW43">
        <v>63</v>
      </c>
      <c r="BX43">
        <v>115.4014869888</v>
      </c>
      <c r="BY43">
        <v>123.619047619</v>
      </c>
      <c r="CA43" t="s">
        <v>378</v>
      </c>
      <c r="CB43" t="s">
        <v>856</v>
      </c>
      <c r="CC43" t="s">
        <v>992</v>
      </c>
      <c r="CD43">
        <v>10788</v>
      </c>
      <c r="CE43">
        <v>2091</v>
      </c>
      <c r="CF43">
        <v>90.730348535399997</v>
      </c>
      <c r="CG43">
        <v>7664</v>
      </c>
      <c r="CH43">
        <v>2176</v>
      </c>
      <c r="CI43">
        <v>141.2623956159</v>
      </c>
      <c r="CJ43">
        <v>145.8147977941</v>
      </c>
      <c r="CL43" t="s">
        <v>378</v>
      </c>
      <c r="CM43" t="s">
        <v>825</v>
      </c>
      <c r="CN43" t="s">
        <v>838</v>
      </c>
      <c r="CO43">
        <v>755</v>
      </c>
      <c r="CP43">
        <v>88</v>
      </c>
      <c r="CQ43">
        <v>72.275496688700002</v>
      </c>
      <c r="CR43">
        <v>744</v>
      </c>
      <c r="CS43">
        <v>219</v>
      </c>
      <c r="CT43">
        <v>89.879032258099997</v>
      </c>
      <c r="CU43">
        <v>89.013698630099995</v>
      </c>
      <c r="CW43" t="s">
        <v>378</v>
      </c>
      <c r="CX43" t="s">
        <v>841</v>
      </c>
      <c r="CY43" t="s">
        <v>854</v>
      </c>
      <c r="CZ43">
        <v>693</v>
      </c>
      <c r="DA43">
        <v>142</v>
      </c>
      <c r="DB43">
        <v>90.865800865799997</v>
      </c>
      <c r="DC43">
        <v>269</v>
      </c>
      <c r="DD43">
        <v>95</v>
      </c>
      <c r="DE43">
        <v>165.2118959108</v>
      </c>
      <c r="DF43">
        <v>170.8842105263</v>
      </c>
      <c r="DH43" t="s">
        <v>378</v>
      </c>
      <c r="DI43" t="s">
        <v>809</v>
      </c>
      <c r="DJ43" t="s">
        <v>822</v>
      </c>
      <c r="DK43">
        <v>1209</v>
      </c>
      <c r="DL43">
        <v>254</v>
      </c>
      <c r="DM43">
        <v>95.717948717900001</v>
      </c>
      <c r="DN43">
        <v>415</v>
      </c>
      <c r="DO43">
        <v>157</v>
      </c>
      <c r="DP43">
        <v>149.55903614459999</v>
      </c>
      <c r="DQ43">
        <v>151.71337579620001</v>
      </c>
    </row>
    <row r="44" spans="2:121" x14ac:dyDescent="0.2">
      <c r="B44" t="s">
        <v>115</v>
      </c>
      <c r="C44">
        <v>8573</v>
      </c>
      <c r="D44">
        <v>438</v>
      </c>
      <c r="F44" t="s">
        <v>78</v>
      </c>
      <c r="G44">
        <v>4842</v>
      </c>
      <c r="H44">
        <v>260.76311441550001</v>
      </c>
      <c r="I44">
        <v>5969</v>
      </c>
      <c r="J44">
        <v>897</v>
      </c>
      <c r="K44">
        <v>6783</v>
      </c>
      <c r="L44">
        <v>4375</v>
      </c>
      <c r="M44">
        <v>2604</v>
      </c>
      <c r="N44">
        <v>2036</v>
      </c>
      <c r="O44">
        <v>5640</v>
      </c>
      <c r="P44">
        <v>4760</v>
      </c>
      <c r="Q44">
        <v>0</v>
      </c>
      <c r="R44">
        <v>64</v>
      </c>
      <c r="AH44" t="s">
        <v>372</v>
      </c>
      <c r="AI44">
        <v>421</v>
      </c>
      <c r="AJ44">
        <v>236.36104513059999</v>
      </c>
      <c r="AK44">
        <v>888</v>
      </c>
      <c r="AL44">
        <v>178</v>
      </c>
      <c r="AM44">
        <v>783</v>
      </c>
      <c r="AN44">
        <v>377</v>
      </c>
      <c r="AO44">
        <v>321</v>
      </c>
      <c r="AP44">
        <v>218</v>
      </c>
      <c r="AQ44">
        <v>192</v>
      </c>
      <c r="AR44">
        <v>96</v>
      </c>
      <c r="AS44">
        <v>206</v>
      </c>
      <c r="AT44">
        <v>3</v>
      </c>
      <c r="AV44" t="s">
        <v>394</v>
      </c>
      <c r="AW44">
        <v>302</v>
      </c>
      <c r="AX44">
        <v>62.731788079499999</v>
      </c>
      <c r="AY44">
        <v>876</v>
      </c>
      <c r="AZ44">
        <v>87</v>
      </c>
      <c r="BA44">
        <v>472</v>
      </c>
      <c r="BB44">
        <v>31</v>
      </c>
      <c r="BC44">
        <v>1</v>
      </c>
      <c r="BD44">
        <v>1</v>
      </c>
      <c r="BE44">
        <v>50</v>
      </c>
      <c r="BF44">
        <v>16</v>
      </c>
      <c r="BG44">
        <v>89</v>
      </c>
      <c r="BH44">
        <v>123</v>
      </c>
      <c r="BJ44" t="s">
        <v>543</v>
      </c>
      <c r="BK44" t="s">
        <v>369</v>
      </c>
      <c r="BL44">
        <v>16821</v>
      </c>
      <c r="BM44">
        <v>4222</v>
      </c>
      <c r="BN44">
        <v>100.88496522200001</v>
      </c>
      <c r="BO44">
        <v>12383</v>
      </c>
      <c r="BP44">
        <v>3718</v>
      </c>
      <c r="BQ44">
        <v>149.73996608249999</v>
      </c>
      <c r="BR44">
        <v>146.912049489</v>
      </c>
      <c r="BS44">
        <v>10898</v>
      </c>
      <c r="BT44">
        <v>2128</v>
      </c>
      <c r="BU44">
        <v>85.962745457899999</v>
      </c>
      <c r="BV44">
        <v>7810</v>
      </c>
      <c r="BW44">
        <v>2329</v>
      </c>
      <c r="BX44">
        <v>143.01177976950001</v>
      </c>
      <c r="BY44">
        <v>138.16831258049999</v>
      </c>
      <c r="CA44" t="s">
        <v>379</v>
      </c>
      <c r="CB44" t="s">
        <v>856</v>
      </c>
      <c r="CC44" t="s">
        <v>993</v>
      </c>
      <c r="CD44">
        <v>2456</v>
      </c>
      <c r="CE44">
        <v>384</v>
      </c>
      <c r="CF44">
        <v>87.131921824100004</v>
      </c>
      <c r="CG44">
        <v>2036</v>
      </c>
      <c r="CH44">
        <v>606</v>
      </c>
      <c r="CI44">
        <v>120.3998035363</v>
      </c>
      <c r="CJ44">
        <v>127.1716171617</v>
      </c>
      <c r="CL44" t="s">
        <v>379</v>
      </c>
      <c r="CM44" t="s">
        <v>825</v>
      </c>
      <c r="CN44" t="s">
        <v>839</v>
      </c>
      <c r="CO44">
        <v>250</v>
      </c>
      <c r="CP44">
        <v>31</v>
      </c>
      <c r="CQ44">
        <v>72.34</v>
      </c>
      <c r="CR44">
        <v>246</v>
      </c>
      <c r="CS44">
        <v>75</v>
      </c>
      <c r="CT44">
        <v>86.4715447154</v>
      </c>
      <c r="CU44">
        <v>96.613333333300005</v>
      </c>
      <c r="CW44" t="s">
        <v>379</v>
      </c>
      <c r="CX44" t="s">
        <v>841</v>
      </c>
      <c r="CY44" t="s">
        <v>855</v>
      </c>
      <c r="CZ44">
        <v>23</v>
      </c>
      <c r="DA44">
        <v>3</v>
      </c>
      <c r="DB44">
        <v>86.826086956500006</v>
      </c>
      <c r="DC44">
        <v>10</v>
      </c>
      <c r="DD44">
        <v>4</v>
      </c>
      <c r="DE44">
        <v>146.69999999999999</v>
      </c>
      <c r="DF44">
        <v>141</v>
      </c>
      <c r="DH44" t="s">
        <v>379</v>
      </c>
      <c r="DI44" t="s">
        <v>809</v>
      </c>
      <c r="DJ44" t="s">
        <v>823</v>
      </c>
      <c r="DK44">
        <v>28</v>
      </c>
      <c r="DL44">
        <v>10</v>
      </c>
      <c r="DM44">
        <v>112.25</v>
      </c>
      <c r="DN44">
        <v>13</v>
      </c>
      <c r="DO44">
        <v>6</v>
      </c>
      <c r="DP44">
        <v>120.4615384615</v>
      </c>
      <c r="DQ44">
        <v>109.1666666667</v>
      </c>
    </row>
    <row r="45" spans="2:121" x14ac:dyDescent="0.2">
      <c r="B45" t="s">
        <v>130</v>
      </c>
      <c r="C45">
        <v>62167</v>
      </c>
      <c r="D45">
        <v>56632</v>
      </c>
      <c r="F45" t="s">
        <v>66</v>
      </c>
      <c r="G45">
        <v>6109</v>
      </c>
      <c r="H45">
        <v>389.03814044849997</v>
      </c>
      <c r="I45">
        <v>11502</v>
      </c>
      <c r="J45">
        <v>2908</v>
      </c>
      <c r="K45">
        <v>9291</v>
      </c>
      <c r="L45">
        <v>6601</v>
      </c>
      <c r="M45">
        <v>1968</v>
      </c>
      <c r="N45">
        <v>963</v>
      </c>
      <c r="O45">
        <v>7524</v>
      </c>
      <c r="P45">
        <v>6433</v>
      </c>
      <c r="Q45">
        <v>12643</v>
      </c>
      <c r="R45">
        <v>0</v>
      </c>
      <c r="AH45" t="s">
        <v>383</v>
      </c>
      <c r="AI45">
        <v>10468</v>
      </c>
      <c r="AJ45">
        <v>352.60498662589998</v>
      </c>
      <c r="AK45">
        <v>9512</v>
      </c>
      <c r="AL45">
        <v>2646</v>
      </c>
      <c r="AM45">
        <v>14720</v>
      </c>
      <c r="AN45">
        <v>10574</v>
      </c>
      <c r="AO45">
        <v>3012</v>
      </c>
      <c r="AP45">
        <v>1912</v>
      </c>
      <c r="AQ45">
        <v>3433</v>
      </c>
      <c r="AR45">
        <v>1777</v>
      </c>
      <c r="AS45">
        <v>584</v>
      </c>
      <c r="AT45">
        <v>61</v>
      </c>
      <c r="AV45" t="s">
        <v>421</v>
      </c>
      <c r="AW45">
        <v>10</v>
      </c>
      <c r="AX45">
        <v>52.9</v>
      </c>
      <c r="AY45">
        <v>20</v>
      </c>
      <c r="BA45">
        <v>20</v>
      </c>
      <c r="BB45">
        <v>2</v>
      </c>
      <c r="BC45">
        <v>0</v>
      </c>
      <c r="BE45">
        <v>0</v>
      </c>
      <c r="BG45">
        <v>59</v>
      </c>
      <c r="BH45">
        <v>1</v>
      </c>
      <c r="BJ45" t="s">
        <v>8</v>
      </c>
      <c r="BK45" t="s">
        <v>8</v>
      </c>
      <c r="BL45">
        <v>194</v>
      </c>
      <c r="BM45">
        <v>154</v>
      </c>
      <c r="BN45">
        <v>219.46391752580001</v>
      </c>
      <c r="BO45">
        <v>337</v>
      </c>
      <c r="BP45">
        <v>71</v>
      </c>
      <c r="BQ45">
        <v>201.1721068249</v>
      </c>
      <c r="BR45">
        <v>203.87323943659999</v>
      </c>
      <c r="BS45">
        <v>362</v>
      </c>
      <c r="BT45">
        <v>26</v>
      </c>
      <c r="BU45">
        <v>57.787292817699999</v>
      </c>
      <c r="BV45">
        <v>463</v>
      </c>
      <c r="BW45">
        <v>273</v>
      </c>
      <c r="BX45">
        <v>148.05399568030001</v>
      </c>
      <c r="BY45">
        <v>155.96703296699999</v>
      </c>
      <c r="CA45" t="s">
        <v>369</v>
      </c>
      <c r="CB45" t="s">
        <v>856</v>
      </c>
      <c r="CD45">
        <v>67507</v>
      </c>
      <c r="CE45">
        <v>15094</v>
      </c>
      <c r="CF45">
        <v>96.503947738799994</v>
      </c>
      <c r="CG45">
        <v>51718</v>
      </c>
      <c r="CH45">
        <v>15113</v>
      </c>
      <c r="CI45">
        <v>138.050137283</v>
      </c>
      <c r="CJ45">
        <v>137.95553496989999</v>
      </c>
      <c r="CL45" t="s">
        <v>369</v>
      </c>
      <c r="CM45" t="s">
        <v>825</v>
      </c>
      <c r="CO45">
        <v>7085</v>
      </c>
      <c r="CP45">
        <v>709</v>
      </c>
      <c r="CQ45">
        <v>69.955681016200003</v>
      </c>
      <c r="CR45">
        <v>6660</v>
      </c>
      <c r="CS45">
        <v>2087</v>
      </c>
      <c r="CT45">
        <v>82.659009009000002</v>
      </c>
      <c r="CU45">
        <v>85.386679444199999</v>
      </c>
      <c r="CW45" t="s">
        <v>369</v>
      </c>
      <c r="CX45" t="s">
        <v>841</v>
      </c>
      <c r="CZ45">
        <v>2467</v>
      </c>
      <c r="DA45">
        <v>501</v>
      </c>
      <c r="DB45">
        <v>89.107823267100002</v>
      </c>
      <c r="DC45">
        <v>1020</v>
      </c>
      <c r="DD45">
        <v>353</v>
      </c>
      <c r="DE45">
        <v>145.75882352939999</v>
      </c>
      <c r="DF45">
        <v>151.94900849859999</v>
      </c>
      <c r="DH45" t="s">
        <v>369</v>
      </c>
      <c r="DI45" t="s">
        <v>809</v>
      </c>
      <c r="DK45">
        <v>3423</v>
      </c>
      <c r="DL45">
        <v>664</v>
      </c>
      <c r="DM45">
        <v>90.902132632199994</v>
      </c>
      <c r="DN45">
        <v>1348</v>
      </c>
      <c r="DO45">
        <v>488</v>
      </c>
      <c r="DP45">
        <v>142.07715133529999</v>
      </c>
      <c r="DQ45">
        <v>144.79508196719999</v>
      </c>
    </row>
    <row r="46" spans="2:121" x14ac:dyDescent="0.2">
      <c r="B46" t="s">
        <v>129</v>
      </c>
      <c r="C46">
        <v>9862</v>
      </c>
      <c r="D46">
        <v>7255</v>
      </c>
      <c r="F46" t="s">
        <v>84</v>
      </c>
      <c r="G46">
        <v>1679</v>
      </c>
      <c r="H46">
        <v>172.8582489577</v>
      </c>
      <c r="I46">
        <v>2854</v>
      </c>
      <c r="J46">
        <v>501</v>
      </c>
      <c r="K46">
        <v>2427</v>
      </c>
      <c r="L46">
        <v>1159</v>
      </c>
      <c r="M46">
        <v>1113</v>
      </c>
      <c r="N46">
        <v>437</v>
      </c>
      <c r="O46">
        <v>290</v>
      </c>
      <c r="P46">
        <v>98</v>
      </c>
      <c r="Q46">
        <v>0</v>
      </c>
      <c r="R46">
        <v>8</v>
      </c>
      <c r="AH46" t="s">
        <v>420</v>
      </c>
      <c r="AI46">
        <v>402</v>
      </c>
      <c r="AJ46">
        <v>247.092039801</v>
      </c>
      <c r="AK46">
        <v>824</v>
      </c>
      <c r="AL46">
        <v>155</v>
      </c>
      <c r="AM46">
        <v>850</v>
      </c>
      <c r="AN46">
        <v>328</v>
      </c>
      <c r="AO46">
        <v>358</v>
      </c>
      <c r="AP46">
        <v>172</v>
      </c>
      <c r="AQ46">
        <v>141</v>
      </c>
      <c r="AR46">
        <v>72</v>
      </c>
      <c r="AS46">
        <v>1</v>
      </c>
      <c r="AT46">
        <v>1</v>
      </c>
      <c r="AV46" t="s">
        <v>389</v>
      </c>
      <c r="AW46">
        <v>140</v>
      </c>
      <c r="AX46">
        <v>54.871428571400003</v>
      </c>
      <c r="AY46">
        <v>320</v>
      </c>
      <c r="AZ46">
        <v>28</v>
      </c>
      <c r="BA46">
        <v>235</v>
      </c>
      <c r="BB46">
        <v>23</v>
      </c>
      <c r="BC46">
        <v>3</v>
      </c>
      <c r="BD46">
        <v>3</v>
      </c>
      <c r="BE46">
        <v>40</v>
      </c>
      <c r="BF46">
        <v>6</v>
      </c>
      <c r="BG46">
        <v>78</v>
      </c>
      <c r="BH46">
        <v>23</v>
      </c>
      <c r="BJ46" t="s">
        <v>686</v>
      </c>
      <c r="BK46" t="s">
        <v>8</v>
      </c>
      <c r="BL46">
        <v>194</v>
      </c>
      <c r="BM46">
        <v>154</v>
      </c>
      <c r="BN46">
        <v>219.46391752580001</v>
      </c>
      <c r="BO46">
        <v>337</v>
      </c>
      <c r="BP46">
        <v>71</v>
      </c>
      <c r="BQ46">
        <v>201.1721068249</v>
      </c>
      <c r="BR46">
        <v>203.87323943659999</v>
      </c>
      <c r="BS46">
        <v>362</v>
      </c>
      <c r="BT46">
        <v>26</v>
      </c>
      <c r="BU46">
        <v>57.787292817699999</v>
      </c>
      <c r="BV46">
        <v>463</v>
      </c>
      <c r="BW46">
        <v>273</v>
      </c>
      <c r="BX46">
        <v>148.05399568030001</v>
      </c>
      <c r="BY46">
        <v>155.96703296699999</v>
      </c>
      <c r="CA46" t="s">
        <v>8</v>
      </c>
      <c r="CB46" t="s">
        <v>686</v>
      </c>
      <c r="CC46" t="s">
        <v>686</v>
      </c>
      <c r="CD46">
        <v>3511</v>
      </c>
      <c r="CE46">
        <v>1295</v>
      </c>
      <c r="CF46">
        <v>128.9749359157</v>
      </c>
      <c r="CG46">
        <v>2204</v>
      </c>
      <c r="CH46">
        <v>654</v>
      </c>
      <c r="CI46">
        <v>184.51769509979999</v>
      </c>
      <c r="CJ46">
        <v>183.7324159021</v>
      </c>
      <c r="CL46" t="s">
        <v>8</v>
      </c>
      <c r="CM46" t="s">
        <v>858</v>
      </c>
      <c r="CN46" t="s">
        <v>858</v>
      </c>
      <c r="CO46">
        <v>185</v>
      </c>
      <c r="CP46">
        <v>22</v>
      </c>
      <c r="CQ46">
        <v>73.302702702700003</v>
      </c>
      <c r="CR46">
        <v>224</v>
      </c>
      <c r="CS46">
        <v>70</v>
      </c>
      <c r="CT46">
        <v>86.9375</v>
      </c>
      <c r="CU46">
        <v>78.214285714300004</v>
      </c>
      <c r="CW46" t="s">
        <v>8</v>
      </c>
      <c r="CX46" t="s">
        <v>859</v>
      </c>
      <c r="CY46" t="s">
        <v>859</v>
      </c>
      <c r="CZ46">
        <v>31</v>
      </c>
      <c r="DA46">
        <v>10</v>
      </c>
      <c r="DB46">
        <v>102.32258064520001</v>
      </c>
      <c r="DC46">
        <v>10</v>
      </c>
      <c r="DD46">
        <v>1</v>
      </c>
      <c r="DE46">
        <v>133.9</v>
      </c>
      <c r="DF46">
        <v>111</v>
      </c>
      <c r="DH46" t="s">
        <v>8</v>
      </c>
      <c r="DI46" t="s">
        <v>857</v>
      </c>
      <c r="DJ46" t="s">
        <v>857</v>
      </c>
      <c r="DK46">
        <v>72</v>
      </c>
      <c r="DL46">
        <v>12</v>
      </c>
      <c r="DM46">
        <v>72.888888888899999</v>
      </c>
      <c r="DN46">
        <v>35</v>
      </c>
      <c r="DO46">
        <v>13</v>
      </c>
      <c r="DP46">
        <v>108.4857142857</v>
      </c>
      <c r="DQ46">
        <v>114.76923076920001</v>
      </c>
    </row>
    <row r="47" spans="2:121" x14ac:dyDescent="0.2">
      <c r="B47" t="s">
        <v>111</v>
      </c>
      <c r="C47">
        <v>543</v>
      </c>
      <c r="D47">
        <v>452</v>
      </c>
      <c r="F47" t="s">
        <v>81</v>
      </c>
      <c r="G47">
        <v>1473</v>
      </c>
      <c r="H47">
        <v>250.42566191450001</v>
      </c>
      <c r="I47">
        <v>1134</v>
      </c>
      <c r="J47">
        <v>151</v>
      </c>
      <c r="K47">
        <v>2185</v>
      </c>
      <c r="L47">
        <v>1325</v>
      </c>
      <c r="M47">
        <v>1351</v>
      </c>
      <c r="N47">
        <v>879</v>
      </c>
      <c r="O47">
        <v>821</v>
      </c>
      <c r="P47">
        <v>617</v>
      </c>
      <c r="Q47">
        <v>1</v>
      </c>
      <c r="R47">
        <v>0</v>
      </c>
      <c r="AH47" t="s">
        <v>384</v>
      </c>
      <c r="AI47">
        <v>6614</v>
      </c>
      <c r="AJ47">
        <v>291.66616268519999</v>
      </c>
      <c r="AK47">
        <v>9703</v>
      </c>
      <c r="AL47">
        <v>2131</v>
      </c>
      <c r="AM47">
        <v>11226</v>
      </c>
      <c r="AN47">
        <v>5753</v>
      </c>
      <c r="AO47">
        <v>3712</v>
      </c>
      <c r="AP47">
        <v>2555</v>
      </c>
      <c r="AQ47">
        <v>2516</v>
      </c>
      <c r="AR47">
        <v>1464</v>
      </c>
      <c r="AS47">
        <v>549</v>
      </c>
      <c r="AT47">
        <v>246</v>
      </c>
      <c r="AV47" t="s">
        <v>423</v>
      </c>
      <c r="AW47">
        <v>57</v>
      </c>
      <c r="AX47">
        <v>98.561403508799998</v>
      </c>
      <c r="AY47">
        <v>105</v>
      </c>
      <c r="AZ47">
        <v>15</v>
      </c>
      <c r="BA47">
        <v>84</v>
      </c>
      <c r="BB47">
        <v>31</v>
      </c>
      <c r="BC47">
        <v>5</v>
      </c>
      <c r="BD47">
        <v>4</v>
      </c>
      <c r="BE47">
        <v>11</v>
      </c>
      <c r="BF47">
        <v>4</v>
      </c>
      <c r="BG47">
        <v>14</v>
      </c>
      <c r="BH47">
        <v>31</v>
      </c>
      <c r="BJ47" t="s">
        <v>586</v>
      </c>
      <c r="BK47" t="s">
        <v>404</v>
      </c>
      <c r="BL47">
        <v>3163</v>
      </c>
      <c r="BM47">
        <v>566</v>
      </c>
      <c r="BN47">
        <v>93.595637053399997</v>
      </c>
      <c r="BO47">
        <v>2062</v>
      </c>
      <c r="BP47">
        <v>550</v>
      </c>
      <c r="BQ47">
        <v>146.8496605238</v>
      </c>
      <c r="BR47">
        <v>158.81272727269999</v>
      </c>
      <c r="BS47">
        <v>2483</v>
      </c>
      <c r="BT47">
        <v>434</v>
      </c>
      <c r="BU47">
        <v>91.046314941600002</v>
      </c>
      <c r="BV47">
        <v>1735</v>
      </c>
      <c r="BW47">
        <v>448</v>
      </c>
      <c r="BX47">
        <v>146.5331412104</v>
      </c>
      <c r="BY47">
        <v>161.35044642860001</v>
      </c>
      <c r="CA47" t="s">
        <v>8</v>
      </c>
      <c r="CB47" t="s">
        <v>686</v>
      </c>
      <c r="CC47" t="s">
        <v>686</v>
      </c>
      <c r="CD47">
        <v>3511</v>
      </c>
      <c r="CE47">
        <v>1295</v>
      </c>
      <c r="CF47">
        <v>128.9749359157</v>
      </c>
      <c r="CG47">
        <v>2204</v>
      </c>
      <c r="CH47">
        <v>654</v>
      </c>
      <c r="CI47">
        <v>184.51769509979999</v>
      </c>
      <c r="CJ47">
        <v>183.7324159021</v>
      </c>
      <c r="CL47" t="s">
        <v>8</v>
      </c>
      <c r="CM47" t="s">
        <v>858</v>
      </c>
      <c r="CN47" t="s">
        <v>858</v>
      </c>
      <c r="CO47">
        <v>185</v>
      </c>
      <c r="CP47">
        <v>22</v>
      </c>
      <c r="CQ47">
        <v>73.302702702700003</v>
      </c>
      <c r="CR47">
        <v>224</v>
      </c>
      <c r="CS47">
        <v>70</v>
      </c>
      <c r="CT47">
        <v>86.9375</v>
      </c>
      <c r="CU47">
        <v>78.214285714300004</v>
      </c>
      <c r="CW47" t="s">
        <v>8</v>
      </c>
      <c r="CX47" t="s">
        <v>859</v>
      </c>
      <c r="CY47" t="s">
        <v>859</v>
      </c>
      <c r="CZ47">
        <v>31</v>
      </c>
      <c r="DA47">
        <v>10</v>
      </c>
      <c r="DB47">
        <v>102.32258064520001</v>
      </c>
      <c r="DC47">
        <v>10</v>
      </c>
      <c r="DD47">
        <v>1</v>
      </c>
      <c r="DE47">
        <v>133.9</v>
      </c>
      <c r="DF47">
        <v>111</v>
      </c>
      <c r="DH47" t="s">
        <v>8</v>
      </c>
      <c r="DI47" t="s">
        <v>857</v>
      </c>
      <c r="DJ47" t="s">
        <v>857</v>
      </c>
      <c r="DK47">
        <v>72</v>
      </c>
      <c r="DL47">
        <v>12</v>
      </c>
      <c r="DM47">
        <v>72.888888888899999</v>
      </c>
      <c r="DN47">
        <v>35</v>
      </c>
      <c r="DO47">
        <v>13</v>
      </c>
      <c r="DP47">
        <v>108.4857142857</v>
      </c>
      <c r="DQ47">
        <v>114.76923076920001</v>
      </c>
    </row>
    <row r="48" spans="2:121" x14ac:dyDescent="0.2">
      <c r="B48" t="s">
        <v>21</v>
      </c>
      <c r="C48">
        <v>40251</v>
      </c>
      <c r="D48">
        <v>12019</v>
      </c>
      <c r="F48" t="s">
        <v>51</v>
      </c>
      <c r="G48">
        <v>8334</v>
      </c>
      <c r="H48">
        <v>526.19846412289996</v>
      </c>
      <c r="I48">
        <v>4821</v>
      </c>
      <c r="J48">
        <v>872</v>
      </c>
      <c r="K48">
        <v>12971</v>
      </c>
      <c r="L48">
        <v>8480</v>
      </c>
      <c r="M48">
        <v>1959</v>
      </c>
      <c r="N48">
        <v>1315</v>
      </c>
      <c r="O48">
        <v>1757</v>
      </c>
      <c r="P48">
        <v>1363</v>
      </c>
      <c r="Q48">
        <v>1</v>
      </c>
      <c r="R48">
        <v>195</v>
      </c>
      <c r="AH48" t="s">
        <v>410</v>
      </c>
      <c r="AI48">
        <v>30604</v>
      </c>
      <c r="AJ48">
        <v>356.20536531170001</v>
      </c>
      <c r="AK48">
        <v>35236</v>
      </c>
      <c r="AL48">
        <v>7592</v>
      </c>
      <c r="AM48">
        <v>41882</v>
      </c>
      <c r="AN48">
        <v>27058</v>
      </c>
      <c r="AO48">
        <v>10206</v>
      </c>
      <c r="AP48">
        <v>5350</v>
      </c>
      <c r="AQ48">
        <v>12035</v>
      </c>
      <c r="AR48">
        <v>6690</v>
      </c>
      <c r="AS48">
        <v>30</v>
      </c>
      <c r="AT48">
        <v>401</v>
      </c>
      <c r="AV48" t="s">
        <v>419</v>
      </c>
      <c r="AW48">
        <v>13</v>
      </c>
      <c r="AX48">
        <v>28.923076923099998</v>
      </c>
      <c r="AY48">
        <v>56</v>
      </c>
      <c r="AZ48">
        <v>2</v>
      </c>
      <c r="BA48">
        <v>21</v>
      </c>
      <c r="BC48">
        <v>0</v>
      </c>
      <c r="BE48">
        <v>1</v>
      </c>
      <c r="BG48">
        <v>57</v>
      </c>
      <c r="BH48">
        <v>3</v>
      </c>
      <c r="BJ48" t="s">
        <v>645</v>
      </c>
      <c r="BK48" t="s">
        <v>404</v>
      </c>
      <c r="BL48">
        <v>1239</v>
      </c>
      <c r="BM48">
        <v>305</v>
      </c>
      <c r="BN48">
        <v>95.451977401099995</v>
      </c>
      <c r="BO48">
        <v>496</v>
      </c>
      <c r="BP48">
        <v>201</v>
      </c>
      <c r="BQ48">
        <v>140.40322580649999</v>
      </c>
      <c r="BR48">
        <v>150.94029850749999</v>
      </c>
      <c r="BS48">
        <v>1206</v>
      </c>
      <c r="BT48">
        <v>279</v>
      </c>
      <c r="BU48">
        <v>94.297678275300001</v>
      </c>
      <c r="BV48">
        <v>517</v>
      </c>
      <c r="BW48">
        <v>166</v>
      </c>
      <c r="BX48">
        <v>145.52998065759999</v>
      </c>
      <c r="BY48">
        <v>155.41566265060001</v>
      </c>
      <c r="CA48" t="s">
        <v>8</v>
      </c>
      <c r="CB48" t="s">
        <v>686</v>
      </c>
      <c r="CC48" t="s">
        <v>686</v>
      </c>
      <c r="CD48">
        <v>3511</v>
      </c>
      <c r="CE48">
        <v>1295</v>
      </c>
      <c r="CF48">
        <v>128.9749359157</v>
      </c>
      <c r="CG48">
        <v>2204</v>
      </c>
      <c r="CH48">
        <v>654</v>
      </c>
      <c r="CI48">
        <v>184.51769509979999</v>
      </c>
      <c r="CJ48">
        <v>183.7324159021</v>
      </c>
      <c r="CL48" t="s">
        <v>8</v>
      </c>
      <c r="CM48" t="s">
        <v>858</v>
      </c>
      <c r="CN48" t="s">
        <v>858</v>
      </c>
      <c r="CO48">
        <v>185</v>
      </c>
      <c r="CP48">
        <v>22</v>
      </c>
      <c r="CQ48">
        <v>73.302702702700003</v>
      </c>
      <c r="CR48">
        <v>224</v>
      </c>
      <c r="CS48">
        <v>70</v>
      </c>
      <c r="CT48">
        <v>86.9375</v>
      </c>
      <c r="CU48">
        <v>78.214285714300004</v>
      </c>
      <c r="CW48" t="s">
        <v>8</v>
      </c>
      <c r="CX48" t="s">
        <v>859</v>
      </c>
      <c r="CY48" t="s">
        <v>859</v>
      </c>
      <c r="CZ48">
        <v>31</v>
      </c>
      <c r="DA48">
        <v>10</v>
      </c>
      <c r="DB48">
        <v>102.32258064520001</v>
      </c>
      <c r="DC48">
        <v>10</v>
      </c>
      <c r="DD48">
        <v>1</v>
      </c>
      <c r="DE48">
        <v>133.9</v>
      </c>
      <c r="DF48">
        <v>111</v>
      </c>
      <c r="DH48" t="s">
        <v>8</v>
      </c>
      <c r="DI48" t="s">
        <v>857</v>
      </c>
      <c r="DJ48" t="s">
        <v>857</v>
      </c>
      <c r="DK48">
        <v>72</v>
      </c>
      <c r="DL48">
        <v>12</v>
      </c>
      <c r="DM48">
        <v>72.888888888899999</v>
      </c>
      <c r="DN48">
        <v>35</v>
      </c>
      <c r="DO48">
        <v>13</v>
      </c>
      <c r="DP48">
        <v>108.4857142857</v>
      </c>
      <c r="DQ48">
        <v>114.76923076920001</v>
      </c>
    </row>
    <row r="49" spans="2:121" x14ac:dyDescent="0.2">
      <c r="B49" t="s">
        <v>105</v>
      </c>
      <c r="C49">
        <v>19951</v>
      </c>
      <c r="D49">
        <v>14703</v>
      </c>
      <c r="F49" t="s">
        <v>56</v>
      </c>
      <c r="G49">
        <v>7717</v>
      </c>
      <c r="H49">
        <v>502.76182454320002</v>
      </c>
      <c r="I49">
        <v>4118</v>
      </c>
      <c r="J49">
        <v>1096</v>
      </c>
      <c r="K49">
        <v>12329</v>
      </c>
      <c r="L49">
        <v>8097</v>
      </c>
      <c r="M49">
        <v>3726</v>
      </c>
      <c r="N49">
        <v>3182</v>
      </c>
      <c r="O49">
        <v>996</v>
      </c>
      <c r="P49">
        <v>405</v>
      </c>
      <c r="Q49">
        <v>70</v>
      </c>
      <c r="R49">
        <v>247</v>
      </c>
      <c r="AH49" t="s">
        <v>406</v>
      </c>
      <c r="AI49">
        <v>1968</v>
      </c>
      <c r="AJ49">
        <v>308.24491869920001</v>
      </c>
      <c r="AK49">
        <v>2203</v>
      </c>
      <c r="AL49">
        <v>495</v>
      </c>
      <c r="AM49">
        <v>2766</v>
      </c>
      <c r="AN49">
        <v>1705</v>
      </c>
      <c r="AO49">
        <v>692</v>
      </c>
      <c r="AP49">
        <v>372</v>
      </c>
      <c r="AQ49">
        <v>372</v>
      </c>
      <c r="AR49">
        <v>154</v>
      </c>
      <c r="AS49">
        <v>0</v>
      </c>
      <c r="AT49">
        <v>2</v>
      </c>
      <c r="AV49" t="s">
        <v>378</v>
      </c>
      <c r="AW49">
        <v>782</v>
      </c>
      <c r="AX49">
        <v>99.283887468000003</v>
      </c>
      <c r="AY49">
        <v>864</v>
      </c>
      <c r="AZ49">
        <v>188</v>
      </c>
      <c r="BA49">
        <v>1063</v>
      </c>
      <c r="BB49">
        <v>348</v>
      </c>
      <c r="BC49">
        <v>148</v>
      </c>
      <c r="BD49">
        <v>147</v>
      </c>
      <c r="BE49">
        <v>54</v>
      </c>
      <c r="BF49">
        <v>22</v>
      </c>
      <c r="BG49">
        <v>178</v>
      </c>
      <c r="BH49">
        <v>329</v>
      </c>
      <c r="BJ49" t="s">
        <v>601</v>
      </c>
      <c r="BK49" t="s">
        <v>404</v>
      </c>
      <c r="BL49">
        <v>1299</v>
      </c>
      <c r="BM49">
        <v>246</v>
      </c>
      <c r="BN49">
        <v>88.949191685900004</v>
      </c>
      <c r="BO49">
        <v>1243</v>
      </c>
      <c r="BP49">
        <v>308</v>
      </c>
      <c r="BQ49">
        <v>118.5792437651</v>
      </c>
      <c r="BR49">
        <v>113.9448051948</v>
      </c>
      <c r="BS49">
        <v>1420</v>
      </c>
      <c r="BT49">
        <v>373</v>
      </c>
      <c r="BU49">
        <v>98.818309859199999</v>
      </c>
      <c r="BV49">
        <v>1412</v>
      </c>
      <c r="BW49">
        <v>375</v>
      </c>
      <c r="BX49">
        <v>130.8930594901</v>
      </c>
      <c r="BY49">
        <v>131.40533333330001</v>
      </c>
      <c r="CA49" t="s">
        <v>8</v>
      </c>
      <c r="CB49" t="s">
        <v>686</v>
      </c>
      <c r="CD49">
        <v>3511</v>
      </c>
      <c r="CE49">
        <v>1295</v>
      </c>
      <c r="CF49">
        <v>128.9749359157</v>
      </c>
      <c r="CG49">
        <v>2204</v>
      </c>
      <c r="CH49">
        <v>654</v>
      </c>
      <c r="CI49">
        <v>184.51769509979999</v>
      </c>
      <c r="CJ49">
        <v>183.7324159021</v>
      </c>
      <c r="CL49" t="s">
        <v>8</v>
      </c>
      <c r="CM49" t="s">
        <v>858</v>
      </c>
      <c r="CO49">
        <v>185</v>
      </c>
      <c r="CP49">
        <v>22</v>
      </c>
      <c r="CQ49">
        <v>73.302702702700003</v>
      </c>
      <c r="CR49">
        <v>224</v>
      </c>
      <c r="CS49">
        <v>70</v>
      </c>
      <c r="CT49">
        <v>86.9375</v>
      </c>
      <c r="CU49">
        <v>78.214285714300004</v>
      </c>
      <c r="CW49" t="s">
        <v>8</v>
      </c>
      <c r="CX49" t="s">
        <v>859</v>
      </c>
      <c r="CZ49">
        <v>31</v>
      </c>
      <c r="DA49">
        <v>10</v>
      </c>
      <c r="DB49">
        <v>102.32258064520001</v>
      </c>
      <c r="DC49">
        <v>10</v>
      </c>
      <c r="DD49">
        <v>1</v>
      </c>
      <c r="DE49">
        <v>133.9</v>
      </c>
      <c r="DF49">
        <v>111</v>
      </c>
      <c r="DH49" t="s">
        <v>8</v>
      </c>
      <c r="DI49" t="s">
        <v>857</v>
      </c>
      <c r="DK49">
        <v>72</v>
      </c>
      <c r="DL49">
        <v>12</v>
      </c>
      <c r="DM49">
        <v>72.888888888899999</v>
      </c>
      <c r="DN49">
        <v>35</v>
      </c>
      <c r="DO49">
        <v>13</v>
      </c>
      <c r="DP49">
        <v>108.4857142857</v>
      </c>
      <c r="DQ49">
        <v>114.76923076920001</v>
      </c>
    </row>
    <row r="50" spans="2:121" x14ac:dyDescent="0.2">
      <c r="B50" t="s">
        <v>120</v>
      </c>
      <c r="C50">
        <v>4127</v>
      </c>
      <c r="D50">
        <v>928</v>
      </c>
      <c r="F50" t="s">
        <v>53</v>
      </c>
      <c r="G50">
        <v>2301</v>
      </c>
      <c r="H50">
        <v>162.8787483703</v>
      </c>
      <c r="I50">
        <v>2093</v>
      </c>
      <c r="J50">
        <v>248</v>
      </c>
      <c r="K50">
        <v>3772</v>
      </c>
      <c r="L50">
        <v>1494</v>
      </c>
      <c r="M50">
        <v>891</v>
      </c>
      <c r="N50">
        <v>581</v>
      </c>
      <c r="O50">
        <v>582</v>
      </c>
      <c r="P50">
        <v>215</v>
      </c>
      <c r="Q50">
        <v>2</v>
      </c>
      <c r="R50">
        <v>16</v>
      </c>
      <c r="AH50" t="s">
        <v>417</v>
      </c>
      <c r="AI50">
        <v>464</v>
      </c>
      <c r="AJ50">
        <v>369.15732758619998</v>
      </c>
      <c r="AK50">
        <v>509</v>
      </c>
      <c r="AL50">
        <v>112</v>
      </c>
      <c r="AM50">
        <v>973</v>
      </c>
      <c r="AN50">
        <v>508</v>
      </c>
      <c r="AO50">
        <v>210</v>
      </c>
      <c r="AP50">
        <v>146</v>
      </c>
      <c r="AQ50">
        <v>121</v>
      </c>
      <c r="AR50">
        <v>80</v>
      </c>
      <c r="AS50">
        <v>84</v>
      </c>
      <c r="AT50">
        <v>1</v>
      </c>
      <c r="AV50" t="s">
        <v>373</v>
      </c>
      <c r="AW50">
        <v>192</v>
      </c>
      <c r="AX50">
        <v>106.7083333333</v>
      </c>
      <c r="AY50">
        <v>396</v>
      </c>
      <c r="AZ50">
        <v>90</v>
      </c>
      <c r="BA50">
        <v>268</v>
      </c>
      <c r="BB50">
        <v>97</v>
      </c>
      <c r="BC50">
        <v>4</v>
      </c>
      <c r="BD50">
        <v>4</v>
      </c>
      <c r="BE50">
        <v>23</v>
      </c>
      <c r="BF50">
        <v>5</v>
      </c>
      <c r="BG50">
        <v>28</v>
      </c>
      <c r="BH50">
        <v>75</v>
      </c>
      <c r="BJ50" t="s">
        <v>641</v>
      </c>
      <c r="BK50" t="s">
        <v>404</v>
      </c>
      <c r="BL50">
        <v>1881</v>
      </c>
      <c r="BM50">
        <v>387</v>
      </c>
      <c r="BN50">
        <v>91.980329611900004</v>
      </c>
      <c r="BO50">
        <v>1894</v>
      </c>
      <c r="BP50">
        <v>602</v>
      </c>
      <c r="BQ50">
        <v>143.82629355860001</v>
      </c>
      <c r="BR50">
        <v>140.42524916939999</v>
      </c>
      <c r="BS50">
        <v>2089</v>
      </c>
      <c r="BT50">
        <v>245</v>
      </c>
      <c r="BU50">
        <v>77.007659167100002</v>
      </c>
      <c r="BV50">
        <v>1440</v>
      </c>
      <c r="BW50">
        <v>497</v>
      </c>
      <c r="BX50">
        <v>137.07708333330001</v>
      </c>
      <c r="BY50">
        <v>130.7002012072</v>
      </c>
      <c r="CA50" t="s">
        <v>424</v>
      </c>
      <c r="CB50" t="s">
        <v>890</v>
      </c>
      <c r="CC50" t="s">
        <v>1015</v>
      </c>
      <c r="CD50">
        <v>1226</v>
      </c>
      <c r="CE50">
        <v>286</v>
      </c>
      <c r="CF50">
        <v>92.257748776499994</v>
      </c>
      <c r="CG50">
        <v>711</v>
      </c>
      <c r="CH50">
        <v>238</v>
      </c>
      <c r="CI50">
        <v>102.89451476790001</v>
      </c>
      <c r="CJ50">
        <v>126.0840336134</v>
      </c>
      <c r="CL50" t="s">
        <v>424</v>
      </c>
      <c r="CM50" t="s">
        <v>871</v>
      </c>
      <c r="CN50" t="s">
        <v>870</v>
      </c>
      <c r="CO50">
        <v>29</v>
      </c>
      <c r="CP50">
        <v>5</v>
      </c>
      <c r="CQ50">
        <v>78.551724137899996</v>
      </c>
      <c r="CR50">
        <v>36</v>
      </c>
      <c r="CS50">
        <v>11</v>
      </c>
      <c r="CT50">
        <v>71.416666666699996</v>
      </c>
      <c r="CU50">
        <v>64.818181818200003</v>
      </c>
      <c r="CW50" t="s">
        <v>424</v>
      </c>
      <c r="CX50" t="s">
        <v>881</v>
      </c>
      <c r="CY50" t="s">
        <v>880</v>
      </c>
      <c r="CZ50">
        <v>23</v>
      </c>
      <c r="DA50">
        <v>3</v>
      </c>
      <c r="DB50">
        <v>70.565217391299996</v>
      </c>
      <c r="DC50">
        <v>9</v>
      </c>
      <c r="DD50">
        <v>3</v>
      </c>
      <c r="DE50">
        <v>114.1111111111</v>
      </c>
      <c r="DF50">
        <v>123.6666666667</v>
      </c>
      <c r="DH50" t="s">
        <v>424</v>
      </c>
      <c r="DI50" t="s">
        <v>861</v>
      </c>
      <c r="DJ50" t="s">
        <v>860</v>
      </c>
      <c r="DK50">
        <v>34</v>
      </c>
      <c r="DL50">
        <v>4</v>
      </c>
      <c r="DM50">
        <v>88</v>
      </c>
      <c r="DN50">
        <v>25</v>
      </c>
      <c r="DO50">
        <v>7</v>
      </c>
      <c r="DP50">
        <v>126.16</v>
      </c>
      <c r="DQ50">
        <v>133.42857142860001</v>
      </c>
    </row>
    <row r="51" spans="2:121" x14ac:dyDescent="0.2">
      <c r="B51" t="s">
        <v>104</v>
      </c>
      <c r="C51">
        <v>214154</v>
      </c>
      <c r="D51">
        <v>152302</v>
      </c>
      <c r="F51" t="s">
        <v>75</v>
      </c>
      <c r="G51">
        <v>2543</v>
      </c>
      <c r="H51">
        <v>385.94691309479998</v>
      </c>
      <c r="I51">
        <v>3501</v>
      </c>
      <c r="J51">
        <v>881</v>
      </c>
      <c r="K51">
        <v>3728</v>
      </c>
      <c r="L51">
        <v>2953</v>
      </c>
      <c r="M51">
        <v>860</v>
      </c>
      <c r="N51">
        <v>631</v>
      </c>
      <c r="O51">
        <v>1020</v>
      </c>
      <c r="P51">
        <v>733</v>
      </c>
      <c r="Q51">
        <v>0</v>
      </c>
      <c r="R51">
        <v>2</v>
      </c>
      <c r="AH51" t="s">
        <v>378</v>
      </c>
      <c r="AI51">
        <v>17457</v>
      </c>
      <c r="AJ51">
        <v>482.358423555</v>
      </c>
      <c r="AK51">
        <v>12826</v>
      </c>
      <c r="AL51">
        <v>2525</v>
      </c>
      <c r="AM51">
        <v>22018</v>
      </c>
      <c r="AN51">
        <v>15863</v>
      </c>
      <c r="AO51">
        <v>8672</v>
      </c>
      <c r="AP51">
        <v>6454</v>
      </c>
      <c r="AQ51">
        <v>7193</v>
      </c>
      <c r="AR51">
        <v>4944</v>
      </c>
      <c r="AS51">
        <v>910</v>
      </c>
      <c r="AT51">
        <v>19</v>
      </c>
      <c r="AV51" t="s">
        <v>406</v>
      </c>
      <c r="AW51">
        <v>61</v>
      </c>
      <c r="AX51">
        <v>41.852459016399997</v>
      </c>
      <c r="AY51">
        <v>173</v>
      </c>
      <c r="AZ51">
        <v>6</v>
      </c>
      <c r="BA51">
        <v>79</v>
      </c>
      <c r="BC51">
        <v>0</v>
      </c>
      <c r="BE51">
        <v>6</v>
      </c>
      <c r="BF51">
        <v>2</v>
      </c>
      <c r="BG51">
        <v>110</v>
      </c>
      <c r="BH51">
        <v>13</v>
      </c>
      <c r="BJ51" t="s">
        <v>593</v>
      </c>
      <c r="BK51" t="s">
        <v>404</v>
      </c>
      <c r="BL51">
        <v>8615</v>
      </c>
      <c r="BM51">
        <v>1854</v>
      </c>
      <c r="BN51">
        <v>93.451886244899995</v>
      </c>
      <c r="BO51">
        <v>7169</v>
      </c>
      <c r="BP51">
        <v>1987</v>
      </c>
      <c r="BQ51">
        <v>140.5119263496</v>
      </c>
      <c r="BR51">
        <v>134.95369904379999</v>
      </c>
      <c r="BS51">
        <v>7492</v>
      </c>
      <c r="BT51">
        <v>1126</v>
      </c>
      <c r="BU51">
        <v>77.813534436699996</v>
      </c>
      <c r="BV51">
        <v>5669</v>
      </c>
      <c r="BW51">
        <v>1639</v>
      </c>
      <c r="BX51">
        <v>117.6186276239</v>
      </c>
      <c r="BY51">
        <v>115.6534472239</v>
      </c>
      <c r="CA51" t="s">
        <v>426</v>
      </c>
      <c r="CB51" t="s">
        <v>890</v>
      </c>
      <c r="CC51" t="s">
        <v>1016</v>
      </c>
      <c r="CD51">
        <v>6391</v>
      </c>
      <c r="CE51">
        <v>1199</v>
      </c>
      <c r="CF51">
        <v>93.535753403200005</v>
      </c>
      <c r="CG51">
        <v>4541</v>
      </c>
      <c r="CH51">
        <v>1428</v>
      </c>
      <c r="CI51">
        <v>134.5696983043</v>
      </c>
      <c r="CJ51">
        <v>134.88935574230001</v>
      </c>
      <c r="CL51" t="s">
        <v>426</v>
      </c>
      <c r="CM51" t="s">
        <v>871</v>
      </c>
      <c r="CN51" t="s">
        <v>872</v>
      </c>
      <c r="CO51">
        <v>470</v>
      </c>
      <c r="CP51">
        <v>44</v>
      </c>
      <c r="CQ51">
        <v>60.712765957400002</v>
      </c>
      <c r="CR51">
        <v>823</v>
      </c>
      <c r="CS51">
        <v>228</v>
      </c>
      <c r="CT51">
        <v>65.738760631800005</v>
      </c>
      <c r="CU51">
        <v>66.482456140400004</v>
      </c>
      <c r="CW51" t="s">
        <v>426</v>
      </c>
      <c r="CX51" t="s">
        <v>881</v>
      </c>
      <c r="CY51" t="s">
        <v>882</v>
      </c>
      <c r="CZ51">
        <v>193</v>
      </c>
      <c r="DA51">
        <v>36</v>
      </c>
      <c r="DB51">
        <v>85.829015544000001</v>
      </c>
      <c r="DC51">
        <v>115</v>
      </c>
      <c r="DD51">
        <v>39</v>
      </c>
      <c r="DE51">
        <v>134.5826086957</v>
      </c>
      <c r="DF51">
        <v>133.5384615385</v>
      </c>
      <c r="DH51" t="s">
        <v>426</v>
      </c>
      <c r="DI51" t="s">
        <v>861</v>
      </c>
      <c r="DJ51" t="s">
        <v>862</v>
      </c>
      <c r="DK51">
        <v>126</v>
      </c>
      <c r="DL51">
        <v>22</v>
      </c>
      <c r="DM51">
        <v>89.150793650799997</v>
      </c>
      <c r="DN51">
        <v>92</v>
      </c>
      <c r="DO51">
        <v>33</v>
      </c>
      <c r="DP51">
        <v>129.0652173913</v>
      </c>
      <c r="DQ51">
        <v>131.0909090909</v>
      </c>
    </row>
    <row r="52" spans="2:121" x14ac:dyDescent="0.2">
      <c r="B52" t="s">
        <v>128</v>
      </c>
      <c r="C52">
        <v>28007</v>
      </c>
      <c r="D52">
        <v>5495</v>
      </c>
      <c r="F52" t="s">
        <v>79</v>
      </c>
      <c r="G52">
        <v>2432</v>
      </c>
      <c r="H52">
        <v>150.61883223679999</v>
      </c>
      <c r="I52">
        <v>9109</v>
      </c>
      <c r="J52">
        <v>1658</v>
      </c>
      <c r="K52">
        <v>11846</v>
      </c>
      <c r="L52">
        <v>3152</v>
      </c>
      <c r="M52">
        <v>1571</v>
      </c>
      <c r="N52">
        <v>360</v>
      </c>
      <c r="O52">
        <v>1292</v>
      </c>
      <c r="P52">
        <v>650</v>
      </c>
      <c r="Q52">
        <v>31</v>
      </c>
      <c r="R52">
        <v>0</v>
      </c>
      <c r="AH52" t="s">
        <v>83</v>
      </c>
      <c r="AI52">
        <v>12454</v>
      </c>
      <c r="AJ52">
        <v>395.36911835550001</v>
      </c>
      <c r="AK52">
        <v>6371</v>
      </c>
      <c r="AL52">
        <v>1162</v>
      </c>
      <c r="AM52">
        <v>18679</v>
      </c>
      <c r="AN52">
        <v>13476</v>
      </c>
      <c r="AO52">
        <v>4911</v>
      </c>
      <c r="AP52">
        <v>3388</v>
      </c>
      <c r="AQ52">
        <v>5961</v>
      </c>
      <c r="AR52">
        <v>3956</v>
      </c>
      <c r="AS52">
        <v>13</v>
      </c>
      <c r="AT52">
        <v>141</v>
      </c>
      <c r="AV52" t="s">
        <v>392</v>
      </c>
      <c r="AW52">
        <v>186</v>
      </c>
      <c r="AX52">
        <v>66.865591397800003</v>
      </c>
      <c r="AY52">
        <v>601</v>
      </c>
      <c r="AZ52">
        <v>76</v>
      </c>
      <c r="BA52">
        <v>344</v>
      </c>
      <c r="BB52">
        <v>28</v>
      </c>
      <c r="BC52">
        <v>3</v>
      </c>
      <c r="BD52">
        <v>3</v>
      </c>
      <c r="BE52">
        <v>36</v>
      </c>
      <c r="BF52">
        <v>16</v>
      </c>
      <c r="BG52">
        <v>58</v>
      </c>
      <c r="BH52">
        <v>67</v>
      </c>
      <c r="BJ52" t="s">
        <v>615</v>
      </c>
      <c r="BK52" t="s">
        <v>404</v>
      </c>
      <c r="BL52">
        <v>777</v>
      </c>
      <c r="BM52">
        <v>189</v>
      </c>
      <c r="BN52">
        <v>99.259974260000007</v>
      </c>
      <c r="BO52">
        <v>671</v>
      </c>
      <c r="BP52">
        <v>190</v>
      </c>
      <c r="BQ52">
        <v>138.69895678090001</v>
      </c>
      <c r="BR52">
        <v>134.30526315789999</v>
      </c>
      <c r="BS52">
        <v>1801</v>
      </c>
      <c r="BT52">
        <v>550</v>
      </c>
      <c r="BU52">
        <v>125.379233759</v>
      </c>
      <c r="BV52">
        <v>1387</v>
      </c>
      <c r="BW52">
        <v>402</v>
      </c>
      <c r="BX52">
        <v>189.9963950973</v>
      </c>
      <c r="BY52">
        <v>174.3731343284</v>
      </c>
      <c r="CA52" t="s">
        <v>407</v>
      </c>
      <c r="CB52" t="s">
        <v>890</v>
      </c>
      <c r="CC52" t="s">
        <v>1017</v>
      </c>
      <c r="CD52">
        <v>28658</v>
      </c>
      <c r="CE52">
        <v>5728</v>
      </c>
      <c r="CF52">
        <v>92.059843673700001</v>
      </c>
      <c r="CG52">
        <v>21552</v>
      </c>
      <c r="CH52">
        <v>6153</v>
      </c>
      <c r="CI52">
        <v>140.51350222720001</v>
      </c>
      <c r="CJ52">
        <v>137.53713635619999</v>
      </c>
      <c r="CL52" t="s">
        <v>407</v>
      </c>
      <c r="CM52" t="s">
        <v>871</v>
      </c>
      <c r="CN52" t="s">
        <v>873</v>
      </c>
      <c r="CO52">
        <v>2010</v>
      </c>
      <c r="CP52">
        <v>137</v>
      </c>
      <c r="CQ52">
        <v>58.031343283600002</v>
      </c>
      <c r="CR52">
        <v>3520</v>
      </c>
      <c r="CS52">
        <v>987</v>
      </c>
      <c r="CT52">
        <v>63.486079545499997</v>
      </c>
      <c r="CU52">
        <v>68.897669706200006</v>
      </c>
      <c r="CW52" t="s">
        <v>407</v>
      </c>
      <c r="CX52" t="s">
        <v>881</v>
      </c>
      <c r="CY52" t="s">
        <v>883</v>
      </c>
      <c r="CZ52">
        <v>1406</v>
      </c>
      <c r="DA52">
        <v>188</v>
      </c>
      <c r="DB52">
        <v>82.806543385500007</v>
      </c>
      <c r="DC52">
        <v>720</v>
      </c>
      <c r="DD52">
        <v>230</v>
      </c>
      <c r="DE52">
        <v>131.1972222222</v>
      </c>
      <c r="DF52">
        <v>140.9173913043</v>
      </c>
      <c r="DH52" t="s">
        <v>407</v>
      </c>
      <c r="DI52" t="s">
        <v>861</v>
      </c>
      <c r="DJ52" t="s">
        <v>863</v>
      </c>
      <c r="DK52">
        <v>772</v>
      </c>
      <c r="DL52">
        <v>94</v>
      </c>
      <c r="DM52">
        <v>83.862694300499996</v>
      </c>
      <c r="DN52">
        <v>442</v>
      </c>
      <c r="DO52">
        <v>144</v>
      </c>
      <c r="DP52">
        <v>120.80995475109999</v>
      </c>
      <c r="DQ52">
        <v>125.5138888889</v>
      </c>
    </row>
    <row r="53" spans="2:121" x14ac:dyDescent="0.2">
      <c r="B53" t="s">
        <v>123</v>
      </c>
      <c r="C53">
        <v>518</v>
      </c>
      <c r="D53">
        <v>515</v>
      </c>
      <c r="F53" t="s">
        <v>430</v>
      </c>
      <c r="G53">
        <v>33780</v>
      </c>
      <c r="H53">
        <v>503.225606868</v>
      </c>
      <c r="I53">
        <v>1407</v>
      </c>
      <c r="J53">
        <v>463</v>
      </c>
      <c r="K53">
        <v>34294</v>
      </c>
      <c r="L53">
        <v>32453</v>
      </c>
      <c r="M53">
        <v>1104</v>
      </c>
      <c r="N53">
        <v>643</v>
      </c>
      <c r="O53">
        <v>1367</v>
      </c>
      <c r="P53">
        <v>1241</v>
      </c>
      <c r="Q53">
        <v>0</v>
      </c>
      <c r="R53">
        <v>0</v>
      </c>
      <c r="AH53" t="s">
        <v>379</v>
      </c>
      <c r="AI53">
        <v>2210</v>
      </c>
      <c r="AJ53">
        <v>273.52488687779999</v>
      </c>
      <c r="AK53">
        <v>2459</v>
      </c>
      <c r="AL53">
        <v>424</v>
      </c>
      <c r="AM53">
        <v>3612</v>
      </c>
      <c r="AN53">
        <v>2231</v>
      </c>
      <c r="AO53">
        <v>451</v>
      </c>
      <c r="AP53">
        <v>214</v>
      </c>
      <c r="AQ53">
        <v>1315</v>
      </c>
      <c r="AR53">
        <v>960</v>
      </c>
      <c r="AS53">
        <v>342</v>
      </c>
      <c r="AT53">
        <v>14</v>
      </c>
      <c r="AV53" t="s">
        <v>424</v>
      </c>
      <c r="AW53">
        <v>13</v>
      </c>
      <c r="AX53">
        <v>127.76923076920001</v>
      </c>
      <c r="AY53">
        <v>19</v>
      </c>
      <c r="AZ53">
        <v>2</v>
      </c>
      <c r="BA53">
        <v>21</v>
      </c>
      <c r="BB53">
        <v>1</v>
      </c>
      <c r="BC53">
        <v>0</v>
      </c>
      <c r="BE53">
        <v>1</v>
      </c>
      <c r="BG53">
        <v>31</v>
      </c>
      <c r="BH53">
        <v>2</v>
      </c>
      <c r="BJ53" t="s">
        <v>591</v>
      </c>
      <c r="BK53" t="s">
        <v>404</v>
      </c>
      <c r="BL53">
        <v>11042</v>
      </c>
      <c r="BM53">
        <v>2501</v>
      </c>
      <c r="BN53">
        <v>97.108675964499994</v>
      </c>
      <c r="BO53">
        <v>6685</v>
      </c>
      <c r="BP53">
        <v>1781</v>
      </c>
      <c r="BQ53">
        <v>155.47658937919999</v>
      </c>
      <c r="BR53">
        <v>159.448062886</v>
      </c>
      <c r="BS53">
        <v>8678</v>
      </c>
      <c r="BT53">
        <v>1609</v>
      </c>
      <c r="BU53">
        <v>86.394445724799994</v>
      </c>
      <c r="BV53">
        <v>4098</v>
      </c>
      <c r="BW53">
        <v>1074</v>
      </c>
      <c r="BX53">
        <v>136.27428013670001</v>
      </c>
      <c r="BY53">
        <v>145.7625698324</v>
      </c>
      <c r="CA53" t="s">
        <v>428</v>
      </c>
      <c r="CB53" t="s">
        <v>890</v>
      </c>
      <c r="CC53" t="s">
        <v>1018</v>
      </c>
      <c r="CD53">
        <v>1840</v>
      </c>
      <c r="CE53">
        <v>268</v>
      </c>
      <c r="CF53">
        <v>83.060326087000007</v>
      </c>
      <c r="CG53">
        <v>1768</v>
      </c>
      <c r="CH53">
        <v>556</v>
      </c>
      <c r="CI53">
        <v>123.1708144796</v>
      </c>
      <c r="CJ53">
        <v>122.9532374101</v>
      </c>
      <c r="CL53" t="s">
        <v>428</v>
      </c>
      <c r="CM53" t="s">
        <v>871</v>
      </c>
      <c r="CN53" t="s">
        <v>874</v>
      </c>
      <c r="CO53">
        <v>65</v>
      </c>
      <c r="CP53">
        <v>5</v>
      </c>
      <c r="CQ53">
        <v>64.661538461500001</v>
      </c>
      <c r="CR53">
        <v>113</v>
      </c>
      <c r="CS53">
        <v>33</v>
      </c>
      <c r="CT53">
        <v>63.8495575221</v>
      </c>
      <c r="CU53">
        <v>59.5454545455</v>
      </c>
      <c r="CW53" t="s">
        <v>428</v>
      </c>
      <c r="CX53" t="s">
        <v>881</v>
      </c>
      <c r="CY53" t="s">
        <v>884</v>
      </c>
      <c r="CZ53">
        <v>43</v>
      </c>
      <c r="DA53">
        <v>4</v>
      </c>
      <c r="DB53">
        <v>70.720930232599997</v>
      </c>
      <c r="DC53">
        <v>20</v>
      </c>
      <c r="DD53">
        <v>5</v>
      </c>
      <c r="DE53">
        <v>131</v>
      </c>
      <c r="DF53">
        <v>121.4</v>
      </c>
      <c r="DH53" t="s">
        <v>428</v>
      </c>
      <c r="DI53" t="s">
        <v>861</v>
      </c>
      <c r="DJ53" t="s">
        <v>864</v>
      </c>
      <c r="DK53">
        <v>100</v>
      </c>
      <c r="DL53">
        <v>8</v>
      </c>
      <c r="DM53">
        <v>70.56</v>
      </c>
      <c r="DN53">
        <v>38</v>
      </c>
      <c r="DO53">
        <v>15</v>
      </c>
      <c r="DP53">
        <v>111.8684210526</v>
      </c>
      <c r="DQ53">
        <v>115.6</v>
      </c>
    </row>
    <row r="54" spans="2:121" x14ac:dyDescent="0.2">
      <c r="F54" t="s">
        <v>45</v>
      </c>
      <c r="G54">
        <v>3497</v>
      </c>
      <c r="H54">
        <v>270.58964826990001</v>
      </c>
      <c r="I54">
        <v>6872</v>
      </c>
      <c r="J54">
        <v>1713</v>
      </c>
      <c r="K54">
        <v>7392</v>
      </c>
      <c r="L54">
        <v>3786</v>
      </c>
      <c r="M54">
        <v>1685</v>
      </c>
      <c r="N54">
        <v>1011</v>
      </c>
      <c r="O54">
        <v>997</v>
      </c>
      <c r="P54">
        <v>423</v>
      </c>
      <c r="Q54">
        <v>2</v>
      </c>
      <c r="R54">
        <v>201</v>
      </c>
      <c r="AH54" t="s">
        <v>396</v>
      </c>
      <c r="AI54">
        <v>4064</v>
      </c>
      <c r="AJ54">
        <v>289.24434055120003</v>
      </c>
      <c r="AK54">
        <v>3921</v>
      </c>
      <c r="AL54">
        <v>741</v>
      </c>
      <c r="AM54">
        <v>6196</v>
      </c>
      <c r="AN54">
        <v>3280</v>
      </c>
      <c r="AO54">
        <v>703</v>
      </c>
      <c r="AP54">
        <v>457</v>
      </c>
      <c r="AQ54">
        <v>918</v>
      </c>
      <c r="AR54">
        <v>482</v>
      </c>
      <c r="AS54">
        <v>381</v>
      </c>
      <c r="AT54">
        <v>6</v>
      </c>
      <c r="AV54" t="s">
        <v>379</v>
      </c>
      <c r="AW54">
        <v>245</v>
      </c>
      <c r="AX54">
        <v>104.60816326530001</v>
      </c>
      <c r="AY54">
        <v>296</v>
      </c>
      <c r="AZ54">
        <v>47</v>
      </c>
      <c r="BA54">
        <v>317</v>
      </c>
      <c r="BB54">
        <v>122</v>
      </c>
      <c r="BC54">
        <v>7</v>
      </c>
      <c r="BD54">
        <v>7</v>
      </c>
      <c r="BE54">
        <v>14</v>
      </c>
      <c r="BF54">
        <v>6</v>
      </c>
      <c r="BG54">
        <v>48</v>
      </c>
      <c r="BH54">
        <v>72</v>
      </c>
      <c r="BJ54" t="s">
        <v>404</v>
      </c>
      <c r="BK54" t="s">
        <v>404</v>
      </c>
      <c r="BL54">
        <v>58032</v>
      </c>
      <c r="BM54">
        <v>11595</v>
      </c>
      <c r="BN54">
        <v>92.057692307699995</v>
      </c>
      <c r="BO54">
        <v>51198</v>
      </c>
      <c r="BP54">
        <v>14761</v>
      </c>
      <c r="BQ54">
        <v>123.2223524356</v>
      </c>
      <c r="BR54">
        <v>121.7646500915</v>
      </c>
      <c r="BS54">
        <v>56860</v>
      </c>
      <c r="BT54">
        <v>10770</v>
      </c>
      <c r="BU54">
        <v>89.193826943399998</v>
      </c>
      <c r="BV54">
        <v>49225</v>
      </c>
      <c r="BW54">
        <v>14352</v>
      </c>
      <c r="BX54">
        <v>119.38342305739999</v>
      </c>
      <c r="BY54">
        <v>118.6679208473</v>
      </c>
      <c r="CA54" t="s">
        <v>408</v>
      </c>
      <c r="CB54" t="s">
        <v>890</v>
      </c>
      <c r="CC54" t="s">
        <v>1019</v>
      </c>
      <c r="CD54">
        <v>1369</v>
      </c>
      <c r="CE54">
        <v>257</v>
      </c>
      <c r="CF54">
        <v>88.800584368200006</v>
      </c>
      <c r="CG54">
        <v>1345</v>
      </c>
      <c r="CH54">
        <v>345</v>
      </c>
      <c r="CI54">
        <v>116.41561338290001</v>
      </c>
      <c r="CJ54">
        <v>113.6028985507</v>
      </c>
      <c r="CL54" t="s">
        <v>408</v>
      </c>
      <c r="CM54" t="s">
        <v>871</v>
      </c>
      <c r="CN54" t="s">
        <v>875</v>
      </c>
      <c r="CO54">
        <v>138</v>
      </c>
      <c r="CP54">
        <v>6</v>
      </c>
      <c r="CQ54">
        <v>54.884057970999997</v>
      </c>
      <c r="CR54">
        <v>177</v>
      </c>
      <c r="CS54">
        <v>63</v>
      </c>
      <c r="CT54">
        <v>56.2203389831</v>
      </c>
      <c r="CU54">
        <v>61.555555555600002</v>
      </c>
      <c r="CW54" t="s">
        <v>408</v>
      </c>
      <c r="CX54" t="s">
        <v>881</v>
      </c>
      <c r="CY54" t="s">
        <v>885</v>
      </c>
      <c r="CZ54">
        <v>42</v>
      </c>
      <c r="DA54">
        <v>3</v>
      </c>
      <c r="DB54">
        <v>83.119047619</v>
      </c>
      <c r="DC54">
        <v>18</v>
      </c>
      <c r="DD54">
        <v>6</v>
      </c>
      <c r="DE54">
        <v>132.1666666667</v>
      </c>
      <c r="DF54">
        <v>146.1666666667</v>
      </c>
      <c r="DH54" t="s">
        <v>408</v>
      </c>
      <c r="DI54" t="s">
        <v>861</v>
      </c>
      <c r="DJ54" t="s">
        <v>865</v>
      </c>
      <c r="DK54">
        <v>47</v>
      </c>
      <c r="DL54">
        <v>7</v>
      </c>
      <c r="DM54">
        <v>87.212765957399995</v>
      </c>
      <c r="DN54">
        <v>30</v>
      </c>
      <c r="DO54">
        <v>8</v>
      </c>
      <c r="DP54">
        <v>117.46666666669999</v>
      </c>
      <c r="DQ54">
        <v>113.125</v>
      </c>
    </row>
    <row r="55" spans="2:121" x14ac:dyDescent="0.2">
      <c r="F55" t="s">
        <v>43</v>
      </c>
      <c r="G55">
        <v>5830</v>
      </c>
      <c r="H55">
        <v>385.6420240137</v>
      </c>
      <c r="I55">
        <v>8301</v>
      </c>
      <c r="J55">
        <v>2405</v>
      </c>
      <c r="K55">
        <v>8209</v>
      </c>
      <c r="L55">
        <v>5621</v>
      </c>
      <c r="M55">
        <v>3410</v>
      </c>
      <c r="N55">
        <v>2455</v>
      </c>
      <c r="O55">
        <v>875</v>
      </c>
      <c r="P55">
        <v>383</v>
      </c>
      <c r="Q55">
        <v>0</v>
      </c>
      <c r="R55">
        <v>57</v>
      </c>
      <c r="AH55" t="s">
        <v>421</v>
      </c>
      <c r="AI55">
        <v>508</v>
      </c>
      <c r="AJ55">
        <v>314.85433070869999</v>
      </c>
      <c r="AK55">
        <v>864</v>
      </c>
      <c r="AL55">
        <v>125</v>
      </c>
      <c r="AM55">
        <v>884</v>
      </c>
      <c r="AN55">
        <v>500</v>
      </c>
      <c r="AO55">
        <v>176</v>
      </c>
      <c r="AP55">
        <v>97</v>
      </c>
      <c r="AQ55">
        <v>191</v>
      </c>
      <c r="AR55">
        <v>81</v>
      </c>
      <c r="AS55">
        <v>2</v>
      </c>
      <c r="AT55">
        <v>3</v>
      </c>
      <c r="AV55" t="s">
        <v>401</v>
      </c>
      <c r="AW55">
        <v>123</v>
      </c>
      <c r="AX55">
        <v>41.430894308900001</v>
      </c>
      <c r="AY55">
        <v>333</v>
      </c>
      <c r="AZ55">
        <v>11</v>
      </c>
      <c r="BA55">
        <v>185</v>
      </c>
      <c r="BB55">
        <v>4</v>
      </c>
      <c r="BC55">
        <v>1</v>
      </c>
      <c r="BD55">
        <v>1</v>
      </c>
      <c r="BE55">
        <v>8</v>
      </c>
      <c r="BF55">
        <v>2</v>
      </c>
      <c r="BG55">
        <v>563</v>
      </c>
      <c r="BH55">
        <v>20</v>
      </c>
      <c r="BJ55" t="s">
        <v>595</v>
      </c>
      <c r="BK55" t="s">
        <v>404</v>
      </c>
      <c r="BL55">
        <v>4735</v>
      </c>
      <c r="BM55">
        <v>996</v>
      </c>
      <c r="BN55">
        <v>97.531362196399996</v>
      </c>
      <c r="BO55">
        <v>3626</v>
      </c>
      <c r="BP55">
        <v>1129</v>
      </c>
      <c r="BQ55">
        <v>137.4081632653</v>
      </c>
      <c r="BR55">
        <v>138.73693534099999</v>
      </c>
      <c r="BS55">
        <v>6580</v>
      </c>
      <c r="BT55">
        <v>1607</v>
      </c>
      <c r="BU55">
        <v>103.25714285710001</v>
      </c>
      <c r="BV55">
        <v>5337</v>
      </c>
      <c r="BW55">
        <v>1571</v>
      </c>
      <c r="BX55">
        <v>147.5431890575</v>
      </c>
      <c r="BY55">
        <v>146.43220878419999</v>
      </c>
      <c r="CA55" t="s">
        <v>413</v>
      </c>
      <c r="CB55" t="s">
        <v>890</v>
      </c>
      <c r="CC55" t="s">
        <v>1020</v>
      </c>
      <c r="CD55">
        <v>3401</v>
      </c>
      <c r="CE55">
        <v>740</v>
      </c>
      <c r="CF55">
        <v>96.716553954700004</v>
      </c>
      <c r="CG55">
        <v>2893</v>
      </c>
      <c r="CH55">
        <v>793</v>
      </c>
      <c r="CI55">
        <v>149.83062564810001</v>
      </c>
      <c r="CJ55">
        <v>141.00252206810001</v>
      </c>
      <c r="CL55" t="s">
        <v>413</v>
      </c>
      <c r="CM55" t="s">
        <v>871</v>
      </c>
      <c r="CN55" t="s">
        <v>876</v>
      </c>
      <c r="CO55">
        <v>238</v>
      </c>
      <c r="CP55">
        <v>17</v>
      </c>
      <c r="CQ55">
        <v>61.226890756300001</v>
      </c>
      <c r="CR55">
        <v>366</v>
      </c>
      <c r="CS55">
        <v>114</v>
      </c>
      <c r="CT55">
        <v>58.928961748600003</v>
      </c>
      <c r="CU55">
        <v>60.149122806999998</v>
      </c>
      <c r="CW55" t="s">
        <v>413</v>
      </c>
      <c r="CX55" t="s">
        <v>881</v>
      </c>
      <c r="CY55" t="s">
        <v>886</v>
      </c>
      <c r="CZ55">
        <v>108</v>
      </c>
      <c r="DA55">
        <v>15</v>
      </c>
      <c r="DB55">
        <v>80.824074074099997</v>
      </c>
      <c r="DC55">
        <v>51</v>
      </c>
      <c r="DD55">
        <v>15</v>
      </c>
      <c r="DE55">
        <v>147.1764705882</v>
      </c>
      <c r="DF55">
        <v>155.53333333329999</v>
      </c>
      <c r="DH55" t="s">
        <v>413</v>
      </c>
      <c r="DI55" t="s">
        <v>861</v>
      </c>
      <c r="DJ55" t="s">
        <v>866</v>
      </c>
      <c r="DK55">
        <v>107</v>
      </c>
      <c r="DL55">
        <v>8</v>
      </c>
      <c r="DM55">
        <v>73.084112149500001</v>
      </c>
      <c r="DN55">
        <v>58</v>
      </c>
      <c r="DO55">
        <v>16</v>
      </c>
      <c r="DP55">
        <v>133.32758620690001</v>
      </c>
      <c r="DQ55">
        <v>148.1875</v>
      </c>
    </row>
    <row r="56" spans="2:121" x14ac:dyDescent="0.2">
      <c r="F56" t="s">
        <v>67</v>
      </c>
      <c r="G56">
        <v>4597</v>
      </c>
      <c r="H56">
        <v>262.07439634539998</v>
      </c>
      <c r="I56">
        <v>4197</v>
      </c>
      <c r="J56">
        <v>989</v>
      </c>
      <c r="K56">
        <v>5827</v>
      </c>
      <c r="L56">
        <v>3369</v>
      </c>
      <c r="M56">
        <v>1128</v>
      </c>
      <c r="N56">
        <v>321</v>
      </c>
      <c r="O56">
        <v>2537</v>
      </c>
      <c r="P56">
        <v>2020</v>
      </c>
      <c r="Q56">
        <v>1</v>
      </c>
      <c r="R56">
        <v>66</v>
      </c>
      <c r="BJ56" t="s">
        <v>603</v>
      </c>
      <c r="BK56" t="s">
        <v>404</v>
      </c>
      <c r="BL56">
        <v>4732</v>
      </c>
      <c r="BM56">
        <v>1205</v>
      </c>
      <c r="BN56">
        <v>101.4370245139</v>
      </c>
      <c r="BO56">
        <v>3589</v>
      </c>
      <c r="BP56">
        <v>985</v>
      </c>
      <c r="BQ56">
        <v>142.7642797437</v>
      </c>
      <c r="BR56">
        <v>139.34314720809999</v>
      </c>
      <c r="BS56">
        <v>4683</v>
      </c>
      <c r="BT56">
        <v>1176</v>
      </c>
      <c r="BU56">
        <v>99.190049113800001</v>
      </c>
      <c r="BV56">
        <v>3728</v>
      </c>
      <c r="BW56">
        <v>998</v>
      </c>
      <c r="BX56">
        <v>136.93159871239999</v>
      </c>
      <c r="BY56">
        <v>133.53907815630001</v>
      </c>
      <c r="CA56" t="s">
        <v>405</v>
      </c>
      <c r="CB56" t="s">
        <v>890</v>
      </c>
      <c r="CC56" t="s">
        <v>1021</v>
      </c>
      <c r="CD56">
        <v>2613</v>
      </c>
      <c r="CE56">
        <v>553</v>
      </c>
      <c r="CF56">
        <v>98.448143895900003</v>
      </c>
      <c r="CG56">
        <v>2068</v>
      </c>
      <c r="CH56">
        <v>549</v>
      </c>
      <c r="CI56">
        <v>149.35589941969999</v>
      </c>
      <c r="CJ56">
        <v>163.6156648452</v>
      </c>
      <c r="CL56" t="s">
        <v>405</v>
      </c>
      <c r="CM56" t="s">
        <v>871</v>
      </c>
      <c r="CN56" t="s">
        <v>877</v>
      </c>
      <c r="CO56">
        <v>145</v>
      </c>
      <c r="CP56">
        <v>8</v>
      </c>
      <c r="CQ56">
        <v>56.110344827600002</v>
      </c>
      <c r="CR56">
        <v>273</v>
      </c>
      <c r="CS56">
        <v>69</v>
      </c>
      <c r="CT56">
        <v>60.571428571399998</v>
      </c>
      <c r="CU56">
        <v>56.420289855100002</v>
      </c>
      <c r="CW56" t="s">
        <v>405</v>
      </c>
      <c r="CX56" t="s">
        <v>881</v>
      </c>
      <c r="CY56" t="s">
        <v>887</v>
      </c>
      <c r="CZ56">
        <v>64</v>
      </c>
      <c r="DA56">
        <v>12</v>
      </c>
      <c r="DB56">
        <v>82.71875</v>
      </c>
      <c r="DC56">
        <v>33</v>
      </c>
      <c r="DD56">
        <v>7</v>
      </c>
      <c r="DE56">
        <v>170.6666666667</v>
      </c>
      <c r="DF56">
        <v>189.1428571429</v>
      </c>
      <c r="DH56" t="s">
        <v>405</v>
      </c>
      <c r="DI56" t="s">
        <v>861</v>
      </c>
      <c r="DJ56" t="s">
        <v>867</v>
      </c>
      <c r="DK56">
        <v>73</v>
      </c>
      <c r="DL56">
        <v>13</v>
      </c>
      <c r="DM56">
        <v>83.479452054800007</v>
      </c>
      <c r="DN56">
        <v>31</v>
      </c>
      <c r="DO56">
        <v>12</v>
      </c>
      <c r="DP56">
        <v>140.90322580649999</v>
      </c>
      <c r="DQ56">
        <v>133.4166666667</v>
      </c>
    </row>
    <row r="57" spans="2:121" x14ac:dyDescent="0.2">
      <c r="F57" t="s">
        <v>65</v>
      </c>
      <c r="G57">
        <v>8384</v>
      </c>
      <c r="H57">
        <v>403.6363311069</v>
      </c>
      <c r="I57">
        <v>11144</v>
      </c>
      <c r="J57">
        <v>2492</v>
      </c>
      <c r="K57">
        <v>11416</v>
      </c>
      <c r="L57">
        <v>8833</v>
      </c>
      <c r="M57">
        <v>4568</v>
      </c>
      <c r="N57">
        <v>3896</v>
      </c>
      <c r="O57">
        <v>2250</v>
      </c>
      <c r="P57">
        <v>1710</v>
      </c>
      <c r="Q57">
        <v>0</v>
      </c>
      <c r="R57">
        <v>29</v>
      </c>
      <c r="BJ57" t="s">
        <v>611</v>
      </c>
      <c r="BK57" t="s">
        <v>404</v>
      </c>
      <c r="BL57">
        <v>3239</v>
      </c>
      <c r="BM57">
        <v>675</v>
      </c>
      <c r="BN57">
        <v>97.134300710100007</v>
      </c>
      <c r="BO57">
        <v>2665</v>
      </c>
      <c r="BP57">
        <v>744</v>
      </c>
      <c r="BQ57">
        <v>153.54108818009999</v>
      </c>
      <c r="BR57">
        <v>142.63440860220001</v>
      </c>
      <c r="BS57">
        <v>2790</v>
      </c>
      <c r="BT57">
        <v>399</v>
      </c>
      <c r="BU57">
        <v>82.151971326199998</v>
      </c>
      <c r="BV57">
        <v>2007</v>
      </c>
      <c r="BW57">
        <v>588</v>
      </c>
      <c r="BX57">
        <v>128.5455904335</v>
      </c>
      <c r="BY57">
        <v>114.9370748299</v>
      </c>
      <c r="CA57" t="s">
        <v>409</v>
      </c>
      <c r="CB57" t="s">
        <v>890</v>
      </c>
      <c r="CC57" t="s">
        <v>1022</v>
      </c>
      <c r="CD57">
        <v>4786</v>
      </c>
      <c r="CE57">
        <v>1207</v>
      </c>
      <c r="CF57">
        <v>100.97409109900001</v>
      </c>
      <c r="CG57">
        <v>3647</v>
      </c>
      <c r="CH57">
        <v>1006</v>
      </c>
      <c r="CI57">
        <v>141.34740882919999</v>
      </c>
      <c r="CJ57">
        <v>139.76341948309999</v>
      </c>
      <c r="CL57" t="s">
        <v>409</v>
      </c>
      <c r="CM57" t="s">
        <v>871</v>
      </c>
      <c r="CN57" t="s">
        <v>878</v>
      </c>
      <c r="CO57">
        <v>320</v>
      </c>
      <c r="CP57">
        <v>22</v>
      </c>
      <c r="CQ57">
        <v>61.971874999999997</v>
      </c>
      <c r="CR57">
        <v>553</v>
      </c>
      <c r="CS57">
        <v>173</v>
      </c>
      <c r="CT57">
        <v>69.113924050600005</v>
      </c>
      <c r="CU57">
        <v>71.855491329499998</v>
      </c>
      <c r="CW57" t="s">
        <v>409</v>
      </c>
      <c r="CX57" t="s">
        <v>881</v>
      </c>
      <c r="CY57" t="s">
        <v>888</v>
      </c>
      <c r="CZ57">
        <v>106</v>
      </c>
      <c r="DA57">
        <v>19</v>
      </c>
      <c r="DB57">
        <v>95.4811320755</v>
      </c>
      <c r="DC57">
        <v>54</v>
      </c>
      <c r="DD57">
        <v>16</v>
      </c>
      <c r="DE57">
        <v>123.25925925929999</v>
      </c>
      <c r="DF57">
        <v>129.375</v>
      </c>
      <c r="DH57" t="s">
        <v>409</v>
      </c>
      <c r="DI57" t="s">
        <v>861</v>
      </c>
      <c r="DJ57" t="s">
        <v>868</v>
      </c>
      <c r="DK57">
        <v>46</v>
      </c>
      <c r="DL57">
        <v>3</v>
      </c>
      <c r="DM57">
        <v>77.717391304299994</v>
      </c>
      <c r="DN57">
        <v>26</v>
      </c>
      <c r="DO57">
        <v>11</v>
      </c>
      <c r="DP57">
        <v>127.3461538462</v>
      </c>
      <c r="DQ57">
        <v>145.45454545449999</v>
      </c>
    </row>
    <row r="58" spans="2:121" x14ac:dyDescent="0.2">
      <c r="F58" t="s">
        <v>57</v>
      </c>
      <c r="G58">
        <v>1519</v>
      </c>
      <c r="H58">
        <v>404.99473337720002</v>
      </c>
      <c r="I58">
        <v>1049</v>
      </c>
      <c r="J58">
        <v>232</v>
      </c>
      <c r="K58">
        <v>1962</v>
      </c>
      <c r="L58">
        <v>1359</v>
      </c>
      <c r="M58">
        <v>398</v>
      </c>
      <c r="N58">
        <v>394</v>
      </c>
      <c r="O58">
        <v>94</v>
      </c>
      <c r="P58">
        <v>49</v>
      </c>
      <c r="Q58">
        <v>0</v>
      </c>
      <c r="R58">
        <v>0</v>
      </c>
      <c r="BJ58" t="s">
        <v>624</v>
      </c>
      <c r="BK58" t="s">
        <v>404</v>
      </c>
      <c r="BL58">
        <v>10222</v>
      </c>
      <c r="BM58">
        <v>1536</v>
      </c>
      <c r="BN58">
        <v>84.968597143400004</v>
      </c>
      <c r="BO58">
        <v>7427</v>
      </c>
      <c r="BP58">
        <v>2305</v>
      </c>
      <c r="BQ58">
        <v>134.71415107039999</v>
      </c>
      <c r="BR58">
        <v>131.957483731</v>
      </c>
      <c r="BS58">
        <v>10109</v>
      </c>
      <c r="BT58">
        <v>1742</v>
      </c>
      <c r="BU58">
        <v>89.109011771699997</v>
      </c>
      <c r="BV58">
        <v>7838</v>
      </c>
      <c r="BW58">
        <v>2388</v>
      </c>
      <c r="BX58">
        <v>145.0357233988</v>
      </c>
      <c r="BY58">
        <v>140.2948073702</v>
      </c>
      <c r="CA58" t="s">
        <v>83</v>
      </c>
      <c r="CB58" t="s">
        <v>890</v>
      </c>
      <c r="CC58" t="s">
        <v>1023</v>
      </c>
      <c r="CD58">
        <v>5645</v>
      </c>
      <c r="CE58">
        <v>1069</v>
      </c>
      <c r="CF58">
        <v>89.202302922900003</v>
      </c>
      <c r="CG58">
        <v>6371</v>
      </c>
      <c r="CH58">
        <v>1908</v>
      </c>
      <c r="CI58">
        <v>115.4330560352</v>
      </c>
      <c r="CJ58">
        <v>113.0807127883</v>
      </c>
      <c r="CL58" t="s">
        <v>83</v>
      </c>
      <c r="CM58" t="s">
        <v>871</v>
      </c>
      <c r="CN58" t="s">
        <v>879</v>
      </c>
      <c r="CO58">
        <v>517</v>
      </c>
      <c r="CP58">
        <v>34</v>
      </c>
      <c r="CQ58">
        <v>64.117988394600005</v>
      </c>
      <c r="CR58">
        <v>830</v>
      </c>
      <c r="CS58">
        <v>242</v>
      </c>
      <c r="CT58">
        <v>66.221686747000007</v>
      </c>
      <c r="CU58">
        <v>69.4917355372</v>
      </c>
      <c r="CW58" t="s">
        <v>83</v>
      </c>
      <c r="CX58" t="s">
        <v>881</v>
      </c>
      <c r="CY58" t="s">
        <v>889</v>
      </c>
      <c r="CZ58">
        <v>340</v>
      </c>
      <c r="DA58">
        <v>35</v>
      </c>
      <c r="DB58">
        <v>79.258823529400004</v>
      </c>
      <c r="DC58">
        <v>128</v>
      </c>
      <c r="DD58">
        <v>39</v>
      </c>
      <c r="DE58">
        <v>126.6796875</v>
      </c>
      <c r="DF58">
        <v>133</v>
      </c>
      <c r="DH58" t="s">
        <v>83</v>
      </c>
      <c r="DI58" t="s">
        <v>861</v>
      </c>
      <c r="DJ58" t="s">
        <v>869</v>
      </c>
      <c r="DK58">
        <v>525</v>
      </c>
      <c r="DL58">
        <v>50</v>
      </c>
      <c r="DM58">
        <v>78.763809523800006</v>
      </c>
      <c r="DN58">
        <v>271</v>
      </c>
      <c r="DO58">
        <v>86</v>
      </c>
      <c r="DP58">
        <v>120.3173431734</v>
      </c>
      <c r="DQ58">
        <v>130.61627906979999</v>
      </c>
    </row>
    <row r="59" spans="2:121" x14ac:dyDescent="0.2">
      <c r="F59" t="s">
        <v>49</v>
      </c>
      <c r="G59">
        <v>12854</v>
      </c>
      <c r="H59">
        <v>349.35700949120002</v>
      </c>
      <c r="I59">
        <v>15159</v>
      </c>
      <c r="J59">
        <v>3898</v>
      </c>
      <c r="K59">
        <v>16565</v>
      </c>
      <c r="L59">
        <v>11696</v>
      </c>
      <c r="M59">
        <v>3164</v>
      </c>
      <c r="N59">
        <v>1807</v>
      </c>
      <c r="O59">
        <v>3285</v>
      </c>
      <c r="P59">
        <v>2333</v>
      </c>
      <c r="Q59">
        <v>1</v>
      </c>
      <c r="R59">
        <v>223</v>
      </c>
      <c r="BJ59" t="s">
        <v>597</v>
      </c>
      <c r="BK59" t="s">
        <v>404</v>
      </c>
      <c r="BL59">
        <v>7088</v>
      </c>
      <c r="BM59">
        <v>1135</v>
      </c>
      <c r="BN59">
        <v>79.000987584699999</v>
      </c>
      <c r="BO59">
        <v>13671</v>
      </c>
      <c r="BP59">
        <v>3979</v>
      </c>
      <c r="BQ59">
        <v>69.958525345599995</v>
      </c>
      <c r="BR59">
        <v>69.925609449600003</v>
      </c>
      <c r="BS59">
        <v>7529</v>
      </c>
      <c r="BT59">
        <v>1230</v>
      </c>
      <c r="BU59">
        <v>79.441492894099994</v>
      </c>
      <c r="BV59">
        <v>14057</v>
      </c>
      <c r="BW59">
        <v>4206</v>
      </c>
      <c r="BX59">
        <v>69.965568755800007</v>
      </c>
      <c r="BY59">
        <v>73.389443651899995</v>
      </c>
      <c r="CA59" t="s">
        <v>404</v>
      </c>
      <c r="CB59" t="s">
        <v>890</v>
      </c>
      <c r="CD59">
        <v>55929</v>
      </c>
      <c r="CE59">
        <v>11307</v>
      </c>
      <c r="CF59">
        <v>92.913014715100005</v>
      </c>
      <c r="CG59">
        <v>44896</v>
      </c>
      <c r="CH59">
        <v>12976</v>
      </c>
      <c r="CI59">
        <v>135.42803367779999</v>
      </c>
      <c r="CJ59">
        <v>133.66607583230001</v>
      </c>
      <c r="CL59" t="s">
        <v>404</v>
      </c>
      <c r="CM59" t="s">
        <v>871</v>
      </c>
      <c r="CO59">
        <v>3932</v>
      </c>
      <c r="CP59">
        <v>278</v>
      </c>
      <c r="CQ59">
        <v>59.745930823999998</v>
      </c>
      <c r="CR59">
        <v>6691</v>
      </c>
      <c r="CS59">
        <v>1920</v>
      </c>
      <c r="CT59">
        <v>64.056045434200001</v>
      </c>
      <c r="CU59">
        <v>67.559375000000003</v>
      </c>
      <c r="CW59" t="s">
        <v>404</v>
      </c>
      <c r="CX59" t="s">
        <v>881</v>
      </c>
      <c r="CZ59">
        <v>2325</v>
      </c>
      <c r="DA59">
        <v>315</v>
      </c>
      <c r="DB59">
        <v>82.6830107527</v>
      </c>
      <c r="DC59">
        <v>1148</v>
      </c>
      <c r="DD59">
        <v>360</v>
      </c>
      <c r="DE59">
        <v>132.381533101</v>
      </c>
      <c r="DF59">
        <v>139.96666666670001</v>
      </c>
      <c r="DH59" t="s">
        <v>404</v>
      </c>
      <c r="DI59" t="s">
        <v>861</v>
      </c>
      <c r="DK59">
        <v>1830</v>
      </c>
      <c r="DL59">
        <v>209</v>
      </c>
      <c r="DM59">
        <v>81.400000000000006</v>
      </c>
      <c r="DN59">
        <v>1013</v>
      </c>
      <c r="DO59">
        <v>332</v>
      </c>
      <c r="DP59">
        <v>122.6248766041</v>
      </c>
      <c r="DQ59">
        <v>128.8493975904</v>
      </c>
    </row>
    <row r="60" spans="2:121" x14ac:dyDescent="0.2">
      <c r="F60" t="s">
        <v>138</v>
      </c>
      <c r="G60">
        <v>436</v>
      </c>
      <c r="H60">
        <v>362.49082568810002</v>
      </c>
      <c r="I60">
        <v>521</v>
      </c>
      <c r="J60">
        <v>116</v>
      </c>
      <c r="K60">
        <v>669</v>
      </c>
      <c r="L60">
        <v>450</v>
      </c>
      <c r="M60">
        <v>100</v>
      </c>
      <c r="N60">
        <v>67</v>
      </c>
      <c r="O60">
        <v>117</v>
      </c>
      <c r="P60">
        <v>68</v>
      </c>
      <c r="Q60">
        <v>0</v>
      </c>
      <c r="R60">
        <v>1</v>
      </c>
      <c r="BJ60" t="s">
        <v>539</v>
      </c>
      <c r="BK60" t="s">
        <v>380</v>
      </c>
      <c r="BL60">
        <v>16959</v>
      </c>
      <c r="BM60">
        <v>4132</v>
      </c>
      <c r="BN60">
        <v>97.685830532500006</v>
      </c>
      <c r="BO60">
        <v>10858</v>
      </c>
      <c r="BP60">
        <v>3399</v>
      </c>
      <c r="BQ60">
        <v>152.30318659049999</v>
      </c>
      <c r="BR60">
        <v>154.4136510738</v>
      </c>
      <c r="BS60">
        <v>15262</v>
      </c>
      <c r="BT60">
        <v>2519</v>
      </c>
      <c r="BU60">
        <v>85.946861486000003</v>
      </c>
      <c r="BV60">
        <v>8044</v>
      </c>
      <c r="BW60">
        <v>2487</v>
      </c>
      <c r="BX60">
        <v>148.423669816</v>
      </c>
      <c r="BY60">
        <v>149.37957378370001</v>
      </c>
      <c r="CA60" t="s">
        <v>388</v>
      </c>
      <c r="CB60" t="s">
        <v>915</v>
      </c>
      <c r="CC60" t="s">
        <v>1024</v>
      </c>
      <c r="CD60">
        <v>7259</v>
      </c>
      <c r="CE60">
        <v>1223</v>
      </c>
      <c r="CF60">
        <v>86.503926160600003</v>
      </c>
      <c r="CG60">
        <v>5980</v>
      </c>
      <c r="CH60">
        <v>1499</v>
      </c>
      <c r="CI60">
        <v>138.89030100330001</v>
      </c>
      <c r="CJ60">
        <v>146.24816544359999</v>
      </c>
      <c r="CL60" t="s">
        <v>388</v>
      </c>
      <c r="CM60" t="s">
        <v>900</v>
      </c>
      <c r="CN60" t="s">
        <v>899</v>
      </c>
      <c r="CO60">
        <v>753</v>
      </c>
      <c r="CP60">
        <v>73</v>
      </c>
      <c r="CQ60">
        <v>69.099601593599999</v>
      </c>
      <c r="CR60">
        <v>1036</v>
      </c>
      <c r="CS60">
        <v>355</v>
      </c>
      <c r="CT60">
        <v>62.988416988399997</v>
      </c>
      <c r="CU60">
        <v>67.242253521099997</v>
      </c>
      <c r="CW60" t="s">
        <v>388</v>
      </c>
      <c r="CX60" t="s">
        <v>908</v>
      </c>
      <c r="CY60" t="s">
        <v>907</v>
      </c>
      <c r="CZ60">
        <v>217</v>
      </c>
      <c r="DA60">
        <v>46</v>
      </c>
      <c r="DB60">
        <v>89.815668202799998</v>
      </c>
      <c r="DC60">
        <v>55</v>
      </c>
      <c r="DD60">
        <v>19</v>
      </c>
      <c r="DE60">
        <v>147.10909090909999</v>
      </c>
      <c r="DF60">
        <v>165.7894736842</v>
      </c>
      <c r="DH60" t="s">
        <v>388</v>
      </c>
      <c r="DI60" t="s">
        <v>892</v>
      </c>
      <c r="DJ60" t="s">
        <v>891</v>
      </c>
      <c r="DK60">
        <v>208</v>
      </c>
      <c r="DL60">
        <v>46</v>
      </c>
      <c r="DM60">
        <v>93.615384615400004</v>
      </c>
      <c r="DN60">
        <v>94</v>
      </c>
      <c r="DO60">
        <v>36</v>
      </c>
      <c r="DP60">
        <v>149.5319148936</v>
      </c>
      <c r="DQ60">
        <v>168.8333333333</v>
      </c>
    </row>
    <row r="61" spans="2:121" x14ac:dyDescent="0.2">
      <c r="F61" t="s">
        <v>59</v>
      </c>
      <c r="G61">
        <v>4187</v>
      </c>
      <c r="H61">
        <v>200.11631239549999</v>
      </c>
      <c r="I61">
        <v>6293</v>
      </c>
      <c r="J61">
        <v>1124</v>
      </c>
      <c r="K61">
        <v>5437</v>
      </c>
      <c r="L61">
        <v>2693</v>
      </c>
      <c r="M61">
        <v>663</v>
      </c>
      <c r="N61">
        <v>370</v>
      </c>
      <c r="O61">
        <v>571</v>
      </c>
      <c r="P61">
        <v>248</v>
      </c>
      <c r="Q61">
        <v>5454</v>
      </c>
      <c r="R61">
        <v>0</v>
      </c>
      <c r="BJ61" t="s">
        <v>547</v>
      </c>
      <c r="BK61" t="s">
        <v>380</v>
      </c>
      <c r="BL61">
        <v>8627</v>
      </c>
      <c r="BM61">
        <v>2349</v>
      </c>
      <c r="BN61">
        <v>101.6734670221</v>
      </c>
      <c r="BO61">
        <v>6201</v>
      </c>
      <c r="BP61">
        <v>1876</v>
      </c>
      <c r="BQ61">
        <v>136.7397194001</v>
      </c>
      <c r="BR61">
        <v>140.12046908319999</v>
      </c>
      <c r="BS61">
        <v>8679</v>
      </c>
      <c r="BT61">
        <v>2384</v>
      </c>
      <c r="BU61">
        <v>101.5262126973</v>
      </c>
      <c r="BV61">
        <v>6257</v>
      </c>
      <c r="BW61">
        <v>1935</v>
      </c>
      <c r="BX61">
        <v>136.72606680519999</v>
      </c>
      <c r="BY61">
        <v>140.99224806199999</v>
      </c>
      <c r="CA61" t="s">
        <v>425</v>
      </c>
      <c r="CB61" t="s">
        <v>915</v>
      </c>
      <c r="CC61" t="s">
        <v>1025</v>
      </c>
      <c r="CD61">
        <v>21767</v>
      </c>
      <c r="CE61">
        <v>5426</v>
      </c>
      <c r="CF61">
        <v>100.8748564341</v>
      </c>
      <c r="CG61">
        <v>17863</v>
      </c>
      <c r="CH61">
        <v>5687</v>
      </c>
      <c r="CI61">
        <v>146.57857022900001</v>
      </c>
      <c r="CJ61">
        <v>141.93529101460001</v>
      </c>
      <c r="CL61" t="s">
        <v>425</v>
      </c>
      <c r="CM61" t="s">
        <v>900</v>
      </c>
      <c r="CN61" t="s">
        <v>901</v>
      </c>
      <c r="CO61">
        <v>2380</v>
      </c>
      <c r="CP61">
        <v>221</v>
      </c>
      <c r="CQ61">
        <v>66.901680672300003</v>
      </c>
      <c r="CR61">
        <v>2373</v>
      </c>
      <c r="CS61">
        <v>753</v>
      </c>
      <c r="CT61">
        <v>80.036241045099999</v>
      </c>
      <c r="CU61">
        <v>85.569721115500002</v>
      </c>
      <c r="CW61" t="s">
        <v>425</v>
      </c>
      <c r="CX61" t="s">
        <v>908</v>
      </c>
      <c r="CY61" t="s">
        <v>909</v>
      </c>
      <c r="CZ61">
        <v>860</v>
      </c>
      <c r="DA61">
        <v>199</v>
      </c>
      <c r="DB61">
        <v>92.616279069800001</v>
      </c>
      <c r="DC61">
        <v>326</v>
      </c>
      <c r="DD61">
        <v>105</v>
      </c>
      <c r="DE61">
        <v>148.65030674849999</v>
      </c>
      <c r="DF61">
        <v>149.64761904759999</v>
      </c>
      <c r="DH61" t="s">
        <v>425</v>
      </c>
      <c r="DI61" t="s">
        <v>892</v>
      </c>
      <c r="DJ61" t="s">
        <v>893</v>
      </c>
      <c r="DK61">
        <v>1019</v>
      </c>
      <c r="DL61">
        <v>236</v>
      </c>
      <c r="DM61">
        <v>94.1108930324</v>
      </c>
      <c r="DN61">
        <v>491</v>
      </c>
      <c r="DO61">
        <v>167</v>
      </c>
      <c r="DP61">
        <v>137.14052953160001</v>
      </c>
      <c r="DQ61">
        <v>137.74850299400001</v>
      </c>
    </row>
    <row r="62" spans="2:121" x14ac:dyDescent="0.2">
      <c r="BJ62" t="s">
        <v>563</v>
      </c>
      <c r="BK62" t="s">
        <v>380</v>
      </c>
      <c r="BL62">
        <v>4262</v>
      </c>
      <c r="BM62">
        <v>973</v>
      </c>
      <c r="BN62">
        <v>106.5375410605</v>
      </c>
      <c r="BO62">
        <v>4025</v>
      </c>
      <c r="BP62">
        <v>1218</v>
      </c>
      <c r="BQ62">
        <v>144.7508074534</v>
      </c>
      <c r="BR62">
        <v>132.4261083744</v>
      </c>
      <c r="BS62">
        <v>6608</v>
      </c>
      <c r="BT62">
        <v>2678</v>
      </c>
      <c r="BU62">
        <v>149.9148002421</v>
      </c>
      <c r="BV62">
        <v>4901</v>
      </c>
      <c r="BW62">
        <v>1454</v>
      </c>
      <c r="BX62">
        <v>162.43889002239999</v>
      </c>
      <c r="BY62">
        <v>150.52819807430001</v>
      </c>
      <c r="CA62" t="s">
        <v>381</v>
      </c>
      <c r="CB62" t="s">
        <v>915</v>
      </c>
      <c r="CC62" t="s">
        <v>1026</v>
      </c>
      <c r="CD62">
        <v>17788</v>
      </c>
      <c r="CE62">
        <v>4193</v>
      </c>
      <c r="CF62">
        <v>95.726838318000006</v>
      </c>
      <c r="CG62">
        <v>11909</v>
      </c>
      <c r="CH62">
        <v>3688</v>
      </c>
      <c r="CI62">
        <v>143.221261231</v>
      </c>
      <c r="CJ62">
        <v>145.83378524950001</v>
      </c>
      <c r="CL62" t="s">
        <v>381</v>
      </c>
      <c r="CM62" t="s">
        <v>900</v>
      </c>
      <c r="CN62" t="s">
        <v>902</v>
      </c>
      <c r="CO62">
        <v>1200</v>
      </c>
      <c r="CP62">
        <v>99</v>
      </c>
      <c r="CQ62">
        <v>66.090833333299997</v>
      </c>
      <c r="CR62">
        <v>1219</v>
      </c>
      <c r="CS62">
        <v>382</v>
      </c>
      <c r="CT62">
        <v>86.594749794899997</v>
      </c>
      <c r="CU62">
        <v>92.782722513099998</v>
      </c>
      <c r="CW62" t="s">
        <v>381</v>
      </c>
      <c r="CX62" t="s">
        <v>908</v>
      </c>
      <c r="CY62" t="s">
        <v>910</v>
      </c>
      <c r="CZ62">
        <v>490</v>
      </c>
      <c r="DA62">
        <v>117</v>
      </c>
      <c r="DB62">
        <v>92.012244898000006</v>
      </c>
      <c r="DC62">
        <v>200</v>
      </c>
      <c r="DD62">
        <v>61</v>
      </c>
      <c r="DE62">
        <v>153.82</v>
      </c>
      <c r="DF62">
        <v>157.1147540984</v>
      </c>
      <c r="DH62" t="s">
        <v>381</v>
      </c>
      <c r="DI62" t="s">
        <v>892</v>
      </c>
      <c r="DJ62" t="s">
        <v>894</v>
      </c>
      <c r="DK62">
        <v>530</v>
      </c>
      <c r="DL62">
        <v>118</v>
      </c>
      <c r="DM62">
        <v>93.645283018900003</v>
      </c>
      <c r="DN62">
        <v>257</v>
      </c>
      <c r="DO62">
        <v>95</v>
      </c>
      <c r="DP62">
        <v>142.5486381323</v>
      </c>
      <c r="DQ62">
        <v>149.1052631579</v>
      </c>
    </row>
    <row r="63" spans="2:121" x14ac:dyDescent="0.2">
      <c r="BJ63" t="s">
        <v>553</v>
      </c>
      <c r="BK63" t="s">
        <v>380</v>
      </c>
      <c r="BL63">
        <v>7188</v>
      </c>
      <c r="BM63">
        <v>1198</v>
      </c>
      <c r="BN63">
        <v>84.039927657199996</v>
      </c>
      <c r="BO63">
        <v>5701</v>
      </c>
      <c r="BP63">
        <v>1419</v>
      </c>
      <c r="BQ63">
        <v>142.37309243990001</v>
      </c>
      <c r="BR63">
        <v>156.30866807609999</v>
      </c>
      <c r="BS63">
        <v>6798</v>
      </c>
      <c r="BT63">
        <v>911</v>
      </c>
      <c r="BU63">
        <v>77.799499852899999</v>
      </c>
      <c r="BV63">
        <v>5156</v>
      </c>
      <c r="BW63">
        <v>1259</v>
      </c>
      <c r="BX63">
        <v>142.58785880529999</v>
      </c>
      <c r="BY63">
        <v>162.2827640985</v>
      </c>
      <c r="CA63" t="s">
        <v>393</v>
      </c>
      <c r="CB63" t="s">
        <v>915</v>
      </c>
      <c r="CC63" t="s">
        <v>1027</v>
      </c>
      <c r="CD63">
        <v>3965</v>
      </c>
      <c r="CE63">
        <v>755</v>
      </c>
      <c r="CF63">
        <v>94.2557377049</v>
      </c>
      <c r="CG63">
        <v>4004</v>
      </c>
      <c r="CH63">
        <v>1197</v>
      </c>
      <c r="CI63">
        <v>129.44905094910001</v>
      </c>
      <c r="CJ63">
        <v>120.313283208</v>
      </c>
      <c r="CL63" t="s">
        <v>393</v>
      </c>
      <c r="CM63" t="s">
        <v>900</v>
      </c>
      <c r="CN63" t="s">
        <v>903</v>
      </c>
      <c r="CO63">
        <v>403</v>
      </c>
      <c r="CP63">
        <v>50</v>
      </c>
      <c r="CQ63">
        <v>75.163771712200003</v>
      </c>
      <c r="CR63">
        <v>545</v>
      </c>
      <c r="CS63">
        <v>160</v>
      </c>
      <c r="CT63">
        <v>72.678899082599997</v>
      </c>
      <c r="CU63">
        <v>81.106250000000003</v>
      </c>
      <c r="CW63" t="s">
        <v>393</v>
      </c>
      <c r="CX63" t="s">
        <v>908</v>
      </c>
      <c r="CY63" t="s">
        <v>911</v>
      </c>
      <c r="CZ63">
        <v>114</v>
      </c>
      <c r="DA63">
        <v>24</v>
      </c>
      <c r="DB63">
        <v>87.385964912299997</v>
      </c>
      <c r="DC63">
        <v>44</v>
      </c>
      <c r="DD63">
        <v>14</v>
      </c>
      <c r="DE63">
        <v>141.20454545449999</v>
      </c>
      <c r="DF63">
        <v>138.28571428570001</v>
      </c>
      <c r="DH63" t="s">
        <v>393</v>
      </c>
      <c r="DI63" t="s">
        <v>892</v>
      </c>
      <c r="DJ63" t="s">
        <v>895</v>
      </c>
      <c r="DK63">
        <v>189</v>
      </c>
      <c r="DL63">
        <v>34</v>
      </c>
      <c r="DM63">
        <v>84.555555555599994</v>
      </c>
      <c r="DN63">
        <v>63</v>
      </c>
      <c r="DO63">
        <v>26</v>
      </c>
      <c r="DP63">
        <v>134.57142857139999</v>
      </c>
      <c r="DQ63">
        <v>131.07692307689999</v>
      </c>
    </row>
    <row r="64" spans="2:121" x14ac:dyDescent="0.2">
      <c r="BJ64" t="s">
        <v>549</v>
      </c>
      <c r="BK64" t="s">
        <v>380</v>
      </c>
      <c r="BL64">
        <v>9703</v>
      </c>
      <c r="BM64">
        <v>1979</v>
      </c>
      <c r="BN64">
        <v>90.751520148400004</v>
      </c>
      <c r="BO64">
        <v>6907</v>
      </c>
      <c r="BP64">
        <v>2126</v>
      </c>
      <c r="BQ64">
        <v>133.39655422039999</v>
      </c>
      <c r="BR64">
        <v>129.75352775159999</v>
      </c>
      <c r="BS64">
        <v>9824</v>
      </c>
      <c r="BT64">
        <v>2139</v>
      </c>
      <c r="BU64">
        <v>94.103623778499994</v>
      </c>
      <c r="BV64">
        <v>7490</v>
      </c>
      <c r="BW64">
        <v>2236</v>
      </c>
      <c r="BX64">
        <v>141.19692923900001</v>
      </c>
      <c r="BY64">
        <v>134.27728085870001</v>
      </c>
      <c r="CA64" t="s">
        <v>427</v>
      </c>
      <c r="CB64" t="s">
        <v>915</v>
      </c>
      <c r="CC64" t="s">
        <v>1028</v>
      </c>
      <c r="CD64">
        <v>3512</v>
      </c>
      <c r="CE64">
        <v>895</v>
      </c>
      <c r="CF64">
        <v>102.7813211845</v>
      </c>
      <c r="CG64">
        <v>1755</v>
      </c>
      <c r="CH64">
        <v>510</v>
      </c>
      <c r="CI64">
        <v>161.83760683759999</v>
      </c>
      <c r="CJ64">
        <v>179.84901960779999</v>
      </c>
      <c r="CL64" t="s">
        <v>427</v>
      </c>
      <c r="CM64" t="s">
        <v>900</v>
      </c>
      <c r="CN64" t="s">
        <v>904</v>
      </c>
      <c r="CO64">
        <v>467</v>
      </c>
      <c r="CP64">
        <v>49</v>
      </c>
      <c r="CQ64">
        <v>69.179871520299997</v>
      </c>
      <c r="CR64">
        <v>429</v>
      </c>
      <c r="CS64">
        <v>112</v>
      </c>
      <c r="CT64">
        <v>87.608391608399998</v>
      </c>
      <c r="CU64">
        <v>88.955357142899999</v>
      </c>
      <c r="CW64" t="s">
        <v>427</v>
      </c>
      <c r="CX64" t="s">
        <v>908</v>
      </c>
      <c r="CY64" t="s">
        <v>912</v>
      </c>
      <c r="CZ64">
        <v>12</v>
      </c>
      <c r="DA64">
        <v>2</v>
      </c>
      <c r="DB64">
        <v>80.166666666699996</v>
      </c>
      <c r="DC64">
        <v>3</v>
      </c>
      <c r="DD64">
        <v>1</v>
      </c>
      <c r="DE64">
        <v>148</v>
      </c>
      <c r="DF64">
        <v>140</v>
      </c>
      <c r="DH64" t="s">
        <v>427</v>
      </c>
      <c r="DI64" t="s">
        <v>892</v>
      </c>
      <c r="DJ64" t="s">
        <v>896</v>
      </c>
      <c r="DK64">
        <v>19</v>
      </c>
      <c r="DL64">
        <v>4</v>
      </c>
      <c r="DM64">
        <v>82.947368421099995</v>
      </c>
      <c r="DN64">
        <v>7</v>
      </c>
      <c r="DO64">
        <v>1</v>
      </c>
      <c r="DP64">
        <v>97.571428571400006</v>
      </c>
      <c r="DQ64">
        <v>2</v>
      </c>
    </row>
    <row r="65" spans="62:121" x14ac:dyDescent="0.2">
      <c r="BJ65" t="s">
        <v>613</v>
      </c>
      <c r="BK65" t="s">
        <v>380</v>
      </c>
      <c r="BL65">
        <v>3558</v>
      </c>
      <c r="BM65">
        <v>925</v>
      </c>
      <c r="BN65">
        <v>103.5573355818</v>
      </c>
      <c r="BO65">
        <v>1701</v>
      </c>
      <c r="BP65">
        <v>490</v>
      </c>
      <c r="BQ65">
        <v>164.7301587302</v>
      </c>
      <c r="BR65">
        <v>185.66530612240001</v>
      </c>
      <c r="BS65">
        <v>3370</v>
      </c>
      <c r="BT65">
        <v>795</v>
      </c>
      <c r="BU65">
        <v>104.7255192878</v>
      </c>
      <c r="BV65">
        <v>1825</v>
      </c>
      <c r="BW65">
        <v>493</v>
      </c>
      <c r="BX65">
        <v>184.27726027400001</v>
      </c>
      <c r="BY65">
        <v>206.9290060852</v>
      </c>
      <c r="CA65" t="s">
        <v>383</v>
      </c>
      <c r="CB65" t="s">
        <v>915</v>
      </c>
      <c r="CC65" t="s">
        <v>1029</v>
      </c>
      <c r="CD65">
        <v>8988</v>
      </c>
      <c r="CE65">
        <v>2458</v>
      </c>
      <c r="CF65">
        <v>101.3511348465</v>
      </c>
      <c r="CG65">
        <v>6709</v>
      </c>
      <c r="CH65">
        <v>2018</v>
      </c>
      <c r="CI65">
        <v>134.2259651215</v>
      </c>
      <c r="CJ65">
        <v>136.32061446980001</v>
      </c>
      <c r="CL65" t="s">
        <v>383</v>
      </c>
      <c r="CM65" t="s">
        <v>900</v>
      </c>
      <c r="CN65" t="s">
        <v>905</v>
      </c>
      <c r="CO65">
        <v>709</v>
      </c>
      <c r="CP65">
        <v>82</v>
      </c>
      <c r="CQ65">
        <v>69.796897038099999</v>
      </c>
      <c r="CR65">
        <v>756</v>
      </c>
      <c r="CS65">
        <v>223</v>
      </c>
      <c r="CT65">
        <v>82.386243386199993</v>
      </c>
      <c r="CU65">
        <v>83.506726457400006</v>
      </c>
      <c r="CW65" t="s">
        <v>383</v>
      </c>
      <c r="CX65" t="s">
        <v>908</v>
      </c>
      <c r="CY65" t="s">
        <v>913</v>
      </c>
      <c r="CZ65">
        <v>276</v>
      </c>
      <c r="DA65">
        <v>77</v>
      </c>
      <c r="DB65">
        <v>100.27173913039999</v>
      </c>
      <c r="DC65">
        <v>110</v>
      </c>
      <c r="DD65">
        <v>40</v>
      </c>
      <c r="DE65">
        <v>150.46363636359999</v>
      </c>
      <c r="DF65">
        <v>151.15</v>
      </c>
      <c r="DH65" t="s">
        <v>383</v>
      </c>
      <c r="DI65" t="s">
        <v>892</v>
      </c>
      <c r="DJ65" t="s">
        <v>897</v>
      </c>
      <c r="DK65">
        <v>293</v>
      </c>
      <c r="DL65">
        <v>62</v>
      </c>
      <c r="DM65">
        <v>94.2320819113</v>
      </c>
      <c r="DN65">
        <v>109</v>
      </c>
      <c r="DO65">
        <v>32</v>
      </c>
      <c r="DP65">
        <v>133.36697247710001</v>
      </c>
      <c r="DQ65">
        <v>142.34375</v>
      </c>
    </row>
    <row r="66" spans="62:121" x14ac:dyDescent="0.2">
      <c r="BJ66" t="s">
        <v>380</v>
      </c>
      <c r="BK66" t="s">
        <v>380</v>
      </c>
      <c r="BL66">
        <v>71056</v>
      </c>
      <c r="BM66">
        <v>16780</v>
      </c>
      <c r="BN66">
        <v>97.578670344499997</v>
      </c>
      <c r="BO66">
        <v>51726</v>
      </c>
      <c r="BP66">
        <v>15809</v>
      </c>
      <c r="BQ66">
        <v>146.0833043344</v>
      </c>
      <c r="BR66">
        <v>145.82117781010001</v>
      </c>
      <c r="BS66">
        <v>69735</v>
      </c>
      <c r="BT66">
        <v>15181</v>
      </c>
      <c r="BU66">
        <v>96.306402810600005</v>
      </c>
      <c r="BV66">
        <v>47988</v>
      </c>
      <c r="BW66">
        <v>14533</v>
      </c>
      <c r="BX66">
        <v>144.75406351589999</v>
      </c>
      <c r="BY66">
        <v>143.3825087731</v>
      </c>
      <c r="CA66" t="s">
        <v>384</v>
      </c>
      <c r="CB66" t="s">
        <v>915</v>
      </c>
      <c r="CC66" t="s">
        <v>1030</v>
      </c>
      <c r="CD66">
        <v>9507</v>
      </c>
      <c r="CE66">
        <v>1942</v>
      </c>
      <c r="CF66">
        <v>90.713474282099995</v>
      </c>
      <c r="CG66">
        <v>7138</v>
      </c>
      <c r="CH66">
        <v>2218</v>
      </c>
      <c r="CI66">
        <v>129.7684225273</v>
      </c>
      <c r="CJ66">
        <v>126.8345356177</v>
      </c>
      <c r="CL66" t="s">
        <v>384</v>
      </c>
      <c r="CM66" t="s">
        <v>900</v>
      </c>
      <c r="CN66" t="s">
        <v>906</v>
      </c>
      <c r="CO66">
        <v>688</v>
      </c>
      <c r="CP66">
        <v>81</v>
      </c>
      <c r="CQ66">
        <v>71.203488372099997</v>
      </c>
      <c r="CR66">
        <v>976</v>
      </c>
      <c r="CS66">
        <v>318</v>
      </c>
      <c r="CT66">
        <v>64.016393442600005</v>
      </c>
      <c r="CU66">
        <v>73.361635220099998</v>
      </c>
      <c r="CW66" t="s">
        <v>384</v>
      </c>
      <c r="CX66" t="s">
        <v>908</v>
      </c>
      <c r="CY66" t="s">
        <v>914</v>
      </c>
      <c r="CZ66">
        <v>274</v>
      </c>
      <c r="DA66">
        <v>61</v>
      </c>
      <c r="DB66">
        <v>88.306569343099994</v>
      </c>
      <c r="DC66">
        <v>88</v>
      </c>
      <c r="DD66">
        <v>26</v>
      </c>
      <c r="DE66">
        <v>146.625</v>
      </c>
      <c r="DF66">
        <v>163.0384615385</v>
      </c>
      <c r="DH66" t="s">
        <v>384</v>
      </c>
      <c r="DI66" t="s">
        <v>892</v>
      </c>
      <c r="DJ66" t="s">
        <v>898</v>
      </c>
      <c r="DK66">
        <v>439</v>
      </c>
      <c r="DL66">
        <v>78</v>
      </c>
      <c r="DM66">
        <v>87.772209567199994</v>
      </c>
      <c r="DN66">
        <v>213</v>
      </c>
      <c r="DO66">
        <v>84</v>
      </c>
      <c r="DP66">
        <v>141.76525821600001</v>
      </c>
      <c r="DQ66">
        <v>141.15476190480001</v>
      </c>
    </row>
    <row r="67" spans="62:121" x14ac:dyDescent="0.2">
      <c r="BJ67" t="s">
        <v>541</v>
      </c>
      <c r="BK67" t="s">
        <v>380</v>
      </c>
      <c r="BL67">
        <v>20759</v>
      </c>
      <c r="BM67">
        <v>5224</v>
      </c>
      <c r="BN67">
        <v>100.8043740065</v>
      </c>
      <c r="BO67">
        <v>16333</v>
      </c>
      <c r="BP67">
        <v>5281</v>
      </c>
      <c r="BQ67">
        <v>150.54227637299999</v>
      </c>
      <c r="BR67">
        <v>145.35883355429999</v>
      </c>
      <c r="BS67">
        <v>19194</v>
      </c>
      <c r="BT67">
        <v>3755</v>
      </c>
      <c r="BU67">
        <v>89.931384807800001</v>
      </c>
      <c r="BV67">
        <v>14315</v>
      </c>
      <c r="BW67">
        <v>4669</v>
      </c>
      <c r="BX67">
        <v>137.74893468389999</v>
      </c>
      <c r="BY67">
        <v>131.5076033412</v>
      </c>
      <c r="CA67" t="s">
        <v>380</v>
      </c>
      <c r="CB67" t="s">
        <v>915</v>
      </c>
      <c r="CD67">
        <v>72786</v>
      </c>
      <c r="CE67">
        <v>16892</v>
      </c>
      <c r="CF67">
        <v>96.646511691800001</v>
      </c>
      <c r="CG67">
        <v>55358</v>
      </c>
      <c r="CH67">
        <v>16817</v>
      </c>
      <c r="CI67">
        <v>140.6060009393</v>
      </c>
      <c r="CJ67">
        <v>140.1200570851</v>
      </c>
      <c r="CL67" t="s">
        <v>380</v>
      </c>
      <c r="CM67" t="s">
        <v>900</v>
      </c>
      <c r="CO67">
        <v>6600</v>
      </c>
      <c r="CP67">
        <v>655</v>
      </c>
      <c r="CQ67">
        <v>68.430151515199995</v>
      </c>
      <c r="CR67">
        <v>7334</v>
      </c>
      <c r="CS67">
        <v>2303</v>
      </c>
      <c r="CT67">
        <v>76.724706844799996</v>
      </c>
      <c r="CU67">
        <v>81.910117238400005</v>
      </c>
      <c r="CW67" t="s">
        <v>380</v>
      </c>
      <c r="CX67" t="s">
        <v>908</v>
      </c>
      <c r="CZ67">
        <v>2243</v>
      </c>
      <c r="DA67">
        <v>526</v>
      </c>
      <c r="DB67">
        <v>92.296477931300004</v>
      </c>
      <c r="DC67">
        <v>826</v>
      </c>
      <c r="DD67">
        <v>266</v>
      </c>
      <c r="DE67">
        <v>149.42615012109999</v>
      </c>
      <c r="DF67">
        <v>153.4135338346</v>
      </c>
      <c r="DH67" t="s">
        <v>380</v>
      </c>
      <c r="DI67" t="s">
        <v>892</v>
      </c>
      <c r="DK67">
        <v>2697</v>
      </c>
      <c r="DL67">
        <v>578</v>
      </c>
      <c r="DM67">
        <v>92.2143121987</v>
      </c>
      <c r="DN67">
        <v>1234</v>
      </c>
      <c r="DO67">
        <v>441</v>
      </c>
      <c r="DP67">
        <v>139.32009724470001</v>
      </c>
      <c r="DQ67">
        <v>143.0136054422</v>
      </c>
    </row>
    <row r="68" spans="62:121" x14ac:dyDescent="0.2">
      <c r="BJ68" t="s">
        <v>307</v>
      </c>
      <c r="BK68" t="s">
        <v>695</v>
      </c>
      <c r="BL68">
        <v>9377</v>
      </c>
      <c r="BM68">
        <v>1454</v>
      </c>
      <c r="BN68">
        <v>85.881731897199998</v>
      </c>
      <c r="BO68">
        <v>4302</v>
      </c>
      <c r="BP68">
        <v>1441</v>
      </c>
      <c r="BQ68">
        <v>129.60018596</v>
      </c>
      <c r="BR68">
        <v>136.3719639139</v>
      </c>
      <c r="BS68">
        <v>1128</v>
      </c>
      <c r="BT68">
        <v>729</v>
      </c>
      <c r="BU68">
        <v>121.80319148940001</v>
      </c>
      <c r="BV68">
        <v>543</v>
      </c>
      <c r="BW68">
        <v>306</v>
      </c>
      <c r="BX68">
        <v>110.3664825046</v>
      </c>
      <c r="BY68">
        <v>127.3300653595</v>
      </c>
      <c r="CA68" t="s">
        <v>698</v>
      </c>
      <c r="CD68">
        <v>361973</v>
      </c>
      <c r="CE68">
        <v>74348</v>
      </c>
      <c r="CF68">
        <v>92.097628828699996</v>
      </c>
      <c r="CG68">
        <v>290519</v>
      </c>
      <c r="CH68">
        <v>86880</v>
      </c>
      <c r="CI68">
        <v>128.25655464869999</v>
      </c>
      <c r="CJ68">
        <v>128.4278314917</v>
      </c>
      <c r="CL68" t="s">
        <v>698</v>
      </c>
      <c r="CO68">
        <v>361973</v>
      </c>
      <c r="CP68">
        <v>74348</v>
      </c>
      <c r="CQ68">
        <v>92.097628828699996</v>
      </c>
      <c r="CR68">
        <v>290519</v>
      </c>
      <c r="CS68">
        <v>86880</v>
      </c>
      <c r="CT68">
        <v>128.25655464869999</v>
      </c>
      <c r="CU68">
        <v>128.4278314917</v>
      </c>
      <c r="CW68" t="s">
        <v>698</v>
      </c>
      <c r="CZ68">
        <v>361973</v>
      </c>
      <c r="DA68">
        <v>74348</v>
      </c>
      <c r="DB68">
        <v>92.097628828699996</v>
      </c>
      <c r="DC68">
        <v>290519</v>
      </c>
      <c r="DD68">
        <v>86880</v>
      </c>
      <c r="DE68">
        <v>128.25655464869999</v>
      </c>
      <c r="DF68">
        <v>128.4278314917</v>
      </c>
      <c r="DH68" t="s">
        <v>698</v>
      </c>
      <c r="DK68">
        <v>361973</v>
      </c>
      <c r="DL68">
        <v>74348</v>
      </c>
      <c r="DM68">
        <v>92.097628828699996</v>
      </c>
      <c r="DN68">
        <v>290519</v>
      </c>
      <c r="DO68">
        <v>86880</v>
      </c>
      <c r="DP68">
        <v>128.25655464869999</v>
      </c>
      <c r="DQ68">
        <v>128.4278314917</v>
      </c>
    </row>
    <row r="69" spans="62:121" x14ac:dyDescent="0.2">
      <c r="BJ69" t="s">
        <v>214</v>
      </c>
      <c r="BK69" t="s">
        <v>695</v>
      </c>
      <c r="BL69">
        <v>68</v>
      </c>
      <c r="BM69">
        <v>7</v>
      </c>
      <c r="BN69">
        <v>94.735294117600006</v>
      </c>
      <c r="BO69">
        <v>38</v>
      </c>
      <c r="BP69">
        <v>9</v>
      </c>
      <c r="BQ69">
        <v>149.86842105260001</v>
      </c>
      <c r="BR69">
        <v>142</v>
      </c>
      <c r="BS69">
        <v>4386</v>
      </c>
      <c r="BT69">
        <v>406</v>
      </c>
      <c r="BU69">
        <v>78.588919288599996</v>
      </c>
      <c r="BV69">
        <v>2367</v>
      </c>
      <c r="BW69">
        <v>751</v>
      </c>
      <c r="BX69">
        <v>120.42585551329999</v>
      </c>
      <c r="BY69">
        <v>127.73235685749999</v>
      </c>
    </row>
    <row r="70" spans="62:121" x14ac:dyDescent="0.2">
      <c r="BJ70" t="s">
        <v>695</v>
      </c>
      <c r="BK70" t="s">
        <v>695</v>
      </c>
      <c r="BL70">
        <v>11242</v>
      </c>
      <c r="BM70">
        <v>1856</v>
      </c>
      <c r="BN70">
        <v>86.894324853200004</v>
      </c>
      <c r="BO70">
        <v>5396</v>
      </c>
      <c r="BP70">
        <v>1815</v>
      </c>
      <c r="BQ70">
        <v>132.08506300959999</v>
      </c>
      <c r="BR70">
        <v>137.42203856750001</v>
      </c>
      <c r="BS70">
        <v>11242</v>
      </c>
      <c r="BT70">
        <v>1856</v>
      </c>
      <c r="BU70">
        <v>86.894324853200004</v>
      </c>
      <c r="BV70">
        <v>5396</v>
      </c>
      <c r="BW70">
        <v>1815</v>
      </c>
      <c r="BX70">
        <v>132.08506300959999</v>
      </c>
      <c r="BY70">
        <v>137.42203856750001</v>
      </c>
    </row>
    <row r="71" spans="62:121" x14ac:dyDescent="0.2">
      <c r="BJ71" t="s">
        <v>216</v>
      </c>
      <c r="BK71" t="s">
        <v>695</v>
      </c>
      <c r="BL71">
        <v>1797</v>
      </c>
      <c r="BM71">
        <v>395</v>
      </c>
      <c r="BN71">
        <v>91.881469115200005</v>
      </c>
      <c r="BO71">
        <v>1056</v>
      </c>
      <c r="BP71">
        <v>365</v>
      </c>
      <c r="BQ71">
        <v>141.5681818182</v>
      </c>
      <c r="BR71">
        <v>141.4547945205</v>
      </c>
      <c r="BS71">
        <v>5728</v>
      </c>
      <c r="BT71">
        <v>721</v>
      </c>
      <c r="BU71">
        <v>86.379364525100002</v>
      </c>
      <c r="BV71">
        <v>2486</v>
      </c>
      <c r="BW71">
        <v>758</v>
      </c>
      <c r="BX71">
        <v>147.93000804510001</v>
      </c>
      <c r="BY71">
        <v>151.0963060686</v>
      </c>
    </row>
    <row r="72" spans="62:121" x14ac:dyDescent="0.2">
      <c r="BJ72" t="s">
        <v>212</v>
      </c>
      <c r="BK72" t="s">
        <v>696</v>
      </c>
      <c r="BL72">
        <v>6633</v>
      </c>
      <c r="BM72">
        <v>639</v>
      </c>
      <c r="BN72">
        <v>67.835670134200001</v>
      </c>
      <c r="BO72">
        <v>9377</v>
      </c>
      <c r="BP72">
        <v>3075</v>
      </c>
      <c r="BQ72">
        <v>68.194838434499999</v>
      </c>
      <c r="BR72">
        <v>73.185691056899998</v>
      </c>
      <c r="BS72">
        <v>6643</v>
      </c>
      <c r="BT72">
        <v>638</v>
      </c>
      <c r="BU72">
        <v>67.670781273499998</v>
      </c>
      <c r="BV72">
        <v>9411</v>
      </c>
      <c r="BW72">
        <v>3082</v>
      </c>
      <c r="BX72">
        <v>68.368504940999998</v>
      </c>
      <c r="BY72">
        <v>73.2057105775</v>
      </c>
    </row>
    <row r="73" spans="62:121" x14ac:dyDescent="0.2">
      <c r="BJ73" t="s">
        <v>227</v>
      </c>
      <c r="BK73" t="s">
        <v>696</v>
      </c>
      <c r="BL73">
        <v>638</v>
      </c>
      <c r="BM73">
        <v>297</v>
      </c>
      <c r="BN73">
        <v>167.75548589339999</v>
      </c>
      <c r="BO73">
        <v>1221</v>
      </c>
      <c r="BP73">
        <v>349</v>
      </c>
      <c r="BQ73">
        <v>51.891891891900002</v>
      </c>
      <c r="BR73">
        <v>54.550143266500001</v>
      </c>
      <c r="BS73">
        <v>557</v>
      </c>
      <c r="BT73">
        <v>291</v>
      </c>
      <c r="BU73">
        <v>184.51166965889999</v>
      </c>
      <c r="BV73">
        <v>1042</v>
      </c>
      <c r="BW73">
        <v>308</v>
      </c>
      <c r="BX73">
        <v>40.116122840700001</v>
      </c>
      <c r="BY73">
        <v>47.441558441600002</v>
      </c>
    </row>
    <row r="74" spans="62:121" x14ac:dyDescent="0.2">
      <c r="BJ74" t="s">
        <v>213</v>
      </c>
      <c r="BK74" t="s">
        <v>696</v>
      </c>
      <c r="BL74">
        <v>11607</v>
      </c>
      <c r="BM74">
        <v>991</v>
      </c>
      <c r="BN74">
        <v>65.869906091199994</v>
      </c>
      <c r="BO74">
        <v>10648</v>
      </c>
      <c r="BP74">
        <v>3381</v>
      </c>
      <c r="BQ74">
        <v>83.067618332099997</v>
      </c>
      <c r="BR74">
        <v>86.386867790599993</v>
      </c>
      <c r="BS74">
        <v>11658</v>
      </c>
      <c r="BT74">
        <v>1006</v>
      </c>
      <c r="BU74">
        <v>66.046405901499995</v>
      </c>
      <c r="BV74">
        <v>10717</v>
      </c>
      <c r="BW74">
        <v>3399</v>
      </c>
      <c r="BX74">
        <v>83.566203228500001</v>
      </c>
      <c r="BY74">
        <v>86.772285966499993</v>
      </c>
    </row>
    <row r="75" spans="62:121" x14ac:dyDescent="0.2">
      <c r="BJ75" t="s">
        <v>215</v>
      </c>
      <c r="BK75" t="s">
        <v>696</v>
      </c>
      <c r="BL75">
        <v>7531</v>
      </c>
      <c r="BM75">
        <v>522</v>
      </c>
      <c r="BN75">
        <v>58.1349090426</v>
      </c>
      <c r="BO75">
        <v>12660</v>
      </c>
      <c r="BP75">
        <v>3549</v>
      </c>
      <c r="BQ75">
        <v>65.453633491299996</v>
      </c>
      <c r="BR75">
        <v>68.443223443199997</v>
      </c>
      <c r="BS75">
        <v>7551</v>
      </c>
      <c r="BT75">
        <v>514</v>
      </c>
      <c r="BU75">
        <v>57.882267249400002</v>
      </c>
      <c r="BV75">
        <v>12736</v>
      </c>
      <c r="BW75">
        <v>3565</v>
      </c>
      <c r="BX75">
        <v>65.575847989899998</v>
      </c>
      <c r="BY75">
        <v>68.412903225799994</v>
      </c>
    </row>
    <row r="76" spans="62:121" x14ac:dyDescent="0.2">
      <c r="BJ76" t="s">
        <v>696</v>
      </c>
      <c r="BK76" t="s">
        <v>696</v>
      </c>
      <c r="BL76">
        <v>26409</v>
      </c>
      <c r="BM76">
        <v>2449</v>
      </c>
      <c r="BN76">
        <v>66.619258586100003</v>
      </c>
      <c r="BO76">
        <v>33906</v>
      </c>
      <c r="BP76">
        <v>10354</v>
      </c>
      <c r="BQ76">
        <v>71.254940128599998</v>
      </c>
      <c r="BR76">
        <v>75.242708132100006</v>
      </c>
      <c r="BS76">
        <v>26409</v>
      </c>
      <c r="BT76">
        <v>2449</v>
      </c>
      <c r="BU76">
        <v>66.619258586100003</v>
      </c>
      <c r="BV76">
        <v>33906</v>
      </c>
      <c r="BW76">
        <v>10354</v>
      </c>
      <c r="BX76">
        <v>71.254940128599998</v>
      </c>
      <c r="BY76">
        <v>75.242708132100006</v>
      </c>
    </row>
    <row r="77" spans="62:121" x14ac:dyDescent="0.2">
      <c r="BJ77" t="s">
        <v>306</v>
      </c>
      <c r="BK77" t="s">
        <v>697</v>
      </c>
      <c r="BL77">
        <v>6997</v>
      </c>
      <c r="BM77">
        <v>1237</v>
      </c>
      <c r="BN77">
        <v>85.701157639000002</v>
      </c>
      <c r="BO77">
        <v>2632</v>
      </c>
      <c r="BP77">
        <v>891</v>
      </c>
      <c r="BQ77">
        <v>141.5915653495</v>
      </c>
      <c r="BR77">
        <v>147.67676767680001</v>
      </c>
      <c r="BS77">
        <v>344</v>
      </c>
      <c r="BT77">
        <v>48</v>
      </c>
      <c r="BU77">
        <v>61.936046511599997</v>
      </c>
      <c r="BV77">
        <v>127</v>
      </c>
      <c r="BW77">
        <v>46</v>
      </c>
      <c r="BX77">
        <v>121.71653543310001</v>
      </c>
      <c r="BY77">
        <v>129.41304347830001</v>
      </c>
    </row>
    <row r="78" spans="62:121" x14ac:dyDescent="0.2">
      <c r="BJ78" t="s">
        <v>956</v>
      </c>
      <c r="BK78" t="s">
        <v>697</v>
      </c>
      <c r="BL78">
        <v>1706</v>
      </c>
      <c r="BM78">
        <v>206</v>
      </c>
      <c r="BN78">
        <v>84.494138335299994</v>
      </c>
      <c r="BO78">
        <v>1023</v>
      </c>
      <c r="BP78">
        <v>314</v>
      </c>
      <c r="BQ78">
        <v>122.4467253177</v>
      </c>
      <c r="BR78">
        <v>132.03503184709999</v>
      </c>
      <c r="BS78">
        <v>4655</v>
      </c>
      <c r="BT78">
        <v>478</v>
      </c>
      <c r="BU78">
        <v>80.025134264200005</v>
      </c>
      <c r="BV78">
        <v>2250</v>
      </c>
      <c r="BW78">
        <v>726</v>
      </c>
      <c r="BX78">
        <v>124.8102222222</v>
      </c>
      <c r="BY78">
        <v>134.1831955923</v>
      </c>
    </row>
    <row r="79" spans="62:121" x14ac:dyDescent="0.2">
      <c r="BJ79" t="s">
        <v>697</v>
      </c>
      <c r="BK79" t="s">
        <v>697</v>
      </c>
      <c r="BL79">
        <v>10477</v>
      </c>
      <c r="BM79">
        <v>1844</v>
      </c>
      <c r="BN79">
        <v>86.1505201871</v>
      </c>
      <c r="BO79">
        <v>4458</v>
      </c>
      <c r="BP79">
        <v>1452</v>
      </c>
      <c r="BQ79">
        <v>138.9295648273</v>
      </c>
      <c r="BR79">
        <v>145.5282369146</v>
      </c>
      <c r="BS79">
        <v>10477</v>
      </c>
      <c r="BT79">
        <v>1844</v>
      </c>
      <c r="BU79">
        <v>86.1505201871</v>
      </c>
      <c r="BV79">
        <v>4458</v>
      </c>
      <c r="BW79">
        <v>1452</v>
      </c>
      <c r="BX79">
        <v>138.9295648273</v>
      </c>
      <c r="BY79">
        <v>145.5282369146</v>
      </c>
    </row>
    <row r="80" spans="62:121" x14ac:dyDescent="0.2">
      <c r="BJ80" t="s">
        <v>957</v>
      </c>
      <c r="BK80" t="s">
        <v>697</v>
      </c>
      <c r="BL80">
        <v>1774</v>
      </c>
      <c r="BM80">
        <v>401</v>
      </c>
      <c r="BN80">
        <v>89.515783540000001</v>
      </c>
      <c r="BO80">
        <v>803</v>
      </c>
      <c r="BP80">
        <v>247</v>
      </c>
      <c r="BQ80">
        <v>151.20298879200001</v>
      </c>
      <c r="BR80">
        <v>154.93117408910001</v>
      </c>
      <c r="BS80">
        <v>5478</v>
      </c>
      <c r="BT80">
        <v>1318</v>
      </c>
      <c r="BU80">
        <v>92.876232201500002</v>
      </c>
      <c r="BV80">
        <v>2081</v>
      </c>
      <c r="BW80">
        <v>680</v>
      </c>
      <c r="BX80">
        <v>155.24603555979999</v>
      </c>
      <c r="BY80">
        <v>158.73088235290001</v>
      </c>
    </row>
    <row r="81" spans="62:77" x14ac:dyDescent="0.2">
      <c r="BJ81" t="s">
        <v>698</v>
      </c>
      <c r="BL81">
        <v>361973</v>
      </c>
      <c r="BM81">
        <v>74348</v>
      </c>
      <c r="BN81" s="153">
        <v>92.097628828699996</v>
      </c>
      <c r="BO81">
        <v>290519</v>
      </c>
      <c r="BP81">
        <v>86880</v>
      </c>
      <c r="BQ81">
        <v>128.25655464869999</v>
      </c>
      <c r="BR81">
        <v>128.4278314917</v>
      </c>
      <c r="BS81">
        <v>361973</v>
      </c>
      <c r="BT81">
        <v>74348</v>
      </c>
      <c r="BU81">
        <v>92.097628828699996</v>
      </c>
      <c r="BV81">
        <v>290519</v>
      </c>
      <c r="BW81">
        <v>86880</v>
      </c>
      <c r="BX81">
        <v>128.25655464869999</v>
      </c>
      <c r="BY81">
        <v>128.4278314917</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361973</CP_Inventory>
    <Fiscal_Year xmlns="c9744be7-b815-40bc-84fa-afc9c406d9bc">2016</Fiscal_Year>
    <CP_Backlog xmlns="c9744be7-b815-40bc-84fa-afc9c406d9bc">74348</CP_Backlog>
    <Creation_date xmlns="c9744be7-b815-40bc-84fa-afc9c406d9bc">2015-12-28T23:00:00</Creation_date>
    <Data_date xmlns="c9744be7-b815-40bc-84fa-afc9c406d9bc">2015-12-26T23:00:00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http://purl.org/dc/elements/1.1/"/>
    <ds:schemaRef ds:uri="c9744be7-b815-40bc-84fa-afc9c406d9bc"/>
    <ds:schemaRef ds:uri="fef9c9dc-374b-4157-9e06-089f148416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26,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2015-12-28T13:57:45Z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