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30" yWindow="75" windowWidth="22470" windowHeight="132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(TA)'!$A$1:$P$45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O12" i="35" l="1"/>
  <c r="C12" i="35"/>
  <c r="N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N18" i="35"/>
  <c r="N17" i="35"/>
  <c r="O11" i="35"/>
  <c r="O10" i="35"/>
  <c r="O9" i="35"/>
  <c r="O8" i="35"/>
  <c r="M12" i="35"/>
  <c r="M11" i="35"/>
  <c r="M10" i="35"/>
  <c r="M9" i="35"/>
  <c r="M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M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I12" i="35" l="1"/>
  <c r="H12" i="35"/>
  <c r="D35" i="35"/>
  <c r="C35" i="35"/>
  <c r="I26" i="35"/>
  <c r="H26" i="35"/>
  <c r="I25" i="35"/>
  <c r="H25" i="35"/>
  <c r="I24" i="35"/>
  <c r="H24" i="35"/>
  <c r="I23" i="35"/>
  <c r="H23" i="35"/>
  <c r="I21" i="35"/>
  <c r="H21" i="35"/>
  <c r="I20" i="35"/>
  <c r="H20" i="35"/>
  <c r="I19" i="35"/>
  <c r="H19" i="35"/>
  <c r="I17" i="35"/>
  <c r="H17" i="35"/>
  <c r="I16" i="35"/>
  <c r="H16" i="35"/>
  <c r="I15" i="35"/>
  <c r="H15" i="35"/>
  <c r="I14" i="35"/>
  <c r="H14" i="35"/>
  <c r="I13" i="35"/>
  <c r="H13" i="35"/>
  <c r="I10" i="35"/>
  <c r="H10" i="35"/>
  <c r="I9" i="35"/>
  <c r="H9" i="35"/>
  <c r="I8" i="35"/>
  <c r="H8" i="35"/>
  <c r="D44" i="35"/>
  <c r="C44" i="35"/>
  <c r="D43" i="35"/>
  <c r="C43" i="35"/>
  <c r="D42" i="35"/>
  <c r="C42" i="35"/>
  <c r="D41" i="35"/>
  <c r="C41" i="35"/>
  <c r="D40" i="35"/>
  <c r="C40" i="35"/>
  <c r="D37" i="35"/>
  <c r="C37" i="35"/>
  <c r="D34" i="35"/>
  <c r="C34" i="35"/>
  <c r="D33" i="35"/>
  <c r="C33" i="35"/>
  <c r="D32" i="35"/>
  <c r="C32" i="35"/>
  <c r="D31" i="35"/>
  <c r="C31" i="35"/>
  <c r="D29" i="35"/>
  <c r="C29" i="35"/>
  <c r="D28" i="35"/>
  <c r="C28" i="35"/>
  <c r="D27" i="35"/>
  <c r="C27" i="35"/>
  <c r="D26" i="35"/>
  <c r="C26" i="35"/>
  <c r="D25" i="35"/>
  <c r="C25" i="35"/>
  <c r="D24" i="35"/>
  <c r="C24" i="35"/>
  <c r="D23" i="35"/>
  <c r="C23" i="35"/>
  <c r="D21" i="35"/>
  <c r="C21" i="35"/>
  <c r="D20" i="35"/>
  <c r="C20" i="35"/>
  <c r="D19" i="35"/>
  <c r="C19" i="35"/>
  <c r="D18" i="35"/>
  <c r="C18" i="35"/>
  <c r="D17" i="35"/>
  <c r="C17" i="35"/>
  <c r="D16" i="35"/>
  <c r="C16" i="35"/>
  <c r="D15" i="35"/>
  <c r="C15" i="35"/>
  <c r="D13" i="35"/>
  <c r="C13" i="35"/>
  <c r="D12" i="35"/>
  <c r="E12" i="35" s="1"/>
  <c r="D10" i="35"/>
  <c r="C10" i="35"/>
  <c r="D9" i="35"/>
  <c r="C9" i="35"/>
  <c r="D8" i="35"/>
  <c r="C8" i="35"/>
  <c r="J14" i="35" l="1"/>
  <c r="J16" i="35"/>
  <c r="E34" i="35"/>
  <c r="E40" i="35"/>
  <c r="E42" i="35"/>
  <c r="J9" i="35"/>
  <c r="J20" i="35"/>
  <c r="J23" i="35"/>
  <c r="E21" i="35"/>
  <c r="J12" i="35"/>
  <c r="E13" i="35"/>
  <c r="E16" i="35"/>
  <c r="E18" i="35"/>
  <c r="E20" i="35"/>
  <c r="E23" i="35"/>
  <c r="E25" i="35"/>
  <c r="E27" i="35"/>
  <c r="E29" i="35"/>
  <c r="E32" i="35"/>
  <c r="E33" i="35"/>
  <c r="E15" i="35"/>
  <c r="J25" i="35"/>
  <c r="E17" i="35"/>
  <c r="E19" i="35"/>
  <c r="E24" i="35"/>
  <c r="E26" i="35"/>
  <c r="E28" i="35"/>
  <c r="E31" i="35"/>
  <c r="E10" i="35"/>
  <c r="E8" i="35"/>
  <c r="E9" i="35"/>
  <c r="E35" i="35"/>
  <c r="E44" i="35"/>
  <c r="J13" i="35"/>
  <c r="J15" i="35"/>
  <c r="J17" i="35"/>
  <c r="E37" i="35"/>
  <c r="E41" i="35"/>
  <c r="E43" i="35"/>
  <c r="J8" i="35"/>
  <c r="J10" i="35"/>
  <c r="J19" i="35"/>
  <c r="J21" i="35"/>
  <c r="J24" i="35"/>
  <c r="J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H22" i="35"/>
  <c r="J11" i="7"/>
  <c r="J15" i="7"/>
  <c r="I22" i="35"/>
  <c r="H7" i="35"/>
  <c r="C7" i="35"/>
  <c r="J13" i="7"/>
  <c r="C14" i="35"/>
  <c r="D14" i="35"/>
  <c r="H10" i="7"/>
  <c r="J16" i="7"/>
  <c r="H18" i="35"/>
  <c r="J14" i="7"/>
  <c r="D11" i="35"/>
  <c r="J12" i="7"/>
  <c r="C11" i="35"/>
  <c r="C30" i="35"/>
  <c r="D36" i="35"/>
  <c r="C36" i="35"/>
  <c r="C22" i="35"/>
  <c r="D30" i="35"/>
  <c r="I7" i="35"/>
  <c r="I18" i="35"/>
  <c r="J6" i="7"/>
  <c r="I10" i="7"/>
  <c r="I11" i="35"/>
  <c r="H5" i="7"/>
  <c r="D22" i="35"/>
  <c r="I5" i="7"/>
  <c r="H11" i="35"/>
  <c r="D7" i="35"/>
  <c r="E22" i="35" l="1"/>
  <c r="E30" i="35"/>
  <c r="E7" i="35"/>
  <c r="J22" i="35"/>
  <c r="J7" i="35"/>
  <c r="J18" i="35"/>
  <c r="J11" i="35"/>
  <c r="E36" i="35"/>
  <c r="E11" i="35"/>
  <c r="E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<sst xmlns="http://schemas.openxmlformats.org/spreadsheetml/2006/main" count="4076" uniqueCount="1065">
  <si>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</si>
  <si>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</si>
  <si>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</si>
  <si>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</si>
  <si>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</si>
  <si>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</si>
  <si>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</si>
  <si>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</si>
  <si>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</si>
  <si>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</si>
  <si>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</si>
  <si>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</si>
  <si>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</si>
  <si>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</si>
  <si>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</si>
  <si>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</si>
  <si>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</si>
  <si>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</si>
  <si>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</si>
  <si>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</si>
  <si>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</si>
  <si>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</si>
  <si>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</si>
  <si>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</si>
  <si>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</si>
  <si>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</si>
  <si>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</si>
  <si>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</si>
  <si>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</si>
  <si>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</si>
  <si>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</si>
  <si>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</si>
  <si>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</si>
  <si>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</si>
  <si>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</si>
  <si>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</si>
  <si>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</si>
  <si>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</si>
  <si>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</si>
  <si>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</si>
  <si>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</si>
  <si>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</si>
  <si>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</si>
  <si>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</si>
  <si>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</si>
  <si>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</si>
  <si>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</si>
  <si>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</si>
  <si>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</si>
  <si>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</si>
  <si>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</si>
  <si>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</si>
  <si>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</si>
  <si>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</si>
  <si>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</si>
  <si>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</si>
  <si>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</si>
  <si>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</si>
  <si>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</si>
  <si>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</si>
  <si>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</si>
  <si>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</si>
  <si>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</si>
  <si>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</si>
  <si>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</si>
  <si>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</si>
  <si>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</si>
  <si>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</si>
  <si>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</si>
  <si>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</si>
  <si>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</si>
  <si>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</si>
  <si>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</si>
  <si>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</si>
  <si>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</si>
  <si>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</si>
  <si>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</si>
  <si>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</si>
  <si>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</si>
  <si>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</si>
  <si>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</si>
  <si>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</si>
  <si>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</si>
  <si>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</si>
  <si>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</si>
  <si>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</si>
  <si>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</si>
  <si>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</si>
  <si>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</si>
  <si>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</si>
  <si>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</si>
  <si>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</si>
  <si>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</si>
  <si>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</si>
  <si>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</si>
  <si>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</si>
  <si>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</si>
  <si>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</si>
  <si>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</si>
  <si>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</si>
  <si>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</si>
  <si>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</si>
  <si>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</si>
  <si>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</si>
  <si>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</si>
  <si>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</si>
  <si>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</si>
  <si>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</si>
  <si>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</si>
  <si>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</si>
  <si>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</si>
  <si>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</si>
  <si>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</si>
  <si>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</si>
  <si>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</si>
  <si>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</si>
  <si>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</si>
  <si>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</si>
  <si>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</si>
  <si>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</si>
  <si>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</si>
  <si>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</si>
  <si>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</si>
  <si>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</si>
  <si>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</si>
  <si>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</si>
  <si>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</si>
  <si>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</si>
  <si>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</si>
  <si>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</si>
  <si>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</si>
  <si>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</si>
  <si>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</si>
  <si>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</si>
  <si>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</si>
  <si>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</si>
  <si>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</si>
  <si>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</si>
  <si>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</si>
  <si>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</si>
  <si>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</si>
  <si>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</si>
  <si>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</si>
  <si>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</si>
  <si>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</si>
  <si>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</si>
  <si>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</si>
  <si>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</si>
  <si>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</si>
  <si>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</si>
  <si>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</si>
  <si>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</si>
  <si>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</si>
  <si>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</si>
  <si>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</si>
  <si>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</si>
  <si>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</si>
  <si>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</si>
  <si>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</si>
  <si>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</si>
  <si>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</si>
  <si>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</si>
  <si>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</si>
  <si>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</si>
  <si>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</si>
  <si>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</si>
  <si>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</si>
  <si>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</si>
  <si>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</si>
  <si>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</si>
  <si>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</si>
  <si>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</si>
  <si>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</si>
  <si>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</si>
  <si>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</si>
  <si>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</si>
  <si>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</si>
  <si>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</si>
  <si>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</si>
  <si>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</si>
  <si>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</si>
  <si>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</si>
  <si>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</si>
  <si>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</si>
  <si>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</si>
  <si>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</si>
  <si>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</si>
  <si>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</si>
  <si>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</si>
  <si>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</si>
  <si>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</si>
  <si>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</si>
  <si>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</si>
  <si>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</si>
  <si>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</si>
  <si>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</si>
  <si>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</si>
  <si>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</si>
  <si>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</si>
  <si>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</si>
  <si>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</si>
  <si>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</si>
  <si>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</si>
  <si>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</si>
  <si>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</si>
  <si>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</si>
  <si>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</si>
  <si>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</si>
  <si>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</si>
  <si>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</si>
  <si>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</si>
  <si>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</si>
  <si>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</si>
  <si>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</si>
  <si>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</si>
  <si>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</si>
  <si>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</si>
  <si>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</si>
  <si>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</si>
  <si>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</si>
  <si>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</si>
  <si>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</si>
  <si>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</si>
  <si>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</si>
  <si>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</si>
  <si>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</si>
  <si>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</si>
  <si>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</si>
  <si>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</si>
  <si>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</si>
  <si>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</si>
  <si>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</si>
  <si>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</si>
  <si>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</si>
  <si>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</si>
  <si>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</si>
  <si>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</si>
  <si>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</si>
  <si>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</si>
  <si>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</si>
  <si>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</si>
  <si>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</si>
  <si>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</si>
  <si>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</si>
  <si>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</si>
  <si>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</si>
  <si>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</si>
  <si>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</si>
  <si>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</si>
  <si>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</si>
  <si>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</si>
  <si>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</si>
  <si>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</si>
  <si>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</si>
  <si>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</si>
  <si>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</si>
  <si>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</si>
  <si>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</si>
  <si>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</si>
  <si>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</si>
  <si>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</si>
  <si>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</si>
  <si>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</si>
  <si>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</si>
  <si>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</si>
  <si>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</si>
  <si>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</si>
  <si>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</si>
  <si>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</si>
  <si>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</si>
  <si>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</si>
  <si>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</si>
  <si>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</si>
  <si>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</si>
  <si>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</si>
  <si>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</si>
  <si>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</si>
  <si>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</si>
  <si>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</si>
  <si>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</si>
  <si>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</si>
  <si>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</si>
  <si>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EP 314 - Income verification for unemployability</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</si>
  <si>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</si>
  <si>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</si>
  <si>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</si>
  <si>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</si>
  <si>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</si>
  <si>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</si>
  <si>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</si>
  <si>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</si>
  <si>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</si>
  <si>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</si>
  <si>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</si>
  <si>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</si>
  <si>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</si>
  <si>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</si>
  <si>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</si>
  <si>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</si>
  <si>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</si>
  <si>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</si>
  <si>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</si>
  <si>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</si>
  <si>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</si>
  <si>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</si>
  <si>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</si>
  <si>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</si>
  <si>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</si>
  <si>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</si>
  <si>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</si>
  <si>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</si>
  <si>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</si>
  <si>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</si>
  <si>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</si>
  <si>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</si>
  <si>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</si>
  <si>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</si>
  <si>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</si>
  <si>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</si>
  <si>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</si>
  <si>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</si>
  <si>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</si>
  <si>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</si>
  <si>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</si>
  <si>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</si>
  <si>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</si>
  <si>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</si>
  <si>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</si>
  <si>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</si>
  <si>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</si>
  <si>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</si>
  <si>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</si>
  <si>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</si>
  <si>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</si>
  <si>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</si>
  <si>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</si>
  <si>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</si>
  <si>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</si>
  <si>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</si>
  <si>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</si>
  <si>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</si>
  <si>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</si>
  <si>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</si>
  <si>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</si>
  <si>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</si>
  <si>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</si>
  <si>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</si>
  <si>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</si>
  <si>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</si>
  <si>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</si>
  <si>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</si>
  <si>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</si>
  <si>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</si>
  <si>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</si>
  <si>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</si>
  <si>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</si>
  <si>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</si>
  <si>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</si>
  <si>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</si>
  <si>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</si>
  <si>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</si>
  <si>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</si>
  <si>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</si>
  <si>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</si>
  <si>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</si>
  <si>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</si>
  <si>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</si>
  <si>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</si>
  <si>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</si>
  <si>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</si>
  <si>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</si>
  <si>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</si>
  <si>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</si>
  <si>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</si>
  <si>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</si>
  <si>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</si>
  <si>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</si>
  <si>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</si>
  <si>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</si>
  <si>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</si>
  <si>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</si>
  <si>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</si>
  <si>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</si>
  <si>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</si>
  <si>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</si>
  <si>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</si>
  <si>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</si>
  <si>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</si>
  <si>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</si>
  <si>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</si>
  <si>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</si>
  <si>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</si>
  <si>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</si>
  <si>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</si>
  <si>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</si>
  <si>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</si>
  <si>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</si>
  <si>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</si>
  <si>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</si>
  <si>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</si>
  <si>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</si>
  <si>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</si>
  <si>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</si>
  <si>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</si>
  <si>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</si>
  <si>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</si>
  <si>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</si>
  <si>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</si>
  <si>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</si>
  <si>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</si>
  <si>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</si>
  <si>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</si>
  <si>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</si>
  <si>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</si>
  <si>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</si>
  <si>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</si>
  <si>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</si>
  <si>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</si>
  <si>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</si>
  <si>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</si>
  <si>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</si>
  <si>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</si>
  <si>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</si>
  <si>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</si>
  <si>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</si>
  <si>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</si>
  <si>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</si>
  <si>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</si>
  <si>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</si>
  <si>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</si>
  <si>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</si>
  <si>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</si>
  <si>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</si>
  <si>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</si>
  <si>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</si>
  <si>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</si>
  <si>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</si>
  <si>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</si>
  <si>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</si>
  <si>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</si>
  <si>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</si>
  <si>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</si>
  <si>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</si>
  <si>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</si>
  <si>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</si>
  <si>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</si>
  <si>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</si>
  <si>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</si>
  <si>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</si>
  <si>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</si>
  <si>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</si>
  <si>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</si>
  <si>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</si>
  <si>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</si>
  <si>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</si>
  <si>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</si>
  <si>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</si>
  <si>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</si>
  <si>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</si>
  <si>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</si>
  <si>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</si>
  <si>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</si>
  <si>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</si>
  <si>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</si>
  <si>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</si>
  <si>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</si>
  <si>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</si>
  <si>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</si>
  <si>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</si>
  <si>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</si>
  <si>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</si>
  <si>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</si>
  <si>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</si>
  <si>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</si>
  <si>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</si>
  <si>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</si>
  <si>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</si>
  <si>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</si>
  <si>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</si>
  <si>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</si>
  <si>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</si>
  <si>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</si>
  <si>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</si>
  <si>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</si>
  <si>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</si>
  <si>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</si>
  <si>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</si>
  <si>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</si>
  <si>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</si>
  <si>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</si>
  <si>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</si>
  <si>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</si>
  <si>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</si>
  <si>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</si>
  <si>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</si>
  <si>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</si>
  <si>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</si>
  <si>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</si>
  <si>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</si>
  <si>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</si>
  <si>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</si>
  <si>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</si>
  <si>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</si>
  <si>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</si>
  <si>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</si>
  <si>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</si>
  <si>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</si>
  <si>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</si>
  <si>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</si>
  <si>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</si>
  <si>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</si>
  <si>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</si>
  <si>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</si>
  <si>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</si>
  <si>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</si>
  <si>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</si>
  <si>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</si>
  <si>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</si>
  <si>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</si>
  <si>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</si>
  <si>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</si>
  <si>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</si>
  <si>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</si>
  <si>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</si>
  <si>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</si>
  <si>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</si>
  <si>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</si>
  <si>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</si>
  <si>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</si>
  <si>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</si>
  <si>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</si>
  <si>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</si>
  <si>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</si>
  <si>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</si>
  <si>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</si>
  <si>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</si>
  <si>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</si>
  <si>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</si>
  <si>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</si>
  <si>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</si>
  <si>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</si>
  <si>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</si>
  <si>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</si>
  <si>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</si>
  <si>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</si>
  <si>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</si>
  <si>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</si>
  <si>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</si>
  <si>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</si>
  <si>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</si>
  <si>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</si>
  <si>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</si>
  <si>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</si>
  <si>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</si>
  <si>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</si>
  <si>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</si>
  <si>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</si>
  <si>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</si>
  <si>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</si>
  <si>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</si>
  <si>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</si>
  <si>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</si>
  <si>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</si>
  <si>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</si>
  <si>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</si>
  <si>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</si>
  <si>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</si>
  <si>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</si>
  <si>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</si>
  <si>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</si>
  <si>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</si>
  <si>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</si>
  <si>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</si>
  <si>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</si>
  <si>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</si>
  <si>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</si>
  <si>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</si>
  <si>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</si>
  <si>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</si>
  <si>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</si>
  <si>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</si>
  <si>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</si>
  <si>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</si>
  <si>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</si>
  <si>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</si>
  <si>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</si>
  <si>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</si>
  <si>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</si>
  <si>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</si>
  <si>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</si>
  <si>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</si>
  <si>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</si>
  <si>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</si>
  <si>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</si>
  <si>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</si>
  <si>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</si>
  <si>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</si>
  <si>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</si>
  <si>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</si>
  <si>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</si>
  <si>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</si>
  <si>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</si>
  <si>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</si>
  <si>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</si>
  <si>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</si>
  <si>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</si>
  <si>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</si>
  <si>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</si>
  <si>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</si>
  <si>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</si>
  <si>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</si>
  <si>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</si>
  <si>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</si>
  <si>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</si>
  <si>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</si>
  <si>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</si>
  <si>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</si>
  <si>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</si>
  <si>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</si>
  <si>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</si>
  <si>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</si>
  <si>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</si>
  <si>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</si>
  <si>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</si>
  <si>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</si>
  <si>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</si>
  <si>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</si>
  <si>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</si>
  <si>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</si>
  <si>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</si>
  <si>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</si>
  <si>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</si>
  <si>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</si>
  <si>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</si>
  <si>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</si>
  <si>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</si>
  <si>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</si>
  <si>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</si>
  <si>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</si>
  <si>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</si>
  <si>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</si>
  <si>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</si>
  <si>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</si>
  <si>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</si>
  <si>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</si>
  <si>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</si>
  <si>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</si>
  <si>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</si>
  <si>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</si>
  <si>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</si>
  <si>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</si>
  <si>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</si>
  <si>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</si>
  <si>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</si>
  <si>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</si>
  <si>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</si>
  <si>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</si>
  <si>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</si>
  <si>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</si>
  <si>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</si>
  <si>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</si>
  <si>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</si>
  <si>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</si>
  <si>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</si>
  <si>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</si>
  <si>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</si>
  <si>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</si>
  <si>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</si>
  <si>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</si>
  <si>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</si>
  <si>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</si>
  <si>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</si>
  <si>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</si>
  <si>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</si>
  <si>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</si>
  <si>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</si>
  <si>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</si>
  <si>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</si>
  <si>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</si>
  <si>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</si>
  <si>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</si>
  <si>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</si>
  <si>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</si>
  <si>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</si>
  <si>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</si>
  <si>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</si>
  <si>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</si>
  <si>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</si>
  <si>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</si>
  <si>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</si>
  <si>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</si>
  <si>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</si>
  <si>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</si>
  <si>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</si>
  <si>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</si>
  <si>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</si>
  <si>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</si>
  <si>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</si>
  <si>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</si>
  <si>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</si>
  <si>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</si>
  <si>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</si>
  <si>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</si>
  <si>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</si>
  <si>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</si>
  <si>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</si>
  <si>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</si>
  <si>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</si>
  <si>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</si>
  <si>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</si>
  <si>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</si>
  <si>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</si>
  <si>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</si>
  <si>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</si>
  <si>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</si>
  <si>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</si>
  <si>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</si>
  <si>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</si>
  <si>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</si>
  <si>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</si>
  <si>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</si>
  <si>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</si>
  <si>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</si>
  <si>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</si>
  <si>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</si>
  <si>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</si>
  <si>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</si>
  <si>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</si>
  <si>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</si>
  <si>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</si>
  <si>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</si>
  <si>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</si>
  <si>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</si>
  <si>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</si>
  <si>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</si>
  <si>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</si>
  <si>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</si>
  <si>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</si>
  <si>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</si>
  <si>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</si>
  <si>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</si>
  <si>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</si>
  <si>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</si>
  <si>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</si>
  <si>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</si>
  <si>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</si>
  <si>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</si>
  <si>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</si>
  <si>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</si>
  <si>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</si>
  <si>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</si>
  <si>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</si>
  <si>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</si>
  <si>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</si>
  <si>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</si>
  <si>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</si>
  <si>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</si>
  <si>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</si>
  <si>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</si>
  <si>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</si>
  <si>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</si>
  <si>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</si>
  <si>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</si>
  <si>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</si>
  <si>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</si>
  <si>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</si>
  <si>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</si>
  <si>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</si>
  <si>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</si>
  <si>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</si>
  <si>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</si>
  <si>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</si>
  <si>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</si>
  <si>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</si>
  <si>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</si>
  <si>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</si>
  <si>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</si>
  <si>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</si>
  <si>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</si>
  <si>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</si>
  <si>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</si>
  <si>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</si>
  <si>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</si>
  <si>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</si>
  <si>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</si>
  <si>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</si>
  <si>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</si>
  <si>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</si>
  <si>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</si>
  <si>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</si>
  <si>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</si>
  <si>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</si>
  <si>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</si>
  <si>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</si>
  <si>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</si>
  <si>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</si>
  <si>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</si>
  <si>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</si>
  <si>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</si>
  <si>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</si>
  <si>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</si>
  <si>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</si>
  <si>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</si>
  <si>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</si>
  <si>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</si>
  <si>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</si>
  <si>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</si>
  <si>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</si>
  <si>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</si>
  <si>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</si>
  <si>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</si>
  <si>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</si>
  <si>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</si>
  <si>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</si>
  <si>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</si>
  <si>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</si>
  <si>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</si>
  <si>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</si>
  <si>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</si>
  <si>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</si>
  <si>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</si>
  <si>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</si>
  <si>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</si>
  <si>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</si>
  <si>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</si>
  <si>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</si>
  <si>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</si>
  <si>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</si>
  <si>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</si>
  <si>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</si>
  <si>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</si>
  <si>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</si>
  <si>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</si>
  <si>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</si>
  <si>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</si>
  <si>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</si>
  <si>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</si>
  <si>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</si>
  <si>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</si>
  <si>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</si>
  <si>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</si>
  <si>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</si>
  <si>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</si>
  <si>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</si>
  <si>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</si>
  <si>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</si>
  <si>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</si>
  <si>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</si>
  <si>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</si>
  <si>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</si>
  <si>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</si>
  <si>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</si>
  <si>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</si>
  <si>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</si>
  <si>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</si>
  <si>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</si>
  <si>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</si>
  <si>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</si>
  <si>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</si>
  <si>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</si>
  <si>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</si>
  <si>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</si>
  <si>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</si>
  <si>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</si>
  <si>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</si>
  <si>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</si>
  <si>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</si>
  <si>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</si>
  <si>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</si>
  <si>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</si>
  <si>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</si>
  <si>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</si>
  <si>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</si>
  <si>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</si>
  <si>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</si>
  <si>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</si>
  <si>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</si>
  <si>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</si>
  <si>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</si>
  <si>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</si>
  <si>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</si>
  <si>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</si>
  <si>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</si>
  <si>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</si>
  <si>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</si>
  <si>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</si>
  <si>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</si>
  <si>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</si>
  <si>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</si>
  <si>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</si>
  <si>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</si>
  <si>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</si>
  <si>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</si>
  <si>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</si>
  <si>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</si>
  <si>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</si>
  <si>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</si>
  <si>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</si>
  <si>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</si>
  <si>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</si>
  <si>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</si>
  <si>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</si>
  <si>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</si>
  <si>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</si>
  <si>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</si>
  <si>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</si>
  <si>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</si>
  <si>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</si>
  <si>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</si>
  <si>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</si>
  <si>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</si>
  <si>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</si>
  <si>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</si>
  <si>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</si>
  <si>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</si>
  <si>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</si>
  <si>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</si>
  <si>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</si>
  <si>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</si>
  <si>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</si>
  <si>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</si>
  <si>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</si>
  <si>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</si>
  <si>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</si>
  <si>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</si>
  <si>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</si>
  <si>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</si>
  <si>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</si>
  <si>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</si>
  <si>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</si>
  <si>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</si>
  <si>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</si>
  <si>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</si>
  <si>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</si>
  <si>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</si>
  <si>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</si>
  <si>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</si>
  <si>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</si>
  <si>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</si>
  <si>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</si>
  <si>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</si>
  <si>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</si>
  <si>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</si>
  <si>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</si>
  <si>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</si>
  <si>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</si>
  <si>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</si>
  <si>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</si>
  <si>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</si>
  <si>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</si>
  <si>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</si>
  <si>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</si>
  <si>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</si>
  <si>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</si>
  <si>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</si>
  <si>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</si>
  <si>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</si>
  <si>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</si>
  <si>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</si>
  <si>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</si>
  <si>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</si>
  <si>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</si>
  <si>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</si>
  <si>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</si>
  <si>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</si>
  <si>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</si>
  <si>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</si>
  <si>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</si>
  <si>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</si>
  <si>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</si>
  <si>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</si>
  <si>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</si>
  <si>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</si>
  <si>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</si>
  <si>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</si>
  <si>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</si>
  <si>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</si>
  <si>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</si>
  <si>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</si>
  <si>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</si>
  <si>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</si>
  <si>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</si>
  <si>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</si>
  <si>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</si>
  <si>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</si>
  <si>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</si>
  <si>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</si>
  <si>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</si>
  <si>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</si>
  <si>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</si>
  <si>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</si>
  <si>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</si>
  <si>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</si>
  <si>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</si>
  <si>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</si>
  <si>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</si>
  <si>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</si>
  <si>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</si>
  <si>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</si>
  <si>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</si>
  <si>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</si>
  <si>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</si>
  <si>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</si>
  <si>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</si>
  <si>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</si>
  <si>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</si>
  <si>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</si>
  <si>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</si>
  <si>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</si>
  <si>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</si>
  <si>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</si>
  <si>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</si>
  <si>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</si>
  <si>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</si>
  <si>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</si>
  <si>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</si>
  <si>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</si>
  <si>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</si>
  <si>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</si>
  <si>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</si>
  <si>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</si>
  <si>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</si>
  <si>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</si>
  <si>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</si>
  <si>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</si>
  <si>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</si>
  <si>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</si>
  <si>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</si>
  <si>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</si>
  <si>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</si>
  <si>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</si>
  <si>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</si>
  <si>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</si>
  <si>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</si>
  <si>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</si>
  <si>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</si>
  <si>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</si>
  <si>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</si>
  <si>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</si>
  <si>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</si>
  <si>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</si>
  <si>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</si>
  <si>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</si>
  <si>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</si>
  <si>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</si>
  <si>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</si>
  <si>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</si>
  <si>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</si>
  <si>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</si>
  <si>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</si>
  <si>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</si>
  <si>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</si>
  <si>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</si>
  <si>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</si>
  <si>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</si>
  <si>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theme="7" tint="-0.249977111117893"/>
        <rFont val="Arial"/>
        <family val="2"/>
      </rPr>
      <t>End products which are included in the Rating Bundle group are highlighted in purple</t>
    </r>
  </si>
  <si>
    <t>EP 330 - Claim Folder Review</t>
  </si>
  <si>
    <t>EP 680 - Tracking of various special programs and reviews - excludes EP 689*</t>
  </si>
  <si>
    <t>EP 293 - COWC decisions prepared by an employee of the VSC</t>
  </si>
  <si>
    <t>EP 295 - VR&amp;E non-rating based eligibility determination</t>
  </si>
  <si>
    <t>MEASUREMENT</t>
  </si>
  <si>
    <t>PENDING</t>
  </si>
  <si>
    <t>AVERAGE DAYS PENDING</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</si>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</sst>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theme="7" tint="-0.249977111117893"/>
      <name val="Arial"/>
      <family val="2"/>
    </font>
  </fonts>
  <fills count="4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0.5">
          <color rgb="FFFFFF99"/>
        </stop>
        <stop position="1">
          <color theme="0"/>
        </stop>
      </gradientFill>
    </fill>
    <fill>
      <patternFill patternType="solid">
        <fgColor theme="7" tint="0.79998168889431442"/>
        <bgColor indexed="64"/>
      </patternFill>
    </fill>
    <fill>
      <patternFill patternType="solid">
        <fgColor theme="4" tint="0.79998168889431442"/>
        <bgColor auto="1"/>
      </patternFill>
    </fill>
  </fills>
  <borders count="10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9" fillId="29" borderId="0" applyNumberFormat="0" applyBorder="0" applyAlignment="0" applyProtection="0"/>
    <xf numFmtId="0" fontId="40" fillId="30" borderId="54" applyNumberFormat="0" applyAlignment="0" applyProtection="0"/>
    <xf numFmtId="0" fontId="41"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2" fillId="0" borderId="0" applyNumberFormat="0" applyFill="0" applyBorder="0" applyAlignment="0" applyProtection="0"/>
    <xf numFmtId="0" fontId="43" fillId="32" borderId="0" applyNumberFormat="0" applyBorder="0" applyAlignment="0" applyProtection="0"/>
    <xf numFmtId="0" fontId="44" fillId="0" borderId="56" applyNumberFormat="0" applyFill="0" applyAlignment="0" applyProtection="0"/>
    <xf numFmtId="0" fontId="45" fillId="0" borderId="57" applyNumberFormat="0" applyFill="0" applyAlignment="0" applyProtection="0"/>
    <xf numFmtId="0" fontId="46" fillId="0" borderId="58" applyNumberFormat="0" applyFill="0" applyAlignment="0" applyProtection="0"/>
    <xf numFmtId="0" fontId="46" fillId="0" borderId="0" applyNumberFormat="0" applyFill="0" applyBorder="0" applyAlignment="0" applyProtection="0"/>
    <xf numFmtId="0" fontId="16" fillId="0" borderId="0" applyNumberFormat="0" applyFill="0" applyBorder="0" applyAlignment="0" applyProtection="0">
      <alignment vertical="top"/>
      <protection locked="0"/>
    </xf>
    <xf numFmtId="0" fontId="47" fillId="33" borderId="54" applyNumberFormat="0" applyAlignment="0" applyProtection="0"/>
    <xf numFmtId="0" fontId="48" fillId="0" borderId="59" applyNumberFormat="0" applyFill="0" applyAlignment="0" applyProtection="0"/>
    <xf numFmtId="0" fontId="49" fillId="34" borderId="0" applyNumberFormat="0" applyBorder="0" applyAlignment="0" applyProtection="0"/>
    <xf numFmtId="0" fontId="8" fillId="0" borderId="0"/>
    <xf numFmtId="0" fontId="37" fillId="0" borderId="0"/>
    <xf numFmtId="0" fontId="37" fillId="0" borderId="0"/>
    <xf numFmtId="0" fontId="37" fillId="35" borderId="60" applyNumberFormat="0" applyFont="0" applyAlignment="0" applyProtection="0"/>
    <xf numFmtId="0" fontId="50"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1" fillId="0" borderId="0" applyNumberFormat="0" applyFill="0" applyBorder="0" applyAlignment="0" applyProtection="0"/>
    <xf numFmtId="0" fontId="52" fillId="0" borderId="62" applyNumberFormat="0" applyFill="0" applyAlignment="0" applyProtection="0"/>
    <xf numFmtId="0" fontId="53"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455">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5" fillId="0" borderId="88" xfId="0" applyFont="1" applyBorder="1"/>
    <xf numFmtId="0" fontId="55" fillId="0" borderId="89" xfId="0" applyFont="1" applyBorder="1"/>
    <xf numFmtId="0" fontId="55" fillId="0" borderId="90" xfId="0" applyFont="1" applyBorder="1"/>
    <xf numFmtId="0" fontId="55" fillId="0" borderId="91" xfId="0" applyFont="1" applyBorder="1"/>
    <xf numFmtId="14" fontId="0" fillId="0" borderId="0" xfId="0" applyNumberFormat="1"/>
    <xf numFmtId="9" fontId="0" fillId="0" borderId="0" xfId="58" applyFont="1"/>
    <xf numFmtId="4" fontId="54"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4"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4"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8" fillId="39" borderId="0"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0" fontId="56"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4" fillId="39" borderId="0" xfId="0" applyNumberFormat="1" applyFont="1" applyFill="1" applyBorder="1" applyProtection="1">
      <protection hidden="1"/>
    </xf>
    <xf numFmtId="3" fontId="54"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4" fillId="39" borderId="0" xfId="0" applyFont="1" applyFill="1" applyBorder="1" applyAlignment="1" applyProtection="1">
      <alignment vertical="center" wrapText="1"/>
      <protection hidden="1"/>
    </xf>
    <xf numFmtId="0" fontId="8" fillId="0" borderId="63" xfId="0" applyFont="1" applyFill="1" applyBorder="1" applyAlignment="1" applyProtection="1">
      <alignment horizontal="center" vertical="center" wrapText="1"/>
      <protection hidden="1"/>
    </xf>
    <xf numFmtId="4" fontId="8" fillId="0" borderId="64" xfId="0" applyNumberFormat="1" applyFont="1" applyFill="1" applyBorder="1" applyAlignment="1" applyProtection="1">
      <alignment horizontal="center" vertical="center" wrapText="1"/>
      <protection hidden="1"/>
    </xf>
    <xf numFmtId="0" fontId="8" fillId="0" borderId="71" xfId="0" applyFont="1" applyFill="1" applyBorder="1" applyAlignment="1" applyProtection="1">
      <alignment horizontal="center" vertical="center" wrapText="1"/>
      <protection hidden="1"/>
    </xf>
    <xf numFmtId="0" fontId="8" fillId="0" borderId="72" xfId="0" applyFont="1" applyBorder="1" applyAlignment="1" applyProtection="1">
      <alignment horizontal="center" vertical="center" wrapText="1"/>
      <protection hidden="1"/>
    </xf>
    <xf numFmtId="0" fontId="8" fillId="0" borderId="73"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4"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65" xfId="28" applyNumberFormat="1" applyFont="1" applyFill="1" applyBorder="1" applyAlignment="1" applyProtection="1">
      <alignment vertical="center" wrapText="1"/>
      <protection hidden="1"/>
    </xf>
    <xf numFmtId="164" fontId="6" fillId="0" borderId="66" xfId="58" applyNumberFormat="1" applyFont="1" applyFill="1" applyBorder="1" applyAlignment="1" applyProtection="1">
      <alignment horizontal="right" vertical="center" wrapText="1"/>
      <protection hidden="1"/>
    </xf>
    <xf numFmtId="166" fontId="6" fillId="0" borderId="74" xfId="28" applyNumberFormat="1" applyFont="1" applyFill="1" applyBorder="1" applyAlignment="1" applyProtection="1">
      <alignment horizontal="right" vertical="center" wrapText="1"/>
      <protection hidden="1"/>
    </xf>
    <xf numFmtId="166" fontId="6" fillId="0" borderId="75" xfId="28" applyNumberFormat="1" applyFont="1" applyFill="1" applyBorder="1" applyAlignment="1" applyProtection="1">
      <alignment horizontal="right" vertical="center" wrapText="1"/>
      <protection hidden="1"/>
    </xf>
    <xf numFmtId="9" fontId="9" fillId="0" borderId="76" xfId="58" applyNumberFormat="1" applyFont="1" applyFill="1" applyBorder="1" applyAlignment="1" applyProtection="1">
      <alignment horizontal="right"/>
      <protection hidden="1"/>
    </xf>
    <xf numFmtId="9" fontId="9" fillId="0" borderId="76"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58" fillId="0" borderId="84" xfId="0" applyFont="1" applyBorder="1" applyAlignment="1" applyProtection="1">
      <alignment horizontal="left"/>
      <protection hidden="1"/>
    </xf>
    <xf numFmtId="166" fontId="55" fillId="0" borderId="85" xfId="28" applyNumberFormat="1" applyFont="1" applyBorder="1" applyAlignment="1" applyProtection="1">
      <alignment horizontal="left"/>
      <protection hidden="1"/>
    </xf>
    <xf numFmtId="164" fontId="5" fillId="0" borderId="86" xfId="65" applyNumberFormat="1" applyFont="1" applyFill="1" applyBorder="1" applyAlignment="1" applyProtection="1">
      <alignment horizontal="right" vertical="center" wrapText="1"/>
      <protection hidden="1"/>
    </xf>
    <xf numFmtId="9" fontId="4" fillId="0" borderId="87" xfId="58" applyNumberFormat="1" applyFont="1" applyFill="1" applyBorder="1" applyAlignment="1" applyProtection="1">
      <alignment horizontal="right"/>
      <protection hidden="1"/>
    </xf>
    <xf numFmtId="9" fontId="4" fillId="0" borderId="87" xfId="58" applyFont="1" applyFill="1" applyBorder="1" applyAlignment="1" applyProtection="1">
      <alignment horizontal="right"/>
      <protection hidden="1"/>
    </xf>
    <xf numFmtId="166" fontId="55" fillId="0" borderId="83" xfId="28" applyNumberFormat="1" applyFont="1" applyBorder="1" applyAlignment="1" applyProtection="1">
      <alignment horizontal="left"/>
      <protection hidden="1"/>
    </xf>
    <xf numFmtId="49" fontId="54"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67" xfId="28" applyNumberFormat="1" applyFont="1" applyFill="1" applyBorder="1" applyAlignment="1" applyProtection="1">
      <alignment horizontal="right" vertical="center" wrapText="1"/>
      <protection hidden="1"/>
    </xf>
    <xf numFmtId="164" fontId="5" fillId="0" borderId="68" xfId="65" applyNumberFormat="1" applyFont="1" applyFill="1" applyBorder="1" applyAlignment="1" applyProtection="1">
      <alignment horizontal="right" vertical="center" wrapText="1"/>
      <protection hidden="1"/>
    </xf>
    <xf numFmtId="166" fontId="5" fillId="0" borderId="77" xfId="28" applyNumberFormat="1" applyFont="1" applyFill="1" applyBorder="1" applyAlignment="1" applyProtection="1">
      <alignment horizontal="right" vertical="center" wrapText="1"/>
      <protection hidden="1"/>
    </xf>
    <xf numFmtId="166" fontId="5" fillId="0" borderId="78" xfId="28" applyNumberFormat="1" applyFont="1" applyFill="1" applyBorder="1" applyAlignment="1" applyProtection="1">
      <alignment horizontal="right" vertical="center" wrapText="1"/>
      <protection hidden="1"/>
    </xf>
    <xf numFmtId="9" fontId="4" fillId="0" borderId="79" xfId="58" applyNumberFormat="1" applyFont="1" applyFill="1" applyBorder="1" applyAlignment="1" applyProtection="1">
      <alignment horizontal="right"/>
      <protection hidden="1"/>
    </xf>
    <xf numFmtId="9" fontId="4" fillId="0" borderId="79"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58" fillId="0" borderId="85" xfId="28" applyNumberFormat="1" applyFont="1" applyBorder="1" applyAlignment="1" applyProtection="1">
      <alignment horizontal="left"/>
      <protection hidden="1"/>
    </xf>
    <xf numFmtId="164" fontId="6" fillId="0" borderId="86" xfId="65" applyNumberFormat="1" applyFont="1" applyFill="1" applyBorder="1" applyAlignment="1" applyProtection="1">
      <alignment horizontal="right" vertical="center" wrapText="1"/>
      <protection hidden="1"/>
    </xf>
    <xf numFmtId="166" fontId="58" fillId="0" borderId="83"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58" fillId="0" borderId="96" xfId="0" applyFont="1" applyBorder="1" applyAlignment="1" applyProtection="1">
      <alignment horizontal="left"/>
      <protection hidden="1"/>
    </xf>
    <xf numFmtId="0" fontId="0" fillId="0" borderId="3" xfId="0" applyBorder="1" applyAlignment="1" applyProtection="1">
      <alignment horizontal="left" indent="1"/>
      <protection hidden="1"/>
    </xf>
    <xf numFmtId="0" fontId="58" fillId="0" borderId="5" xfId="0" applyFont="1" applyBorder="1" applyAlignment="1" applyProtection="1">
      <alignment horizontal="left"/>
      <protection hidden="1"/>
    </xf>
    <xf numFmtId="0" fontId="58" fillId="0" borderId="83"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169" fontId="6" fillId="0" borderId="66" xfId="28" applyNumberFormat="1" applyFont="1" applyFill="1" applyBorder="1" applyAlignment="1" applyProtection="1">
      <alignment horizontal="right" vertical="center" wrapText="1" indent="1"/>
      <protection hidden="1"/>
    </xf>
    <xf numFmtId="166" fontId="6" fillId="0" borderId="74" xfId="28" applyNumberFormat="1" applyFont="1" applyFill="1" applyBorder="1" applyAlignment="1" applyProtection="1">
      <alignment horizontal="right" vertical="center" wrapText="1" indent="1"/>
      <protection hidden="1"/>
    </xf>
    <xf numFmtId="166" fontId="6" fillId="0" borderId="75" xfId="28" applyNumberFormat="1" applyFont="1" applyFill="1" applyBorder="1" applyAlignment="1" applyProtection="1">
      <alignment horizontal="right" vertical="center" wrapText="1" indent="1"/>
      <protection hidden="1"/>
    </xf>
    <xf numFmtId="169" fontId="5" fillId="0" borderId="86" xfId="28" applyNumberFormat="1" applyFont="1" applyFill="1" applyBorder="1" applyAlignment="1" applyProtection="1">
      <alignment horizontal="right" vertical="center" wrapText="1" indent="1"/>
      <protection hidden="1"/>
    </xf>
    <xf numFmtId="166" fontId="5" fillId="0" borderId="77" xfId="28" applyNumberFormat="1" applyFont="1" applyFill="1" applyBorder="1" applyAlignment="1" applyProtection="1">
      <alignment horizontal="right" vertical="center" wrapText="1" indent="1"/>
      <protection hidden="1"/>
    </xf>
    <xf numFmtId="166" fontId="5" fillId="0" borderId="78" xfId="28" applyNumberFormat="1" applyFont="1" applyFill="1" applyBorder="1" applyAlignment="1" applyProtection="1">
      <alignment horizontal="right" vertical="center" wrapText="1" indent="1"/>
      <protection hidden="1"/>
    </xf>
    <xf numFmtId="166" fontId="5" fillId="0" borderId="80" xfId="28" applyNumberFormat="1" applyFont="1" applyFill="1" applyBorder="1" applyAlignment="1" applyProtection="1">
      <alignment horizontal="right" vertical="center" wrapText="1" indent="1"/>
      <protection hidden="1"/>
    </xf>
    <xf numFmtId="166" fontId="5" fillId="0" borderId="81" xfId="28" applyNumberFormat="1" applyFont="1" applyFill="1" applyBorder="1" applyAlignment="1" applyProtection="1">
      <alignment horizontal="right" vertical="center" wrapText="1" indent="1"/>
      <protection hidden="1"/>
    </xf>
    <xf numFmtId="3" fontId="6" fillId="0" borderId="74" xfId="28" applyNumberFormat="1" applyFont="1" applyFill="1" applyBorder="1" applyAlignment="1" applyProtection="1">
      <alignment horizontal="right" vertical="center" wrapText="1" indent="1"/>
      <protection hidden="1"/>
    </xf>
    <xf numFmtId="3" fontId="5" fillId="0" borderId="77" xfId="28" applyNumberFormat="1" applyFont="1" applyFill="1" applyBorder="1" applyAlignment="1" applyProtection="1">
      <alignment horizontal="right" vertical="center" wrapText="1" indent="1"/>
      <protection hidden="1"/>
    </xf>
    <xf numFmtId="3" fontId="5" fillId="0" borderId="80" xfId="28" applyNumberFormat="1" applyFont="1" applyFill="1" applyBorder="1" applyAlignment="1" applyProtection="1">
      <alignment horizontal="right" vertical="center" wrapText="1" indent="1"/>
      <protection hidden="1"/>
    </xf>
    <xf numFmtId="171" fontId="5" fillId="0" borderId="86" xfId="28" applyNumberFormat="1" applyFont="1" applyFill="1" applyBorder="1" applyAlignment="1" applyProtection="1">
      <alignment horizontal="right" vertical="center" wrapText="1" indent="1"/>
      <protection hidden="1"/>
    </xf>
    <xf numFmtId="171" fontId="5" fillId="0" borderId="68" xfId="28" applyNumberFormat="1" applyFont="1" applyFill="1" applyBorder="1" applyAlignment="1" applyProtection="1">
      <alignment horizontal="right" vertical="center" wrapText="1" indent="1"/>
      <protection hidden="1"/>
    </xf>
    <xf numFmtId="171" fontId="5" fillId="0" borderId="70"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77" xfId="28" applyNumberFormat="1" applyFont="1" applyFill="1" applyBorder="1" applyAlignment="1" applyProtection="1">
      <alignment horizontal="right" vertical="center" wrapText="1" indent="1"/>
      <protection hidden="1"/>
    </xf>
    <xf numFmtId="37" fontId="5" fillId="0" borderId="78" xfId="28" applyNumberFormat="1" applyFont="1" applyFill="1" applyBorder="1" applyAlignment="1" applyProtection="1">
      <alignment horizontal="right" vertical="center" wrapText="1" indent="1"/>
      <protection hidden="1"/>
    </xf>
    <xf numFmtId="37" fontId="5" fillId="0" borderId="80" xfId="28" applyNumberFormat="1" applyFont="1" applyFill="1" applyBorder="1" applyAlignment="1" applyProtection="1">
      <alignment horizontal="right" vertical="center" wrapText="1" indent="1"/>
      <protection hidden="1"/>
    </xf>
    <xf numFmtId="37" fontId="5" fillId="0" borderId="81" xfId="28" applyNumberFormat="1" applyFont="1" applyFill="1" applyBorder="1" applyAlignment="1" applyProtection="1">
      <alignment horizontal="right" vertical="center" wrapText="1" indent="1"/>
      <protection hidden="1"/>
    </xf>
    <xf numFmtId="37" fontId="6" fillId="0" borderId="65" xfId="28" applyNumberFormat="1" applyFont="1" applyFill="1" applyBorder="1" applyAlignment="1" applyProtection="1">
      <alignment horizontal="right" vertical="center" wrapText="1" indent="1"/>
      <protection hidden="1"/>
    </xf>
    <xf numFmtId="37" fontId="5" fillId="0" borderId="67" xfId="28" applyNumberFormat="1" applyFont="1" applyFill="1" applyBorder="1" applyAlignment="1" applyProtection="1">
      <alignment horizontal="right" vertical="center" wrapText="1" indent="1"/>
      <protection hidden="1"/>
    </xf>
    <xf numFmtId="37" fontId="5" fillId="0" borderId="69" xfId="28" applyNumberFormat="1" applyFont="1" applyFill="1" applyBorder="1" applyAlignment="1" applyProtection="1">
      <alignment horizontal="right" vertical="center" wrapText="1" indent="1"/>
      <protection hidden="1"/>
    </xf>
    <xf numFmtId="167" fontId="9" fillId="0" borderId="76" xfId="58" applyNumberFormat="1" applyFont="1" applyFill="1" applyBorder="1" applyAlignment="1" applyProtection="1">
      <alignment horizontal="right" vertical="center" wrapText="1" indent="1"/>
      <protection hidden="1"/>
    </xf>
    <xf numFmtId="37" fontId="55" fillId="0" borderId="85" xfId="28" applyNumberFormat="1" applyFont="1" applyBorder="1" applyAlignment="1" applyProtection="1">
      <alignment horizontal="right" vertical="center" wrapText="1" indent="1"/>
      <protection hidden="1"/>
    </xf>
    <xf numFmtId="3" fontId="55" fillId="0" borderId="85" xfId="28" applyNumberFormat="1" applyFont="1" applyBorder="1" applyAlignment="1" applyProtection="1">
      <alignment horizontal="right" vertical="center" wrapText="1" indent="1"/>
      <protection hidden="1"/>
    </xf>
    <xf numFmtId="167" fontId="4" fillId="0" borderId="87" xfId="58" applyNumberFormat="1" applyFont="1" applyFill="1" applyBorder="1" applyAlignment="1" applyProtection="1">
      <alignment horizontal="right" vertical="center" wrapText="1" indent="1"/>
      <protection hidden="1"/>
    </xf>
    <xf numFmtId="37" fontId="55" fillId="0" borderId="83" xfId="28" applyNumberFormat="1" applyFont="1" applyBorder="1" applyAlignment="1" applyProtection="1">
      <alignment horizontal="right" vertical="center" wrapText="1" indent="1"/>
      <protection hidden="1"/>
    </xf>
    <xf numFmtId="167" fontId="4" fillId="0" borderId="79" xfId="58" applyNumberFormat="1" applyFont="1" applyFill="1" applyBorder="1" applyAlignment="1" applyProtection="1">
      <alignment horizontal="right" vertical="center" wrapText="1" indent="1"/>
      <protection hidden="1"/>
    </xf>
    <xf numFmtId="167" fontId="4" fillId="0" borderId="82" xfId="58" applyNumberFormat="1" applyFont="1" applyFill="1" applyBorder="1" applyAlignment="1" applyProtection="1">
      <alignment horizontal="right" vertical="center" wrapText="1" indent="1"/>
      <protection hidden="1"/>
    </xf>
    <xf numFmtId="166" fontId="55" fillId="0" borderId="85" xfId="28" applyNumberFormat="1" applyFont="1" applyBorder="1" applyAlignment="1" applyProtection="1">
      <alignment horizontal="right" vertical="center" wrapText="1" indent="1"/>
      <protection hidden="1"/>
    </xf>
    <xf numFmtId="37" fontId="4" fillId="0" borderId="67" xfId="28" applyNumberFormat="1" applyFont="1" applyBorder="1" applyAlignment="1" applyProtection="1">
      <alignment horizontal="right" vertical="center" wrapText="1" indent="1"/>
      <protection hidden="1"/>
    </xf>
    <xf numFmtId="171" fontId="4" fillId="0" borderId="68" xfId="28" applyNumberFormat="1" applyFont="1" applyBorder="1" applyAlignment="1" applyProtection="1">
      <alignment horizontal="right" vertical="center" wrapText="1" indent="1"/>
      <protection hidden="1"/>
    </xf>
    <xf numFmtId="3" fontId="4" fillId="0" borderId="77" xfId="28" applyNumberFormat="1" applyFont="1" applyBorder="1" applyAlignment="1" applyProtection="1">
      <alignment horizontal="right" vertical="center" wrapText="1" indent="1"/>
      <protection hidden="1"/>
    </xf>
    <xf numFmtId="166" fontId="4" fillId="0" borderId="78" xfId="28" applyNumberFormat="1" applyFont="1" applyBorder="1" applyAlignment="1" applyProtection="1">
      <alignment horizontal="right" vertical="center" wrapText="1" indent="1"/>
      <protection hidden="1"/>
    </xf>
    <xf numFmtId="167" fontId="4" fillId="0" borderId="79" xfId="58" applyNumberFormat="1" applyFont="1" applyBorder="1" applyAlignment="1" applyProtection="1">
      <alignment horizontal="right" vertical="center" wrapText="1" indent="1"/>
      <protection hidden="1"/>
    </xf>
    <xf numFmtId="166" fontId="4" fillId="0" borderId="77" xfId="28" applyNumberFormat="1" applyFont="1" applyBorder="1" applyAlignment="1" applyProtection="1">
      <alignment horizontal="right" vertical="center" wrapText="1" indent="1"/>
      <protection hidden="1"/>
    </xf>
    <xf numFmtId="37" fontId="4" fillId="0" borderId="77" xfId="28" applyNumberFormat="1" applyFont="1" applyBorder="1" applyAlignment="1" applyProtection="1">
      <alignment horizontal="right" vertical="center" wrapText="1" indent="1"/>
      <protection hidden="1"/>
    </xf>
    <xf numFmtId="37" fontId="4" fillId="0" borderId="78"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69" xfId="28" applyNumberFormat="1" applyFont="1" applyBorder="1" applyAlignment="1" applyProtection="1">
      <alignment horizontal="right" vertical="center" wrapText="1" indent="1"/>
      <protection hidden="1"/>
    </xf>
    <xf numFmtId="171" fontId="4" fillId="0" borderId="70" xfId="28" applyNumberFormat="1" applyFont="1" applyBorder="1" applyAlignment="1" applyProtection="1">
      <alignment horizontal="right" vertical="center" wrapText="1" indent="1"/>
      <protection hidden="1"/>
    </xf>
    <xf numFmtId="3" fontId="4" fillId="0" borderId="80" xfId="28" applyNumberFormat="1" applyFont="1" applyBorder="1" applyAlignment="1" applyProtection="1">
      <alignment horizontal="right" vertical="center" wrapText="1" indent="1"/>
      <protection hidden="1"/>
    </xf>
    <xf numFmtId="166" fontId="4" fillId="0" borderId="81" xfId="28" applyNumberFormat="1" applyFont="1" applyBorder="1" applyAlignment="1" applyProtection="1">
      <alignment horizontal="right" vertical="center" wrapText="1" indent="1"/>
      <protection hidden="1"/>
    </xf>
    <xf numFmtId="167" fontId="4" fillId="0" borderId="82" xfId="58" applyNumberFormat="1" applyFont="1" applyBorder="1" applyAlignment="1" applyProtection="1">
      <alignment horizontal="right" vertical="center" wrapText="1" indent="1"/>
      <protection hidden="1"/>
    </xf>
    <xf numFmtId="166" fontId="4" fillId="0" borderId="80" xfId="28" applyNumberFormat="1" applyFont="1" applyBorder="1" applyAlignment="1" applyProtection="1">
      <alignment horizontal="right" vertical="center" wrapText="1" indent="1"/>
      <protection hidden="1"/>
    </xf>
    <xf numFmtId="37" fontId="4" fillId="0" borderId="80" xfId="28" applyNumberFormat="1" applyFont="1" applyBorder="1" applyAlignment="1" applyProtection="1">
      <alignment horizontal="right" vertical="center" wrapText="1" indent="1"/>
      <protection hidden="1"/>
    </xf>
    <xf numFmtId="37" fontId="4" fillId="0" borderId="81"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58" fillId="0" borderId="85" xfId="28" applyNumberFormat="1" applyFont="1" applyBorder="1" applyAlignment="1" applyProtection="1">
      <alignment horizontal="right" vertical="center" wrapText="1" indent="1"/>
      <protection hidden="1"/>
    </xf>
    <xf numFmtId="169" fontId="6" fillId="0" borderId="86" xfId="28" applyNumberFormat="1" applyFont="1" applyFill="1" applyBorder="1" applyAlignment="1" applyProtection="1">
      <alignment horizontal="right" vertical="center" wrapText="1" indent="1"/>
      <protection hidden="1"/>
    </xf>
    <xf numFmtId="167" fontId="9" fillId="0" borderId="87" xfId="58" applyNumberFormat="1" applyFont="1" applyFill="1" applyBorder="1" applyAlignment="1" applyProtection="1">
      <alignment horizontal="right" vertical="center" wrapText="1" indent="1"/>
      <protection hidden="1"/>
    </xf>
    <xf numFmtId="166" fontId="58" fillId="0" borderId="83" xfId="28" applyNumberFormat="1" applyFont="1" applyBorder="1" applyAlignment="1" applyProtection="1">
      <alignment horizontal="right" vertical="center" wrapText="1" indent="1"/>
      <protection hidden="1"/>
    </xf>
    <xf numFmtId="166" fontId="4" fillId="0" borderId="67" xfId="28" applyNumberFormat="1" applyFont="1" applyBorder="1" applyAlignment="1" applyProtection="1">
      <alignment horizontal="right" vertical="center" wrapText="1" indent="1"/>
      <protection hidden="1"/>
    </xf>
    <xf numFmtId="169" fontId="4" fillId="0" borderId="67"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5" fillId="0" borderId="83" xfId="28" applyNumberFormat="1" applyFont="1" applyBorder="1" applyAlignment="1" applyProtection="1">
      <alignment horizontal="right" vertical="center" wrapText="1" indent="1"/>
      <protection hidden="1"/>
    </xf>
    <xf numFmtId="4" fontId="54" fillId="39" borderId="0" xfId="0" applyNumberFormat="1" applyFont="1" applyFill="1" applyBorder="1" applyProtection="1">
      <protection locked="0" hidden="1"/>
    </xf>
    <xf numFmtId="4" fontId="63" fillId="39" borderId="9" xfId="0" applyNumberFormat="1" applyFont="1" applyFill="1" applyBorder="1" applyAlignment="1" applyProtection="1">
      <alignment horizontal="left" wrapText="1" indent="2"/>
      <protection hidden="1"/>
    </xf>
    <xf numFmtId="4" fontId="6" fillId="42" borderId="7" xfId="0" applyNumberFormat="1" applyFont="1" applyFill="1" applyBorder="1" applyAlignment="1" applyProtection="1">
      <alignment vertical="center" wrapText="1"/>
      <protection locked="0" hidden="1"/>
    </xf>
    <xf numFmtId="4" fontId="6" fillId="42"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22" fillId="0" borderId="38" xfId="0" applyNumberFormat="1" applyFont="1" applyFill="1" applyBorder="1" applyAlignment="1" applyProtection="1">
      <alignment horizontal="center" vertical="center" wrapText="1"/>
      <protection hidden="1"/>
    </xf>
    <xf numFmtId="0" fontId="14" fillId="0" borderId="8"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left" vertical="center" wrapText="1"/>
      <protection hidden="1"/>
    </xf>
    <xf numFmtId="0" fontId="14" fillId="0" borderId="6" xfId="0" applyFont="1" applyFill="1" applyBorder="1" applyAlignment="1" applyProtection="1">
      <alignment horizontal="left" vertical="center" wrapText="1"/>
      <protection hidden="1"/>
    </xf>
    <xf numFmtId="0" fontId="14" fillId="0" borderId="40" xfId="0" applyFont="1" applyFill="1" applyBorder="1" applyAlignment="1" applyProtection="1">
      <alignment horizontal="left" vertical="center" wrapText="1"/>
      <protection hidden="1"/>
    </xf>
    <xf numFmtId="0" fontId="22" fillId="0" borderId="28" xfId="0" applyFont="1" applyFill="1" applyBorder="1" applyAlignment="1" applyProtection="1">
      <alignment horizontal="center" vertical="center" wrapText="1"/>
      <protection hidden="1"/>
    </xf>
    <xf numFmtId="0" fontId="22" fillId="0" borderId="17" xfId="0"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left" vertical="center" wrapText="1"/>
      <protection hidden="1"/>
    </xf>
    <xf numFmtId="49" fontId="14" fillId="43" borderId="8" xfId="0" applyNumberFormat="1" applyFont="1" applyFill="1" applyBorder="1" applyAlignment="1" applyProtection="1">
      <alignment horizontal="left" vertical="center" wrapText="1"/>
      <protection hidden="1"/>
    </xf>
    <xf numFmtId="0" fontId="14" fillId="0" borderId="8" xfId="0" applyFont="1" applyFill="1" applyBorder="1" applyAlignment="1" applyProtection="1">
      <alignment vertical="center" wrapText="1"/>
      <protection hidden="1"/>
    </xf>
    <xf numFmtId="49" fontId="14" fillId="43" borderId="15" xfId="0" applyNumberFormat="1" applyFont="1" applyFill="1" applyBorder="1" applyAlignment="1" applyProtection="1">
      <alignment horizontal="left" vertical="center" wrapText="1"/>
      <protection hidden="1"/>
    </xf>
    <xf numFmtId="0" fontId="14" fillId="0" borderId="15" xfId="0" applyFont="1" applyFill="1" applyBorder="1" applyAlignment="1" applyProtection="1">
      <alignment horizontal="left" vertical="center" wrapText="1"/>
      <protection hidden="1"/>
    </xf>
    <xf numFmtId="0" fontId="14" fillId="0" borderId="16" xfId="0" applyFont="1" applyFill="1" applyBorder="1" applyAlignment="1" applyProtection="1">
      <alignment horizontal="left" vertical="center" wrapText="1"/>
      <protection hidden="1"/>
    </xf>
    <xf numFmtId="49" fontId="14" fillId="43" borderId="6" xfId="0" applyNumberFormat="1" applyFont="1" applyFill="1" applyBorder="1" applyAlignment="1" applyProtection="1">
      <alignment horizontal="left" vertical="center" wrapText="1"/>
      <protection hidden="1"/>
    </xf>
    <xf numFmtId="0" fontId="14" fillId="0" borderId="93" xfId="0" applyFont="1" applyFill="1" applyBorder="1" applyAlignment="1" applyProtection="1">
      <alignment horizontal="left" vertical="center" wrapText="1"/>
      <protection hidden="1"/>
    </xf>
    <xf numFmtId="0" fontId="14" fillId="0" borderId="24" xfId="0" applyFont="1" applyFill="1" applyBorder="1" applyAlignment="1" applyProtection="1">
      <alignment horizontal="left" vertical="center" wrapText="1"/>
      <protection hidden="1"/>
    </xf>
    <xf numFmtId="0" fontId="9" fillId="0" borderId="3" xfId="0" applyFont="1" applyFill="1" applyBorder="1" applyAlignment="1" applyProtection="1">
      <alignment horizontal="right" wrapText="1"/>
      <protection hidden="1"/>
    </xf>
    <xf numFmtId="0" fontId="9" fillId="0" borderId="3" xfId="0" applyFont="1" applyBorder="1" applyAlignment="1" applyProtection="1">
      <alignment horizontal="right" wrapText="1"/>
      <protection hidden="1"/>
    </xf>
    <xf numFmtId="0" fontId="9" fillId="0" borderId="9" xfId="0" applyFont="1" applyBorder="1" applyAlignment="1" applyProtection="1">
      <alignment horizontal="right" wrapText="1"/>
      <protection hidden="1"/>
    </xf>
    <xf numFmtId="0" fontId="17" fillId="0" borderId="8" xfId="0" applyFont="1" applyFill="1" applyBorder="1" applyAlignment="1" applyProtection="1">
      <alignment horizontal="left" wrapText="1"/>
      <protection hidden="1"/>
    </xf>
    <xf numFmtId="0" fontId="22" fillId="0" borderId="28" xfId="0" applyFont="1" applyFill="1" applyBorder="1" applyAlignment="1" applyProtection="1">
      <alignment horizontal="left" wrapText="1"/>
      <protection hidden="1"/>
    </xf>
    <xf numFmtId="0" fontId="17" fillId="0" borderId="6" xfId="0" applyFont="1" applyFill="1" applyBorder="1" applyAlignment="1" applyProtection="1">
      <alignment horizontal="left" wrapText="1"/>
      <protection hidden="1"/>
    </xf>
    <xf numFmtId="0" fontId="17" fillId="2" borderId="6" xfId="0" applyFont="1" applyFill="1" applyBorder="1" applyAlignment="1" applyProtection="1">
      <alignment horizontal="left" wrapText="1"/>
      <protection hidden="1"/>
    </xf>
    <xf numFmtId="0" fontId="9" fillId="0" borderId="20" xfId="0" applyFont="1" applyFill="1" applyBorder="1" applyAlignment="1" applyProtection="1">
      <alignment horizontal="right" wrapText="1"/>
      <protection hidden="1"/>
    </xf>
    <xf numFmtId="0" fontId="9" fillId="0" borderId="92" xfId="0" applyFont="1" applyFill="1" applyBorder="1" applyAlignment="1" applyProtection="1">
      <alignment horizontal="right" wrapText="1"/>
      <protection hidden="1"/>
    </xf>
    <xf numFmtId="0" fontId="9" fillId="0" borderId="2" xfId="0" applyFont="1" applyFill="1" applyBorder="1" applyAlignment="1" applyProtection="1">
      <alignment horizontal="right" wrapText="1"/>
      <protection hidden="1"/>
    </xf>
    <xf numFmtId="0" fontId="9" fillId="0" borderId="2" xfId="0" applyFont="1" applyBorder="1" applyAlignment="1" applyProtection="1">
      <alignment horizontal="right" wrapText="1"/>
      <protection hidden="1"/>
    </xf>
    <xf numFmtId="0" fontId="9" fillId="0" borderId="1" xfId="0" applyFont="1" applyBorder="1" applyAlignment="1" applyProtection="1">
      <alignment horizontal="right" wrapText="1"/>
      <protection hidden="1"/>
    </xf>
    <xf numFmtId="3" fontId="22" fillId="0" borderId="99" xfId="28" applyNumberFormat="1" applyFont="1" applyFill="1" applyBorder="1" applyAlignment="1" applyProtection="1">
      <alignment horizontal="right" wrapText="1" indent="1"/>
      <protection hidden="1"/>
    </xf>
    <xf numFmtId="3" fontId="22" fillId="0" borderId="98" xfId="28" applyNumberFormat="1" applyFont="1" applyFill="1" applyBorder="1" applyAlignment="1" applyProtection="1">
      <alignment horizontal="right" wrapText="1" indent="1"/>
      <protection hidden="1"/>
    </xf>
    <xf numFmtId="3" fontId="14" fillId="0" borderId="3" xfId="28" applyNumberFormat="1" applyFont="1" applyFill="1" applyBorder="1" applyAlignment="1" applyProtection="1">
      <alignment wrapText="1"/>
      <protection hidden="1"/>
    </xf>
    <xf numFmtId="3" fontId="14" fillId="0" borderId="4" xfId="28" applyNumberFormat="1" applyFont="1" applyFill="1" applyBorder="1" applyAlignment="1" applyProtection="1">
      <alignment wrapText="1"/>
      <protection hidden="1"/>
    </xf>
    <xf numFmtId="167" fontId="14" fillId="0" borderId="9" xfId="60" applyNumberFormat="1" applyFont="1" applyFill="1" applyBorder="1" applyAlignment="1" applyProtection="1">
      <alignment wrapText="1"/>
      <protection hidden="1"/>
    </xf>
    <xf numFmtId="3" fontId="14" fillId="43" borderId="3" xfId="28" applyNumberFormat="1" applyFont="1" applyFill="1" applyBorder="1" applyAlignment="1" applyProtection="1">
      <alignment wrapText="1"/>
      <protection hidden="1"/>
    </xf>
    <xf numFmtId="3" fontId="14" fillId="43" borderId="4" xfId="28" applyNumberFormat="1" applyFont="1" applyFill="1" applyBorder="1" applyAlignment="1" applyProtection="1">
      <alignment wrapText="1"/>
      <protection hidden="1"/>
    </xf>
    <xf numFmtId="167" fontId="14" fillId="43" borderId="9" xfId="60" applyNumberFormat="1" applyFont="1" applyFill="1" applyBorder="1" applyAlignment="1" applyProtection="1">
      <alignment wrapText="1"/>
      <protection hidden="1"/>
    </xf>
    <xf numFmtId="3" fontId="14" fillId="43" borderId="34" xfId="28" applyNumberFormat="1" applyFont="1" applyFill="1" applyBorder="1" applyAlignment="1" applyProtection="1">
      <alignment wrapText="1"/>
      <protection hidden="1"/>
    </xf>
    <xf numFmtId="3" fontId="14" fillId="0" borderId="31" xfId="28" applyNumberFormat="1" applyFont="1" applyFill="1" applyBorder="1" applyAlignment="1" applyProtection="1">
      <alignment wrapText="1"/>
      <protection hidden="1"/>
    </xf>
    <xf numFmtId="3" fontId="22" fillId="0" borderId="17" xfId="0" applyNumberFormat="1" applyFont="1" applyFill="1" applyBorder="1" applyAlignment="1" applyProtection="1">
      <alignment wrapText="1"/>
      <protection hidden="1"/>
    </xf>
    <xf numFmtId="167" fontId="22" fillId="0" borderId="38" xfId="58" applyNumberFormat="1" applyFont="1" applyFill="1" applyBorder="1" applyAlignment="1" applyProtection="1">
      <alignment wrapText="1"/>
      <protection hidden="1"/>
    </xf>
    <xf numFmtId="3" fontId="14" fillId="0" borderId="34" xfId="28" applyNumberFormat="1" applyFont="1" applyFill="1" applyBorder="1" applyAlignment="1" applyProtection="1">
      <alignment wrapText="1"/>
      <protection hidden="1"/>
    </xf>
    <xf numFmtId="3" fontId="14" fillId="0" borderId="35" xfId="28" applyNumberFormat="1" applyFont="1" applyFill="1" applyBorder="1" applyAlignment="1" applyProtection="1">
      <alignment wrapText="1"/>
      <protection hidden="1"/>
    </xf>
    <xf numFmtId="167" fontId="14" fillId="0" borderId="19" xfId="60" applyNumberFormat="1" applyFont="1" applyFill="1" applyBorder="1" applyAlignment="1" applyProtection="1">
      <alignment wrapText="1"/>
      <protection hidden="1"/>
    </xf>
    <xf numFmtId="3" fontId="14" fillId="0" borderId="29" xfId="28" applyNumberFormat="1" applyFont="1" applyFill="1" applyBorder="1" applyAlignment="1" applyProtection="1">
      <alignment wrapText="1"/>
      <protection hidden="1"/>
    </xf>
    <xf numFmtId="167" fontId="14" fillId="0" borderId="30" xfId="60" applyNumberFormat="1" applyFont="1" applyFill="1" applyBorder="1" applyAlignment="1" applyProtection="1">
      <alignment wrapText="1"/>
      <protection hidden="1"/>
    </xf>
    <xf numFmtId="3" fontId="22" fillId="0" borderId="17" xfId="28" applyNumberFormat="1" applyFont="1" applyFill="1" applyBorder="1" applyAlignment="1" applyProtection="1">
      <alignment wrapText="1"/>
      <protection hidden="1"/>
    </xf>
    <xf numFmtId="167" fontId="22" fillId="0" borderId="38" xfId="0" applyNumberFormat="1" applyFont="1" applyFill="1" applyBorder="1" applyAlignment="1" applyProtection="1">
      <alignment wrapText="1"/>
      <protection hidden="1"/>
    </xf>
    <xf numFmtId="3" fontId="22" fillId="0" borderId="38" xfId="0" applyNumberFormat="1" applyFont="1" applyFill="1" applyBorder="1" applyAlignment="1" applyProtection="1">
      <alignment wrapText="1"/>
      <protection hidden="1"/>
    </xf>
    <xf numFmtId="3" fontId="14" fillId="0" borderId="33" xfId="0" applyNumberFormat="1" applyFont="1" applyFill="1" applyBorder="1" applyAlignment="1" applyProtection="1">
      <alignment wrapText="1"/>
      <protection hidden="1"/>
    </xf>
    <xf numFmtId="3" fontId="14" fillId="0" borderId="26" xfId="0" applyNumberFormat="1" applyFont="1" applyFill="1" applyBorder="1" applyAlignment="1" applyProtection="1">
      <alignment wrapText="1"/>
      <protection hidden="1"/>
    </xf>
    <xf numFmtId="165" fontId="14" fillId="0" borderId="33" xfId="0" applyNumberFormat="1" applyFont="1" applyFill="1" applyBorder="1" applyAlignment="1" applyProtection="1">
      <alignment wrapText="1"/>
      <protection hidden="1"/>
    </xf>
    <xf numFmtId="165" fontId="14" fillId="0" borderId="26" xfId="0" applyNumberFormat="1" applyFont="1" applyFill="1" applyBorder="1" applyAlignment="1" applyProtection="1">
      <alignment wrapText="1"/>
      <protection hidden="1"/>
    </xf>
    <xf numFmtId="167" fontId="22" fillId="0" borderId="38" xfId="28" applyNumberFormat="1" applyFont="1" applyFill="1" applyBorder="1" applyAlignment="1" applyProtection="1">
      <alignment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1" fillId="40" borderId="6" xfId="49" applyFont="1" applyFill="1" applyBorder="1" applyAlignment="1" applyProtection="1">
      <alignment horizontal="center" vertical="center" wrapText="1"/>
      <protection hidden="1"/>
    </xf>
    <xf numFmtId="0" fontId="61" fillId="40" borderId="40" xfId="49" applyFont="1" applyFill="1" applyBorder="1" applyAlignment="1" applyProtection="1">
      <alignment horizontal="center" vertical="center" wrapText="1"/>
      <protection hidden="1"/>
    </xf>
    <xf numFmtId="0" fontId="61" fillId="40" borderId="19" xfId="49" applyFont="1" applyFill="1" applyBorder="1" applyAlignment="1" applyProtection="1">
      <alignment horizontal="center" vertical="center" wrapText="1"/>
      <protection hidden="1"/>
    </xf>
    <xf numFmtId="0" fontId="61" fillId="40" borderId="15" xfId="49" applyFont="1" applyFill="1" applyBorder="1" applyAlignment="1" applyProtection="1">
      <alignment horizontal="center" vertical="center" wrapText="1"/>
      <protection hidden="1"/>
    </xf>
    <xf numFmtId="0" fontId="61" fillId="40" borderId="16" xfId="49" applyFont="1" applyFill="1" applyBorder="1" applyAlignment="1" applyProtection="1">
      <alignment horizontal="center" vertical="center" wrapText="1"/>
      <protection hidden="1"/>
    </xf>
    <xf numFmtId="0" fontId="61"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95"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1"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0"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94"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5" fillId="44" borderId="28" xfId="0" applyFont="1" applyFill="1" applyBorder="1" applyAlignment="1" applyProtection="1">
      <alignment horizontal="center" vertical="center" wrapText="1"/>
      <protection hidden="1"/>
    </xf>
    <xf numFmtId="0" fontId="15" fillId="44" borderId="17" xfId="0" applyFont="1" applyFill="1" applyBorder="1" applyAlignment="1" applyProtection="1">
      <alignment horizontal="center" vertical="center" wrapText="1"/>
      <protection hidden="1"/>
    </xf>
    <xf numFmtId="0" fontId="15" fillId="44" borderId="38"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left" vertical="center" wrapText="1"/>
      <protection hidden="1"/>
    </xf>
    <xf numFmtId="0" fontId="22" fillId="0" borderId="38" xfId="0" applyFont="1" applyFill="1" applyBorder="1" applyAlignment="1" applyProtection="1">
      <alignment horizontal="left" vertical="center" wrapText="1"/>
      <protection hidden="1"/>
    </xf>
    <xf numFmtId="37" fontId="22" fillId="0" borderId="17" xfId="28" applyNumberFormat="1" applyFont="1" applyFill="1" applyBorder="1" applyAlignment="1" applyProtection="1">
      <alignment horizontal="center" vertical="center" wrapText="1"/>
      <protection hidden="1"/>
    </xf>
    <xf numFmtId="37" fontId="22" fillId="0" borderId="38" xfId="28" applyNumberFormat="1" applyFont="1" applyFill="1" applyBorder="1" applyAlignment="1" applyProtection="1">
      <alignment horizontal="center" vertical="center" wrapText="1"/>
      <protection hidden="1"/>
    </xf>
    <xf numFmtId="0" fontId="22" fillId="0" borderId="25" xfId="0" applyFont="1" applyFill="1" applyBorder="1" applyAlignment="1" applyProtection="1">
      <alignment horizontal="left" vertical="center" wrapText="1"/>
      <protection hidden="1"/>
    </xf>
    <xf numFmtId="0" fontId="22" fillId="0" borderId="43" xfId="0" applyFont="1" applyFill="1" applyBorder="1" applyAlignment="1" applyProtection="1">
      <alignment horizontal="left" vertical="center" wrapText="1"/>
      <protection hidden="1"/>
    </xf>
    <xf numFmtId="0" fontId="22" fillId="0" borderId="97" xfId="0" applyFont="1" applyFill="1" applyBorder="1" applyAlignment="1" applyProtection="1">
      <alignment horizontal="left" vertical="center" wrapText="1"/>
      <protection hidden="1"/>
    </xf>
    <xf numFmtId="0" fontId="22" fillId="0" borderId="52" xfId="0" applyFont="1" applyFill="1" applyBorder="1" applyAlignment="1" applyProtection="1">
      <alignment horizontal="left" vertical="center" wrapText="1"/>
      <protection hidden="1"/>
    </xf>
    <xf numFmtId="0" fontId="56" fillId="39" borderId="0" xfId="0" applyFont="1" applyFill="1" applyBorder="1" applyAlignment="1" applyProtection="1">
      <alignment horizontal="center" vertical="center"/>
      <protection hidden="1"/>
    </xf>
    <xf numFmtId="0" fontId="13" fillId="44" borderId="28" xfId="0" applyFont="1" applyFill="1" applyBorder="1" applyAlignment="1" applyProtection="1">
      <alignment horizontal="center" wrapText="1"/>
      <protection hidden="1"/>
    </xf>
    <xf numFmtId="0" fontId="13" fillId="44" borderId="17" xfId="0" applyFont="1" applyFill="1" applyBorder="1" applyAlignment="1" applyProtection="1">
      <alignment horizontal="center" wrapText="1"/>
      <protection hidden="1"/>
    </xf>
    <xf numFmtId="0" fontId="13" fillId="44" borderId="38" xfId="0" applyFont="1" applyFill="1" applyBorder="1" applyAlignment="1" applyProtection="1">
      <alignment horizont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4" borderId="15" xfId="0" applyFont="1" applyFill="1" applyBorder="1" applyAlignment="1" applyProtection="1">
      <alignment horizontal="center" vertical="center" wrapText="1"/>
      <protection hidden="1"/>
    </xf>
    <xf numFmtId="0" fontId="15" fillId="44" borderId="16" xfId="0" applyFont="1" applyFill="1" applyBorder="1" applyAlignment="1" applyProtection="1">
      <alignment horizontal="center" vertical="center" wrapText="1"/>
      <protection hidden="1"/>
    </xf>
    <xf numFmtId="0" fontId="15" fillId="44" borderId="30" xfId="0" applyFont="1" applyFill="1" applyBorder="1" applyAlignment="1" applyProtection="1">
      <alignment horizontal="center" vertical="center" wrapText="1"/>
      <protection hidden="1"/>
    </xf>
    <xf numFmtId="0" fontId="57" fillId="39" borderId="0"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2">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99" t="s">
        <v>301</v>
      </c>
      <c r="B1" s="300"/>
      <c r="C1" s="300"/>
      <c r="D1" s="300"/>
      <c r="E1" s="300"/>
      <c r="F1" s="300"/>
      <c r="G1" s="300"/>
      <c r="H1" s="300"/>
      <c r="I1" s="300"/>
      <c r="J1" s="300"/>
      <c r="K1" s="300"/>
      <c r="L1" s="300"/>
      <c r="M1" s="300"/>
      <c r="N1" s="300"/>
      <c r="O1" s="300"/>
      <c r="P1" s="301"/>
    </row>
    <row r="2" spans="1:16" ht="29.25" customHeight="1" x14ac:dyDescent="0.2">
      <c r="A2" s="293" t="s">
        <v>303</v>
      </c>
      <c r="B2" s="294"/>
      <c r="C2" s="294"/>
      <c r="D2" s="294"/>
      <c r="E2" s="294"/>
      <c r="F2" s="294"/>
      <c r="G2" s="294"/>
      <c r="H2" s="294"/>
      <c r="I2" s="294"/>
      <c r="J2" s="294"/>
      <c r="K2" s="294"/>
      <c r="L2" s="294"/>
      <c r="M2" s="294"/>
      <c r="N2" s="295"/>
      <c r="O2" s="302"/>
      <c r="P2" s="303"/>
    </row>
    <row r="3" spans="1:16" x14ac:dyDescent="0.2">
      <c r="A3" s="293"/>
      <c r="B3" s="294"/>
      <c r="C3" s="294"/>
      <c r="D3" s="294"/>
      <c r="E3" s="294"/>
      <c r="F3" s="294"/>
      <c r="G3" s="294"/>
      <c r="H3" s="294"/>
      <c r="I3" s="294"/>
      <c r="J3" s="294"/>
      <c r="K3" s="294"/>
      <c r="L3" s="294"/>
      <c r="M3" s="294"/>
      <c r="N3" s="295"/>
      <c r="O3" s="304"/>
      <c r="P3" s="305"/>
    </row>
    <row r="4" spans="1:16" x14ac:dyDescent="0.2">
      <c r="A4" s="293"/>
      <c r="B4" s="294"/>
      <c r="C4" s="294"/>
      <c r="D4" s="294"/>
      <c r="E4" s="294"/>
      <c r="F4" s="294"/>
      <c r="G4" s="294"/>
      <c r="H4" s="294"/>
      <c r="I4" s="294"/>
      <c r="J4" s="294"/>
      <c r="K4" s="294"/>
      <c r="L4" s="294"/>
      <c r="M4" s="294"/>
      <c r="N4" s="295"/>
      <c r="O4" s="304"/>
      <c r="P4" s="305"/>
    </row>
    <row r="5" spans="1:16" x14ac:dyDescent="0.2">
      <c r="A5" s="293"/>
      <c r="B5" s="294"/>
      <c r="C5" s="294"/>
      <c r="D5" s="294"/>
      <c r="E5" s="294"/>
      <c r="F5" s="294"/>
      <c r="G5" s="294"/>
      <c r="H5" s="294"/>
      <c r="I5" s="294"/>
      <c r="J5" s="294"/>
      <c r="K5" s="294"/>
      <c r="L5" s="294"/>
      <c r="M5" s="294"/>
      <c r="N5" s="295"/>
      <c r="O5" s="304"/>
      <c r="P5" s="305"/>
    </row>
    <row r="6" spans="1:16" x14ac:dyDescent="0.2">
      <c r="A6" s="293"/>
      <c r="B6" s="294"/>
      <c r="C6" s="294"/>
      <c r="D6" s="294"/>
      <c r="E6" s="294"/>
      <c r="F6" s="294"/>
      <c r="G6" s="294"/>
      <c r="H6" s="294"/>
      <c r="I6" s="294"/>
      <c r="J6" s="294"/>
      <c r="K6" s="294"/>
      <c r="L6" s="294"/>
      <c r="M6" s="294"/>
      <c r="N6" s="295"/>
      <c r="O6" s="304"/>
      <c r="P6" s="305"/>
    </row>
    <row r="7" spans="1:16" ht="18" customHeight="1" thickBot="1" x14ac:dyDescent="0.25">
      <c r="A7" s="296"/>
      <c r="B7" s="297"/>
      <c r="C7" s="297"/>
      <c r="D7" s="297"/>
      <c r="E7" s="297"/>
      <c r="F7" s="297"/>
      <c r="G7" s="297"/>
      <c r="H7" s="297"/>
      <c r="I7" s="297"/>
      <c r="J7" s="297"/>
      <c r="K7" s="297"/>
      <c r="L7" s="297"/>
      <c r="M7" s="297"/>
      <c r="N7" s="298"/>
      <c r="O7" s="306"/>
      <c r="P7" s="307"/>
    </row>
    <row r="8" spans="1:16" ht="18.75" thickBot="1" x14ac:dyDescent="0.25">
      <c r="A8" s="290" t="s">
        <v>299</v>
      </c>
      <c r="B8" s="291"/>
      <c r="C8" s="291"/>
      <c r="D8" s="291"/>
      <c r="E8" s="291"/>
      <c r="F8" s="291"/>
      <c r="G8" s="292"/>
      <c r="H8" s="290" t="s">
        <v>300</v>
      </c>
      <c r="I8" s="291"/>
      <c r="J8" s="291"/>
      <c r="K8" s="291"/>
      <c r="L8" s="291"/>
      <c r="M8" s="291"/>
      <c r="N8" s="291"/>
      <c r="O8" s="291"/>
      <c r="P8" s="292"/>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1045</v>
      </c>
      <c r="C2" t="s">
        <v>498</v>
      </c>
      <c r="D2" t="s">
        <v>914</v>
      </c>
      <c r="E2" t="s">
        <v>915</v>
      </c>
      <c r="F2" t="s">
        <v>916</v>
      </c>
      <c r="G2" t="s">
        <v>917</v>
      </c>
      <c r="H2" t="s">
        <v>919</v>
      </c>
      <c r="I2" t="s">
        <v>1039</v>
      </c>
      <c r="J2" t="s">
        <v>920</v>
      </c>
      <c r="K2" t="s">
        <v>921</v>
      </c>
      <c r="L2" t="s">
        <v>918</v>
      </c>
      <c r="M2" t="s">
        <v>923</v>
      </c>
      <c r="N2" t="s">
        <v>924</v>
      </c>
      <c r="O2" t="s">
        <v>925</v>
      </c>
      <c r="P2" t="s">
        <v>926</v>
      </c>
    </row>
    <row r="3" spans="2:16" x14ac:dyDescent="0.2">
      <c r="B3" t="s">
        <v>582</v>
      </c>
      <c r="C3" t="s">
        <v>400</v>
      </c>
      <c r="D3" s="18">
        <v>42374.458680555559</v>
      </c>
      <c r="E3" t="s">
        <v>166</v>
      </c>
      <c r="F3" s="19">
        <v>0.96997674569876724</v>
      </c>
      <c r="G3" s="19">
        <v>0.97605985037406484</v>
      </c>
      <c r="H3" s="19">
        <v>0.91076692876713683</v>
      </c>
      <c r="I3" s="19">
        <v>4.5417002055965557E-2</v>
      </c>
      <c r="J3" s="19">
        <v>0.91206161870860103</v>
      </c>
      <c r="K3" s="19">
        <v>4.7387914913841062E-2</v>
      </c>
      <c r="L3" s="19"/>
      <c r="M3" s="19"/>
      <c r="N3" s="19"/>
      <c r="O3" s="19"/>
      <c r="P3" s="19"/>
    </row>
    <row r="4" spans="2:16" x14ac:dyDescent="0.2">
      <c r="B4" t="s">
        <v>641</v>
      </c>
      <c r="C4" t="s">
        <v>400</v>
      </c>
      <c r="D4" s="18">
        <v>42374.458680555559</v>
      </c>
      <c r="E4" t="s">
        <v>191</v>
      </c>
      <c r="F4" s="19">
        <v>0.99758241758241761</v>
      </c>
      <c r="G4" s="19">
        <v>0.9873708381171068</v>
      </c>
      <c r="H4" s="19">
        <v>0.89412254412254411</v>
      </c>
      <c r="I4" s="19">
        <v>4.4048953201673131E-2</v>
      </c>
      <c r="J4" s="19">
        <v>0.94304906204906214</v>
      </c>
      <c r="K4" s="19">
        <v>4.2846120940721592E-2</v>
      </c>
      <c r="L4" s="19"/>
      <c r="M4" s="19"/>
      <c r="N4" s="19"/>
      <c r="O4" s="19"/>
      <c r="P4" s="19"/>
    </row>
    <row r="5" spans="2:16" x14ac:dyDescent="0.2">
      <c r="B5" t="s">
        <v>535</v>
      </c>
      <c r="C5" t="s">
        <v>376</v>
      </c>
      <c r="D5" s="18">
        <v>42374.458680555559</v>
      </c>
      <c r="E5" t="s">
        <v>148</v>
      </c>
      <c r="F5" s="19">
        <v>0.93325848372135733</v>
      </c>
      <c r="G5" s="19">
        <v>0.85267493305390618</v>
      </c>
      <c r="H5" s="19">
        <v>0.89207282134002097</v>
      </c>
      <c r="I5" s="19">
        <v>4.6237276593911927E-2</v>
      </c>
      <c r="J5" s="19">
        <v>0.86615985724367694</v>
      </c>
      <c r="K5" s="19">
        <v>5.0305827185885971E-2</v>
      </c>
      <c r="L5" s="19"/>
      <c r="M5" s="19"/>
      <c r="N5" s="19"/>
      <c r="O5" s="19"/>
      <c r="P5" s="19"/>
    </row>
    <row r="6" spans="2:16" x14ac:dyDescent="0.2">
      <c r="B6" t="s">
        <v>529</v>
      </c>
      <c r="C6" t="s">
        <v>365</v>
      </c>
      <c r="D6" s="18">
        <v>42374.458680555559</v>
      </c>
      <c r="E6" t="s">
        <v>146</v>
      </c>
      <c r="F6" s="19">
        <v>0.94157351218992869</v>
      </c>
      <c r="G6" s="19">
        <v>0.80943291179511645</v>
      </c>
      <c r="H6" s="19">
        <v>0.82536168293808887</v>
      </c>
      <c r="I6" s="19">
        <v>4.7654090220379572E-2</v>
      </c>
      <c r="J6" s="19">
        <v>0.8816617572068699</v>
      </c>
      <c r="K6" s="19">
        <v>4.8696534231277649E-2</v>
      </c>
      <c r="L6" s="19"/>
      <c r="M6" s="19"/>
      <c r="N6" s="19"/>
      <c r="O6" s="19"/>
      <c r="P6" s="19"/>
    </row>
    <row r="7" spans="2:16" x14ac:dyDescent="0.2">
      <c r="B7" t="s">
        <v>597</v>
      </c>
      <c r="C7" t="s">
        <v>400</v>
      </c>
      <c r="D7" s="18">
        <v>42374.458680555559</v>
      </c>
      <c r="E7" t="s">
        <v>172</v>
      </c>
      <c r="F7" s="19">
        <v>0.9765365074756861</v>
      </c>
      <c r="G7" s="19">
        <v>0.92437968840161577</v>
      </c>
      <c r="H7" s="19">
        <v>0.94499999999999995</v>
      </c>
      <c r="I7" s="19">
        <v>4.4664423350855388E-2</v>
      </c>
      <c r="J7" s="19">
        <v>0.95804729738785466</v>
      </c>
      <c r="K7" s="19">
        <v>2.9559962694862846E-2</v>
      </c>
      <c r="L7" s="19"/>
      <c r="M7" s="19"/>
      <c r="N7" s="19"/>
      <c r="O7" s="19"/>
      <c r="P7" s="19"/>
    </row>
    <row r="8" spans="2:16" x14ac:dyDescent="0.2">
      <c r="B8" t="s">
        <v>508</v>
      </c>
      <c r="C8" t="s">
        <v>365</v>
      </c>
      <c r="D8" s="18">
        <v>42374.458680555559</v>
      </c>
      <c r="E8" t="s">
        <v>139</v>
      </c>
      <c r="F8" s="19">
        <v>0.91513510284542288</v>
      </c>
      <c r="G8" s="19">
        <v>0.80435773543622924</v>
      </c>
      <c r="H8" s="19">
        <v>0.81629668055524851</v>
      </c>
      <c r="I8" s="19">
        <v>5.9557789657780587E-2</v>
      </c>
      <c r="J8" s="19">
        <v>0.91326802427234399</v>
      </c>
      <c r="K8" s="19">
        <v>5.7198828226144943E-2</v>
      </c>
      <c r="L8" s="19"/>
      <c r="M8" s="19"/>
      <c r="N8" s="19"/>
      <c r="O8" s="19"/>
      <c r="P8" s="19"/>
    </row>
    <row r="9" spans="2:16" x14ac:dyDescent="0.2">
      <c r="B9" t="s">
        <v>516</v>
      </c>
      <c r="C9" t="s">
        <v>365</v>
      </c>
      <c r="D9" s="18">
        <v>42374.458680555559</v>
      </c>
      <c r="E9" t="s">
        <v>142</v>
      </c>
      <c r="F9" s="19">
        <v>0.97290082364303454</v>
      </c>
      <c r="G9" s="19">
        <v>0.9210423079244372</v>
      </c>
      <c r="H9" s="19">
        <v>0.88971425818285677</v>
      </c>
      <c r="I9" s="19">
        <v>4.9253196543825976E-2</v>
      </c>
      <c r="J9" s="19">
        <v>0.88066854899574309</v>
      </c>
      <c r="K9" s="19">
        <v>4.7145725771360392E-2</v>
      </c>
      <c r="L9" s="19"/>
      <c r="M9" s="19"/>
      <c r="N9" s="19"/>
      <c r="O9" s="19"/>
      <c r="P9" s="19"/>
    </row>
    <row r="10" spans="2:16" x14ac:dyDescent="0.2">
      <c r="B10" t="s">
        <v>633</v>
      </c>
      <c r="C10" t="s">
        <v>381</v>
      </c>
      <c r="D10" s="18">
        <v>42374.458680555559</v>
      </c>
      <c r="E10" t="s">
        <v>669</v>
      </c>
      <c r="F10" s="19">
        <v>0.98845959325047139</v>
      </c>
      <c r="G10" s="19">
        <v>0.96576787807737408</v>
      </c>
      <c r="H10" s="19">
        <v>0.87792966719051346</v>
      </c>
      <c r="I10" s="19">
        <v>5.3317098427736125E-2</v>
      </c>
      <c r="J10" s="19">
        <v>0.88037830369861625</v>
      </c>
      <c r="K10" s="19">
        <v>5.6574629112785643E-2</v>
      </c>
      <c r="L10" s="19"/>
      <c r="M10" s="19"/>
      <c r="N10" s="19"/>
      <c r="O10" s="19"/>
      <c r="P10" s="19"/>
    </row>
    <row r="11" spans="2:16" x14ac:dyDescent="0.2">
      <c r="B11" t="s">
        <v>563</v>
      </c>
      <c r="C11" t="s">
        <v>386</v>
      </c>
      <c r="D11" s="18">
        <v>42374.458680555559</v>
      </c>
      <c r="E11" t="s">
        <v>158</v>
      </c>
      <c r="F11" s="19">
        <v>0.93580615403246215</v>
      </c>
      <c r="G11" s="19">
        <v>0.85877427894234615</v>
      </c>
      <c r="H11" s="19">
        <v>0.88925393449402601</v>
      </c>
      <c r="I11" s="19">
        <v>4.5312472927129976E-2</v>
      </c>
      <c r="J11" s="19">
        <v>0.87173050601622037</v>
      </c>
      <c r="K11" s="19">
        <v>4.8317546916384228E-2</v>
      </c>
      <c r="L11" s="224"/>
      <c r="M11" s="224"/>
      <c r="N11" s="224"/>
      <c r="O11" s="224"/>
      <c r="P11" s="224"/>
    </row>
    <row r="12" spans="2:16" x14ac:dyDescent="0.2">
      <c r="B12" t="s">
        <v>555</v>
      </c>
      <c r="C12" t="s">
        <v>386</v>
      </c>
      <c r="D12" s="18">
        <v>42374.458680555559</v>
      </c>
      <c r="E12" t="s">
        <v>155</v>
      </c>
      <c r="F12" s="19">
        <v>0.98093824943565833</v>
      </c>
      <c r="G12" s="19">
        <v>0.92455803620492039</v>
      </c>
      <c r="H12" s="19">
        <v>0.9339946052673036</v>
      </c>
      <c r="I12" s="19">
        <v>3.8492225922182044E-2</v>
      </c>
      <c r="J12" s="19">
        <v>0.87941701766722669</v>
      </c>
      <c r="K12" s="19">
        <v>5.7581535851282908E-2</v>
      </c>
      <c r="L12" s="19"/>
      <c r="M12" s="19"/>
      <c r="N12" s="19"/>
      <c r="O12" s="19"/>
      <c r="P12" s="19"/>
    </row>
    <row r="13" spans="2:16" x14ac:dyDescent="0.2">
      <c r="B13" t="s">
        <v>543</v>
      </c>
      <c r="C13" t="s">
        <v>376</v>
      </c>
      <c r="D13" s="18">
        <v>42374.458680555559</v>
      </c>
      <c r="E13" t="s">
        <v>151</v>
      </c>
      <c r="F13" s="19">
        <v>0.98733780765995427</v>
      </c>
      <c r="G13" s="19">
        <v>0.96437061048082118</v>
      </c>
      <c r="H13" s="19">
        <v>0.94700040984060541</v>
      </c>
      <c r="I13" s="19">
        <v>4.4805048803649328E-2</v>
      </c>
      <c r="J13" s="19">
        <v>0.90567444305957534</v>
      </c>
      <c r="K13" s="19">
        <v>5.8082351927540611E-2</v>
      </c>
      <c r="L13" s="19"/>
      <c r="M13" s="19"/>
      <c r="N13" s="19"/>
      <c r="O13" s="19"/>
      <c r="P13" s="19"/>
    </row>
    <row r="14" spans="2:16" x14ac:dyDescent="0.2">
      <c r="B14" t="s">
        <v>381</v>
      </c>
      <c r="C14" t="s">
        <v>381</v>
      </c>
      <c r="D14" s="18">
        <v>42374.458680555559</v>
      </c>
      <c r="E14" t="s">
        <v>660</v>
      </c>
      <c r="F14" s="19">
        <v>0.96201168837313988</v>
      </c>
      <c r="G14" s="19">
        <v>0.8825475827353525</v>
      </c>
      <c r="H14" s="19">
        <v>0.9052606774108678</v>
      </c>
      <c r="I14" s="19">
        <v>1.675789888099544E-2</v>
      </c>
      <c r="J14" s="19">
        <v>0.9307807646312023</v>
      </c>
      <c r="K14" s="19">
        <v>1.5927316075654972E-2</v>
      </c>
      <c r="L14" s="19"/>
      <c r="M14" s="19"/>
      <c r="N14" s="19"/>
      <c r="O14" s="19"/>
      <c r="P14" s="19"/>
    </row>
    <row r="15" spans="2:16" x14ac:dyDescent="0.2">
      <c r="B15" t="s">
        <v>580</v>
      </c>
      <c r="C15" t="s">
        <v>381</v>
      </c>
      <c r="D15" s="18">
        <v>42374.458680555559</v>
      </c>
      <c r="E15" t="s">
        <v>165</v>
      </c>
      <c r="F15" s="19">
        <v>0.98287907333752011</v>
      </c>
      <c r="G15" s="19">
        <v>0.93086146036932238</v>
      </c>
      <c r="H15" s="19">
        <v>0.92783659300219457</v>
      </c>
      <c r="I15" s="19">
        <v>4.0955497905660249E-2</v>
      </c>
      <c r="J15" s="19">
        <v>0.89968338947769066</v>
      </c>
      <c r="K15" s="19">
        <v>4.7861685943861115E-2</v>
      </c>
      <c r="L15" s="19"/>
      <c r="M15" s="19"/>
      <c r="N15" s="19"/>
      <c r="O15" s="19"/>
      <c r="P15" s="19"/>
    </row>
    <row r="16" spans="2:16" x14ac:dyDescent="0.2">
      <c r="B16" t="s">
        <v>572</v>
      </c>
      <c r="C16" t="s">
        <v>386</v>
      </c>
      <c r="D16" s="18">
        <v>42374.458680555559</v>
      </c>
      <c r="E16" t="s">
        <v>162</v>
      </c>
      <c r="F16" s="19">
        <v>0.97183712141838119</v>
      </c>
      <c r="G16" s="19">
        <v>0.94446789267410314</v>
      </c>
      <c r="H16" s="19">
        <v>0.980482269503546</v>
      </c>
      <c r="I16" s="19">
        <v>1.988543211369951E-2</v>
      </c>
      <c r="J16" s="19">
        <v>0.97792456335934586</v>
      </c>
      <c r="K16" s="19">
        <v>2.17236709072305E-2</v>
      </c>
      <c r="L16" s="224"/>
      <c r="M16" s="224"/>
      <c r="N16" s="224"/>
      <c r="O16" s="224"/>
      <c r="P16" s="224"/>
    </row>
    <row r="17" spans="2:16" x14ac:dyDescent="0.2">
      <c r="B17" t="s">
        <v>565</v>
      </c>
      <c r="C17" t="s">
        <v>386</v>
      </c>
      <c r="D17" s="18">
        <v>42374.458680555559</v>
      </c>
      <c r="E17" t="s">
        <v>159</v>
      </c>
      <c r="F17" s="19">
        <v>0.92413545816482656</v>
      </c>
      <c r="G17" s="19">
        <v>0.9267784756559313</v>
      </c>
      <c r="H17" s="19">
        <v>0.89602548477062616</v>
      </c>
      <c r="I17" s="19">
        <v>4.4999620244511006E-2</v>
      </c>
      <c r="J17" s="19">
        <v>0.90692693332331775</v>
      </c>
      <c r="K17" s="19">
        <v>4.8556107140536611E-2</v>
      </c>
      <c r="L17" s="19"/>
      <c r="M17" s="19"/>
      <c r="N17" s="19"/>
      <c r="O17" s="19"/>
      <c r="P17" s="19"/>
    </row>
    <row r="18" spans="2:16" x14ac:dyDescent="0.2">
      <c r="B18" t="s">
        <v>629</v>
      </c>
      <c r="C18" t="s">
        <v>386</v>
      </c>
      <c r="D18" s="18">
        <v>42374.458680555559</v>
      </c>
      <c r="E18" t="s">
        <v>186</v>
      </c>
      <c r="F18" s="19">
        <v>0.92693584445498267</v>
      </c>
      <c r="G18" s="19">
        <v>0.85428779069767447</v>
      </c>
      <c r="H18" s="19">
        <v>0.9319529957827829</v>
      </c>
      <c r="I18" s="19">
        <v>4.1640698776399532E-2</v>
      </c>
      <c r="J18" s="19">
        <v>0.96131363984234819</v>
      </c>
      <c r="K18" s="19">
        <v>3.2167381355019911E-2</v>
      </c>
      <c r="L18" s="19"/>
      <c r="M18" s="19"/>
      <c r="N18" s="19"/>
      <c r="O18" s="19"/>
      <c r="P18" s="19"/>
    </row>
    <row r="19" spans="2:16" x14ac:dyDescent="0.2">
      <c r="B19" t="s">
        <v>627</v>
      </c>
      <c r="C19" t="s">
        <v>381</v>
      </c>
      <c r="D19" s="18">
        <v>42374.458680555559</v>
      </c>
      <c r="E19" t="s">
        <v>185</v>
      </c>
      <c r="F19" s="19">
        <v>0.97600310471960505</v>
      </c>
      <c r="G19" s="19">
        <v>0.92662521198417191</v>
      </c>
      <c r="H19" s="19">
        <v>0.94374859708193037</v>
      </c>
      <c r="I19" s="19">
        <v>3.9973237573555309E-2</v>
      </c>
      <c r="J19" s="19">
        <v>0.95198464219157897</v>
      </c>
      <c r="K19" s="19">
        <v>3.2546799348705233E-2</v>
      </c>
      <c r="L19" s="19"/>
      <c r="M19" s="19"/>
      <c r="N19" s="19"/>
      <c r="O19" s="19"/>
      <c r="P19" s="19"/>
    </row>
    <row r="20" spans="2:16" x14ac:dyDescent="0.2">
      <c r="B20" t="s">
        <v>518</v>
      </c>
      <c r="C20" t="s">
        <v>365</v>
      </c>
      <c r="D20" s="18">
        <v>42374.458680555559</v>
      </c>
      <c r="E20" t="s">
        <v>143</v>
      </c>
      <c r="F20" s="19">
        <v>0.99294266353007277</v>
      </c>
      <c r="G20" s="19">
        <v>0.96322722283205264</v>
      </c>
      <c r="H20" s="19">
        <v>0.92046869333413084</v>
      </c>
      <c r="I20" s="19">
        <v>4.3251515963425573E-2</v>
      </c>
      <c r="J20" s="19">
        <v>0.96695884760400896</v>
      </c>
      <c r="K20" s="19">
        <v>3.3365891722760568E-2</v>
      </c>
      <c r="L20" s="19"/>
      <c r="M20" s="19"/>
      <c r="N20" s="19"/>
      <c r="O20" s="19"/>
      <c r="P20" s="19"/>
    </row>
    <row r="21" spans="2:16" x14ac:dyDescent="0.2">
      <c r="B21" t="s">
        <v>637</v>
      </c>
      <c r="C21" t="s">
        <v>400</v>
      </c>
      <c r="D21" s="18">
        <v>42374.458680555559</v>
      </c>
      <c r="E21" t="s">
        <v>189</v>
      </c>
      <c r="F21" s="19">
        <v>0.94982624390506709</v>
      </c>
      <c r="G21" s="19">
        <v>0.87705393388749286</v>
      </c>
      <c r="H21" s="19">
        <v>0.89039297272306983</v>
      </c>
      <c r="I21" s="19">
        <v>4.5429146510922037E-2</v>
      </c>
      <c r="J21" s="19">
        <v>0.9620298694190319</v>
      </c>
      <c r="K21" s="19">
        <v>3.101005176223012E-2</v>
      </c>
      <c r="L21" s="19"/>
      <c r="M21" s="19"/>
      <c r="N21" s="19"/>
      <c r="O21" s="19"/>
      <c r="P21" s="19"/>
    </row>
    <row r="22" spans="2:16" x14ac:dyDescent="0.2">
      <c r="B22" t="s">
        <v>615</v>
      </c>
      <c r="C22" t="s">
        <v>381</v>
      </c>
      <c r="D22" s="18">
        <v>42374.458680555559</v>
      </c>
      <c r="E22" t="s">
        <v>180</v>
      </c>
      <c r="F22" s="19">
        <v>0.94631900428536586</v>
      </c>
      <c r="G22" s="19">
        <v>0.8127137103152875</v>
      </c>
      <c r="H22" s="19">
        <v>0.85856797974445032</v>
      </c>
      <c r="I22" s="19">
        <v>4.5697503699262398E-2</v>
      </c>
      <c r="J22" s="19">
        <v>0.90866814336098467</v>
      </c>
      <c r="K22" s="19">
        <v>4.3571400307303845E-2</v>
      </c>
      <c r="L22" s="19"/>
      <c r="M22" s="19"/>
      <c r="N22" s="19"/>
      <c r="O22" s="19"/>
      <c r="P22" s="19"/>
    </row>
    <row r="23" spans="2:16" x14ac:dyDescent="0.2">
      <c r="B23" t="s">
        <v>533</v>
      </c>
      <c r="C23" t="s">
        <v>365</v>
      </c>
      <c r="D23" s="18">
        <v>42374.458680555559</v>
      </c>
      <c r="E23" t="s">
        <v>147</v>
      </c>
      <c r="F23" s="19">
        <v>0.97382659623017243</v>
      </c>
      <c r="G23" s="19">
        <v>0.93293431553100059</v>
      </c>
      <c r="H23" s="19">
        <v>0.90171809874766351</v>
      </c>
      <c r="I23" s="19">
        <v>4.3704081920787986E-2</v>
      </c>
      <c r="J23" s="19">
        <v>0.89575342716306783</v>
      </c>
      <c r="K23" s="19">
        <v>5.1571207049398993E-2</v>
      </c>
      <c r="L23" s="19"/>
      <c r="M23" s="19"/>
      <c r="N23" s="19"/>
      <c r="O23" s="19"/>
      <c r="P23" s="19"/>
    </row>
    <row r="24" spans="2:16" x14ac:dyDescent="0.2">
      <c r="B24" t="s">
        <v>557</v>
      </c>
      <c r="C24" t="s">
        <v>386</v>
      </c>
      <c r="D24" s="18">
        <v>42374.458680555559</v>
      </c>
      <c r="E24" t="s">
        <v>156</v>
      </c>
      <c r="F24" s="19">
        <v>0.95690186340042571</v>
      </c>
      <c r="G24" s="19">
        <v>0.91222675064838821</v>
      </c>
      <c r="H24" s="19">
        <v>0.91470747405408981</v>
      </c>
      <c r="I24" s="19">
        <v>4.6281048925901021E-2</v>
      </c>
      <c r="J24" s="19">
        <v>0.944543303947883</v>
      </c>
      <c r="K24" s="19">
        <v>3.3536032375189533E-2</v>
      </c>
      <c r="L24" s="19"/>
      <c r="M24" s="19"/>
      <c r="N24" s="19"/>
      <c r="O24" s="19"/>
      <c r="P24" s="19"/>
    </row>
    <row r="25" spans="2:16" x14ac:dyDescent="0.2">
      <c r="B25" t="s">
        <v>551</v>
      </c>
      <c r="C25" t="s">
        <v>381</v>
      </c>
      <c r="D25" s="18">
        <v>42374.458680555559</v>
      </c>
      <c r="E25" t="s">
        <v>154</v>
      </c>
      <c r="F25" s="19">
        <v>0.95601757830990475</v>
      </c>
      <c r="G25" s="19">
        <v>0.88445612034321708</v>
      </c>
      <c r="H25" s="19">
        <v>0.89556821593119007</v>
      </c>
      <c r="I25" s="19">
        <v>4.1774783910117887E-2</v>
      </c>
      <c r="J25" s="19">
        <v>0.88571659653749213</v>
      </c>
      <c r="K25" s="19">
        <v>5.4201882173675886E-2</v>
      </c>
      <c r="L25" s="19"/>
      <c r="M25" s="19"/>
      <c r="N25" s="19"/>
      <c r="O25" s="19"/>
      <c r="P25" s="19"/>
    </row>
    <row r="26" spans="2:16" x14ac:dyDescent="0.2">
      <c r="B26" t="s">
        <v>574</v>
      </c>
      <c r="C26" t="s">
        <v>386</v>
      </c>
      <c r="D26" s="18">
        <v>42374.458680555559</v>
      </c>
      <c r="E26" t="s">
        <v>163</v>
      </c>
      <c r="F26" s="19">
        <v>0.97082930882836982</v>
      </c>
      <c r="G26" s="19">
        <v>0.89079084287200838</v>
      </c>
      <c r="H26" s="19">
        <v>0.95506405555795193</v>
      </c>
      <c r="I26" s="19">
        <v>3.6958619792387924E-2</v>
      </c>
      <c r="J26" s="19">
        <v>0.97880545180525536</v>
      </c>
      <c r="K26" s="19">
        <v>2.3860397973589471E-2</v>
      </c>
      <c r="L26" s="19"/>
      <c r="M26" s="19"/>
      <c r="N26" s="19"/>
      <c r="O26" s="19"/>
      <c r="P26" s="19"/>
    </row>
    <row r="27" spans="2:16" x14ac:dyDescent="0.2">
      <c r="B27" t="s">
        <v>603</v>
      </c>
      <c r="C27" t="s">
        <v>381</v>
      </c>
      <c r="D27" s="18">
        <v>42374.458680555559</v>
      </c>
      <c r="E27" t="s">
        <v>175</v>
      </c>
      <c r="F27" s="19">
        <v>0.96010699414473621</v>
      </c>
      <c r="G27" s="19">
        <v>0.85267569310122515</v>
      </c>
      <c r="H27" s="19">
        <v>0.89498689466746806</v>
      </c>
      <c r="I27" s="19">
        <v>5.1592444343412043E-2</v>
      </c>
      <c r="J27" s="19">
        <v>0.93914067378878652</v>
      </c>
      <c r="K27" s="19">
        <v>4.1643613425293824E-2</v>
      </c>
      <c r="L27" s="19"/>
      <c r="M27" s="19"/>
      <c r="N27" s="19"/>
      <c r="O27" s="19"/>
      <c r="P27" s="19"/>
    </row>
    <row r="28" spans="2:16" x14ac:dyDescent="0.2">
      <c r="B28" t="s">
        <v>589</v>
      </c>
      <c r="C28" t="s">
        <v>400</v>
      </c>
      <c r="D28" s="18">
        <v>42374.458680555559</v>
      </c>
      <c r="E28" t="s">
        <v>169</v>
      </c>
      <c r="F28" s="19">
        <v>0.92117616134938085</v>
      </c>
      <c r="G28" s="19">
        <v>0.91614906832298137</v>
      </c>
      <c r="H28" s="19">
        <v>0.87941783882683011</v>
      </c>
      <c r="I28" s="19">
        <v>4.6155200796287515E-2</v>
      </c>
      <c r="J28" s="19">
        <v>0.89413505314172725</v>
      </c>
      <c r="K28" s="19">
        <v>4.8007523955498003E-2</v>
      </c>
      <c r="L28" s="19"/>
      <c r="M28" s="19"/>
      <c r="N28" s="19"/>
      <c r="O28" s="19"/>
      <c r="P28" s="19"/>
    </row>
    <row r="29" spans="2:16" x14ac:dyDescent="0.2">
      <c r="B29" t="s">
        <v>559</v>
      </c>
      <c r="C29" t="s">
        <v>376</v>
      </c>
      <c r="D29" s="18">
        <v>42374.458680555559</v>
      </c>
      <c r="E29" t="s">
        <v>157</v>
      </c>
      <c r="F29" s="19">
        <v>0.97950653423445444</v>
      </c>
      <c r="G29" s="19">
        <v>0.92613019350315096</v>
      </c>
      <c r="H29" s="19">
        <v>0.92024221400119943</v>
      </c>
      <c r="I29" s="19">
        <v>4.3930442106918551E-2</v>
      </c>
      <c r="J29" s="19">
        <v>0.9009935256510837</v>
      </c>
      <c r="K29" s="19">
        <v>4.807069998297045E-2</v>
      </c>
      <c r="L29" s="19"/>
      <c r="M29" s="19"/>
      <c r="N29" s="19"/>
      <c r="O29" s="19"/>
      <c r="P29" s="19"/>
    </row>
    <row r="30" spans="2:16" x14ac:dyDescent="0.2">
      <c r="B30" t="s">
        <v>618</v>
      </c>
      <c r="C30" t="s">
        <v>365</v>
      </c>
      <c r="D30" s="18">
        <v>42374.458680555559</v>
      </c>
      <c r="E30" t="s">
        <v>181</v>
      </c>
      <c r="F30" s="19">
        <v>0.97083819419625006</v>
      </c>
      <c r="G30" s="19">
        <v>0.95297951582867779</v>
      </c>
      <c r="H30" s="19">
        <v>0.91828318006920673</v>
      </c>
      <c r="I30" s="19">
        <v>3.998971318316457E-2</v>
      </c>
      <c r="J30" s="19">
        <v>0.91904552613265944</v>
      </c>
      <c r="K30" s="19">
        <v>4.5578205498796438E-2</v>
      </c>
      <c r="L30" s="19"/>
      <c r="M30" s="19"/>
      <c r="N30" s="19"/>
      <c r="O30" s="19"/>
      <c r="P30" s="19"/>
    </row>
    <row r="31" spans="2:16" x14ac:dyDescent="0.2">
      <c r="B31" t="s">
        <v>611</v>
      </c>
      <c r="C31" t="s">
        <v>400</v>
      </c>
      <c r="D31" s="18">
        <v>42374.458680555559</v>
      </c>
      <c r="E31" t="s">
        <v>179</v>
      </c>
      <c r="F31" s="19">
        <v>0.94623166008902881</v>
      </c>
      <c r="G31" s="19">
        <v>0.89815585960737654</v>
      </c>
      <c r="H31" s="19">
        <v>0.9305093110482332</v>
      </c>
      <c r="I31" s="19">
        <v>4.5203592670496846E-2</v>
      </c>
      <c r="J31" s="19">
        <v>0.97102996254681662</v>
      </c>
      <c r="K31" s="19">
        <v>2.7025131266069095E-2</v>
      </c>
      <c r="L31" s="19"/>
      <c r="M31" s="19"/>
      <c r="N31" s="19"/>
      <c r="O31" s="19"/>
      <c r="P31" s="19"/>
    </row>
    <row r="32" spans="2:16" x14ac:dyDescent="0.2">
      <c r="B32" t="s">
        <v>386</v>
      </c>
      <c r="C32" t="s">
        <v>386</v>
      </c>
      <c r="D32" s="18">
        <v>42374.458680555559</v>
      </c>
      <c r="E32" t="s">
        <v>659</v>
      </c>
      <c r="F32" s="19">
        <v>0.96501248042945909</v>
      </c>
      <c r="G32" s="19">
        <v>0.9267909910392611</v>
      </c>
      <c r="H32" s="19">
        <v>0.9336016278367506</v>
      </c>
      <c r="I32" s="19">
        <v>1.2705766420396572E-2</v>
      </c>
      <c r="J32" s="19">
        <v>0.90607700815432457</v>
      </c>
      <c r="K32" s="19">
        <v>2.0556487878228252E-2</v>
      </c>
      <c r="L32" s="19"/>
      <c r="M32" s="19"/>
      <c r="N32" s="19"/>
      <c r="O32" s="19"/>
      <c r="P32" s="19"/>
    </row>
    <row r="33" spans="2:16" x14ac:dyDescent="0.2">
      <c r="B33" t="s">
        <v>212</v>
      </c>
      <c r="C33" t="s">
        <v>386</v>
      </c>
      <c r="D33" s="18">
        <v>42374.458680555559</v>
      </c>
      <c r="E33" t="s">
        <v>160</v>
      </c>
      <c r="F33" s="19">
        <v>0.98905237004542101</v>
      </c>
      <c r="G33" s="19">
        <v>0.95353244078269805</v>
      </c>
      <c r="H33" s="19">
        <v>0.96730348971489943</v>
      </c>
      <c r="I33" s="19">
        <v>3.4325997387215777E-2</v>
      </c>
      <c r="J33" s="19">
        <v>0.90466426300662917</v>
      </c>
      <c r="K33" s="19">
        <v>5.2976962994764849E-2</v>
      </c>
      <c r="L33" s="19">
        <v>1</v>
      </c>
      <c r="M33" s="19">
        <v>0.9527406412662911</v>
      </c>
      <c r="N33" s="19">
        <v>3.4903923101055979E-2</v>
      </c>
      <c r="O33" s="19">
        <v>0.97667166653509119</v>
      </c>
      <c r="P33" s="19">
        <v>2.2442018434798996E-2</v>
      </c>
    </row>
    <row r="34" spans="2:16" x14ac:dyDescent="0.2">
      <c r="B34" t="s">
        <v>567</v>
      </c>
      <c r="C34" t="s">
        <v>386</v>
      </c>
      <c r="D34" s="18">
        <v>42374.458680555559</v>
      </c>
      <c r="E34" t="s">
        <v>160</v>
      </c>
      <c r="F34" s="19">
        <v>0.98905237004542101</v>
      </c>
      <c r="G34" s="19">
        <v>0.95353244078269805</v>
      </c>
      <c r="H34" s="19">
        <v>0.96730348971489943</v>
      </c>
      <c r="I34" s="19">
        <v>3.4325997387215777E-2</v>
      </c>
      <c r="J34" s="19">
        <v>0.90466426300662917</v>
      </c>
      <c r="K34" s="19">
        <v>5.2976962994764849E-2</v>
      </c>
      <c r="L34" s="19">
        <v>1</v>
      </c>
      <c r="M34" s="19">
        <v>0.9527406412662911</v>
      </c>
      <c r="N34" s="19">
        <v>3.4903923101055979E-2</v>
      </c>
      <c r="O34" s="19">
        <v>0.97667166653509119</v>
      </c>
      <c r="P34" s="19">
        <v>2.2442018434798996E-2</v>
      </c>
    </row>
    <row r="35" spans="2:16" x14ac:dyDescent="0.2">
      <c r="B35" t="s">
        <v>549</v>
      </c>
      <c r="C35" t="s">
        <v>376</v>
      </c>
      <c r="D35" s="18">
        <v>42374.458680555559</v>
      </c>
      <c r="E35" t="s">
        <v>153</v>
      </c>
      <c r="F35" s="19">
        <v>0.92183695479845285</v>
      </c>
      <c r="G35" s="19">
        <v>0.88559609667621841</v>
      </c>
      <c r="H35" s="19">
        <v>0.91630605507638796</v>
      </c>
      <c r="I35" s="19">
        <v>4.1046399082281797E-2</v>
      </c>
      <c r="J35" s="19">
        <v>0.92951824729357757</v>
      </c>
      <c r="K35" s="19">
        <v>3.8788517472027377E-2</v>
      </c>
      <c r="L35" s="19"/>
      <c r="M35" s="19"/>
      <c r="N35" s="19"/>
      <c r="O35" s="19"/>
      <c r="P35" s="19"/>
    </row>
    <row r="36" spans="2:16" x14ac:dyDescent="0.2">
      <c r="B36" t="s">
        <v>605</v>
      </c>
      <c r="C36" t="s">
        <v>381</v>
      </c>
      <c r="D36" s="18">
        <v>42374.458680555559</v>
      </c>
      <c r="E36" t="s">
        <v>176</v>
      </c>
      <c r="F36" s="19">
        <v>0.96829933072283403</v>
      </c>
      <c r="G36" s="19">
        <v>0.92067323164059967</v>
      </c>
      <c r="H36" s="19">
        <v>0.92685063803416068</v>
      </c>
      <c r="I36" s="19">
        <v>4.5476456720553671E-2</v>
      </c>
      <c r="J36" s="19">
        <v>0.94442286397582986</v>
      </c>
      <c r="K36" s="19">
        <v>4.6656277931826369E-2</v>
      </c>
      <c r="L36" s="19"/>
      <c r="M36" s="19"/>
      <c r="N36" s="19"/>
      <c r="O36" s="19"/>
      <c r="P36" s="19"/>
    </row>
    <row r="37" spans="2:16" x14ac:dyDescent="0.2">
      <c r="B37" t="s">
        <v>545</v>
      </c>
      <c r="C37" t="s">
        <v>376</v>
      </c>
      <c r="D37" s="18">
        <v>42374.458680555559</v>
      </c>
      <c r="E37" t="s">
        <v>94</v>
      </c>
      <c r="F37" s="19">
        <v>0.99117324623365466</v>
      </c>
      <c r="G37" s="19">
        <v>1</v>
      </c>
      <c r="H37" s="19">
        <v>0.95353361112355683</v>
      </c>
      <c r="I37" s="19">
        <v>3.2407502926613534E-2</v>
      </c>
      <c r="J37" s="19">
        <v>0.93317521753048327</v>
      </c>
      <c r="K37" s="19">
        <v>3.9162338713145457E-2</v>
      </c>
      <c r="L37" s="19"/>
      <c r="M37" s="19"/>
      <c r="N37" s="19"/>
      <c r="O37" s="19"/>
      <c r="P37" s="19"/>
    </row>
    <row r="38" spans="2:16" x14ac:dyDescent="0.2">
      <c r="B38" t="s">
        <v>547</v>
      </c>
      <c r="C38" t="s">
        <v>381</v>
      </c>
      <c r="D38" s="18">
        <v>42374.458680555559</v>
      </c>
      <c r="E38" t="s">
        <v>152</v>
      </c>
      <c r="F38" s="19">
        <v>0.9868946128128735</v>
      </c>
      <c r="G38" s="19">
        <v>0.97209996270048493</v>
      </c>
      <c r="H38" s="19">
        <v>0.92617298498912159</v>
      </c>
      <c r="I38" s="19">
        <v>4.0964917430248916E-2</v>
      </c>
      <c r="J38" s="19">
        <v>0.94333841395382767</v>
      </c>
      <c r="K38" s="19">
        <v>3.4840560243678452E-2</v>
      </c>
      <c r="L38" s="19"/>
      <c r="M38" s="19"/>
      <c r="N38" s="19"/>
      <c r="O38" s="19"/>
      <c r="P38" s="19"/>
    </row>
    <row r="39" spans="2:16" x14ac:dyDescent="0.2">
      <c r="B39" t="s">
        <v>514</v>
      </c>
      <c r="C39" t="s">
        <v>365</v>
      </c>
      <c r="D39" s="18">
        <v>42374.458680555559</v>
      </c>
      <c r="E39" t="s">
        <v>141</v>
      </c>
      <c r="F39" s="19">
        <v>0.9309579048110056</v>
      </c>
      <c r="G39" s="19">
        <v>0.82271031855864396</v>
      </c>
      <c r="H39" s="19">
        <v>0.90256916498993978</v>
      </c>
      <c r="I39" s="19">
        <v>4.8066180689815712E-2</v>
      </c>
      <c r="J39" s="19">
        <v>0.92324390080204044</v>
      </c>
      <c r="K39" s="19">
        <v>4.1670066440340679E-2</v>
      </c>
      <c r="L39" s="19"/>
      <c r="M39" s="19"/>
      <c r="N39" s="19"/>
      <c r="O39" s="19"/>
      <c r="P39" s="19"/>
    </row>
    <row r="40" spans="2:16" x14ac:dyDescent="0.2">
      <c r="B40" t="s">
        <v>520</v>
      </c>
      <c r="C40" t="s">
        <v>365</v>
      </c>
      <c r="D40" s="18">
        <v>42374.458680555559</v>
      </c>
      <c r="E40" t="s">
        <v>144</v>
      </c>
      <c r="F40" s="19">
        <v>0.93767883533000007</v>
      </c>
      <c r="G40" s="19">
        <v>0.88166404474742177</v>
      </c>
      <c r="H40" s="19">
        <v>0.87932553351546094</v>
      </c>
      <c r="I40" s="19">
        <v>4.375571969644497E-2</v>
      </c>
      <c r="J40" s="19">
        <v>0.85503522570817581</v>
      </c>
      <c r="K40" s="19">
        <v>5.1176209522065225E-2</v>
      </c>
      <c r="L40" s="19"/>
      <c r="M40" s="19"/>
      <c r="N40" s="19"/>
      <c r="O40" s="19"/>
      <c r="P40" s="19"/>
    </row>
    <row r="41" spans="2:16" x14ac:dyDescent="0.2">
      <c r="B41" t="s">
        <v>365</v>
      </c>
      <c r="C41" t="s">
        <v>365</v>
      </c>
      <c r="D41" s="18">
        <v>42374.458680555559</v>
      </c>
      <c r="E41" t="s">
        <v>658</v>
      </c>
      <c r="F41" s="19">
        <v>0.9602834708770337</v>
      </c>
      <c r="G41" s="19">
        <v>0.88343657779439999</v>
      </c>
      <c r="H41" s="19">
        <v>0.87075523409242972</v>
      </c>
      <c r="I41" s="19">
        <v>1.6770998241114582E-2</v>
      </c>
      <c r="J41" s="19">
        <v>0.89397814954597565</v>
      </c>
      <c r="K41" s="19">
        <v>1.5886202338098201E-2</v>
      </c>
      <c r="L41" s="19"/>
      <c r="M41" s="19"/>
      <c r="N41" s="19"/>
      <c r="O41" s="19"/>
      <c r="P41" s="19"/>
    </row>
    <row r="42" spans="2:16" x14ac:dyDescent="0.2">
      <c r="B42" t="s">
        <v>587</v>
      </c>
      <c r="C42" t="s">
        <v>400</v>
      </c>
      <c r="D42" s="18">
        <v>42374.458680555559</v>
      </c>
      <c r="E42" t="s">
        <v>168</v>
      </c>
      <c r="F42" s="19">
        <v>0.96294267934005218</v>
      </c>
      <c r="G42" s="19">
        <v>0.93321878211716336</v>
      </c>
      <c r="H42" s="19">
        <v>0.94899377198939872</v>
      </c>
      <c r="I42" s="19">
        <v>3.4197020275535547E-2</v>
      </c>
      <c r="J42" s="19">
        <v>0.9095791342628704</v>
      </c>
      <c r="K42" s="19">
        <v>4.8814972416533139E-2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400</v>
      </c>
      <c r="C44" t="s">
        <v>400</v>
      </c>
      <c r="D44" s="18">
        <v>42374.458680555559</v>
      </c>
      <c r="E44" t="s">
        <v>661</v>
      </c>
      <c r="F44" s="19">
        <v>0.95328805892639512</v>
      </c>
      <c r="G44" s="19">
        <v>0.8880115344826045</v>
      </c>
      <c r="H44" s="19">
        <v>0.90781945305034695</v>
      </c>
      <c r="I44" s="19">
        <v>1.5941174696001072E-2</v>
      </c>
      <c r="J44" s="19">
        <v>0.93406046148647615</v>
      </c>
      <c r="K44" s="19">
        <v>1.525307463992462E-2</v>
      </c>
      <c r="L44" s="19"/>
      <c r="M44" s="19"/>
      <c r="N44" s="19"/>
      <c r="O44" s="19"/>
      <c r="P44" s="19"/>
    </row>
    <row r="45" spans="2:16" x14ac:dyDescent="0.2">
      <c r="B45" t="s">
        <v>213</v>
      </c>
      <c r="C45" t="s">
        <v>365</v>
      </c>
      <c r="D45" s="18">
        <v>42374.458680555559</v>
      </c>
      <c r="E45" t="s">
        <v>102</v>
      </c>
      <c r="F45" s="19">
        <v>0.96772408735050564</v>
      </c>
      <c r="G45" s="19">
        <v>0.93488888053247077</v>
      </c>
      <c r="H45" s="19">
        <v>0.86094930004569425</v>
      </c>
      <c r="I45" s="19">
        <v>5.1128656528516031E-2</v>
      </c>
      <c r="J45" s="19">
        <v>0.89468325884570687</v>
      </c>
      <c r="K45" s="19">
        <v>5.2004402500186231E-2</v>
      </c>
      <c r="L45" s="19">
        <v>0.91294528988622348</v>
      </c>
      <c r="M45" s="19">
        <v>0.93017667772598667</v>
      </c>
      <c r="N45" s="19">
        <v>4.3386517725416809E-2</v>
      </c>
      <c r="O45" s="19">
        <v>0.92519699830758606</v>
      </c>
      <c r="P45" s="19">
        <v>4.881325786853296E-2</v>
      </c>
    </row>
    <row r="46" spans="2:16" x14ac:dyDescent="0.2">
      <c r="B46" t="s">
        <v>522</v>
      </c>
      <c r="C46" t="s">
        <v>365</v>
      </c>
      <c r="D46" s="18">
        <v>42374.458680555559</v>
      </c>
      <c r="E46" t="s">
        <v>102</v>
      </c>
      <c r="F46" s="19">
        <v>0.96772408735050564</v>
      </c>
      <c r="G46" s="19">
        <v>0.93488888053247077</v>
      </c>
      <c r="H46" s="19">
        <v>0.86094930004569425</v>
      </c>
      <c r="I46" s="19">
        <v>5.1128656528516031E-2</v>
      </c>
      <c r="J46" s="19">
        <v>0.89468325884570687</v>
      </c>
      <c r="K46" s="19">
        <v>5.2004402500186231E-2</v>
      </c>
      <c r="L46" s="19">
        <v>0.91294528988622348</v>
      </c>
      <c r="M46" s="19">
        <v>0.93017667772598667</v>
      </c>
      <c r="N46" s="19">
        <v>4.3386517725416809E-2</v>
      </c>
      <c r="O46" s="19">
        <v>0.92519699830758606</v>
      </c>
      <c r="P46" s="19">
        <v>4.881325786853296E-2</v>
      </c>
    </row>
    <row r="47" spans="2:16" x14ac:dyDescent="0.2">
      <c r="B47" t="s">
        <v>591</v>
      </c>
      <c r="C47" t="s">
        <v>400</v>
      </c>
      <c r="D47" s="18">
        <v>42374.458680555559</v>
      </c>
      <c r="E47" t="s">
        <v>170</v>
      </c>
      <c r="F47" s="19">
        <v>0.97033674714176288</v>
      </c>
      <c r="G47" s="19">
        <v>0.86083160304530681</v>
      </c>
      <c r="H47" s="19">
        <v>0.89588482791198421</v>
      </c>
      <c r="I47" s="19">
        <v>5.09728347936673E-2</v>
      </c>
      <c r="J47" s="19">
        <v>0.93008657218889712</v>
      </c>
      <c r="K47" s="19">
        <v>4.3639410526307924E-2</v>
      </c>
      <c r="L47" s="19"/>
      <c r="M47" s="19"/>
      <c r="N47" s="19"/>
      <c r="O47" s="19"/>
      <c r="P47" s="19"/>
    </row>
    <row r="48" spans="2:16" x14ac:dyDescent="0.2">
      <c r="B48" t="s">
        <v>525</v>
      </c>
      <c r="C48" t="s">
        <v>365</v>
      </c>
      <c r="D48" s="18">
        <v>42374.458680555559</v>
      </c>
      <c r="E48" t="s">
        <v>145</v>
      </c>
      <c r="F48" s="19">
        <v>0.89264644170719065</v>
      </c>
      <c r="G48" s="19">
        <v>0.86267918932278809</v>
      </c>
      <c r="H48" s="19">
        <v>0.89501628148136447</v>
      </c>
      <c r="I48" s="19">
        <v>4.7987089016772587E-2</v>
      </c>
      <c r="J48" s="19">
        <v>0.89272950754772717</v>
      </c>
      <c r="K48" s="19">
        <v>6.1393887445169708E-2</v>
      </c>
      <c r="L48" s="19"/>
      <c r="M48" s="19"/>
      <c r="N48" s="19"/>
      <c r="O48" s="19"/>
      <c r="P48" s="19"/>
    </row>
    <row r="49" spans="2:16" x14ac:dyDescent="0.2">
      <c r="B49" t="s">
        <v>599</v>
      </c>
      <c r="C49" t="s">
        <v>400</v>
      </c>
      <c r="D49" s="18">
        <v>42374.458680555559</v>
      </c>
      <c r="E49" t="s">
        <v>173</v>
      </c>
      <c r="F49" s="19">
        <v>0.88206653692624859</v>
      </c>
      <c r="G49" s="19">
        <v>0.83834526650755758</v>
      </c>
      <c r="H49" s="19">
        <v>0.90719080781192563</v>
      </c>
      <c r="I49" s="19">
        <v>4.7938081606358478E-2</v>
      </c>
      <c r="J49" s="19">
        <v>0.9398631366609278</v>
      </c>
      <c r="K49" s="19">
        <v>4.0495378490909249E-2</v>
      </c>
      <c r="L49" s="19"/>
      <c r="M49" s="19"/>
      <c r="N49" s="19"/>
      <c r="O49" s="19"/>
      <c r="P49" s="19"/>
    </row>
    <row r="50" spans="2:16" x14ac:dyDescent="0.2">
      <c r="B50" t="s">
        <v>510</v>
      </c>
      <c r="C50" t="s">
        <v>365</v>
      </c>
      <c r="D50" s="18">
        <v>42374.458680555559</v>
      </c>
      <c r="E50" t="s">
        <v>140</v>
      </c>
      <c r="F50" s="19">
        <v>0.97846077807786269</v>
      </c>
      <c r="G50" s="19">
        <v>0.9234382194934766</v>
      </c>
      <c r="H50" s="19">
        <v>0.86546179515091071</v>
      </c>
      <c r="I50" s="19">
        <v>6.1458675408162765E-2</v>
      </c>
      <c r="J50" s="19">
        <v>0.96440821256038634</v>
      </c>
      <c r="K50" s="19">
        <v>2.9057881010602388E-2</v>
      </c>
      <c r="L50" s="19"/>
      <c r="M50" s="19"/>
      <c r="N50" s="19"/>
      <c r="O50" s="19"/>
      <c r="P50" s="19"/>
    </row>
    <row r="51" spans="2:16" x14ac:dyDescent="0.2">
      <c r="B51" t="s">
        <v>607</v>
      </c>
      <c r="C51" t="s">
        <v>400</v>
      </c>
      <c r="D51" s="18">
        <v>42374.458680555559</v>
      </c>
      <c r="E51" t="s">
        <v>177</v>
      </c>
      <c r="F51" s="19">
        <v>0.9152060116563574</v>
      </c>
      <c r="G51" s="19">
        <v>0.8514619883040937</v>
      </c>
      <c r="H51" s="19">
        <v>0.89313917513645757</v>
      </c>
      <c r="I51" s="19">
        <v>5.1597823076428358E-2</v>
      </c>
      <c r="J51" s="19">
        <v>0.95163276842108957</v>
      </c>
      <c r="K51" s="19">
        <v>3.5118189744587053E-2</v>
      </c>
      <c r="L51" s="19"/>
      <c r="M51" s="19"/>
      <c r="N51" s="19"/>
      <c r="O51" s="19"/>
      <c r="P51" s="19"/>
    </row>
    <row r="52" spans="2:16" x14ac:dyDescent="0.2">
      <c r="B52" t="s">
        <v>531</v>
      </c>
      <c r="C52" t="s">
        <v>365</v>
      </c>
      <c r="D52" s="18">
        <v>42374.458680555559</v>
      </c>
      <c r="E52" t="s">
        <v>106</v>
      </c>
      <c r="F52" s="19">
        <v>0.95152562622882364</v>
      </c>
      <c r="G52" s="19">
        <v>0.82786320862979113</v>
      </c>
      <c r="H52" s="19">
        <v>0.90482226030999069</v>
      </c>
      <c r="I52" s="19">
        <v>4.7945896177201491E-2</v>
      </c>
      <c r="J52" s="19">
        <v>0.91252981744131167</v>
      </c>
      <c r="K52" s="19">
        <v>4.3477177312269008E-2</v>
      </c>
      <c r="L52" s="19"/>
      <c r="M52" s="19"/>
      <c r="N52" s="19"/>
      <c r="O52" s="19"/>
      <c r="P52" s="19"/>
    </row>
    <row r="53" spans="2:16" x14ac:dyDescent="0.2">
      <c r="B53" t="s">
        <v>584</v>
      </c>
      <c r="C53" t="s">
        <v>381</v>
      </c>
      <c r="D53" s="18">
        <v>42374.458680555559</v>
      </c>
      <c r="E53" t="s">
        <v>167</v>
      </c>
      <c r="F53" s="19">
        <v>0.96758651574347176</v>
      </c>
      <c r="G53" s="19">
        <v>0.92664092664092668</v>
      </c>
      <c r="H53" s="19">
        <v>0.91584536820192564</v>
      </c>
      <c r="I53" s="19">
        <v>4.1989562474995738E-2</v>
      </c>
      <c r="J53" s="19">
        <v>0.95739158298808325</v>
      </c>
      <c r="K53" s="19">
        <v>3.150656932999759E-2</v>
      </c>
      <c r="L53" s="224"/>
      <c r="M53" s="224"/>
      <c r="N53" s="224"/>
      <c r="O53" s="224"/>
      <c r="P53" s="224"/>
    </row>
    <row r="54" spans="2:16" x14ac:dyDescent="0.2">
      <c r="B54" t="s">
        <v>620</v>
      </c>
      <c r="C54" t="s">
        <v>400</v>
      </c>
      <c r="D54" s="18">
        <v>42374.458680555559</v>
      </c>
      <c r="E54" t="s">
        <v>182</v>
      </c>
      <c r="F54" s="19">
        <v>0.97210875607030156</v>
      </c>
      <c r="G54" s="19">
        <v>0.82433043392795713</v>
      </c>
      <c r="H54" s="19">
        <v>0.88497587172823344</v>
      </c>
      <c r="I54" s="19">
        <v>4.2893779318932845E-2</v>
      </c>
      <c r="J54" s="19">
        <v>0.93916164147185455</v>
      </c>
      <c r="K54" s="19">
        <v>4.0370772834936307E-2</v>
      </c>
      <c r="L54" s="19"/>
      <c r="M54" s="19"/>
      <c r="N54" s="19"/>
      <c r="O54" s="19"/>
      <c r="P54" s="19"/>
    </row>
    <row r="55" spans="2:16" x14ac:dyDescent="0.2">
      <c r="B55" t="s">
        <v>609</v>
      </c>
      <c r="C55" t="s">
        <v>376</v>
      </c>
      <c r="D55" s="18">
        <v>42374.458680555559</v>
      </c>
      <c r="E55" t="s">
        <v>178</v>
      </c>
      <c r="F55" s="19">
        <v>0.95311336444815997</v>
      </c>
      <c r="G55" s="19">
        <v>0.95987403494514423</v>
      </c>
      <c r="H55" s="19">
        <v>0.87859865737663212</v>
      </c>
      <c r="I55" s="19">
        <v>4.8913730725727189E-2</v>
      </c>
      <c r="J55" s="19">
        <v>0.86926290446412091</v>
      </c>
      <c r="K55" s="19">
        <v>5.5930811021387188E-2</v>
      </c>
      <c r="L55" s="19"/>
      <c r="M55" s="19"/>
      <c r="N55" s="19"/>
      <c r="O55" s="19"/>
      <c r="P55" s="19"/>
    </row>
    <row r="56" spans="2:16" x14ac:dyDescent="0.2">
      <c r="B56" t="s">
        <v>593</v>
      </c>
      <c r="C56" t="s">
        <v>400</v>
      </c>
      <c r="D56" s="18">
        <v>42374.458680555559</v>
      </c>
      <c r="E56" t="s">
        <v>171</v>
      </c>
      <c r="F56" s="19">
        <v>0.95349549194089434</v>
      </c>
      <c r="G56" s="19">
        <v>0.91555691999818067</v>
      </c>
      <c r="H56" s="19">
        <v>0.92515215994231792</v>
      </c>
      <c r="I56" s="19">
        <v>3.8736358754112958E-2</v>
      </c>
      <c r="J56" s="19">
        <v>0.94596726414504961</v>
      </c>
      <c r="K56" s="19">
        <v>3.6999518770433115E-2</v>
      </c>
      <c r="L56" s="19"/>
      <c r="M56" s="19"/>
      <c r="N56" s="19"/>
      <c r="O56" s="19"/>
      <c r="P56" s="19"/>
    </row>
    <row r="57" spans="2:16" x14ac:dyDescent="0.2">
      <c r="B57" t="s">
        <v>631</v>
      </c>
      <c r="C57" t="s">
        <v>386</v>
      </c>
      <c r="D57" s="18">
        <v>42374.458680555559</v>
      </c>
      <c r="E57" t="s">
        <v>187</v>
      </c>
      <c r="F57" s="19">
        <v>0.910024646647553</v>
      </c>
      <c r="G57" s="19">
        <v>0.93712035995500576</v>
      </c>
      <c r="H57" s="19">
        <v>0.94087408895413216</v>
      </c>
      <c r="I57" s="19">
        <v>3.8048872007494412E-2</v>
      </c>
      <c r="J57" s="19">
        <v>0.93922366020526737</v>
      </c>
      <c r="K57" s="19">
        <v>3.6351795341703193E-2</v>
      </c>
      <c r="L57" s="19"/>
      <c r="M57" s="19"/>
      <c r="N57" s="19"/>
      <c r="O57" s="19"/>
      <c r="P57" s="19"/>
    </row>
    <row r="58" spans="2:16" x14ac:dyDescent="0.2">
      <c r="B58" t="s">
        <v>376</v>
      </c>
      <c r="C58" t="s">
        <v>376</v>
      </c>
      <c r="D58" s="18">
        <v>42374.458680555559</v>
      </c>
      <c r="E58" t="s">
        <v>657</v>
      </c>
      <c r="F58" s="19">
        <v>0.94873625439757014</v>
      </c>
      <c r="G58" s="19">
        <v>0.89717046357132768</v>
      </c>
      <c r="H58" s="19">
        <v>0.90588098061530897</v>
      </c>
      <c r="I58" s="19">
        <v>2.0602571827564021E-2</v>
      </c>
      <c r="J58" s="19">
        <v>0.88894016447813529</v>
      </c>
      <c r="K58" s="19">
        <v>2.6878714908559687E-2</v>
      </c>
      <c r="L58" s="19"/>
      <c r="M58" s="19"/>
      <c r="N58" s="19"/>
      <c r="O58" s="19"/>
      <c r="P58" s="19"/>
    </row>
    <row r="59" spans="2:16" x14ac:dyDescent="0.2">
      <c r="B59" t="s">
        <v>570</v>
      </c>
      <c r="C59" t="s">
        <v>386</v>
      </c>
      <c r="D59" s="18">
        <v>42374.458680555559</v>
      </c>
      <c r="E59" t="s">
        <v>161</v>
      </c>
      <c r="F59" s="19">
        <v>0.97823187234309328</v>
      </c>
      <c r="G59" s="19">
        <v>0.98217246205188924</v>
      </c>
      <c r="H59" s="19">
        <v>0.9203918640471862</v>
      </c>
      <c r="I59" s="19">
        <v>4.1042321720226767E-2</v>
      </c>
      <c r="J59" s="19">
        <v>0.88857707118716878</v>
      </c>
      <c r="K59" s="19">
        <v>5.030346262783169E-2</v>
      </c>
      <c r="L59" s="19"/>
      <c r="M59" s="19"/>
      <c r="N59" s="19"/>
      <c r="O59" s="19"/>
      <c r="P59" s="19"/>
    </row>
    <row r="60" spans="2:16" x14ac:dyDescent="0.2">
      <c r="B60" t="s">
        <v>215</v>
      </c>
      <c r="C60" t="s">
        <v>386</v>
      </c>
      <c r="D60" s="18">
        <v>42374.458680555559</v>
      </c>
      <c r="E60" t="s">
        <v>164</v>
      </c>
      <c r="F60" s="19">
        <v>0.97871948258719621</v>
      </c>
      <c r="G60" s="19">
        <v>0.93965241338245709</v>
      </c>
      <c r="H60" s="19">
        <v>0.95013162904101178</v>
      </c>
      <c r="I60" s="19">
        <v>3.5584169863787596E-2</v>
      </c>
      <c r="J60" s="19">
        <v>0.876896724869484</v>
      </c>
      <c r="K60" s="19">
        <v>5.653014573817039E-2</v>
      </c>
      <c r="L60" s="19">
        <v>1</v>
      </c>
      <c r="M60" s="19">
        <v>0.99564297054154172</v>
      </c>
      <c r="N60" s="19">
        <v>6.4823634343978394E-3</v>
      </c>
      <c r="O60" s="19">
        <v>0.99094843130183918</v>
      </c>
      <c r="P60" s="19">
        <v>1.3483231278089036E-2</v>
      </c>
    </row>
    <row r="61" spans="2:16" x14ac:dyDescent="0.2">
      <c r="B61" t="s">
        <v>576</v>
      </c>
      <c r="C61" t="s">
        <v>386</v>
      </c>
      <c r="D61" s="18">
        <v>42374.458680555559</v>
      </c>
      <c r="E61" t="s">
        <v>164</v>
      </c>
      <c r="F61" s="19">
        <v>0.97871948258719621</v>
      </c>
      <c r="G61" s="19">
        <v>0.93965241338245709</v>
      </c>
      <c r="H61" s="19">
        <v>0.95013162904101178</v>
      </c>
      <c r="I61" s="19">
        <v>3.5584169863787596E-2</v>
      </c>
      <c r="J61" s="19">
        <v>0.876896724869484</v>
      </c>
      <c r="K61" s="19">
        <v>5.653014573817039E-2</v>
      </c>
      <c r="L61" s="19">
        <v>1</v>
      </c>
      <c r="M61" s="19">
        <v>0.99564297054154172</v>
      </c>
      <c r="N61" s="19">
        <v>6.4823634343978394E-3</v>
      </c>
      <c r="O61" s="19">
        <v>0.99094843130183918</v>
      </c>
      <c r="P61" s="19">
        <v>1.3483231278089036E-2</v>
      </c>
    </row>
    <row r="62" spans="2:16" x14ac:dyDescent="0.2">
      <c r="B62" t="s">
        <v>537</v>
      </c>
      <c r="C62" t="s">
        <v>376</v>
      </c>
      <c r="D62" s="18">
        <v>42374.458680555559</v>
      </c>
      <c r="E62" t="s">
        <v>149</v>
      </c>
      <c r="F62" s="19">
        <v>0.92302944402668807</v>
      </c>
      <c r="G62" s="19">
        <v>0.82688146304098042</v>
      </c>
      <c r="H62" s="19">
        <v>0.86802281536617132</v>
      </c>
      <c r="I62" s="19">
        <v>5.5609707904932006E-2</v>
      </c>
      <c r="J62" s="19">
        <v>0.87015171720815121</v>
      </c>
      <c r="K62" s="19">
        <v>5.838166457889251E-2</v>
      </c>
      <c r="L62" s="19"/>
      <c r="M62" s="19"/>
      <c r="N62" s="19"/>
      <c r="O62" s="19"/>
      <c r="P62" s="19"/>
    </row>
    <row r="63" spans="2:16" x14ac:dyDescent="0.2">
      <c r="B63" t="s">
        <v>623</v>
      </c>
      <c r="C63" t="s">
        <v>365</v>
      </c>
      <c r="D63" s="18">
        <v>42374.458680555559</v>
      </c>
      <c r="E63" t="s">
        <v>183</v>
      </c>
      <c r="F63" s="19">
        <v>0.97482626361856239</v>
      </c>
      <c r="G63" s="19">
        <v>0.93310924369747905</v>
      </c>
      <c r="H63" s="19">
        <v>0.87728844491403335</v>
      </c>
      <c r="I63" s="19">
        <v>5.8404860319807954E-2</v>
      </c>
      <c r="J63" s="19">
        <v>0.96138227536418208</v>
      </c>
      <c r="K63" s="19">
        <v>3.768486353500286E-2</v>
      </c>
      <c r="L63" s="19"/>
      <c r="M63" s="19"/>
      <c r="N63" s="19"/>
      <c r="O63" s="19"/>
      <c r="P63" s="19"/>
    </row>
    <row r="64" spans="2:16" x14ac:dyDescent="0.2">
      <c r="B64" t="s">
        <v>692</v>
      </c>
      <c r="C64" t="s">
        <v>6</v>
      </c>
      <c r="D64" s="18">
        <v>42374.458680555559</v>
      </c>
      <c r="E64" t="s">
        <v>433</v>
      </c>
      <c r="F64" s="19"/>
      <c r="G64" s="19"/>
      <c r="H64" s="19"/>
      <c r="I64" s="19"/>
      <c r="J64" s="19"/>
      <c r="K64" s="19"/>
      <c r="L64" s="19">
        <v>0.97160112937304843</v>
      </c>
      <c r="M64" s="19">
        <v>0.96163913115719257</v>
      </c>
      <c r="N64" s="19">
        <v>1.7703075779040064E-2</v>
      </c>
      <c r="O64" s="19">
        <v>0.96424101944600116</v>
      </c>
      <c r="P64" s="19">
        <v>1.8811832979832133E-2</v>
      </c>
    </row>
    <row r="65" spans="2:16" x14ac:dyDescent="0.2">
      <c r="B65" t="s">
        <v>694</v>
      </c>
      <c r="C65" t="s">
        <v>6</v>
      </c>
      <c r="D65" s="18">
        <v>42374.458680555559</v>
      </c>
      <c r="E65" t="s">
        <v>433</v>
      </c>
      <c r="F65" s="19">
        <v>0.95793074625683206</v>
      </c>
      <c r="G65" s="19">
        <v>0.89500092594819125</v>
      </c>
      <c r="H65" s="19">
        <v>0.90338038648447916</v>
      </c>
      <c r="I65" s="19">
        <v>7.5234859257471247E-3</v>
      </c>
      <c r="J65" s="19">
        <v>0.9085906670232986</v>
      </c>
      <c r="K65" s="19">
        <v>8.7967662163893571E-3</v>
      </c>
      <c r="L65" s="19">
        <v>0.97160112937304843</v>
      </c>
      <c r="M65" s="19">
        <v>0.96163913115719257</v>
      </c>
      <c r="N65" s="19">
        <v>1.7703075779040064E-2</v>
      </c>
      <c r="O65" s="19">
        <v>0.96424101944600116</v>
      </c>
      <c r="P65" s="19">
        <v>1.8811832979832133E-2</v>
      </c>
    </row>
    <row r="66" spans="2:16" x14ac:dyDescent="0.2">
      <c r="B66" t="s">
        <v>601</v>
      </c>
      <c r="C66" t="s">
        <v>381</v>
      </c>
      <c r="D66" s="18">
        <v>42374.458680555559</v>
      </c>
      <c r="E66" t="s">
        <v>174</v>
      </c>
      <c r="F66" s="19">
        <v>0.95464857956433213</v>
      </c>
      <c r="G66" s="19">
        <v>0.84110880478415528</v>
      </c>
      <c r="H66" s="19">
        <v>0.90528507070083752</v>
      </c>
      <c r="I66" s="19">
        <v>4.3428021747033085E-2</v>
      </c>
      <c r="J66" s="19">
        <v>0.91245865527221159</v>
      </c>
      <c r="K66" s="19">
        <v>4.7151448937631242E-2</v>
      </c>
      <c r="L66" s="19"/>
      <c r="M66" s="19"/>
      <c r="N66" s="19"/>
      <c r="O66" s="19"/>
      <c r="P66" s="19"/>
    </row>
    <row r="67" spans="2:16" x14ac:dyDescent="0.2">
      <c r="B67" t="s">
        <v>666</v>
      </c>
      <c r="C67" t="s">
        <v>365</v>
      </c>
      <c r="D67" s="18">
        <v>42374.458680555559</v>
      </c>
      <c r="E67" t="s">
        <v>665</v>
      </c>
      <c r="F67" s="143">
        <v>0.96179735427129587</v>
      </c>
      <c r="G67" s="143">
        <v>0.91046501849983186</v>
      </c>
      <c r="H67" s="143">
        <v>0.90769673874512591</v>
      </c>
      <c r="I67" s="143">
        <v>0.10188268184589766</v>
      </c>
      <c r="J67" s="143">
        <v>0.81546744318342723</v>
      </c>
      <c r="K67" s="143">
        <v>3.980384430997766E-2</v>
      </c>
      <c r="L67" s="143"/>
      <c r="M67" s="143"/>
      <c r="N67" s="143"/>
      <c r="O67" s="143"/>
      <c r="P67" s="143"/>
    </row>
    <row r="68" spans="2:16" x14ac:dyDescent="0.2">
      <c r="B68" t="s">
        <v>625</v>
      </c>
      <c r="C68" t="s">
        <v>365</v>
      </c>
      <c r="D68" s="18">
        <v>42374.458680555559</v>
      </c>
      <c r="E68" t="s">
        <v>92</v>
      </c>
      <c r="F68" s="143">
        <v>0.89788239917700241</v>
      </c>
      <c r="G68" s="143">
        <v>0.81767887878042766</v>
      </c>
      <c r="H68" s="143">
        <v>0.82574129396003926</v>
      </c>
      <c r="I68" s="143">
        <v>5.3492724060872091E-2</v>
      </c>
      <c r="J68" s="143">
        <v>0.89697304195543626</v>
      </c>
      <c r="K68" s="143">
        <v>3.9208575895078542E-2</v>
      </c>
      <c r="L68" s="143"/>
      <c r="M68" s="143"/>
      <c r="N68" s="143"/>
      <c r="O68" s="143"/>
      <c r="P68" s="143"/>
    </row>
    <row r="69" spans="2:16" x14ac:dyDescent="0.2">
      <c r="B69" t="s">
        <v>635</v>
      </c>
      <c r="C69" t="s">
        <v>386</v>
      </c>
      <c r="D69" s="18">
        <v>42374.458680555559</v>
      </c>
      <c r="E69" t="s">
        <v>188</v>
      </c>
      <c r="F69" s="143">
        <v>0.95669168230143831</v>
      </c>
      <c r="G69" s="143">
        <v>0.88987641780937876</v>
      </c>
      <c r="H69" s="143">
        <v>0.93224815313155673</v>
      </c>
      <c r="I69" s="143">
        <v>4.003131093348429E-2</v>
      </c>
      <c r="J69" s="143">
        <v>0.90713323760954589</v>
      </c>
      <c r="K69" s="143">
        <v>5.9600314474417715E-2</v>
      </c>
      <c r="L69" s="143"/>
      <c r="M69" s="143"/>
      <c r="N69" s="143"/>
      <c r="O69" s="143"/>
      <c r="P69" s="143"/>
    </row>
    <row r="70" spans="2:16" x14ac:dyDescent="0.2">
      <c r="B70" t="s">
        <v>639</v>
      </c>
      <c r="C70" t="s">
        <v>365</v>
      </c>
      <c r="D70" s="18">
        <v>42374.458680555559</v>
      </c>
      <c r="E70" t="s">
        <v>190</v>
      </c>
      <c r="F70" s="143">
        <v>0.92686134555715871</v>
      </c>
      <c r="G70" s="143">
        <v>0.82216603455541515</v>
      </c>
      <c r="H70" s="143">
        <v>0.86779042182519106</v>
      </c>
      <c r="I70" s="143">
        <v>4.6849540436246569E-2</v>
      </c>
      <c r="J70" s="143">
        <v>0.88755736108471039</v>
      </c>
      <c r="K70" s="143">
        <v>5.0868954657902206E-2</v>
      </c>
      <c r="L70" s="143"/>
      <c r="M70" s="143"/>
      <c r="N70" s="143"/>
      <c r="O70" s="143"/>
      <c r="P70" s="143"/>
    </row>
    <row r="71" spans="2:16" x14ac:dyDescent="0.2">
      <c r="B71" t="s">
        <v>539</v>
      </c>
      <c r="C71" t="s">
        <v>365</v>
      </c>
      <c r="D71" s="18">
        <v>42374.458680555559</v>
      </c>
      <c r="E71" t="s">
        <v>150</v>
      </c>
      <c r="F71" s="143">
        <v>0.96590175676835222</v>
      </c>
      <c r="G71" s="143">
        <v>0.85800305184114367</v>
      </c>
      <c r="H71" s="143">
        <v>0.82970171691976191</v>
      </c>
      <c r="I71" s="143">
        <v>5.3853925693320551E-2</v>
      </c>
      <c r="J71" s="143">
        <v>0.94813896229333006</v>
      </c>
      <c r="K71" s="143">
        <v>3.6797931644336403E-2</v>
      </c>
      <c r="L71" s="143"/>
      <c r="M71" s="143"/>
      <c r="N71" s="143"/>
      <c r="O71" s="143"/>
      <c r="P71" s="14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946</v>
      </c>
      <c r="C2" t="s">
        <v>947</v>
      </c>
      <c r="D2" t="s">
        <v>136</v>
      </c>
      <c r="F2" t="s">
        <v>941</v>
      </c>
      <c r="G2" t="s">
        <v>928</v>
      </c>
      <c r="H2" t="s">
        <v>929</v>
      </c>
      <c r="I2" t="s">
        <v>930</v>
      </c>
      <c r="J2" t="s">
        <v>931</v>
      </c>
      <c r="K2" t="s">
        <v>932</v>
      </c>
      <c r="L2" t="s">
        <v>933</v>
      </c>
      <c r="M2" t="s">
        <v>934</v>
      </c>
      <c r="N2" t="s">
        <v>935</v>
      </c>
      <c r="O2" t="s">
        <v>936</v>
      </c>
      <c r="P2" t="s">
        <v>937</v>
      </c>
      <c r="Q2" t="s">
        <v>938</v>
      </c>
      <c r="R2" t="s">
        <v>939</v>
      </c>
      <c r="S2" t="s">
        <v>940</v>
      </c>
      <c r="V2" t="s">
        <v>942</v>
      </c>
      <c r="W2" t="s">
        <v>928</v>
      </c>
      <c r="X2" t="s">
        <v>929</v>
      </c>
      <c r="Y2" t="s">
        <v>930</v>
      </c>
      <c r="Z2" t="s">
        <v>931</v>
      </c>
      <c r="AA2" t="s">
        <v>932</v>
      </c>
      <c r="AB2" t="s">
        <v>933</v>
      </c>
      <c r="AC2" t="s">
        <v>934</v>
      </c>
      <c r="AD2" t="s">
        <v>935</v>
      </c>
      <c r="AE2" t="s">
        <v>936</v>
      </c>
      <c r="AF2" t="s">
        <v>937</v>
      </c>
      <c r="AG2" t="s">
        <v>938</v>
      </c>
      <c r="AH2" t="s">
        <v>939</v>
      </c>
      <c r="AI2" t="s">
        <v>940</v>
      </c>
      <c r="AL2" t="s">
        <v>943</v>
      </c>
      <c r="AM2" t="s">
        <v>928</v>
      </c>
      <c r="AN2" t="s">
        <v>929</v>
      </c>
      <c r="AO2" t="s">
        <v>930</v>
      </c>
      <c r="AP2" t="s">
        <v>931</v>
      </c>
      <c r="AQ2" t="s">
        <v>932</v>
      </c>
      <c r="AR2" t="s">
        <v>933</v>
      </c>
      <c r="AS2" t="s">
        <v>934</v>
      </c>
      <c r="AT2" t="s">
        <v>935</v>
      </c>
      <c r="AU2" t="s">
        <v>936</v>
      </c>
      <c r="AV2" t="s">
        <v>937</v>
      </c>
      <c r="AW2" t="s">
        <v>938</v>
      </c>
      <c r="AX2" t="s">
        <v>939</v>
      </c>
      <c r="AY2" t="s">
        <v>940</v>
      </c>
    </row>
    <row r="3" spans="2:51" x14ac:dyDescent="0.2">
      <c r="B3" t="s">
        <v>949</v>
      </c>
      <c r="C3">
        <v>393745</v>
      </c>
      <c r="D3">
        <v>421.15019936750002</v>
      </c>
      <c r="F3" t="s">
        <v>8</v>
      </c>
      <c r="G3">
        <v>10770</v>
      </c>
      <c r="P3">
        <v>10770</v>
      </c>
      <c r="Q3">
        <v>181.81136806910001</v>
      </c>
      <c r="V3" t="s">
        <v>307</v>
      </c>
      <c r="W3">
        <v>423</v>
      </c>
      <c r="X3">
        <v>293</v>
      </c>
      <c r="Y3">
        <v>338.54948805459998</v>
      </c>
      <c r="Z3">
        <v>28</v>
      </c>
      <c r="AA3">
        <v>646.82142857140002</v>
      </c>
      <c r="AB3">
        <v>78</v>
      </c>
      <c r="AC3">
        <v>577.83333333329995</v>
      </c>
      <c r="AD3">
        <v>35</v>
      </c>
      <c r="AE3">
        <v>704.68571428569999</v>
      </c>
      <c r="AF3">
        <v>16</v>
      </c>
      <c r="AG3">
        <v>235.0625</v>
      </c>
      <c r="AH3">
        <v>1</v>
      </c>
      <c r="AI3">
        <v>187</v>
      </c>
      <c r="AL3" t="s">
        <v>307</v>
      </c>
      <c r="AM3">
        <v>8</v>
      </c>
      <c r="AN3">
        <v>4</v>
      </c>
      <c r="AO3">
        <v>512.25</v>
      </c>
      <c r="AP3">
        <v>2</v>
      </c>
      <c r="AQ3">
        <v>245</v>
      </c>
      <c r="AR3">
        <v>2</v>
      </c>
      <c r="AS3">
        <v>357</v>
      </c>
      <c r="AT3">
        <v>1</v>
      </c>
      <c r="AU3">
        <v>150</v>
      </c>
      <c r="AV3">
        <v>1</v>
      </c>
      <c r="AW3">
        <v>-3</v>
      </c>
    </row>
    <row r="4" spans="2:51" x14ac:dyDescent="0.2">
      <c r="B4" t="s">
        <v>948</v>
      </c>
      <c r="C4">
        <v>36372</v>
      </c>
      <c r="D4">
        <v>421.15019936750002</v>
      </c>
      <c r="F4" t="s">
        <v>8</v>
      </c>
      <c r="G4">
        <v>10770</v>
      </c>
      <c r="P4">
        <v>10770</v>
      </c>
      <c r="Q4">
        <v>181.81136806910001</v>
      </c>
      <c r="V4" t="s">
        <v>8</v>
      </c>
      <c r="W4">
        <v>4678</v>
      </c>
      <c r="X4">
        <v>3450</v>
      </c>
      <c r="Y4">
        <v>452.0142070165</v>
      </c>
      <c r="Z4">
        <v>426</v>
      </c>
      <c r="AA4">
        <v>488.49530516430002</v>
      </c>
      <c r="AB4">
        <v>464</v>
      </c>
      <c r="AC4">
        <v>541.62284482760003</v>
      </c>
      <c r="AD4">
        <v>719</v>
      </c>
      <c r="AE4">
        <v>839.21835883170002</v>
      </c>
      <c r="AF4">
        <v>36</v>
      </c>
      <c r="AG4">
        <v>291.75</v>
      </c>
      <c r="AH4">
        <v>9</v>
      </c>
      <c r="AI4">
        <v>301.7777777778</v>
      </c>
      <c r="AL4" t="s">
        <v>8</v>
      </c>
      <c r="AM4">
        <v>61</v>
      </c>
      <c r="AN4">
        <v>52</v>
      </c>
      <c r="AO4">
        <v>196.67307692310001</v>
      </c>
      <c r="AP4">
        <v>5</v>
      </c>
      <c r="AQ4">
        <v>386.8</v>
      </c>
      <c r="AR4">
        <v>9</v>
      </c>
      <c r="AS4">
        <v>174.6666666667</v>
      </c>
    </row>
    <row r="5" spans="2:51" x14ac:dyDescent="0.2">
      <c r="B5" t="s">
        <v>960</v>
      </c>
      <c r="C5">
        <v>21639</v>
      </c>
      <c r="D5">
        <v>579.01779194970004</v>
      </c>
      <c r="F5" t="s">
        <v>46</v>
      </c>
      <c r="G5">
        <v>596</v>
      </c>
      <c r="H5">
        <v>491</v>
      </c>
      <c r="I5">
        <v>248.7596741344</v>
      </c>
      <c r="J5">
        <v>25</v>
      </c>
      <c r="K5">
        <v>549</v>
      </c>
      <c r="L5">
        <v>78</v>
      </c>
      <c r="M5">
        <v>222.76923076919999</v>
      </c>
      <c r="N5">
        <v>26</v>
      </c>
      <c r="O5">
        <v>241.1538461538</v>
      </c>
      <c r="R5">
        <v>1</v>
      </c>
      <c r="S5">
        <v>183</v>
      </c>
      <c r="V5" t="s">
        <v>8</v>
      </c>
      <c r="W5">
        <v>5101</v>
      </c>
      <c r="X5">
        <v>3743</v>
      </c>
      <c r="Y5">
        <v>443.1298770711</v>
      </c>
      <c r="Z5">
        <v>454</v>
      </c>
      <c r="AA5">
        <v>498.25991189429999</v>
      </c>
      <c r="AB5">
        <v>542</v>
      </c>
      <c r="AC5">
        <v>546.83394833950001</v>
      </c>
      <c r="AD5">
        <v>754</v>
      </c>
      <c r="AE5">
        <v>832.9734748011</v>
      </c>
      <c r="AF5">
        <v>52</v>
      </c>
      <c r="AG5">
        <v>274.30769230769999</v>
      </c>
      <c r="AH5">
        <v>10</v>
      </c>
      <c r="AI5">
        <v>290.3</v>
      </c>
      <c r="AL5" t="s">
        <v>8</v>
      </c>
      <c r="AM5">
        <v>69</v>
      </c>
      <c r="AN5">
        <v>56</v>
      </c>
      <c r="AO5">
        <v>219.21428571429999</v>
      </c>
      <c r="AP5">
        <v>7</v>
      </c>
      <c r="AQ5">
        <v>346.28571428570001</v>
      </c>
      <c r="AR5">
        <v>11</v>
      </c>
      <c r="AS5">
        <v>207.8181818182</v>
      </c>
      <c r="AT5">
        <v>1</v>
      </c>
      <c r="AU5">
        <v>150</v>
      </c>
      <c r="AV5">
        <v>1</v>
      </c>
      <c r="AW5">
        <v>-3</v>
      </c>
    </row>
    <row r="6" spans="2:51" x14ac:dyDescent="0.2">
      <c r="B6" t="s">
        <v>244</v>
      </c>
      <c r="C6">
        <v>54558</v>
      </c>
      <c r="D6">
        <v>609.73655559220003</v>
      </c>
      <c r="F6" t="s">
        <v>40</v>
      </c>
      <c r="G6">
        <v>8210</v>
      </c>
      <c r="H6">
        <v>6347</v>
      </c>
      <c r="I6">
        <v>449.9008980621</v>
      </c>
      <c r="J6">
        <v>218</v>
      </c>
      <c r="K6">
        <v>881.36697247710003</v>
      </c>
      <c r="L6">
        <v>1293</v>
      </c>
      <c r="M6">
        <v>586.74400618719994</v>
      </c>
      <c r="N6">
        <v>553</v>
      </c>
      <c r="O6">
        <v>608.31464737789997</v>
      </c>
      <c r="R6">
        <v>17</v>
      </c>
      <c r="S6">
        <v>746.23529411760001</v>
      </c>
      <c r="V6" t="s">
        <v>395</v>
      </c>
      <c r="W6">
        <v>1353</v>
      </c>
      <c r="X6">
        <v>695</v>
      </c>
      <c r="Y6">
        <v>165.38129496400001</v>
      </c>
      <c r="Z6">
        <v>211</v>
      </c>
      <c r="AA6">
        <v>300.42654028440001</v>
      </c>
      <c r="AB6">
        <v>452</v>
      </c>
      <c r="AC6">
        <v>268.30530973449999</v>
      </c>
      <c r="AD6">
        <v>117</v>
      </c>
      <c r="AE6">
        <v>275.05128205130001</v>
      </c>
      <c r="AF6">
        <v>85</v>
      </c>
      <c r="AG6">
        <v>171.08235294120001</v>
      </c>
      <c r="AH6">
        <v>4</v>
      </c>
      <c r="AI6">
        <v>176.5</v>
      </c>
      <c r="AL6" t="s">
        <v>395</v>
      </c>
      <c r="AM6">
        <v>34</v>
      </c>
      <c r="AN6">
        <v>23</v>
      </c>
      <c r="AO6">
        <v>129.0434782609</v>
      </c>
      <c r="AP6">
        <v>11</v>
      </c>
      <c r="AQ6">
        <v>253</v>
      </c>
      <c r="AR6">
        <v>9</v>
      </c>
      <c r="AS6">
        <v>204.1111111111</v>
      </c>
      <c r="AT6">
        <v>2</v>
      </c>
      <c r="AU6">
        <v>100.5</v>
      </c>
    </row>
    <row r="7" spans="2:51" x14ac:dyDescent="0.2">
      <c r="B7" t="s">
        <v>243</v>
      </c>
      <c r="C7">
        <v>235070</v>
      </c>
      <c r="D7">
        <v>401.90459375979998</v>
      </c>
      <c r="F7" t="s">
        <v>45</v>
      </c>
      <c r="G7">
        <v>5565</v>
      </c>
      <c r="H7">
        <v>3914</v>
      </c>
      <c r="I7">
        <v>405.5485436893</v>
      </c>
      <c r="J7">
        <v>797</v>
      </c>
      <c r="K7">
        <v>477.95106649939999</v>
      </c>
      <c r="L7">
        <v>1056</v>
      </c>
      <c r="M7">
        <v>615.73011363640001</v>
      </c>
      <c r="N7">
        <v>582</v>
      </c>
      <c r="O7">
        <v>420.74226804120002</v>
      </c>
      <c r="R7">
        <v>13</v>
      </c>
      <c r="S7">
        <v>513.84615384619997</v>
      </c>
      <c r="V7" t="s">
        <v>387</v>
      </c>
      <c r="W7">
        <v>13628</v>
      </c>
      <c r="X7">
        <v>9969</v>
      </c>
      <c r="Y7">
        <v>639.04764770789996</v>
      </c>
      <c r="Z7">
        <v>542</v>
      </c>
      <c r="AA7">
        <v>1177.3874538744999</v>
      </c>
      <c r="AB7">
        <v>2583</v>
      </c>
      <c r="AC7">
        <v>1333.7413859853</v>
      </c>
      <c r="AD7">
        <v>874</v>
      </c>
      <c r="AE7">
        <v>877.24256292910002</v>
      </c>
      <c r="AF7">
        <v>181</v>
      </c>
      <c r="AG7">
        <v>229.93922651930001</v>
      </c>
      <c r="AH7">
        <v>21</v>
      </c>
      <c r="AI7">
        <v>706.52380952379997</v>
      </c>
      <c r="AL7" t="s">
        <v>387</v>
      </c>
      <c r="AM7">
        <v>381</v>
      </c>
      <c r="AN7">
        <v>302</v>
      </c>
      <c r="AO7">
        <v>521.13576158939998</v>
      </c>
      <c r="AP7">
        <v>38</v>
      </c>
      <c r="AQ7">
        <v>949.84210526319998</v>
      </c>
      <c r="AR7">
        <v>73</v>
      </c>
      <c r="AS7">
        <v>498.41095890410003</v>
      </c>
      <c r="AT7">
        <v>5</v>
      </c>
      <c r="AU7">
        <v>220.2</v>
      </c>
      <c r="AV7">
        <v>1</v>
      </c>
      <c r="AW7">
        <v>2</v>
      </c>
    </row>
    <row r="8" spans="2:51" x14ac:dyDescent="0.2">
      <c r="B8" t="s">
        <v>245</v>
      </c>
      <c r="C8">
        <v>25133</v>
      </c>
      <c r="D8">
        <v>522.74917426080003</v>
      </c>
      <c r="F8" t="s">
        <v>53</v>
      </c>
      <c r="G8">
        <v>1098</v>
      </c>
      <c r="H8">
        <v>344</v>
      </c>
      <c r="I8">
        <v>94.023255813999995</v>
      </c>
      <c r="J8">
        <v>345</v>
      </c>
      <c r="K8">
        <v>220.16231884059999</v>
      </c>
      <c r="L8">
        <v>520</v>
      </c>
      <c r="M8">
        <v>223.7653846154</v>
      </c>
      <c r="N8">
        <v>230</v>
      </c>
      <c r="O8">
        <v>210.80434782610001</v>
      </c>
      <c r="R8">
        <v>4</v>
      </c>
      <c r="S8">
        <v>329.25</v>
      </c>
      <c r="V8" t="s">
        <v>418</v>
      </c>
      <c r="W8">
        <v>1331</v>
      </c>
      <c r="X8">
        <v>867</v>
      </c>
      <c r="Y8">
        <v>210.4832756632</v>
      </c>
      <c r="Z8">
        <v>214</v>
      </c>
      <c r="AA8">
        <v>345.98598130840003</v>
      </c>
      <c r="AB8">
        <v>178</v>
      </c>
      <c r="AC8">
        <v>130.92696629209999</v>
      </c>
      <c r="AD8">
        <v>198</v>
      </c>
      <c r="AE8">
        <v>370.7777777778</v>
      </c>
      <c r="AF8">
        <v>85</v>
      </c>
      <c r="AG8">
        <v>172.55294117650001</v>
      </c>
      <c r="AH8">
        <v>3</v>
      </c>
      <c r="AI8">
        <v>195.6666666667</v>
      </c>
      <c r="AL8" t="s">
        <v>418</v>
      </c>
      <c r="AM8">
        <v>31</v>
      </c>
      <c r="AN8">
        <v>22</v>
      </c>
      <c r="AO8">
        <v>146.5</v>
      </c>
      <c r="AP8">
        <v>6</v>
      </c>
      <c r="AQ8">
        <v>238.8333333333</v>
      </c>
      <c r="AR8">
        <v>8</v>
      </c>
      <c r="AS8">
        <v>175.625</v>
      </c>
      <c r="AT8">
        <v>1</v>
      </c>
      <c r="AU8">
        <v>31</v>
      </c>
    </row>
    <row r="9" spans="2:51" x14ac:dyDescent="0.2">
      <c r="B9" t="s">
        <v>246</v>
      </c>
      <c r="C9">
        <v>10770</v>
      </c>
      <c r="D9">
        <v>181.81136806910001</v>
      </c>
      <c r="F9" t="s">
        <v>84</v>
      </c>
      <c r="G9">
        <v>1201</v>
      </c>
      <c r="H9">
        <v>817</v>
      </c>
      <c r="I9">
        <v>205.99632802939999</v>
      </c>
      <c r="J9">
        <v>223</v>
      </c>
      <c r="K9">
        <v>350.37668161430003</v>
      </c>
      <c r="L9">
        <v>172</v>
      </c>
      <c r="M9">
        <v>104.2965116279</v>
      </c>
      <c r="N9">
        <v>209</v>
      </c>
      <c r="O9">
        <v>376.043062201</v>
      </c>
      <c r="R9">
        <v>3</v>
      </c>
      <c r="S9">
        <v>195.6666666667</v>
      </c>
      <c r="V9" t="s">
        <v>388</v>
      </c>
      <c r="W9">
        <v>8207</v>
      </c>
      <c r="X9">
        <v>6329</v>
      </c>
      <c r="Y9">
        <v>504.6604518881</v>
      </c>
      <c r="Z9">
        <v>277</v>
      </c>
      <c r="AA9">
        <v>961.99638989170001</v>
      </c>
      <c r="AB9">
        <v>1301</v>
      </c>
      <c r="AC9">
        <v>976.67255956960003</v>
      </c>
      <c r="AD9">
        <v>424</v>
      </c>
      <c r="AE9">
        <v>684.54716981130002</v>
      </c>
      <c r="AF9">
        <v>149</v>
      </c>
      <c r="AG9">
        <v>159.71140939599999</v>
      </c>
      <c r="AH9">
        <v>4</v>
      </c>
      <c r="AI9">
        <v>132</v>
      </c>
      <c r="AL9" t="s">
        <v>388</v>
      </c>
      <c r="AM9">
        <v>176</v>
      </c>
      <c r="AN9">
        <v>160</v>
      </c>
      <c r="AO9">
        <v>532.9375</v>
      </c>
      <c r="AP9">
        <v>18</v>
      </c>
      <c r="AQ9">
        <v>793.7777777778</v>
      </c>
      <c r="AR9">
        <v>14</v>
      </c>
      <c r="AS9">
        <v>342.14285714290003</v>
      </c>
      <c r="AT9">
        <v>2</v>
      </c>
      <c r="AU9">
        <v>173</v>
      </c>
    </row>
    <row r="10" spans="2:51" x14ac:dyDescent="0.2">
      <c r="B10" t="s">
        <v>944</v>
      </c>
      <c r="C10">
        <v>469</v>
      </c>
      <c r="D10">
        <v>472.06823027719997</v>
      </c>
      <c r="F10" t="s">
        <v>79</v>
      </c>
      <c r="G10">
        <v>1753</v>
      </c>
      <c r="H10">
        <v>707</v>
      </c>
      <c r="I10">
        <v>114.6223479491</v>
      </c>
      <c r="J10">
        <v>564</v>
      </c>
      <c r="K10">
        <v>206.02836879430001</v>
      </c>
      <c r="L10">
        <v>960</v>
      </c>
      <c r="M10">
        <v>286.65729166670002</v>
      </c>
      <c r="N10">
        <v>86</v>
      </c>
      <c r="O10">
        <v>164.73255813949999</v>
      </c>
      <c r="V10" t="s">
        <v>390</v>
      </c>
      <c r="W10">
        <v>8406</v>
      </c>
      <c r="X10">
        <v>6276</v>
      </c>
      <c r="Y10">
        <v>446.82520713830002</v>
      </c>
      <c r="Z10">
        <v>223</v>
      </c>
      <c r="AA10">
        <v>848.74439461880002</v>
      </c>
      <c r="AB10">
        <v>1289</v>
      </c>
      <c r="AC10">
        <v>590.03258339800004</v>
      </c>
      <c r="AD10">
        <v>552</v>
      </c>
      <c r="AE10">
        <v>602.30615942029999</v>
      </c>
      <c r="AF10">
        <v>271</v>
      </c>
      <c r="AG10">
        <v>174.1549815498</v>
      </c>
      <c r="AH10">
        <v>18</v>
      </c>
      <c r="AI10">
        <v>723.11111111109994</v>
      </c>
      <c r="AL10" t="s">
        <v>390</v>
      </c>
      <c r="AM10">
        <v>350</v>
      </c>
      <c r="AN10">
        <v>250</v>
      </c>
      <c r="AO10">
        <v>388.14</v>
      </c>
      <c r="AP10">
        <v>17</v>
      </c>
      <c r="AQ10">
        <v>723.8235294118</v>
      </c>
      <c r="AR10">
        <v>89</v>
      </c>
      <c r="AS10">
        <v>382.32584269659998</v>
      </c>
      <c r="AT10">
        <v>11</v>
      </c>
      <c r="AU10">
        <v>207.1818181818</v>
      </c>
    </row>
    <row r="11" spans="2:51" x14ac:dyDescent="0.2">
      <c r="F11" t="s">
        <v>41</v>
      </c>
      <c r="G11">
        <v>13634</v>
      </c>
      <c r="H11">
        <v>10118</v>
      </c>
      <c r="I11">
        <v>645.92399683730002</v>
      </c>
      <c r="J11">
        <v>540</v>
      </c>
      <c r="K11">
        <v>1210.0740740741001</v>
      </c>
      <c r="L11">
        <v>2634</v>
      </c>
      <c r="M11">
        <v>1349.2061503417001</v>
      </c>
      <c r="N11">
        <v>861</v>
      </c>
      <c r="O11">
        <v>891.95354239259996</v>
      </c>
      <c r="R11">
        <v>21</v>
      </c>
      <c r="S11">
        <v>706.52380952379997</v>
      </c>
      <c r="V11" t="s">
        <v>391</v>
      </c>
      <c r="W11">
        <v>5853</v>
      </c>
      <c r="X11">
        <v>3912</v>
      </c>
      <c r="Y11">
        <v>408.03246421270001</v>
      </c>
      <c r="Z11">
        <v>784</v>
      </c>
      <c r="AA11">
        <v>483.53443877550001</v>
      </c>
      <c r="AB11">
        <v>1064</v>
      </c>
      <c r="AC11">
        <v>629.54605263159999</v>
      </c>
      <c r="AD11">
        <v>590</v>
      </c>
      <c r="AE11">
        <v>428.50847457629999</v>
      </c>
      <c r="AF11">
        <v>274</v>
      </c>
      <c r="AG11">
        <v>192.700729927</v>
      </c>
      <c r="AH11">
        <v>13</v>
      </c>
      <c r="AI11">
        <v>513.84615384619997</v>
      </c>
      <c r="AL11" t="s">
        <v>391</v>
      </c>
      <c r="AM11">
        <v>259</v>
      </c>
      <c r="AN11">
        <v>208</v>
      </c>
      <c r="AO11">
        <v>382.76442307690002</v>
      </c>
      <c r="AP11">
        <v>17</v>
      </c>
      <c r="AQ11">
        <v>488.70588235290001</v>
      </c>
      <c r="AR11">
        <v>44</v>
      </c>
      <c r="AS11">
        <v>387.59090909090003</v>
      </c>
      <c r="AT11">
        <v>6</v>
      </c>
      <c r="AU11">
        <v>447</v>
      </c>
      <c r="AV11">
        <v>1</v>
      </c>
      <c r="AW11">
        <v>158</v>
      </c>
    </row>
    <row r="12" spans="2:51" x14ac:dyDescent="0.2">
      <c r="F12" t="s">
        <v>59</v>
      </c>
      <c r="G12">
        <v>3323</v>
      </c>
      <c r="H12">
        <v>2803</v>
      </c>
      <c r="I12">
        <v>291.58473064570001</v>
      </c>
      <c r="J12">
        <v>250</v>
      </c>
      <c r="K12">
        <v>524.98800000000006</v>
      </c>
      <c r="L12">
        <v>475</v>
      </c>
      <c r="M12">
        <v>313.46947368420001</v>
      </c>
      <c r="N12">
        <v>45</v>
      </c>
      <c r="O12">
        <v>138.6666666667</v>
      </c>
      <c r="V12" t="s">
        <v>393</v>
      </c>
      <c r="W12">
        <v>6911</v>
      </c>
      <c r="X12">
        <v>5726</v>
      </c>
      <c r="Y12">
        <v>300.66084526719999</v>
      </c>
      <c r="Z12">
        <v>362</v>
      </c>
      <c r="AA12">
        <v>638.92817679560005</v>
      </c>
      <c r="AB12">
        <v>398</v>
      </c>
      <c r="AC12">
        <v>199.5452261307</v>
      </c>
      <c r="AD12">
        <v>501</v>
      </c>
      <c r="AE12">
        <v>354.4790419162</v>
      </c>
      <c r="AF12">
        <v>273</v>
      </c>
      <c r="AG12">
        <v>168.0183150183</v>
      </c>
      <c r="AH12">
        <v>13</v>
      </c>
      <c r="AI12">
        <v>351.38461538460001</v>
      </c>
      <c r="AL12" t="s">
        <v>393</v>
      </c>
      <c r="AM12">
        <v>221</v>
      </c>
      <c r="AN12">
        <v>187</v>
      </c>
      <c r="AO12">
        <v>382.50802139040002</v>
      </c>
      <c r="AP12">
        <v>5</v>
      </c>
      <c r="AQ12">
        <v>614.20000000000005</v>
      </c>
      <c r="AR12">
        <v>34</v>
      </c>
      <c r="AS12">
        <v>196.79411764709999</v>
      </c>
    </row>
    <row r="13" spans="2:51" x14ac:dyDescent="0.2">
      <c r="F13" t="s">
        <v>78</v>
      </c>
      <c r="G13">
        <v>6539</v>
      </c>
      <c r="H13">
        <v>5676</v>
      </c>
      <c r="I13">
        <v>295.17389006339999</v>
      </c>
      <c r="J13">
        <v>370</v>
      </c>
      <c r="K13">
        <v>636.55405405409999</v>
      </c>
      <c r="L13">
        <v>359</v>
      </c>
      <c r="M13">
        <v>164.5543175487</v>
      </c>
      <c r="N13">
        <v>492</v>
      </c>
      <c r="O13">
        <v>350.92073170729998</v>
      </c>
      <c r="R13">
        <v>12</v>
      </c>
      <c r="S13">
        <v>395.8333333333</v>
      </c>
      <c r="V13" t="s">
        <v>396</v>
      </c>
      <c r="W13">
        <v>1238</v>
      </c>
      <c r="X13">
        <v>372</v>
      </c>
      <c r="Y13">
        <v>127.7284946237</v>
      </c>
      <c r="Z13">
        <v>348</v>
      </c>
      <c r="AA13">
        <v>231.56321839079999</v>
      </c>
      <c r="AB13">
        <v>513</v>
      </c>
      <c r="AC13">
        <v>230.75633528270001</v>
      </c>
      <c r="AD13">
        <v>227</v>
      </c>
      <c r="AE13">
        <v>209.34361233480001</v>
      </c>
      <c r="AF13">
        <v>124</v>
      </c>
      <c r="AG13">
        <v>191.45161290319999</v>
      </c>
      <c r="AH13">
        <v>2</v>
      </c>
      <c r="AI13">
        <v>301</v>
      </c>
      <c r="AL13" t="s">
        <v>396</v>
      </c>
      <c r="AM13">
        <v>25</v>
      </c>
      <c r="AN13">
        <v>13</v>
      </c>
      <c r="AO13">
        <v>149.92307692310001</v>
      </c>
      <c r="AP13">
        <v>6</v>
      </c>
      <c r="AQ13">
        <v>217.3333333333</v>
      </c>
      <c r="AR13">
        <v>8</v>
      </c>
      <c r="AS13">
        <v>128.625</v>
      </c>
      <c r="AT13">
        <v>4</v>
      </c>
      <c r="AU13">
        <v>138</v>
      </c>
    </row>
    <row r="14" spans="2:51" x14ac:dyDescent="0.2">
      <c r="F14" t="s">
        <v>44</v>
      </c>
      <c r="G14">
        <v>1234</v>
      </c>
      <c r="H14">
        <v>659</v>
      </c>
      <c r="I14">
        <v>139.1805766313</v>
      </c>
      <c r="J14">
        <v>216</v>
      </c>
      <c r="K14">
        <v>290.662037037</v>
      </c>
      <c r="L14">
        <v>453</v>
      </c>
      <c r="M14">
        <v>269.09271523180001</v>
      </c>
      <c r="N14">
        <v>118</v>
      </c>
      <c r="O14">
        <v>280.04237288140001</v>
      </c>
      <c r="R14">
        <v>4</v>
      </c>
      <c r="S14">
        <v>176.5</v>
      </c>
      <c r="V14" t="s">
        <v>397</v>
      </c>
      <c r="W14">
        <v>2191</v>
      </c>
      <c r="X14">
        <v>938</v>
      </c>
      <c r="Y14">
        <v>166.40938166309999</v>
      </c>
      <c r="Z14">
        <v>562</v>
      </c>
      <c r="AA14">
        <v>216.13523131669999</v>
      </c>
      <c r="AB14">
        <v>985</v>
      </c>
      <c r="AC14">
        <v>294.16345177660003</v>
      </c>
      <c r="AD14">
        <v>97</v>
      </c>
      <c r="AE14">
        <v>235.45360824740001</v>
      </c>
      <c r="AF14">
        <v>171</v>
      </c>
      <c r="AG14">
        <v>184.85380116959999</v>
      </c>
      <c r="AL14" t="s">
        <v>397</v>
      </c>
      <c r="AM14">
        <v>31</v>
      </c>
      <c r="AN14">
        <v>22</v>
      </c>
      <c r="AO14">
        <v>75.454545454500007</v>
      </c>
      <c r="AP14">
        <v>18</v>
      </c>
      <c r="AQ14">
        <v>187</v>
      </c>
      <c r="AR14">
        <v>3</v>
      </c>
      <c r="AS14">
        <v>136.6666666667</v>
      </c>
      <c r="AT14">
        <v>6</v>
      </c>
      <c r="AU14">
        <v>115.5</v>
      </c>
    </row>
    <row r="15" spans="2:51" x14ac:dyDescent="0.2">
      <c r="F15" t="s">
        <v>77</v>
      </c>
      <c r="G15">
        <v>232</v>
      </c>
      <c r="H15">
        <v>79</v>
      </c>
      <c r="I15">
        <v>129.46835443040001</v>
      </c>
      <c r="J15">
        <v>107</v>
      </c>
      <c r="K15">
        <v>186.09345794390001</v>
      </c>
      <c r="L15">
        <v>102</v>
      </c>
      <c r="M15">
        <v>180.137254902</v>
      </c>
      <c r="N15">
        <v>43</v>
      </c>
      <c r="O15">
        <v>227.02325581400001</v>
      </c>
      <c r="R15">
        <v>8</v>
      </c>
      <c r="S15">
        <v>231.375</v>
      </c>
      <c r="V15" t="s">
        <v>392</v>
      </c>
      <c r="W15">
        <v>3405</v>
      </c>
      <c r="X15">
        <v>2767</v>
      </c>
      <c r="Y15">
        <v>298.399349476</v>
      </c>
      <c r="Z15">
        <v>265</v>
      </c>
      <c r="AA15">
        <v>538.11698113210002</v>
      </c>
      <c r="AB15">
        <v>471</v>
      </c>
      <c r="AC15">
        <v>323.96602972400001</v>
      </c>
      <c r="AD15">
        <v>64</v>
      </c>
      <c r="AE15">
        <v>234.171875</v>
      </c>
      <c r="AF15">
        <v>102</v>
      </c>
      <c r="AG15">
        <v>143.7156862745</v>
      </c>
      <c r="AH15">
        <v>1</v>
      </c>
      <c r="AI15">
        <v>67</v>
      </c>
      <c r="AL15" t="s">
        <v>392</v>
      </c>
      <c r="AM15">
        <v>100</v>
      </c>
      <c r="AN15">
        <v>72</v>
      </c>
      <c r="AO15">
        <v>292.05555555559999</v>
      </c>
      <c r="AP15">
        <v>2</v>
      </c>
      <c r="AQ15">
        <v>347.5</v>
      </c>
      <c r="AR15">
        <v>23</v>
      </c>
      <c r="AS15">
        <v>338.17391304350002</v>
      </c>
      <c r="AT15">
        <v>4</v>
      </c>
      <c r="AU15">
        <v>194</v>
      </c>
      <c r="AV15">
        <v>1</v>
      </c>
      <c r="AW15">
        <v>813</v>
      </c>
    </row>
    <row r="16" spans="2:51" x14ac:dyDescent="0.2">
      <c r="F16" t="s">
        <v>51</v>
      </c>
      <c r="G16">
        <v>8324</v>
      </c>
      <c r="H16">
        <v>6569</v>
      </c>
      <c r="I16">
        <v>506.66768153449999</v>
      </c>
      <c r="J16">
        <v>282</v>
      </c>
      <c r="K16">
        <v>968.26950354610005</v>
      </c>
      <c r="L16">
        <v>1332</v>
      </c>
      <c r="M16">
        <v>979.7837837838</v>
      </c>
      <c r="N16">
        <v>419</v>
      </c>
      <c r="O16">
        <v>680.36038186159999</v>
      </c>
      <c r="R16">
        <v>4</v>
      </c>
      <c r="S16">
        <v>132</v>
      </c>
      <c r="V16" t="s">
        <v>415</v>
      </c>
      <c r="W16">
        <v>462</v>
      </c>
      <c r="X16">
        <v>364</v>
      </c>
      <c r="Y16">
        <v>250.02747252750001</v>
      </c>
      <c r="Z16">
        <v>20</v>
      </c>
      <c r="AA16">
        <v>598.04999999999995</v>
      </c>
      <c r="AB16">
        <v>63</v>
      </c>
      <c r="AC16">
        <v>305.61904761900001</v>
      </c>
      <c r="AD16">
        <v>16</v>
      </c>
      <c r="AE16">
        <v>220.4375</v>
      </c>
      <c r="AF16">
        <v>18</v>
      </c>
      <c r="AG16">
        <v>137.44444444440001</v>
      </c>
      <c r="AH16">
        <v>1</v>
      </c>
      <c r="AI16">
        <v>183</v>
      </c>
      <c r="AL16" t="s">
        <v>415</v>
      </c>
      <c r="AM16">
        <v>9</v>
      </c>
      <c r="AN16">
        <v>8</v>
      </c>
      <c r="AO16">
        <v>208.25</v>
      </c>
      <c r="AP16">
        <v>3</v>
      </c>
      <c r="AQ16">
        <v>486.3333333333</v>
      </c>
      <c r="AR16">
        <v>1</v>
      </c>
      <c r="AS16">
        <v>108</v>
      </c>
    </row>
    <row r="17" spans="6:49" x14ac:dyDescent="0.2">
      <c r="F17" t="s">
        <v>386</v>
      </c>
      <c r="G17">
        <v>51709</v>
      </c>
      <c r="H17">
        <v>38524</v>
      </c>
      <c r="I17">
        <v>449.20273076519999</v>
      </c>
      <c r="J17">
        <v>3937</v>
      </c>
      <c r="K17">
        <v>567.19304038610005</v>
      </c>
      <c r="L17">
        <v>9434</v>
      </c>
      <c r="M17">
        <v>746.54038583850001</v>
      </c>
      <c r="N17">
        <v>3664</v>
      </c>
      <c r="O17">
        <v>546.81441048030001</v>
      </c>
      <c r="R17">
        <v>87</v>
      </c>
      <c r="S17">
        <v>507.183908046</v>
      </c>
      <c r="V17" t="s">
        <v>416</v>
      </c>
      <c r="W17">
        <v>198</v>
      </c>
      <c r="X17">
        <v>50</v>
      </c>
      <c r="Y17">
        <v>275.22000000000003</v>
      </c>
      <c r="Z17">
        <v>26</v>
      </c>
      <c r="AA17">
        <v>312.65384615379998</v>
      </c>
      <c r="AB17">
        <v>51</v>
      </c>
      <c r="AC17">
        <v>251.8823529412</v>
      </c>
      <c r="AD17">
        <v>45</v>
      </c>
      <c r="AE17">
        <v>254.35555555560001</v>
      </c>
      <c r="AF17">
        <v>44</v>
      </c>
      <c r="AG17">
        <v>259.5681818182</v>
      </c>
      <c r="AH17">
        <v>8</v>
      </c>
      <c r="AI17">
        <v>231.375</v>
      </c>
      <c r="AL17" t="s">
        <v>416</v>
      </c>
      <c r="AM17">
        <v>10</v>
      </c>
      <c r="AN17">
        <v>8</v>
      </c>
      <c r="AO17">
        <v>101.5</v>
      </c>
      <c r="AP17">
        <v>5</v>
      </c>
      <c r="AQ17">
        <v>256.60000000000002</v>
      </c>
      <c r="AR17">
        <v>2</v>
      </c>
      <c r="AS17">
        <v>234</v>
      </c>
    </row>
    <row r="18" spans="6:49" x14ac:dyDescent="0.2">
      <c r="F18" t="s">
        <v>71</v>
      </c>
      <c r="G18">
        <v>2994</v>
      </c>
      <c r="H18">
        <v>2374</v>
      </c>
      <c r="I18">
        <v>280.70724515590001</v>
      </c>
      <c r="J18">
        <v>228</v>
      </c>
      <c r="K18">
        <v>438.94736842110001</v>
      </c>
      <c r="L18">
        <v>369</v>
      </c>
      <c r="M18">
        <v>315.45528455279998</v>
      </c>
      <c r="N18">
        <v>247</v>
      </c>
      <c r="O18">
        <v>515.37651821860004</v>
      </c>
      <c r="R18">
        <v>4</v>
      </c>
      <c r="S18">
        <v>849.75</v>
      </c>
      <c r="V18" t="s">
        <v>386</v>
      </c>
      <c r="W18">
        <v>53183</v>
      </c>
      <c r="X18">
        <v>38265</v>
      </c>
      <c r="Y18">
        <v>447.35978047819998</v>
      </c>
      <c r="Z18">
        <v>3834</v>
      </c>
      <c r="AA18">
        <v>575.49400104330005</v>
      </c>
      <c r="AB18">
        <v>9348</v>
      </c>
      <c r="AC18">
        <v>744.85547710740002</v>
      </c>
      <c r="AD18">
        <v>3705</v>
      </c>
      <c r="AE18">
        <v>546.76383265859999</v>
      </c>
      <c r="AF18">
        <v>1777</v>
      </c>
      <c r="AG18">
        <v>182.5514912774</v>
      </c>
      <c r="AH18">
        <v>88</v>
      </c>
      <c r="AI18">
        <v>495.73863636359999</v>
      </c>
      <c r="AL18" t="s">
        <v>386</v>
      </c>
      <c r="AM18">
        <v>1627</v>
      </c>
      <c r="AN18">
        <v>1275</v>
      </c>
      <c r="AO18">
        <v>411.08862745099998</v>
      </c>
      <c r="AP18">
        <v>146</v>
      </c>
      <c r="AQ18">
        <v>591.70547945210001</v>
      </c>
      <c r="AR18">
        <v>308</v>
      </c>
      <c r="AS18">
        <v>363.57467532470002</v>
      </c>
      <c r="AT18">
        <v>41</v>
      </c>
      <c r="AU18">
        <v>211.24390243900001</v>
      </c>
      <c r="AV18">
        <v>3</v>
      </c>
      <c r="AW18">
        <v>324.3333333333</v>
      </c>
    </row>
    <row r="19" spans="6:49" x14ac:dyDescent="0.2">
      <c r="F19" t="s">
        <v>37</v>
      </c>
      <c r="G19">
        <v>926</v>
      </c>
      <c r="H19">
        <v>584</v>
      </c>
      <c r="I19">
        <v>246.60958904110001</v>
      </c>
      <c r="J19">
        <v>88</v>
      </c>
      <c r="K19">
        <v>534.78409090909997</v>
      </c>
      <c r="L19">
        <v>172</v>
      </c>
      <c r="M19">
        <v>228.37790697669999</v>
      </c>
      <c r="N19">
        <v>164</v>
      </c>
      <c r="O19">
        <v>581.37804878049997</v>
      </c>
      <c r="R19">
        <v>6</v>
      </c>
      <c r="S19">
        <v>240.6666666667</v>
      </c>
      <c r="V19" t="s">
        <v>404</v>
      </c>
      <c r="W19">
        <v>1004</v>
      </c>
      <c r="X19">
        <v>604</v>
      </c>
      <c r="Y19">
        <v>260.2301324503</v>
      </c>
      <c r="Z19">
        <v>97</v>
      </c>
      <c r="AA19">
        <v>576.56701030930003</v>
      </c>
      <c r="AB19">
        <v>174</v>
      </c>
      <c r="AC19">
        <v>244.12068965520001</v>
      </c>
      <c r="AD19">
        <v>157</v>
      </c>
      <c r="AE19">
        <v>576.97452229299995</v>
      </c>
      <c r="AF19">
        <v>63</v>
      </c>
      <c r="AG19">
        <v>162.06349206350001</v>
      </c>
      <c r="AH19">
        <v>6</v>
      </c>
      <c r="AI19">
        <v>240.6666666667</v>
      </c>
      <c r="AL19" t="s">
        <v>404</v>
      </c>
      <c r="AM19">
        <v>11</v>
      </c>
      <c r="AN19">
        <v>10</v>
      </c>
      <c r="AO19">
        <v>125.9</v>
      </c>
      <c r="AP19">
        <v>7</v>
      </c>
      <c r="AQ19">
        <v>291.42857142859998</v>
      </c>
      <c r="AR19">
        <v>1</v>
      </c>
      <c r="AS19">
        <v>137</v>
      </c>
    </row>
    <row r="20" spans="6:49" x14ac:dyDescent="0.2">
      <c r="F20" t="s">
        <v>58</v>
      </c>
      <c r="G20">
        <v>957</v>
      </c>
      <c r="H20">
        <v>430</v>
      </c>
      <c r="I20">
        <v>204.64418604650001</v>
      </c>
      <c r="J20">
        <v>160</v>
      </c>
      <c r="K20">
        <v>346.63125000000002</v>
      </c>
      <c r="L20">
        <v>149</v>
      </c>
      <c r="M20">
        <v>321.14093959730002</v>
      </c>
      <c r="N20">
        <v>368</v>
      </c>
      <c r="O20">
        <v>584.67391304349997</v>
      </c>
      <c r="R20">
        <v>10</v>
      </c>
      <c r="S20">
        <v>288.8</v>
      </c>
      <c r="V20" t="s">
        <v>420</v>
      </c>
      <c r="W20">
        <v>293</v>
      </c>
      <c r="X20">
        <v>132</v>
      </c>
      <c r="Y20">
        <v>191.6666666667</v>
      </c>
      <c r="Z20">
        <v>97</v>
      </c>
      <c r="AA20">
        <v>252.97938144330001</v>
      </c>
      <c r="AB20">
        <v>72</v>
      </c>
      <c r="AC20">
        <v>202.7361111111</v>
      </c>
      <c r="AD20">
        <v>55</v>
      </c>
      <c r="AE20">
        <v>506.4</v>
      </c>
      <c r="AF20">
        <v>34</v>
      </c>
      <c r="AG20">
        <v>123.20588235290001</v>
      </c>
      <c r="AL20" t="s">
        <v>420</v>
      </c>
      <c r="AM20">
        <v>3</v>
      </c>
      <c r="AN20">
        <v>2</v>
      </c>
      <c r="AO20">
        <v>109</v>
      </c>
      <c r="AP20">
        <v>1</v>
      </c>
      <c r="AQ20">
        <v>72</v>
      </c>
      <c r="AR20">
        <v>1</v>
      </c>
      <c r="AS20">
        <v>10</v>
      </c>
    </row>
    <row r="21" spans="6:49" x14ac:dyDescent="0.2">
      <c r="F21" t="s">
        <v>65</v>
      </c>
      <c r="G21">
        <v>8612</v>
      </c>
      <c r="H21">
        <v>7060</v>
      </c>
      <c r="I21">
        <v>390.93059490079997</v>
      </c>
      <c r="J21">
        <v>629</v>
      </c>
      <c r="K21">
        <v>612.28298887120002</v>
      </c>
      <c r="L21">
        <v>1139</v>
      </c>
      <c r="M21">
        <v>629.4231782265</v>
      </c>
      <c r="N21">
        <v>396</v>
      </c>
      <c r="O21">
        <v>587.36111111109994</v>
      </c>
      <c r="R21">
        <v>17</v>
      </c>
      <c r="S21">
        <v>355.6470588235</v>
      </c>
      <c r="V21" t="s">
        <v>424</v>
      </c>
      <c r="W21">
        <v>1173</v>
      </c>
      <c r="X21">
        <v>880</v>
      </c>
      <c r="Y21">
        <v>297.30454545449999</v>
      </c>
      <c r="Z21">
        <v>65</v>
      </c>
      <c r="AA21">
        <v>549.26153846149998</v>
      </c>
      <c r="AB21">
        <v>179</v>
      </c>
      <c r="AC21">
        <v>384.67039106150003</v>
      </c>
      <c r="AD21">
        <v>60</v>
      </c>
      <c r="AE21">
        <v>478.9166666667</v>
      </c>
      <c r="AF21">
        <v>53</v>
      </c>
      <c r="AG21">
        <v>145.20754716979999</v>
      </c>
      <c r="AH21">
        <v>1</v>
      </c>
      <c r="AI21">
        <v>326</v>
      </c>
      <c r="AL21" t="s">
        <v>424</v>
      </c>
      <c r="AM21">
        <v>13</v>
      </c>
      <c r="AN21">
        <v>10</v>
      </c>
      <c r="AO21">
        <v>201.6</v>
      </c>
      <c r="AP21">
        <v>4</v>
      </c>
      <c r="AQ21">
        <v>366.5</v>
      </c>
      <c r="AR21">
        <v>2</v>
      </c>
      <c r="AS21">
        <v>122.5</v>
      </c>
      <c r="AT21">
        <v>1</v>
      </c>
      <c r="AU21">
        <v>256</v>
      </c>
    </row>
    <row r="22" spans="6:49" x14ac:dyDescent="0.2">
      <c r="F22" t="s">
        <v>67</v>
      </c>
      <c r="G22">
        <v>7145</v>
      </c>
      <c r="H22">
        <v>5337</v>
      </c>
      <c r="I22">
        <v>382.78639685220003</v>
      </c>
      <c r="J22">
        <v>347</v>
      </c>
      <c r="K22">
        <v>616.94524495680002</v>
      </c>
      <c r="L22">
        <v>1418</v>
      </c>
      <c r="M22">
        <v>764.31382228489997</v>
      </c>
      <c r="N22">
        <v>380</v>
      </c>
      <c r="O22">
        <v>589.48157894739995</v>
      </c>
      <c r="R22">
        <v>10</v>
      </c>
      <c r="S22">
        <v>618.29999999999995</v>
      </c>
      <c r="V22" t="s">
        <v>409</v>
      </c>
      <c r="W22">
        <v>3077</v>
      </c>
      <c r="X22">
        <v>2349</v>
      </c>
      <c r="Y22">
        <v>289.07194550870003</v>
      </c>
      <c r="Z22">
        <v>217</v>
      </c>
      <c r="AA22">
        <v>432</v>
      </c>
      <c r="AB22">
        <v>372</v>
      </c>
      <c r="AC22">
        <v>340.6720430108</v>
      </c>
      <c r="AD22">
        <v>247</v>
      </c>
      <c r="AE22">
        <v>511.73279352230003</v>
      </c>
      <c r="AF22">
        <v>105</v>
      </c>
      <c r="AG22">
        <v>231.01904761899999</v>
      </c>
      <c r="AH22">
        <v>4</v>
      </c>
      <c r="AI22">
        <v>849.75</v>
      </c>
      <c r="AL22" t="s">
        <v>409</v>
      </c>
      <c r="AM22">
        <v>44</v>
      </c>
      <c r="AN22">
        <v>28</v>
      </c>
      <c r="AO22">
        <v>136.32142857139999</v>
      </c>
      <c r="AP22">
        <v>18</v>
      </c>
      <c r="AQ22">
        <v>302.7777777778</v>
      </c>
      <c r="AR22">
        <v>9</v>
      </c>
      <c r="AS22">
        <v>104.55555555559999</v>
      </c>
      <c r="AT22">
        <v>7</v>
      </c>
      <c r="AU22">
        <v>217.28571428570001</v>
      </c>
    </row>
    <row r="23" spans="6:49" x14ac:dyDescent="0.2">
      <c r="F23" t="s">
        <v>76</v>
      </c>
      <c r="G23">
        <v>5196</v>
      </c>
      <c r="H23">
        <v>4153</v>
      </c>
      <c r="I23">
        <v>266.90849987960001</v>
      </c>
      <c r="J23">
        <v>417</v>
      </c>
      <c r="K23">
        <v>459.00479616310002</v>
      </c>
      <c r="L23">
        <v>756</v>
      </c>
      <c r="M23">
        <v>385.53174603169998</v>
      </c>
      <c r="N23">
        <v>276</v>
      </c>
      <c r="O23">
        <v>444.74275362319997</v>
      </c>
      <c r="R23">
        <v>11</v>
      </c>
      <c r="S23">
        <v>260.09090909090003</v>
      </c>
      <c r="V23" t="s">
        <v>405</v>
      </c>
      <c r="W23">
        <v>5527</v>
      </c>
      <c r="X23">
        <v>3682</v>
      </c>
      <c r="Y23">
        <v>370.42476914719998</v>
      </c>
      <c r="Z23">
        <v>306</v>
      </c>
      <c r="AA23">
        <v>614.7091503268</v>
      </c>
      <c r="AB23">
        <v>1460</v>
      </c>
      <c r="AC23">
        <v>557.46712328770002</v>
      </c>
      <c r="AD23">
        <v>244</v>
      </c>
      <c r="AE23">
        <v>469.7213114754</v>
      </c>
      <c r="AF23">
        <v>134</v>
      </c>
      <c r="AG23">
        <v>151.25373134329999</v>
      </c>
      <c r="AH23">
        <v>7</v>
      </c>
      <c r="AI23">
        <v>332.57142857140002</v>
      </c>
      <c r="AL23" t="s">
        <v>405</v>
      </c>
      <c r="AM23">
        <v>56</v>
      </c>
      <c r="AN23">
        <v>44</v>
      </c>
      <c r="AO23">
        <v>385.90909090909997</v>
      </c>
      <c r="AP23">
        <v>20</v>
      </c>
      <c r="AQ23">
        <v>370.8</v>
      </c>
      <c r="AR23">
        <v>12</v>
      </c>
      <c r="AS23">
        <v>147.5</v>
      </c>
    </row>
    <row r="24" spans="6:49" x14ac:dyDescent="0.2">
      <c r="F24" t="s">
        <v>48</v>
      </c>
      <c r="G24">
        <v>1428</v>
      </c>
      <c r="H24">
        <v>1106</v>
      </c>
      <c r="I24">
        <v>296.42676311029999</v>
      </c>
      <c r="J24">
        <v>79</v>
      </c>
      <c r="K24">
        <v>519.36708860759995</v>
      </c>
      <c r="L24">
        <v>248</v>
      </c>
      <c r="M24">
        <v>444.39919354839998</v>
      </c>
      <c r="N24">
        <v>72</v>
      </c>
      <c r="O24">
        <v>530.7777777778</v>
      </c>
      <c r="R24">
        <v>2</v>
      </c>
      <c r="S24">
        <v>256.5</v>
      </c>
      <c r="V24" t="s">
        <v>422</v>
      </c>
      <c r="W24">
        <v>7260</v>
      </c>
      <c r="X24">
        <v>5322</v>
      </c>
      <c r="Y24">
        <v>384.1138669673</v>
      </c>
      <c r="Z24">
        <v>357</v>
      </c>
      <c r="AA24">
        <v>609.41456582629996</v>
      </c>
      <c r="AB24">
        <v>1387</v>
      </c>
      <c r="AC24">
        <v>746.0122566691</v>
      </c>
      <c r="AD24">
        <v>398</v>
      </c>
      <c r="AE24">
        <v>586.35427135680004</v>
      </c>
      <c r="AF24">
        <v>143</v>
      </c>
      <c r="AG24">
        <v>207.1328671329</v>
      </c>
      <c r="AH24">
        <v>10</v>
      </c>
      <c r="AI24">
        <v>672</v>
      </c>
      <c r="AL24" t="s">
        <v>422</v>
      </c>
      <c r="AM24">
        <v>139</v>
      </c>
      <c r="AN24">
        <v>96</v>
      </c>
      <c r="AO24">
        <v>261.0208333333</v>
      </c>
      <c r="AP24">
        <v>39</v>
      </c>
      <c r="AQ24">
        <v>356.76923076920002</v>
      </c>
      <c r="AR24">
        <v>40</v>
      </c>
      <c r="AS24">
        <v>360.22500000000002</v>
      </c>
      <c r="AT24">
        <v>3</v>
      </c>
      <c r="AU24">
        <v>153.6666666667</v>
      </c>
    </row>
    <row r="25" spans="6:49" x14ac:dyDescent="0.2">
      <c r="F25" t="s">
        <v>69</v>
      </c>
      <c r="G25">
        <v>5485</v>
      </c>
      <c r="H25">
        <v>3727</v>
      </c>
      <c r="I25">
        <v>373.04346659510003</v>
      </c>
      <c r="J25">
        <v>305</v>
      </c>
      <c r="K25">
        <v>621.14754098360004</v>
      </c>
      <c r="L25">
        <v>1510</v>
      </c>
      <c r="M25">
        <v>566.25695364240005</v>
      </c>
      <c r="N25">
        <v>240</v>
      </c>
      <c r="O25">
        <v>477.09583333329999</v>
      </c>
      <c r="R25">
        <v>8</v>
      </c>
      <c r="S25">
        <v>352.875</v>
      </c>
      <c r="V25" t="s">
        <v>403</v>
      </c>
      <c r="W25">
        <v>18552</v>
      </c>
      <c r="X25">
        <v>14713</v>
      </c>
      <c r="Y25">
        <v>331.38754842660001</v>
      </c>
      <c r="Z25">
        <v>1641</v>
      </c>
      <c r="AA25">
        <v>505.89579524679999</v>
      </c>
      <c r="AB25">
        <v>2246</v>
      </c>
      <c r="AC25">
        <v>461.74398931429999</v>
      </c>
      <c r="AD25">
        <v>888</v>
      </c>
      <c r="AE25">
        <v>451.25337837839999</v>
      </c>
      <c r="AF25">
        <v>681</v>
      </c>
      <c r="AG25">
        <v>159.94566813509999</v>
      </c>
      <c r="AH25">
        <v>24</v>
      </c>
      <c r="AI25">
        <v>318.75</v>
      </c>
      <c r="AL25" t="s">
        <v>403</v>
      </c>
      <c r="AM25">
        <v>447</v>
      </c>
      <c r="AN25">
        <v>331</v>
      </c>
      <c r="AO25">
        <v>302.9848942598</v>
      </c>
      <c r="AP25">
        <v>157</v>
      </c>
      <c r="AQ25">
        <v>384.14012738849999</v>
      </c>
      <c r="AR25">
        <v>97</v>
      </c>
      <c r="AS25">
        <v>206.3917525773</v>
      </c>
      <c r="AT25">
        <v>17</v>
      </c>
      <c r="AU25">
        <v>114.3529411765</v>
      </c>
      <c r="AV25">
        <v>2</v>
      </c>
      <c r="AW25">
        <v>6</v>
      </c>
    </row>
    <row r="26" spans="6:49" x14ac:dyDescent="0.2">
      <c r="F26" t="s">
        <v>35</v>
      </c>
      <c r="G26">
        <v>217</v>
      </c>
      <c r="H26">
        <v>94</v>
      </c>
      <c r="I26">
        <v>110.8829787234</v>
      </c>
      <c r="J26">
        <v>98</v>
      </c>
      <c r="K26">
        <v>235.8571428571</v>
      </c>
      <c r="L26">
        <v>65</v>
      </c>
      <c r="M26">
        <v>152.61538461539999</v>
      </c>
      <c r="N26">
        <v>58</v>
      </c>
      <c r="O26">
        <v>450.68965517240002</v>
      </c>
      <c r="V26" t="s">
        <v>401</v>
      </c>
      <c r="W26">
        <v>1933</v>
      </c>
      <c r="X26">
        <v>1412</v>
      </c>
      <c r="Y26">
        <v>300.0587818697</v>
      </c>
      <c r="Z26">
        <v>212</v>
      </c>
      <c r="AA26">
        <v>445.36320754719998</v>
      </c>
      <c r="AB26">
        <v>331</v>
      </c>
      <c r="AC26">
        <v>267.55589123869999</v>
      </c>
      <c r="AD26">
        <v>113</v>
      </c>
      <c r="AE26">
        <v>365.30973451329999</v>
      </c>
      <c r="AF26">
        <v>76</v>
      </c>
      <c r="AG26">
        <v>179.26315789469999</v>
      </c>
      <c r="AH26">
        <v>1</v>
      </c>
      <c r="AI26">
        <v>1275</v>
      </c>
      <c r="AL26" t="s">
        <v>401</v>
      </c>
      <c r="AM26">
        <v>35</v>
      </c>
      <c r="AN26">
        <v>25</v>
      </c>
      <c r="AO26">
        <v>316.04000000000002</v>
      </c>
      <c r="AP26">
        <v>18</v>
      </c>
      <c r="AQ26">
        <v>289.1666666667</v>
      </c>
      <c r="AR26">
        <v>10</v>
      </c>
      <c r="AS26">
        <v>241.9</v>
      </c>
    </row>
    <row r="27" spans="6:49" x14ac:dyDescent="0.2">
      <c r="F27" t="s">
        <v>74</v>
      </c>
      <c r="G27">
        <v>4373</v>
      </c>
      <c r="H27">
        <v>3982</v>
      </c>
      <c r="I27">
        <v>221.34681064790001</v>
      </c>
      <c r="J27">
        <v>458</v>
      </c>
      <c r="K27">
        <v>410.59825327509998</v>
      </c>
      <c r="L27">
        <v>197</v>
      </c>
      <c r="M27">
        <v>143.9340101523</v>
      </c>
      <c r="N27">
        <v>189</v>
      </c>
      <c r="O27">
        <v>233.57142857139999</v>
      </c>
      <c r="R27">
        <v>5</v>
      </c>
      <c r="S27">
        <v>187.4</v>
      </c>
      <c r="V27" t="s">
        <v>83</v>
      </c>
      <c r="W27">
        <v>5383</v>
      </c>
      <c r="X27">
        <v>4162</v>
      </c>
      <c r="Y27">
        <v>273.74771744349999</v>
      </c>
      <c r="Z27">
        <v>417</v>
      </c>
      <c r="AA27">
        <v>466.77458033570002</v>
      </c>
      <c r="AB27">
        <v>780</v>
      </c>
      <c r="AC27">
        <v>413.3602564103</v>
      </c>
      <c r="AD27">
        <v>284</v>
      </c>
      <c r="AE27">
        <v>454.0563380282</v>
      </c>
      <c r="AF27">
        <v>147</v>
      </c>
      <c r="AG27">
        <v>150.4489795918</v>
      </c>
      <c r="AH27">
        <v>10</v>
      </c>
      <c r="AI27">
        <v>210.3</v>
      </c>
      <c r="AL27" t="s">
        <v>83</v>
      </c>
      <c r="AM27">
        <v>93</v>
      </c>
      <c r="AN27">
        <v>70</v>
      </c>
      <c r="AO27">
        <v>195.25714285710001</v>
      </c>
      <c r="AP27">
        <v>30</v>
      </c>
      <c r="AQ27">
        <v>338.26666666670002</v>
      </c>
      <c r="AR27">
        <v>20</v>
      </c>
      <c r="AS27">
        <v>124.45</v>
      </c>
      <c r="AT27">
        <v>3</v>
      </c>
      <c r="AU27">
        <v>72.666666666699996</v>
      </c>
    </row>
    <row r="28" spans="6:49" x14ac:dyDescent="0.2">
      <c r="F28" t="s">
        <v>34</v>
      </c>
      <c r="G28">
        <v>1749</v>
      </c>
      <c r="H28">
        <v>1315</v>
      </c>
      <c r="I28">
        <v>296.9201520913</v>
      </c>
      <c r="J28">
        <v>208</v>
      </c>
      <c r="K28">
        <v>448.6875</v>
      </c>
      <c r="L28">
        <v>325</v>
      </c>
      <c r="M28">
        <v>261.32923076920002</v>
      </c>
      <c r="N28">
        <v>108</v>
      </c>
      <c r="O28">
        <v>341.0462962963</v>
      </c>
      <c r="R28">
        <v>1</v>
      </c>
      <c r="S28">
        <v>1275</v>
      </c>
      <c r="V28" t="s">
        <v>400</v>
      </c>
      <c r="W28">
        <v>44202</v>
      </c>
      <c r="X28">
        <v>33256</v>
      </c>
      <c r="Y28">
        <v>329.86591893190001</v>
      </c>
      <c r="Z28">
        <v>3409</v>
      </c>
      <c r="AA28">
        <v>508.89146377240002</v>
      </c>
      <c r="AB28">
        <v>7001</v>
      </c>
      <c r="AC28">
        <v>506.97614626479998</v>
      </c>
      <c r="AD28">
        <v>2446</v>
      </c>
      <c r="AE28">
        <v>487.52902698280002</v>
      </c>
      <c r="AF28">
        <v>1436</v>
      </c>
      <c r="AG28">
        <v>167.75974930359999</v>
      </c>
      <c r="AH28">
        <v>63</v>
      </c>
      <c r="AI28">
        <v>400.71428571429999</v>
      </c>
      <c r="AL28" t="s">
        <v>400</v>
      </c>
      <c r="AM28">
        <v>841</v>
      </c>
      <c r="AN28">
        <v>616</v>
      </c>
      <c r="AO28">
        <v>277.93019480520002</v>
      </c>
      <c r="AP28">
        <v>294</v>
      </c>
      <c r="AQ28">
        <v>360.61564625850002</v>
      </c>
      <c r="AR28">
        <v>192</v>
      </c>
      <c r="AS28">
        <v>221.0416666667</v>
      </c>
      <c r="AT28">
        <v>31</v>
      </c>
      <c r="AU28">
        <v>141.935483871</v>
      </c>
      <c r="AV28">
        <v>2</v>
      </c>
      <c r="AW28">
        <v>6</v>
      </c>
    </row>
    <row r="29" spans="6:49" x14ac:dyDescent="0.2">
      <c r="F29" t="s">
        <v>55</v>
      </c>
      <c r="G29">
        <v>4834</v>
      </c>
      <c r="H29">
        <v>3704</v>
      </c>
      <c r="I29">
        <v>329.41657667390001</v>
      </c>
      <c r="J29">
        <v>568</v>
      </c>
      <c r="K29">
        <v>460.83274647889999</v>
      </c>
      <c r="L29">
        <v>886</v>
      </c>
      <c r="M29">
        <v>313.13544018060003</v>
      </c>
      <c r="N29">
        <v>244</v>
      </c>
      <c r="O29">
        <v>347.82377049180002</v>
      </c>
      <c r="V29" t="s">
        <v>384</v>
      </c>
      <c r="W29">
        <v>10703</v>
      </c>
      <c r="X29">
        <v>5265</v>
      </c>
      <c r="Y29">
        <v>280.76800304009998</v>
      </c>
      <c r="Z29">
        <v>614</v>
      </c>
      <c r="AA29">
        <v>602.56677524429995</v>
      </c>
      <c r="AB29">
        <v>3690</v>
      </c>
      <c r="AC29">
        <v>788.61924119239995</v>
      </c>
      <c r="AD29">
        <v>1259</v>
      </c>
      <c r="AE29">
        <v>507.83465818759998</v>
      </c>
      <c r="AF29">
        <v>464</v>
      </c>
      <c r="AG29">
        <v>176.2112068966</v>
      </c>
      <c r="AH29">
        <v>25</v>
      </c>
      <c r="AI29">
        <v>599.32000000000005</v>
      </c>
      <c r="AL29" t="s">
        <v>384</v>
      </c>
      <c r="AM29">
        <v>286</v>
      </c>
      <c r="AN29">
        <v>204</v>
      </c>
      <c r="AO29">
        <v>365.14215686270001</v>
      </c>
      <c r="AP29">
        <v>16</v>
      </c>
      <c r="AQ29">
        <v>610.625</v>
      </c>
      <c r="AR29">
        <v>70</v>
      </c>
      <c r="AS29">
        <v>447.55714285710002</v>
      </c>
      <c r="AT29">
        <v>12</v>
      </c>
      <c r="AU29">
        <v>125.5</v>
      </c>
    </row>
    <row r="30" spans="6:49" x14ac:dyDescent="0.2">
      <c r="F30" t="s">
        <v>400</v>
      </c>
      <c r="G30">
        <v>43916</v>
      </c>
      <c r="H30">
        <v>33866</v>
      </c>
      <c r="I30">
        <v>325.70731707319999</v>
      </c>
      <c r="J30">
        <v>3585</v>
      </c>
      <c r="K30">
        <v>499.28619246860001</v>
      </c>
      <c r="L30">
        <v>7234</v>
      </c>
      <c r="M30">
        <v>506.16671274539999</v>
      </c>
      <c r="N30">
        <v>2742</v>
      </c>
      <c r="O30">
        <v>496.66557257480002</v>
      </c>
      <c r="R30">
        <v>74</v>
      </c>
      <c r="S30">
        <v>383.36486486490003</v>
      </c>
      <c r="V30" t="s">
        <v>421</v>
      </c>
      <c r="W30">
        <v>31070</v>
      </c>
      <c r="X30">
        <v>26759</v>
      </c>
      <c r="Y30">
        <v>454.76626677130002</v>
      </c>
      <c r="Z30">
        <v>1152</v>
      </c>
      <c r="AA30">
        <v>702.20486111109994</v>
      </c>
      <c r="AB30">
        <v>1219</v>
      </c>
      <c r="AC30">
        <v>332.84659557010002</v>
      </c>
      <c r="AD30">
        <v>2123</v>
      </c>
      <c r="AE30">
        <v>333.14130946770001</v>
      </c>
      <c r="AF30">
        <v>961</v>
      </c>
      <c r="AG30">
        <v>181.67741935480001</v>
      </c>
      <c r="AH30">
        <v>8</v>
      </c>
      <c r="AI30">
        <v>427</v>
      </c>
      <c r="AL30" t="s">
        <v>421</v>
      </c>
      <c r="AM30">
        <v>610</v>
      </c>
      <c r="AN30">
        <v>525</v>
      </c>
      <c r="AO30">
        <v>311.68952380949997</v>
      </c>
      <c r="AP30">
        <v>124</v>
      </c>
      <c r="AQ30">
        <v>513.79032258059999</v>
      </c>
      <c r="AR30">
        <v>78</v>
      </c>
      <c r="AS30">
        <v>186.30769230769999</v>
      </c>
      <c r="AT30">
        <v>7</v>
      </c>
      <c r="AU30">
        <v>303.85714285709997</v>
      </c>
    </row>
    <row r="31" spans="6:49" x14ac:dyDescent="0.2">
      <c r="F31" t="s">
        <v>25</v>
      </c>
      <c r="G31">
        <v>17376</v>
      </c>
      <c r="H31">
        <v>15052</v>
      </c>
      <c r="I31">
        <v>544.68857142859997</v>
      </c>
      <c r="J31">
        <v>822</v>
      </c>
      <c r="K31">
        <v>895.91484184909996</v>
      </c>
      <c r="L31">
        <v>1343</v>
      </c>
      <c r="M31">
        <v>555.36783320919994</v>
      </c>
      <c r="N31">
        <v>958</v>
      </c>
      <c r="O31">
        <v>379.27168234060002</v>
      </c>
      <c r="R31">
        <v>23</v>
      </c>
      <c r="S31">
        <v>440.52173913040002</v>
      </c>
      <c r="V31" t="s">
        <v>377</v>
      </c>
      <c r="W31">
        <v>18033</v>
      </c>
      <c r="X31">
        <v>15055</v>
      </c>
      <c r="Y31">
        <v>542.20573971969998</v>
      </c>
      <c r="Z31">
        <v>847</v>
      </c>
      <c r="AA31">
        <v>887.9681227863</v>
      </c>
      <c r="AB31">
        <v>1421</v>
      </c>
      <c r="AC31">
        <v>574.90288529199995</v>
      </c>
      <c r="AD31">
        <v>1010</v>
      </c>
      <c r="AE31">
        <v>381.58077304260001</v>
      </c>
      <c r="AF31">
        <v>524</v>
      </c>
      <c r="AG31">
        <v>172.4722753346</v>
      </c>
      <c r="AH31">
        <v>23</v>
      </c>
      <c r="AI31">
        <v>440.52173913040002</v>
      </c>
      <c r="AL31" t="s">
        <v>377</v>
      </c>
      <c r="AM31">
        <v>378</v>
      </c>
      <c r="AN31">
        <v>289</v>
      </c>
      <c r="AO31">
        <v>347.20415224909999</v>
      </c>
      <c r="AP31">
        <v>90</v>
      </c>
      <c r="AQ31">
        <v>695.31111111109999</v>
      </c>
      <c r="AR31">
        <v>70</v>
      </c>
      <c r="AS31">
        <v>211.25714285710001</v>
      </c>
      <c r="AT31">
        <v>18</v>
      </c>
      <c r="AU31">
        <v>221.6666666667</v>
      </c>
      <c r="AV31">
        <v>1</v>
      </c>
      <c r="AW31">
        <v>200</v>
      </c>
    </row>
    <row r="32" spans="6:49" x14ac:dyDescent="0.2">
      <c r="F32" t="s">
        <v>42</v>
      </c>
      <c r="G32">
        <v>12857</v>
      </c>
      <c r="H32">
        <v>10203</v>
      </c>
      <c r="I32">
        <v>363.12154479510002</v>
      </c>
      <c r="J32">
        <v>350</v>
      </c>
      <c r="K32">
        <v>694.66</v>
      </c>
      <c r="L32">
        <v>1730</v>
      </c>
      <c r="M32">
        <v>526.47687861270003</v>
      </c>
      <c r="N32">
        <v>905</v>
      </c>
      <c r="O32">
        <v>564.20883977899996</v>
      </c>
      <c r="R32">
        <v>19</v>
      </c>
      <c r="S32">
        <v>564.57894736840001</v>
      </c>
      <c r="V32" t="s">
        <v>389</v>
      </c>
      <c r="W32">
        <v>3381</v>
      </c>
      <c r="X32">
        <v>2171</v>
      </c>
      <c r="Y32">
        <v>470.20635651769999</v>
      </c>
      <c r="Z32">
        <v>347</v>
      </c>
      <c r="AA32">
        <v>471.47550432280002</v>
      </c>
      <c r="AB32">
        <v>578</v>
      </c>
      <c r="AC32">
        <v>603.1262975779</v>
      </c>
      <c r="AD32">
        <v>496</v>
      </c>
      <c r="AE32">
        <v>591.48588709679996</v>
      </c>
      <c r="AF32">
        <v>131</v>
      </c>
      <c r="AG32">
        <v>161.1526717557</v>
      </c>
      <c r="AH32">
        <v>5</v>
      </c>
      <c r="AI32">
        <v>615</v>
      </c>
      <c r="AL32" t="s">
        <v>389</v>
      </c>
      <c r="AM32">
        <v>132</v>
      </c>
      <c r="AN32">
        <v>106</v>
      </c>
      <c r="AO32">
        <v>438.44339622640001</v>
      </c>
      <c r="AP32">
        <v>6</v>
      </c>
      <c r="AQ32">
        <v>734.5</v>
      </c>
      <c r="AR32">
        <v>22</v>
      </c>
      <c r="AS32">
        <v>331.45454545450002</v>
      </c>
      <c r="AT32">
        <v>3</v>
      </c>
      <c r="AU32">
        <v>332.3333333333</v>
      </c>
      <c r="AV32">
        <v>1</v>
      </c>
      <c r="AW32">
        <v>633</v>
      </c>
    </row>
    <row r="33" spans="6:49" x14ac:dyDescent="0.2">
      <c r="F33" t="s">
        <v>75</v>
      </c>
      <c r="G33">
        <v>6112</v>
      </c>
      <c r="H33">
        <v>2984</v>
      </c>
      <c r="I33">
        <v>374.60026827630003</v>
      </c>
      <c r="J33">
        <v>346</v>
      </c>
      <c r="K33">
        <v>685.17341040459996</v>
      </c>
      <c r="L33">
        <v>2094</v>
      </c>
      <c r="M33">
        <v>706.16762177650003</v>
      </c>
      <c r="N33">
        <v>1032</v>
      </c>
      <c r="O33">
        <v>961.3643410853</v>
      </c>
      <c r="R33">
        <v>2</v>
      </c>
      <c r="S33">
        <v>1005.5</v>
      </c>
      <c r="V33" t="s">
        <v>380</v>
      </c>
      <c r="W33">
        <v>7132</v>
      </c>
      <c r="X33">
        <v>4430</v>
      </c>
      <c r="Y33">
        <v>279.10747347030002</v>
      </c>
      <c r="Z33">
        <v>396</v>
      </c>
      <c r="AA33">
        <v>672.22727272730003</v>
      </c>
      <c r="AB33">
        <v>1522</v>
      </c>
      <c r="AC33">
        <v>364.48883048620002</v>
      </c>
      <c r="AD33">
        <v>801</v>
      </c>
      <c r="AE33">
        <v>456.38202247189997</v>
      </c>
      <c r="AF33">
        <v>366</v>
      </c>
      <c r="AG33">
        <v>198.31420765030001</v>
      </c>
      <c r="AH33">
        <v>13</v>
      </c>
      <c r="AI33">
        <v>551.07692307690002</v>
      </c>
      <c r="AL33" t="s">
        <v>380</v>
      </c>
      <c r="AM33">
        <v>258</v>
      </c>
      <c r="AN33">
        <v>195</v>
      </c>
      <c r="AO33">
        <v>310.90769230770002</v>
      </c>
      <c r="AP33">
        <v>8</v>
      </c>
      <c r="AQ33">
        <v>494.875</v>
      </c>
      <c r="AR33">
        <v>53</v>
      </c>
      <c r="AS33">
        <v>281.3396226415</v>
      </c>
      <c r="AT33">
        <v>10</v>
      </c>
      <c r="AU33">
        <v>263.39999999999998</v>
      </c>
    </row>
    <row r="34" spans="6:49" x14ac:dyDescent="0.2">
      <c r="F34" t="s">
        <v>61</v>
      </c>
      <c r="G34">
        <v>6570</v>
      </c>
      <c r="H34">
        <v>4302</v>
      </c>
      <c r="I34">
        <v>260.67147175079998</v>
      </c>
      <c r="J34">
        <v>389</v>
      </c>
      <c r="K34">
        <v>653.60411311049995</v>
      </c>
      <c r="L34">
        <v>1461</v>
      </c>
      <c r="M34">
        <v>331.5044490075</v>
      </c>
      <c r="N34">
        <v>795</v>
      </c>
      <c r="O34">
        <v>447.78993710690003</v>
      </c>
      <c r="R34">
        <v>12</v>
      </c>
      <c r="S34">
        <v>575.66666666670005</v>
      </c>
      <c r="V34" t="s">
        <v>423</v>
      </c>
      <c r="W34">
        <v>6186</v>
      </c>
      <c r="X34">
        <v>2888</v>
      </c>
      <c r="Y34">
        <v>373.84308971249999</v>
      </c>
      <c r="Z34">
        <v>338</v>
      </c>
      <c r="AA34">
        <v>688.09467455619995</v>
      </c>
      <c r="AB34">
        <v>2029</v>
      </c>
      <c r="AC34">
        <v>706.63923114830004</v>
      </c>
      <c r="AD34">
        <v>1005</v>
      </c>
      <c r="AE34">
        <v>961</v>
      </c>
      <c r="AF34">
        <v>262</v>
      </c>
      <c r="AG34">
        <v>169.25190839690001</v>
      </c>
      <c r="AH34">
        <v>2</v>
      </c>
      <c r="AI34">
        <v>1005.5</v>
      </c>
      <c r="AL34" t="s">
        <v>423</v>
      </c>
      <c r="AM34">
        <v>127</v>
      </c>
      <c r="AN34">
        <v>89</v>
      </c>
      <c r="AO34">
        <v>292.64044943819999</v>
      </c>
      <c r="AP34">
        <v>25</v>
      </c>
      <c r="AQ34">
        <v>475.2</v>
      </c>
      <c r="AR34">
        <v>28</v>
      </c>
      <c r="AS34">
        <v>260.10714285709997</v>
      </c>
      <c r="AT34">
        <v>9</v>
      </c>
      <c r="AU34">
        <v>139.44444444440001</v>
      </c>
      <c r="AV34">
        <v>1</v>
      </c>
      <c r="AW34">
        <v>3</v>
      </c>
    </row>
    <row r="35" spans="6:49" x14ac:dyDescent="0.2">
      <c r="F35" t="s">
        <v>56</v>
      </c>
      <c r="G35">
        <v>4878</v>
      </c>
      <c r="H35">
        <v>3262</v>
      </c>
      <c r="I35">
        <v>498.34120171670003</v>
      </c>
      <c r="J35">
        <v>476</v>
      </c>
      <c r="K35">
        <v>493.94327731089999</v>
      </c>
      <c r="L35">
        <v>893</v>
      </c>
      <c r="M35">
        <v>588.22060470320002</v>
      </c>
      <c r="N35">
        <v>716</v>
      </c>
      <c r="O35">
        <v>604.25139664799997</v>
      </c>
      <c r="R35">
        <v>7</v>
      </c>
      <c r="S35">
        <v>663.14285714289997</v>
      </c>
      <c r="V35" t="s">
        <v>379</v>
      </c>
      <c r="W35">
        <v>13104</v>
      </c>
      <c r="X35">
        <v>10089</v>
      </c>
      <c r="Y35">
        <v>365.81482950039998</v>
      </c>
      <c r="Z35">
        <v>362</v>
      </c>
      <c r="AA35">
        <v>686.96961325970005</v>
      </c>
      <c r="AB35">
        <v>1731</v>
      </c>
      <c r="AC35">
        <v>531.93009820910004</v>
      </c>
      <c r="AD35">
        <v>908</v>
      </c>
      <c r="AE35">
        <v>555.91850220260005</v>
      </c>
      <c r="AF35">
        <v>356</v>
      </c>
      <c r="AG35">
        <v>180.29014084510001</v>
      </c>
      <c r="AH35">
        <v>20</v>
      </c>
      <c r="AI35">
        <v>601.6</v>
      </c>
      <c r="AL35" t="s">
        <v>379</v>
      </c>
      <c r="AM35">
        <v>169</v>
      </c>
      <c r="AN35">
        <v>139</v>
      </c>
      <c r="AO35">
        <v>285.54676258990003</v>
      </c>
      <c r="AP35">
        <v>33</v>
      </c>
      <c r="AQ35">
        <v>419.93939393940002</v>
      </c>
      <c r="AR35">
        <v>25</v>
      </c>
      <c r="AS35">
        <v>211.64</v>
      </c>
      <c r="AT35">
        <v>5</v>
      </c>
      <c r="AU35">
        <v>321.60000000000002</v>
      </c>
    </row>
    <row r="36" spans="6:49" x14ac:dyDescent="0.2">
      <c r="F36" t="s">
        <v>60</v>
      </c>
      <c r="G36">
        <v>10288</v>
      </c>
      <c r="H36">
        <v>5224</v>
      </c>
      <c r="I36">
        <v>272.38510149370001</v>
      </c>
      <c r="J36">
        <v>622</v>
      </c>
      <c r="K36">
        <v>604.71221864949996</v>
      </c>
      <c r="L36">
        <v>3767</v>
      </c>
      <c r="M36">
        <v>790.5285372976</v>
      </c>
      <c r="N36">
        <v>1272</v>
      </c>
      <c r="O36">
        <v>504.25177025959999</v>
      </c>
      <c r="R36">
        <v>25</v>
      </c>
      <c r="S36">
        <v>599.32000000000005</v>
      </c>
      <c r="V36" t="s">
        <v>376</v>
      </c>
      <c r="W36">
        <v>89609</v>
      </c>
      <c r="X36">
        <v>66657</v>
      </c>
      <c r="Y36">
        <v>432.63557796179998</v>
      </c>
      <c r="Z36">
        <v>4056</v>
      </c>
      <c r="AA36">
        <v>700.71203155820001</v>
      </c>
      <c r="AB36">
        <v>12190</v>
      </c>
      <c r="AC36">
        <v>606.2824446267</v>
      </c>
      <c r="AD36">
        <v>7602</v>
      </c>
      <c r="AE36">
        <v>507.98</v>
      </c>
      <c r="AF36">
        <v>3064</v>
      </c>
      <c r="AG36">
        <v>179.163291966</v>
      </c>
      <c r="AH36">
        <v>96</v>
      </c>
      <c r="AI36">
        <v>550.13541666670005</v>
      </c>
      <c r="AL36" t="s">
        <v>376</v>
      </c>
      <c r="AM36">
        <v>1960</v>
      </c>
      <c r="AN36">
        <v>1547</v>
      </c>
      <c r="AO36">
        <v>330.51454427930003</v>
      </c>
      <c r="AP36">
        <v>302</v>
      </c>
      <c r="AQ36">
        <v>563.45033112579995</v>
      </c>
      <c r="AR36">
        <v>346</v>
      </c>
      <c r="AS36">
        <v>275.79768786130001</v>
      </c>
      <c r="AT36">
        <v>64</v>
      </c>
      <c r="AU36">
        <v>220.578125</v>
      </c>
      <c r="AV36">
        <v>3</v>
      </c>
      <c r="AW36">
        <v>278.6666666667</v>
      </c>
    </row>
    <row r="37" spans="6:49" x14ac:dyDescent="0.2">
      <c r="F37" t="s">
        <v>80</v>
      </c>
      <c r="G37">
        <v>30261</v>
      </c>
      <c r="H37">
        <v>27187</v>
      </c>
      <c r="I37">
        <v>454.39073018210001</v>
      </c>
      <c r="J37">
        <v>1107</v>
      </c>
      <c r="K37">
        <v>700.47244805779997</v>
      </c>
      <c r="L37">
        <v>1018</v>
      </c>
      <c r="M37">
        <v>255.07956777999999</v>
      </c>
      <c r="N37">
        <v>2052</v>
      </c>
      <c r="O37">
        <v>315.60964912280002</v>
      </c>
      <c r="R37">
        <v>4</v>
      </c>
      <c r="S37">
        <v>248.75</v>
      </c>
      <c r="V37" t="s">
        <v>402</v>
      </c>
      <c r="W37">
        <v>541</v>
      </c>
      <c r="X37">
        <v>286</v>
      </c>
      <c r="Y37">
        <v>124.2167832168</v>
      </c>
      <c r="Z37">
        <v>227</v>
      </c>
      <c r="AA37">
        <v>206.7488986784</v>
      </c>
      <c r="AB37">
        <v>94</v>
      </c>
      <c r="AC37">
        <v>183.78723404260001</v>
      </c>
      <c r="AD37">
        <v>103</v>
      </c>
      <c r="AE37">
        <v>219.63106796119999</v>
      </c>
      <c r="AF37">
        <v>55</v>
      </c>
      <c r="AG37">
        <v>151.2545454545</v>
      </c>
      <c r="AH37">
        <v>3</v>
      </c>
      <c r="AI37">
        <v>368</v>
      </c>
      <c r="AL37" t="s">
        <v>402</v>
      </c>
      <c r="AM37">
        <v>24</v>
      </c>
      <c r="AN37">
        <v>17</v>
      </c>
      <c r="AO37">
        <v>112.9411764706</v>
      </c>
      <c r="AP37">
        <v>12</v>
      </c>
      <c r="AQ37">
        <v>234.75</v>
      </c>
      <c r="AR37">
        <v>6</v>
      </c>
      <c r="AS37">
        <v>245.3333333333</v>
      </c>
      <c r="AT37">
        <v>1</v>
      </c>
      <c r="AU37">
        <v>33</v>
      </c>
    </row>
    <row r="38" spans="6:49" x14ac:dyDescent="0.2">
      <c r="F38" t="s">
        <v>376</v>
      </c>
      <c r="G38">
        <v>88342</v>
      </c>
      <c r="H38">
        <v>68214</v>
      </c>
      <c r="I38">
        <v>433.12607764939997</v>
      </c>
      <c r="J38">
        <v>4112</v>
      </c>
      <c r="K38">
        <v>694.93336575880005</v>
      </c>
      <c r="L38">
        <v>12306</v>
      </c>
      <c r="M38">
        <v>599.91711360310001</v>
      </c>
      <c r="N38">
        <v>7730</v>
      </c>
      <c r="O38">
        <v>510.20600414080002</v>
      </c>
      <c r="R38">
        <v>92</v>
      </c>
      <c r="S38">
        <v>547.80434782609996</v>
      </c>
      <c r="V38" t="s">
        <v>406</v>
      </c>
      <c r="W38">
        <v>40871</v>
      </c>
      <c r="X38">
        <v>29051</v>
      </c>
      <c r="Y38">
        <v>457.10188978000002</v>
      </c>
      <c r="Z38">
        <v>2166</v>
      </c>
      <c r="AA38">
        <v>705.57617728529999</v>
      </c>
      <c r="AB38">
        <v>8347</v>
      </c>
      <c r="AC38">
        <v>741.37019288370004</v>
      </c>
      <c r="AD38">
        <v>2295</v>
      </c>
      <c r="AE38">
        <v>551.08896641950003</v>
      </c>
      <c r="AF38">
        <v>1109</v>
      </c>
      <c r="AG38">
        <v>187.98286744820001</v>
      </c>
      <c r="AH38">
        <v>69</v>
      </c>
      <c r="AI38">
        <v>529.31884057970001</v>
      </c>
      <c r="AL38" t="s">
        <v>406</v>
      </c>
      <c r="AM38">
        <v>689</v>
      </c>
      <c r="AN38">
        <v>490</v>
      </c>
      <c r="AO38">
        <v>382.94693877549997</v>
      </c>
      <c r="AP38">
        <v>203</v>
      </c>
      <c r="AQ38">
        <v>568.65024630539995</v>
      </c>
      <c r="AR38">
        <v>173</v>
      </c>
      <c r="AS38">
        <v>376.96531791910002</v>
      </c>
      <c r="AT38">
        <v>25</v>
      </c>
      <c r="AU38">
        <v>391.68</v>
      </c>
      <c r="AV38">
        <v>1</v>
      </c>
      <c r="AW38">
        <v>10</v>
      </c>
    </row>
    <row r="39" spans="6:49" x14ac:dyDescent="0.2">
      <c r="F39" t="s">
        <v>82</v>
      </c>
      <c r="G39">
        <v>19678</v>
      </c>
      <c r="H39">
        <v>14837</v>
      </c>
      <c r="I39">
        <v>405.18467345149998</v>
      </c>
      <c r="J39">
        <v>953</v>
      </c>
      <c r="K39">
        <v>696.20671563480005</v>
      </c>
      <c r="L39">
        <v>3773</v>
      </c>
      <c r="M39">
        <v>792.85475748739998</v>
      </c>
      <c r="N39">
        <v>1025</v>
      </c>
      <c r="O39">
        <v>509.8380487805</v>
      </c>
      <c r="R39">
        <v>43</v>
      </c>
      <c r="S39">
        <v>560.74418604649998</v>
      </c>
      <c r="V39" t="s">
        <v>414</v>
      </c>
      <c r="W39">
        <v>417</v>
      </c>
      <c r="X39">
        <v>204</v>
      </c>
      <c r="Y39">
        <v>166.75</v>
      </c>
      <c r="Z39">
        <v>89</v>
      </c>
      <c r="AA39">
        <v>259.88764044940001</v>
      </c>
      <c r="AB39">
        <v>129</v>
      </c>
      <c r="AC39">
        <v>304.84496124029999</v>
      </c>
      <c r="AD39">
        <v>63</v>
      </c>
      <c r="AE39">
        <v>411.06349206350001</v>
      </c>
      <c r="AF39">
        <v>19</v>
      </c>
      <c r="AG39">
        <v>327.10526315790003</v>
      </c>
      <c r="AH39">
        <v>2</v>
      </c>
      <c r="AI39">
        <v>520.5</v>
      </c>
      <c r="AL39" t="s">
        <v>414</v>
      </c>
      <c r="AM39">
        <v>6</v>
      </c>
      <c r="AN39">
        <v>5</v>
      </c>
      <c r="AO39">
        <v>223</v>
      </c>
      <c r="AP39">
        <v>4</v>
      </c>
      <c r="AQ39">
        <v>171.5</v>
      </c>
      <c r="AR39">
        <v>1</v>
      </c>
      <c r="AS39">
        <v>138</v>
      </c>
    </row>
    <row r="40" spans="6:49" x14ac:dyDescent="0.2">
      <c r="F40" t="s">
        <v>43</v>
      </c>
      <c r="G40">
        <v>6291</v>
      </c>
      <c r="H40">
        <v>3540</v>
      </c>
      <c r="I40">
        <v>258.2002824859</v>
      </c>
      <c r="J40">
        <v>156</v>
      </c>
      <c r="K40">
        <v>559.18589743589996</v>
      </c>
      <c r="L40">
        <v>2381</v>
      </c>
      <c r="M40">
        <v>721.74380512389996</v>
      </c>
      <c r="N40">
        <v>364</v>
      </c>
      <c r="O40">
        <v>418.81868131869999</v>
      </c>
      <c r="R40">
        <v>6</v>
      </c>
      <c r="S40">
        <v>363.1666666667</v>
      </c>
      <c r="V40" t="s">
        <v>417</v>
      </c>
      <c r="W40">
        <v>345</v>
      </c>
      <c r="X40">
        <v>244</v>
      </c>
      <c r="Y40">
        <v>279.98360655739998</v>
      </c>
      <c r="Z40">
        <v>37</v>
      </c>
      <c r="AA40">
        <v>538.54054054050005</v>
      </c>
      <c r="AB40">
        <v>46</v>
      </c>
      <c r="AC40">
        <v>452.45652173910003</v>
      </c>
      <c r="AD40">
        <v>31</v>
      </c>
      <c r="AE40">
        <v>360.38709677420002</v>
      </c>
      <c r="AF40">
        <v>23</v>
      </c>
      <c r="AG40">
        <v>210.08695652169999</v>
      </c>
      <c r="AH40">
        <v>1</v>
      </c>
      <c r="AI40">
        <v>428</v>
      </c>
      <c r="AL40" t="s">
        <v>417</v>
      </c>
      <c r="AM40">
        <v>7</v>
      </c>
      <c r="AN40">
        <v>2</v>
      </c>
      <c r="AO40">
        <v>488.5</v>
      </c>
      <c r="AR40">
        <v>5</v>
      </c>
      <c r="AS40">
        <v>117.2</v>
      </c>
    </row>
    <row r="41" spans="6:49" x14ac:dyDescent="0.2">
      <c r="F41" t="s">
        <v>49</v>
      </c>
      <c r="G41">
        <v>20280</v>
      </c>
      <c r="H41">
        <v>14409</v>
      </c>
      <c r="I41">
        <v>514.6988687626</v>
      </c>
      <c r="J41">
        <v>1230</v>
      </c>
      <c r="K41">
        <v>730.92845528459998</v>
      </c>
      <c r="L41">
        <v>4615</v>
      </c>
      <c r="M41">
        <v>704.35687973999995</v>
      </c>
      <c r="N41">
        <v>1232</v>
      </c>
      <c r="O41">
        <v>599.71138211380003</v>
      </c>
      <c r="R41">
        <v>24</v>
      </c>
      <c r="S41">
        <v>466</v>
      </c>
      <c r="V41" t="s">
        <v>407</v>
      </c>
      <c r="W41">
        <v>5340</v>
      </c>
      <c r="X41">
        <v>4114</v>
      </c>
      <c r="Y41">
        <v>484.24769081189999</v>
      </c>
      <c r="Z41">
        <v>211</v>
      </c>
      <c r="AA41">
        <v>809.19431279620005</v>
      </c>
      <c r="AB41">
        <v>566</v>
      </c>
      <c r="AC41">
        <v>276.66077738519999</v>
      </c>
      <c r="AD41">
        <v>466</v>
      </c>
      <c r="AE41">
        <v>585.57510729609999</v>
      </c>
      <c r="AF41">
        <v>191</v>
      </c>
      <c r="AG41">
        <v>205.41884816749999</v>
      </c>
      <c r="AH41">
        <v>3</v>
      </c>
      <c r="AI41">
        <v>212</v>
      </c>
      <c r="AL41" t="s">
        <v>407</v>
      </c>
      <c r="AM41">
        <v>184</v>
      </c>
      <c r="AN41">
        <v>147</v>
      </c>
      <c r="AO41">
        <v>387.79591836729998</v>
      </c>
      <c r="AP41">
        <v>14</v>
      </c>
      <c r="AQ41">
        <v>852.5</v>
      </c>
      <c r="AR41">
        <v>32</v>
      </c>
      <c r="AS41">
        <v>277.875</v>
      </c>
      <c r="AT41">
        <v>5</v>
      </c>
      <c r="AU41">
        <v>429.6</v>
      </c>
    </row>
    <row r="42" spans="6:49" x14ac:dyDescent="0.2">
      <c r="F42" t="s">
        <v>52</v>
      </c>
      <c r="G42">
        <v>4661</v>
      </c>
      <c r="H42">
        <v>3089</v>
      </c>
      <c r="I42">
        <v>309.9685982519</v>
      </c>
      <c r="J42">
        <v>285</v>
      </c>
      <c r="K42">
        <v>552.24561403509995</v>
      </c>
      <c r="L42">
        <v>1022</v>
      </c>
      <c r="M42">
        <v>396.03620352249999</v>
      </c>
      <c r="N42">
        <v>541</v>
      </c>
      <c r="O42">
        <v>591.8927911275</v>
      </c>
      <c r="R42">
        <v>9</v>
      </c>
      <c r="S42">
        <v>537</v>
      </c>
      <c r="V42" t="s">
        <v>399</v>
      </c>
      <c r="W42">
        <v>6413</v>
      </c>
      <c r="X42">
        <v>3528</v>
      </c>
      <c r="Y42">
        <v>265.92857142859998</v>
      </c>
      <c r="Z42">
        <v>160</v>
      </c>
      <c r="AA42">
        <v>572.42499999999995</v>
      </c>
      <c r="AB42">
        <v>2273</v>
      </c>
      <c r="AC42">
        <v>711.67091948970005</v>
      </c>
      <c r="AD42">
        <v>368</v>
      </c>
      <c r="AE42">
        <v>432.17391304350002</v>
      </c>
      <c r="AF42">
        <v>238</v>
      </c>
      <c r="AG42">
        <v>193.9201680672</v>
      </c>
      <c r="AH42">
        <v>6</v>
      </c>
      <c r="AI42">
        <v>363.1666666667</v>
      </c>
      <c r="AL42" t="s">
        <v>399</v>
      </c>
      <c r="AM42">
        <v>102</v>
      </c>
      <c r="AN42">
        <v>60</v>
      </c>
      <c r="AO42">
        <v>259.55</v>
      </c>
      <c r="AP42">
        <v>25</v>
      </c>
      <c r="AQ42">
        <v>253.12</v>
      </c>
      <c r="AR42">
        <v>40</v>
      </c>
      <c r="AS42">
        <v>583.72500000000002</v>
      </c>
      <c r="AT42">
        <v>2</v>
      </c>
      <c r="AU42">
        <v>206</v>
      </c>
    </row>
    <row r="43" spans="6:49" x14ac:dyDescent="0.2">
      <c r="F43" t="s">
        <v>39</v>
      </c>
      <c r="G43">
        <v>301</v>
      </c>
      <c r="H43">
        <v>232</v>
      </c>
      <c r="I43">
        <v>281.37068965520001</v>
      </c>
      <c r="J43">
        <v>44</v>
      </c>
      <c r="K43">
        <v>555.27272727269997</v>
      </c>
      <c r="L43">
        <v>35</v>
      </c>
      <c r="M43">
        <v>370.28571428570001</v>
      </c>
      <c r="N43">
        <v>33</v>
      </c>
      <c r="O43">
        <v>351.8181818182</v>
      </c>
      <c r="R43">
        <v>1</v>
      </c>
      <c r="S43">
        <v>428</v>
      </c>
      <c r="V43" t="s">
        <v>408</v>
      </c>
      <c r="W43">
        <v>4830</v>
      </c>
      <c r="X43">
        <v>2878</v>
      </c>
      <c r="Y43">
        <v>193.7998610146</v>
      </c>
      <c r="Z43">
        <v>355</v>
      </c>
      <c r="AA43">
        <v>330.88450704230002</v>
      </c>
      <c r="AB43">
        <v>1085</v>
      </c>
      <c r="AC43">
        <v>240.32258064519999</v>
      </c>
      <c r="AD43">
        <v>572</v>
      </c>
      <c r="AE43">
        <v>336.13811188810001</v>
      </c>
      <c r="AF43">
        <v>289</v>
      </c>
      <c r="AG43">
        <v>179.69204152250001</v>
      </c>
      <c r="AH43">
        <v>6</v>
      </c>
      <c r="AI43">
        <v>245.5</v>
      </c>
      <c r="AL43" t="s">
        <v>408</v>
      </c>
      <c r="AM43">
        <v>114</v>
      </c>
      <c r="AN43">
        <v>81</v>
      </c>
      <c r="AO43">
        <v>176.80246913580001</v>
      </c>
      <c r="AP43">
        <v>37</v>
      </c>
      <c r="AQ43">
        <v>214.18918918919999</v>
      </c>
      <c r="AR43">
        <v>26</v>
      </c>
      <c r="AS43">
        <v>159.6538461538</v>
      </c>
      <c r="AT43">
        <v>6</v>
      </c>
      <c r="AU43">
        <v>297.1666666667</v>
      </c>
      <c r="AV43">
        <v>1</v>
      </c>
      <c r="AW43">
        <v>164</v>
      </c>
    </row>
    <row r="44" spans="6:49" x14ac:dyDescent="0.2">
      <c r="F44" t="s">
        <v>27</v>
      </c>
      <c r="G44">
        <v>4507</v>
      </c>
      <c r="H44">
        <v>2831</v>
      </c>
      <c r="I44">
        <v>184.09537265980001</v>
      </c>
      <c r="J44">
        <v>355</v>
      </c>
      <c r="K44">
        <v>323.24507042250002</v>
      </c>
      <c r="L44">
        <v>1081</v>
      </c>
      <c r="M44">
        <v>234.24884366329999</v>
      </c>
      <c r="N44">
        <v>589</v>
      </c>
      <c r="O44">
        <v>326.47028862479999</v>
      </c>
      <c r="R44">
        <v>6</v>
      </c>
      <c r="S44">
        <v>245.5</v>
      </c>
      <c r="V44" t="s">
        <v>383</v>
      </c>
      <c r="W44">
        <v>5877</v>
      </c>
      <c r="X44">
        <v>4730</v>
      </c>
      <c r="Y44">
        <v>440.82346723040001</v>
      </c>
      <c r="Z44">
        <v>451</v>
      </c>
      <c r="AA44">
        <v>655.75609756100005</v>
      </c>
      <c r="AB44">
        <v>554</v>
      </c>
      <c r="AC44">
        <v>418.41155234659999</v>
      </c>
      <c r="AD44">
        <v>396</v>
      </c>
      <c r="AE44">
        <v>446.93686868690003</v>
      </c>
      <c r="AF44">
        <v>183</v>
      </c>
      <c r="AG44">
        <v>188.393442623</v>
      </c>
      <c r="AH44">
        <v>14</v>
      </c>
      <c r="AI44">
        <v>404.42857142859998</v>
      </c>
      <c r="AL44" t="s">
        <v>383</v>
      </c>
      <c r="AM44">
        <v>199</v>
      </c>
      <c r="AN44">
        <v>156</v>
      </c>
      <c r="AO44">
        <v>397.89743589739999</v>
      </c>
      <c r="AP44">
        <v>6</v>
      </c>
      <c r="AQ44">
        <v>635.83333333329995</v>
      </c>
      <c r="AR44">
        <v>42</v>
      </c>
      <c r="AS44">
        <v>255.30952380950001</v>
      </c>
      <c r="AT44">
        <v>1</v>
      </c>
      <c r="AU44">
        <v>138</v>
      </c>
    </row>
    <row r="45" spans="6:49" x14ac:dyDescent="0.2">
      <c r="F45" t="s">
        <v>54</v>
      </c>
      <c r="G45">
        <v>5301</v>
      </c>
      <c r="H45">
        <v>4251</v>
      </c>
      <c r="I45">
        <v>485.78993178079998</v>
      </c>
      <c r="J45">
        <v>217</v>
      </c>
      <c r="K45">
        <v>815.97235023040002</v>
      </c>
      <c r="L45">
        <v>567</v>
      </c>
      <c r="M45">
        <v>264.71428571429999</v>
      </c>
      <c r="N45">
        <v>479</v>
      </c>
      <c r="O45">
        <v>603.68684759919995</v>
      </c>
      <c r="R45">
        <v>4</v>
      </c>
      <c r="S45">
        <v>268.75</v>
      </c>
      <c r="V45" t="s">
        <v>385</v>
      </c>
      <c r="W45">
        <v>4880</v>
      </c>
      <c r="X45">
        <v>3142</v>
      </c>
      <c r="Y45">
        <v>317.98376830040002</v>
      </c>
      <c r="Z45">
        <v>298</v>
      </c>
      <c r="AA45">
        <v>558.85234899329998</v>
      </c>
      <c r="AB45">
        <v>1032</v>
      </c>
      <c r="AC45">
        <v>408.79554263569997</v>
      </c>
      <c r="AD45">
        <v>540</v>
      </c>
      <c r="AE45">
        <v>600.76851851849995</v>
      </c>
      <c r="AF45">
        <v>157</v>
      </c>
      <c r="AG45">
        <v>240.29936305730001</v>
      </c>
      <c r="AH45">
        <v>9</v>
      </c>
      <c r="AI45">
        <v>537</v>
      </c>
      <c r="AL45" t="s">
        <v>385</v>
      </c>
      <c r="AM45">
        <v>171</v>
      </c>
      <c r="AN45">
        <v>124</v>
      </c>
      <c r="AO45">
        <v>338.8548387097</v>
      </c>
      <c r="AP45">
        <v>3</v>
      </c>
      <c r="AQ45">
        <v>376</v>
      </c>
      <c r="AR45">
        <v>45</v>
      </c>
      <c r="AS45">
        <v>391.24444444440002</v>
      </c>
      <c r="AT45">
        <v>2</v>
      </c>
      <c r="AU45">
        <v>415.5</v>
      </c>
    </row>
    <row r="46" spans="6:49" x14ac:dyDescent="0.2">
      <c r="F46" t="s">
        <v>62</v>
      </c>
      <c r="G46">
        <v>5719</v>
      </c>
      <c r="H46">
        <v>4751</v>
      </c>
      <c r="I46">
        <v>442.35297832039998</v>
      </c>
      <c r="J46">
        <v>454</v>
      </c>
      <c r="K46">
        <v>656.79735682820001</v>
      </c>
      <c r="L46">
        <v>553</v>
      </c>
      <c r="M46">
        <v>389.33815551539999</v>
      </c>
      <c r="N46">
        <v>401</v>
      </c>
      <c r="O46">
        <v>454.58354114709999</v>
      </c>
      <c r="R46">
        <v>14</v>
      </c>
      <c r="S46">
        <v>404.42857142859998</v>
      </c>
      <c r="V46" t="s">
        <v>381</v>
      </c>
      <c r="W46">
        <v>69514</v>
      </c>
      <c r="X46">
        <v>48177</v>
      </c>
      <c r="Y46">
        <v>414.9173464516</v>
      </c>
      <c r="Z46">
        <v>3994</v>
      </c>
      <c r="AA46">
        <v>616.00951427140001</v>
      </c>
      <c r="AB46">
        <v>14126</v>
      </c>
      <c r="AC46">
        <v>633.88616735100004</v>
      </c>
      <c r="AD46">
        <v>4834</v>
      </c>
      <c r="AE46">
        <v>506.81477649009997</v>
      </c>
      <c r="AF46">
        <v>2264</v>
      </c>
      <c r="AG46">
        <v>193.1806537102</v>
      </c>
      <c r="AH46">
        <v>113</v>
      </c>
      <c r="AI46">
        <v>476.80530973449999</v>
      </c>
      <c r="AL46" t="s">
        <v>381</v>
      </c>
      <c r="AM46">
        <v>1496</v>
      </c>
      <c r="AN46">
        <v>1082</v>
      </c>
      <c r="AO46">
        <v>353.6469500924</v>
      </c>
      <c r="AP46">
        <v>304</v>
      </c>
      <c r="AQ46">
        <v>493.65131578950002</v>
      </c>
      <c r="AR46">
        <v>370</v>
      </c>
      <c r="AS46">
        <v>357.11351351349998</v>
      </c>
      <c r="AT46">
        <v>42</v>
      </c>
      <c r="AU46">
        <v>360.40476190480001</v>
      </c>
      <c r="AV46">
        <v>2</v>
      </c>
      <c r="AW46">
        <v>87</v>
      </c>
    </row>
    <row r="47" spans="6:49" x14ac:dyDescent="0.2">
      <c r="F47" t="s">
        <v>184</v>
      </c>
      <c r="G47">
        <v>344</v>
      </c>
      <c r="H47">
        <v>164</v>
      </c>
      <c r="I47">
        <v>95.914634146300003</v>
      </c>
      <c r="J47">
        <v>84</v>
      </c>
      <c r="K47">
        <v>251.78571428570001</v>
      </c>
      <c r="L47">
        <v>116</v>
      </c>
      <c r="M47">
        <v>284.09482758619998</v>
      </c>
      <c r="N47">
        <v>62</v>
      </c>
      <c r="O47">
        <v>404.67741935480001</v>
      </c>
      <c r="R47">
        <v>2</v>
      </c>
      <c r="S47">
        <v>520.5</v>
      </c>
      <c r="V47" t="s">
        <v>412</v>
      </c>
      <c r="W47">
        <v>456</v>
      </c>
      <c r="X47">
        <v>312</v>
      </c>
      <c r="Y47">
        <v>258.62179487179998</v>
      </c>
      <c r="Z47">
        <v>33</v>
      </c>
      <c r="AA47">
        <v>363.12121212120002</v>
      </c>
      <c r="AB47">
        <v>48</v>
      </c>
      <c r="AC47">
        <v>370.3333333333</v>
      </c>
      <c r="AD47">
        <v>72</v>
      </c>
      <c r="AE47">
        <v>282.7222222222</v>
      </c>
      <c r="AF47">
        <v>22</v>
      </c>
      <c r="AG47">
        <v>190</v>
      </c>
      <c r="AH47">
        <v>2</v>
      </c>
      <c r="AI47">
        <v>207</v>
      </c>
      <c r="AL47" t="s">
        <v>412</v>
      </c>
      <c r="AM47">
        <v>25</v>
      </c>
      <c r="AN47">
        <v>24</v>
      </c>
      <c r="AO47">
        <v>169.4166666667</v>
      </c>
      <c r="AP47">
        <v>3</v>
      </c>
      <c r="AQ47">
        <v>426.3333333333</v>
      </c>
      <c r="AR47">
        <v>1</v>
      </c>
      <c r="AS47">
        <v>124</v>
      </c>
    </row>
    <row r="48" spans="6:49" x14ac:dyDescent="0.2">
      <c r="F48" t="s">
        <v>73</v>
      </c>
      <c r="G48">
        <v>519</v>
      </c>
      <c r="H48">
        <v>315</v>
      </c>
      <c r="I48">
        <v>112.1333333333</v>
      </c>
      <c r="J48">
        <v>239</v>
      </c>
      <c r="K48">
        <v>198.28033472800001</v>
      </c>
      <c r="L48">
        <v>89</v>
      </c>
      <c r="M48">
        <v>122.7303370787</v>
      </c>
      <c r="N48">
        <v>113</v>
      </c>
      <c r="O48">
        <v>195.22123893809999</v>
      </c>
      <c r="R48">
        <v>2</v>
      </c>
      <c r="S48">
        <v>171.5</v>
      </c>
      <c r="V48" t="s">
        <v>413</v>
      </c>
      <c r="W48">
        <v>127</v>
      </c>
      <c r="X48">
        <v>86</v>
      </c>
      <c r="Y48">
        <v>161.27906976739999</v>
      </c>
      <c r="Z48">
        <v>41</v>
      </c>
      <c r="AA48">
        <v>278.0487804878</v>
      </c>
      <c r="AB48">
        <v>6</v>
      </c>
      <c r="AC48">
        <v>62.5</v>
      </c>
      <c r="AD48">
        <v>22</v>
      </c>
      <c r="AE48">
        <v>333.77272727270002</v>
      </c>
      <c r="AF48">
        <v>12</v>
      </c>
      <c r="AG48">
        <v>142.3333333333</v>
      </c>
      <c r="AH48">
        <v>1</v>
      </c>
      <c r="AI48">
        <v>150</v>
      </c>
      <c r="AL48" t="s">
        <v>413</v>
      </c>
      <c r="AM48">
        <v>10</v>
      </c>
      <c r="AN48">
        <v>9</v>
      </c>
      <c r="AO48">
        <v>158.8888888889</v>
      </c>
      <c r="AP48">
        <v>2</v>
      </c>
      <c r="AQ48">
        <v>342.5</v>
      </c>
      <c r="AT48">
        <v>1</v>
      </c>
      <c r="AU48">
        <v>590</v>
      </c>
    </row>
    <row r="49" spans="6:49" x14ac:dyDescent="0.2">
      <c r="F49" t="s">
        <v>381</v>
      </c>
      <c r="G49">
        <v>67601</v>
      </c>
      <c r="H49">
        <v>48419</v>
      </c>
      <c r="I49">
        <v>415.20392821000002</v>
      </c>
      <c r="J49">
        <v>4017</v>
      </c>
      <c r="K49">
        <v>619.89668907140003</v>
      </c>
      <c r="L49">
        <v>14232</v>
      </c>
      <c r="M49">
        <v>635.23939010679999</v>
      </c>
      <c r="N49">
        <v>4839</v>
      </c>
      <c r="O49">
        <v>507.62828199299997</v>
      </c>
      <c r="R49">
        <v>111</v>
      </c>
      <c r="S49">
        <v>471.4414414414</v>
      </c>
      <c r="V49" t="s">
        <v>419</v>
      </c>
      <c r="W49">
        <v>617</v>
      </c>
      <c r="X49">
        <v>375</v>
      </c>
      <c r="Y49">
        <v>361.64800000000002</v>
      </c>
      <c r="Z49">
        <v>44</v>
      </c>
      <c r="AA49">
        <v>523.63636363640001</v>
      </c>
      <c r="AB49">
        <v>141</v>
      </c>
      <c r="AC49">
        <v>444.15602836879998</v>
      </c>
      <c r="AD49">
        <v>73</v>
      </c>
      <c r="AE49">
        <v>592.23287671230003</v>
      </c>
      <c r="AF49">
        <v>28</v>
      </c>
      <c r="AG49">
        <v>161.21428571429999</v>
      </c>
      <c r="AL49" t="s">
        <v>419</v>
      </c>
      <c r="AM49">
        <v>18</v>
      </c>
      <c r="AN49">
        <v>15</v>
      </c>
      <c r="AO49">
        <v>294.93333333330003</v>
      </c>
      <c r="AP49">
        <v>1</v>
      </c>
      <c r="AQ49">
        <v>435</v>
      </c>
      <c r="AR49">
        <v>2</v>
      </c>
      <c r="AS49">
        <v>199</v>
      </c>
      <c r="AV49">
        <v>1</v>
      </c>
      <c r="AW49">
        <v>449</v>
      </c>
    </row>
    <row r="50" spans="6:49" x14ac:dyDescent="0.2">
      <c r="F50" t="s">
        <v>215</v>
      </c>
      <c r="G50">
        <v>1926</v>
      </c>
      <c r="H50">
        <v>1371</v>
      </c>
      <c r="I50">
        <v>297.9795769511</v>
      </c>
      <c r="J50">
        <v>622</v>
      </c>
      <c r="K50">
        <v>399.97749196140001</v>
      </c>
      <c r="L50">
        <v>476</v>
      </c>
      <c r="M50">
        <v>299.70168067229997</v>
      </c>
      <c r="N50">
        <v>79</v>
      </c>
      <c r="O50">
        <v>233.24050632909999</v>
      </c>
      <c r="V50" t="s">
        <v>372</v>
      </c>
      <c r="W50">
        <v>5616</v>
      </c>
      <c r="X50">
        <v>4429</v>
      </c>
      <c r="Y50">
        <v>543.75908783019997</v>
      </c>
      <c r="Z50">
        <v>278</v>
      </c>
      <c r="AA50">
        <v>899.09352517989998</v>
      </c>
      <c r="AB50">
        <v>829</v>
      </c>
      <c r="AC50">
        <v>824.65259348610005</v>
      </c>
      <c r="AD50">
        <v>272</v>
      </c>
      <c r="AE50">
        <v>632.01470588239999</v>
      </c>
      <c r="AF50">
        <v>83</v>
      </c>
      <c r="AG50">
        <v>136.25301204819999</v>
      </c>
      <c r="AH50">
        <v>3</v>
      </c>
      <c r="AI50">
        <v>687</v>
      </c>
      <c r="AL50" t="s">
        <v>372</v>
      </c>
      <c r="AM50">
        <v>93</v>
      </c>
      <c r="AN50">
        <v>76</v>
      </c>
      <c r="AO50">
        <v>242.61842105260001</v>
      </c>
      <c r="AP50">
        <v>8</v>
      </c>
      <c r="AQ50">
        <v>415.75</v>
      </c>
      <c r="AR50">
        <v>15</v>
      </c>
      <c r="AS50">
        <v>224.13333333329999</v>
      </c>
      <c r="AT50">
        <v>2</v>
      </c>
      <c r="AU50">
        <v>491</v>
      </c>
    </row>
    <row r="51" spans="6:49" x14ac:dyDescent="0.2">
      <c r="F51" t="s">
        <v>212</v>
      </c>
      <c r="G51">
        <v>2725</v>
      </c>
      <c r="H51">
        <v>2120</v>
      </c>
      <c r="I51">
        <v>404.66745283019998</v>
      </c>
      <c r="J51">
        <v>142</v>
      </c>
      <c r="K51">
        <v>747.86619718309998</v>
      </c>
      <c r="L51">
        <v>547</v>
      </c>
      <c r="M51">
        <v>364.1535648995</v>
      </c>
      <c r="N51">
        <v>58</v>
      </c>
      <c r="O51">
        <v>245.7586206897</v>
      </c>
      <c r="V51" t="s">
        <v>63</v>
      </c>
      <c r="W51">
        <v>5419</v>
      </c>
      <c r="X51">
        <v>3611</v>
      </c>
      <c r="Y51">
        <v>256.38825810020001</v>
      </c>
      <c r="Z51">
        <v>729</v>
      </c>
      <c r="AA51">
        <v>405.60905349789999</v>
      </c>
      <c r="AB51">
        <v>885</v>
      </c>
      <c r="AC51">
        <v>306.4305084746</v>
      </c>
      <c r="AD51">
        <v>650</v>
      </c>
      <c r="AE51">
        <v>610.55538461540004</v>
      </c>
      <c r="AF51">
        <v>244</v>
      </c>
      <c r="AG51">
        <v>182.63114754099999</v>
      </c>
      <c r="AH51">
        <v>29</v>
      </c>
      <c r="AI51">
        <v>592.65517241379996</v>
      </c>
      <c r="AL51" t="s">
        <v>63</v>
      </c>
      <c r="AM51">
        <v>260</v>
      </c>
      <c r="AN51">
        <v>210</v>
      </c>
      <c r="AO51">
        <v>263.59523809519999</v>
      </c>
      <c r="AP51">
        <v>34</v>
      </c>
      <c r="AQ51">
        <v>382</v>
      </c>
      <c r="AR51">
        <v>42</v>
      </c>
      <c r="AS51">
        <v>243.21428571429999</v>
      </c>
      <c r="AT51">
        <v>8</v>
      </c>
      <c r="AU51">
        <v>135.25</v>
      </c>
    </row>
    <row r="52" spans="6:49" x14ac:dyDescent="0.2">
      <c r="F52" t="s">
        <v>213</v>
      </c>
      <c r="G52">
        <v>2797</v>
      </c>
      <c r="H52">
        <v>2282</v>
      </c>
      <c r="I52">
        <v>281.39482909729998</v>
      </c>
      <c r="J52">
        <v>502</v>
      </c>
      <c r="K52">
        <v>470.72709163349998</v>
      </c>
      <c r="L52">
        <v>413</v>
      </c>
      <c r="M52">
        <v>210.33898305080001</v>
      </c>
      <c r="N52">
        <v>102</v>
      </c>
      <c r="O52">
        <v>252.04901960780001</v>
      </c>
      <c r="V52" t="s">
        <v>374</v>
      </c>
      <c r="W52">
        <v>15043</v>
      </c>
      <c r="X52">
        <v>10183</v>
      </c>
      <c r="Y52">
        <v>368.6919072874</v>
      </c>
      <c r="Z52">
        <v>703</v>
      </c>
      <c r="AA52">
        <v>782.88762446659996</v>
      </c>
      <c r="AB52">
        <v>3781</v>
      </c>
      <c r="AC52">
        <v>815.6569690558</v>
      </c>
      <c r="AD52">
        <v>761</v>
      </c>
      <c r="AE52">
        <v>554.70696452039999</v>
      </c>
      <c r="AF52">
        <v>312</v>
      </c>
      <c r="AG52">
        <v>170.11858974360001</v>
      </c>
      <c r="AH52">
        <v>6</v>
      </c>
      <c r="AI52">
        <v>356</v>
      </c>
      <c r="AL52" t="s">
        <v>374</v>
      </c>
      <c r="AM52">
        <v>163</v>
      </c>
      <c r="AN52">
        <v>132</v>
      </c>
      <c r="AO52">
        <v>246.69696969699999</v>
      </c>
      <c r="AP52">
        <v>22</v>
      </c>
      <c r="AQ52">
        <v>393.63636363640001</v>
      </c>
      <c r="AR52">
        <v>19</v>
      </c>
      <c r="AS52">
        <v>197.15789473679999</v>
      </c>
      <c r="AT52">
        <v>11</v>
      </c>
      <c r="AU52">
        <v>234.45454545449999</v>
      </c>
      <c r="AV52">
        <v>1</v>
      </c>
      <c r="AW52">
        <v>2</v>
      </c>
    </row>
    <row r="53" spans="6:49" x14ac:dyDescent="0.2">
      <c r="F53" t="s">
        <v>458</v>
      </c>
      <c r="G53">
        <v>7448</v>
      </c>
      <c r="H53">
        <v>5773</v>
      </c>
      <c r="I53">
        <v>330.60245972630003</v>
      </c>
      <c r="J53">
        <v>1266</v>
      </c>
      <c r="K53">
        <v>467.05213270140001</v>
      </c>
      <c r="L53">
        <v>1436</v>
      </c>
      <c r="M53">
        <v>298.55153203340001</v>
      </c>
      <c r="N53">
        <v>239</v>
      </c>
      <c r="O53">
        <v>244.30543933050001</v>
      </c>
      <c r="V53" t="s">
        <v>370</v>
      </c>
      <c r="W53">
        <v>4146</v>
      </c>
      <c r="X53">
        <v>2895</v>
      </c>
      <c r="Y53">
        <v>325.54162348879998</v>
      </c>
      <c r="Z53">
        <v>386</v>
      </c>
      <c r="AA53">
        <v>504.21243523319998</v>
      </c>
      <c r="AB53">
        <v>543</v>
      </c>
      <c r="AC53">
        <v>283.05340699819999</v>
      </c>
      <c r="AD53">
        <v>549</v>
      </c>
      <c r="AE53">
        <v>509.96539162110003</v>
      </c>
      <c r="AF53">
        <v>153</v>
      </c>
      <c r="AG53">
        <v>217.2679738562</v>
      </c>
      <c r="AH53">
        <v>6</v>
      </c>
      <c r="AI53">
        <v>501.5</v>
      </c>
      <c r="AL53" t="s">
        <v>370</v>
      </c>
      <c r="AM53">
        <v>185</v>
      </c>
      <c r="AN53">
        <v>149</v>
      </c>
      <c r="AO53">
        <v>224.66442953020001</v>
      </c>
      <c r="AP53">
        <v>22</v>
      </c>
      <c r="AQ53">
        <v>251.7272727273</v>
      </c>
      <c r="AR53">
        <v>29</v>
      </c>
      <c r="AS53">
        <v>203.10344827590001</v>
      </c>
      <c r="AT53">
        <v>6</v>
      </c>
      <c r="AU53">
        <v>336.3333333333</v>
      </c>
      <c r="AV53">
        <v>1</v>
      </c>
      <c r="AW53">
        <v>318</v>
      </c>
    </row>
    <row r="54" spans="6:49" x14ac:dyDescent="0.2">
      <c r="F54" t="s">
        <v>81</v>
      </c>
      <c r="G54">
        <v>419</v>
      </c>
      <c r="H54">
        <v>312</v>
      </c>
      <c r="I54">
        <v>213.69230769230001</v>
      </c>
      <c r="J54">
        <v>38</v>
      </c>
      <c r="K54">
        <v>374.60526315790003</v>
      </c>
      <c r="L54">
        <v>38</v>
      </c>
      <c r="M54">
        <v>301.44736842110001</v>
      </c>
      <c r="N54">
        <v>67</v>
      </c>
      <c r="O54">
        <v>267.61194029849997</v>
      </c>
      <c r="R54">
        <v>2</v>
      </c>
      <c r="S54">
        <v>207</v>
      </c>
      <c r="V54" t="s">
        <v>369</v>
      </c>
      <c r="W54">
        <v>1106</v>
      </c>
      <c r="X54">
        <v>688</v>
      </c>
      <c r="Y54">
        <v>200.60174418599999</v>
      </c>
      <c r="Z54">
        <v>113</v>
      </c>
      <c r="AA54">
        <v>309.29203539820003</v>
      </c>
      <c r="AB54">
        <v>173</v>
      </c>
      <c r="AC54">
        <v>221.12138728319999</v>
      </c>
      <c r="AD54">
        <v>162</v>
      </c>
      <c r="AE54">
        <v>310.14197530860002</v>
      </c>
      <c r="AF54">
        <v>82</v>
      </c>
      <c r="AG54">
        <v>178.9024390244</v>
      </c>
      <c r="AH54">
        <v>1</v>
      </c>
      <c r="AI54">
        <v>166</v>
      </c>
      <c r="AL54" t="s">
        <v>369</v>
      </c>
      <c r="AM54">
        <v>49</v>
      </c>
      <c r="AN54">
        <v>44</v>
      </c>
      <c r="AO54">
        <v>257.09090909090003</v>
      </c>
      <c r="AP54">
        <v>11</v>
      </c>
      <c r="AQ54">
        <v>290.63636363640001</v>
      </c>
      <c r="AR54">
        <v>5</v>
      </c>
      <c r="AS54">
        <v>171.8</v>
      </c>
    </row>
    <row r="55" spans="6:49" x14ac:dyDescent="0.2">
      <c r="F55" t="s">
        <v>38</v>
      </c>
      <c r="G55">
        <v>3257</v>
      </c>
      <c r="H55">
        <v>2107</v>
      </c>
      <c r="I55">
        <v>452.29344729339999</v>
      </c>
      <c r="J55">
        <v>310</v>
      </c>
      <c r="K55">
        <v>545.12903225809998</v>
      </c>
      <c r="L55">
        <v>812</v>
      </c>
      <c r="M55">
        <v>567.03571428570001</v>
      </c>
      <c r="N55">
        <v>320</v>
      </c>
      <c r="O55">
        <v>636.06562499999995</v>
      </c>
      <c r="R55">
        <v>18</v>
      </c>
      <c r="S55">
        <v>219.2222222222</v>
      </c>
      <c r="V55" t="s">
        <v>371</v>
      </c>
      <c r="W55">
        <v>7085</v>
      </c>
      <c r="X55">
        <v>4869</v>
      </c>
      <c r="Y55">
        <v>396.135140686</v>
      </c>
      <c r="Z55">
        <v>477</v>
      </c>
      <c r="AA55">
        <v>462.1111111111</v>
      </c>
      <c r="AB55">
        <v>945</v>
      </c>
      <c r="AC55">
        <v>451.38201058200002</v>
      </c>
      <c r="AD55">
        <v>971</v>
      </c>
      <c r="AE55">
        <v>662.62718846550001</v>
      </c>
      <c r="AF55">
        <v>291</v>
      </c>
      <c r="AG55">
        <v>198.80068728520001</v>
      </c>
      <c r="AH55">
        <v>9</v>
      </c>
      <c r="AI55">
        <v>703.33333333329995</v>
      </c>
      <c r="AL55" t="s">
        <v>371</v>
      </c>
      <c r="AM55">
        <v>255</v>
      </c>
      <c r="AN55">
        <v>204</v>
      </c>
      <c r="AO55">
        <v>274.9950980392</v>
      </c>
      <c r="AP55">
        <v>39</v>
      </c>
      <c r="AQ55">
        <v>339.51282051279998</v>
      </c>
      <c r="AR55">
        <v>36</v>
      </c>
      <c r="AS55">
        <v>173.19444444440001</v>
      </c>
      <c r="AT55">
        <v>14</v>
      </c>
      <c r="AU55">
        <v>345.57142857140002</v>
      </c>
      <c r="AV55">
        <v>1</v>
      </c>
      <c r="AW55">
        <v>31</v>
      </c>
    </row>
    <row r="56" spans="6:49" x14ac:dyDescent="0.2">
      <c r="F56" t="s">
        <v>64</v>
      </c>
      <c r="G56">
        <v>2607</v>
      </c>
      <c r="H56">
        <v>1978</v>
      </c>
      <c r="I56">
        <v>337.28867542969999</v>
      </c>
      <c r="J56">
        <v>266</v>
      </c>
      <c r="K56">
        <v>598.86842105259996</v>
      </c>
      <c r="L56">
        <v>252</v>
      </c>
      <c r="M56">
        <v>104.253968254</v>
      </c>
      <c r="N56">
        <v>374</v>
      </c>
      <c r="O56">
        <v>450.83422459889999</v>
      </c>
      <c r="R56">
        <v>3</v>
      </c>
      <c r="S56">
        <v>628.33333333329995</v>
      </c>
      <c r="V56" t="s">
        <v>368</v>
      </c>
      <c r="W56">
        <v>332</v>
      </c>
      <c r="X56">
        <v>172</v>
      </c>
      <c r="Y56">
        <v>142.05813953489999</v>
      </c>
      <c r="Z56">
        <v>71</v>
      </c>
      <c r="AA56">
        <v>201.98591549299999</v>
      </c>
      <c r="AB56">
        <v>77</v>
      </c>
      <c r="AC56">
        <v>173.6753246753</v>
      </c>
      <c r="AD56">
        <v>38</v>
      </c>
      <c r="AE56">
        <v>274.73684210530001</v>
      </c>
      <c r="AF56">
        <v>41</v>
      </c>
      <c r="AG56">
        <v>220.1219512195</v>
      </c>
      <c r="AH56">
        <v>4</v>
      </c>
      <c r="AI56">
        <v>129.5</v>
      </c>
      <c r="AL56" t="s">
        <v>368</v>
      </c>
      <c r="AM56">
        <v>22</v>
      </c>
      <c r="AN56">
        <v>15</v>
      </c>
      <c r="AO56">
        <v>240.46666666670001</v>
      </c>
      <c r="AP56">
        <v>5</v>
      </c>
      <c r="AQ56">
        <v>343.6</v>
      </c>
      <c r="AR56">
        <v>5</v>
      </c>
      <c r="AS56">
        <v>249.6</v>
      </c>
      <c r="AT56">
        <v>2</v>
      </c>
      <c r="AU56">
        <v>132</v>
      </c>
    </row>
    <row r="57" spans="6:49" x14ac:dyDescent="0.2">
      <c r="F57" t="s">
        <v>24</v>
      </c>
      <c r="G57">
        <v>1892</v>
      </c>
      <c r="H57">
        <v>1155</v>
      </c>
      <c r="I57">
        <v>190.75064935060001</v>
      </c>
      <c r="J57">
        <v>349</v>
      </c>
      <c r="K57">
        <v>283.0544412607</v>
      </c>
      <c r="L57">
        <v>521</v>
      </c>
      <c r="M57">
        <v>330.82341650670003</v>
      </c>
      <c r="N57">
        <v>202</v>
      </c>
      <c r="O57">
        <v>511.1683168317</v>
      </c>
      <c r="R57">
        <v>14</v>
      </c>
      <c r="S57">
        <v>662.5</v>
      </c>
      <c r="V57" t="s">
        <v>367</v>
      </c>
      <c r="W57">
        <v>3396</v>
      </c>
      <c r="X57">
        <v>2031</v>
      </c>
      <c r="Y57">
        <v>437.16108374380002</v>
      </c>
      <c r="Z57">
        <v>357</v>
      </c>
      <c r="AA57">
        <v>468.01680672269998</v>
      </c>
      <c r="AB57">
        <v>841</v>
      </c>
      <c r="AC57">
        <v>527.27824019019999</v>
      </c>
      <c r="AD57">
        <v>363</v>
      </c>
      <c r="AE57">
        <v>581.75206611570002</v>
      </c>
      <c r="AF57">
        <v>144</v>
      </c>
      <c r="AG57">
        <v>172.5416666667</v>
      </c>
      <c r="AH57">
        <v>17</v>
      </c>
      <c r="AI57">
        <v>159.70588235290001</v>
      </c>
      <c r="AL57" t="s">
        <v>367</v>
      </c>
      <c r="AM57">
        <v>107</v>
      </c>
      <c r="AN57">
        <v>88</v>
      </c>
      <c r="AO57">
        <v>272.125</v>
      </c>
      <c r="AP57">
        <v>16</v>
      </c>
      <c r="AQ57">
        <v>507</v>
      </c>
      <c r="AR57">
        <v>16</v>
      </c>
      <c r="AS57">
        <v>270.8125</v>
      </c>
      <c r="AT57">
        <v>3</v>
      </c>
      <c r="AU57">
        <v>283</v>
      </c>
    </row>
    <row r="58" spans="6:49" x14ac:dyDescent="0.2">
      <c r="F58" t="s">
        <v>72</v>
      </c>
      <c r="G58">
        <v>15280</v>
      </c>
      <c r="H58">
        <v>10498</v>
      </c>
      <c r="I58">
        <v>359.59283604839999</v>
      </c>
      <c r="J58">
        <v>709</v>
      </c>
      <c r="K58">
        <v>780.07616361069995</v>
      </c>
      <c r="L58">
        <v>4006</v>
      </c>
      <c r="M58">
        <v>825.27708437340004</v>
      </c>
      <c r="N58">
        <v>770</v>
      </c>
      <c r="O58">
        <v>547.11558441559998</v>
      </c>
      <c r="R58">
        <v>6</v>
      </c>
      <c r="S58">
        <v>356</v>
      </c>
      <c r="V58" t="s">
        <v>411</v>
      </c>
      <c r="W58">
        <v>663</v>
      </c>
      <c r="X58">
        <v>516</v>
      </c>
      <c r="Y58">
        <v>286.71511627910002</v>
      </c>
      <c r="Z58">
        <v>48</v>
      </c>
      <c r="AA58">
        <v>595.52083333329995</v>
      </c>
      <c r="AB58">
        <v>73</v>
      </c>
      <c r="AC58">
        <v>204.8493150685</v>
      </c>
      <c r="AD58">
        <v>42</v>
      </c>
      <c r="AE58">
        <v>320.26190476189998</v>
      </c>
      <c r="AF58">
        <v>32</v>
      </c>
      <c r="AG58">
        <v>250.1875</v>
      </c>
      <c r="AL58" t="s">
        <v>411</v>
      </c>
      <c r="AM58">
        <v>13</v>
      </c>
      <c r="AN58">
        <v>11</v>
      </c>
      <c r="AO58">
        <v>341.36363636359999</v>
      </c>
      <c r="AP58">
        <v>3</v>
      </c>
      <c r="AQ58">
        <v>220</v>
      </c>
      <c r="AR58">
        <v>2</v>
      </c>
      <c r="AS58">
        <v>241.5</v>
      </c>
    </row>
    <row r="59" spans="6:49" x14ac:dyDescent="0.2">
      <c r="F59" t="s">
        <v>47</v>
      </c>
      <c r="G59">
        <v>967</v>
      </c>
      <c r="H59">
        <v>656</v>
      </c>
      <c r="I59">
        <v>182.47713414629999</v>
      </c>
      <c r="J59">
        <v>116</v>
      </c>
      <c r="K59">
        <v>298.81896551720001</v>
      </c>
      <c r="L59">
        <v>161</v>
      </c>
      <c r="M59">
        <v>179.72670807450001</v>
      </c>
      <c r="N59">
        <v>149</v>
      </c>
      <c r="O59">
        <v>278.86577181209998</v>
      </c>
      <c r="R59">
        <v>1</v>
      </c>
      <c r="S59">
        <v>166</v>
      </c>
      <c r="V59" t="s">
        <v>375</v>
      </c>
      <c r="W59">
        <v>2279</v>
      </c>
      <c r="X59">
        <v>1463</v>
      </c>
      <c r="Y59">
        <v>378.11414900889997</v>
      </c>
      <c r="Z59">
        <v>259</v>
      </c>
      <c r="AA59">
        <v>424.84942084940002</v>
      </c>
      <c r="AB59">
        <v>146</v>
      </c>
      <c r="AC59">
        <v>301.56849315070002</v>
      </c>
      <c r="AD59">
        <v>530</v>
      </c>
      <c r="AE59">
        <v>481.12264150940001</v>
      </c>
      <c r="AF59">
        <v>136</v>
      </c>
      <c r="AG59">
        <v>160.25</v>
      </c>
      <c r="AH59">
        <v>4</v>
      </c>
      <c r="AI59">
        <v>761.25</v>
      </c>
      <c r="AL59" t="s">
        <v>375</v>
      </c>
      <c r="AM59">
        <v>46</v>
      </c>
      <c r="AN59">
        <v>34</v>
      </c>
      <c r="AO59">
        <v>259.3235294118</v>
      </c>
      <c r="AP59">
        <v>5</v>
      </c>
      <c r="AQ59">
        <v>248.8</v>
      </c>
      <c r="AR59">
        <v>11</v>
      </c>
      <c r="AS59">
        <v>209.2727272727</v>
      </c>
      <c r="AT59">
        <v>1</v>
      </c>
      <c r="AU59">
        <v>54</v>
      </c>
    </row>
    <row r="60" spans="6:49" x14ac:dyDescent="0.2">
      <c r="F60" t="s">
        <v>63</v>
      </c>
      <c r="G60">
        <v>3158</v>
      </c>
      <c r="H60">
        <v>2343</v>
      </c>
      <c r="I60">
        <v>269.3640631669</v>
      </c>
      <c r="J60">
        <v>386</v>
      </c>
      <c r="K60">
        <v>509.38601036270001</v>
      </c>
      <c r="L60">
        <v>338</v>
      </c>
      <c r="M60">
        <v>235.9615384615</v>
      </c>
      <c r="N60">
        <v>459</v>
      </c>
      <c r="O60">
        <v>658.30718954250005</v>
      </c>
      <c r="R60">
        <v>18</v>
      </c>
      <c r="S60">
        <v>497.05555555559999</v>
      </c>
      <c r="V60" t="s">
        <v>378</v>
      </c>
      <c r="W60">
        <v>10043</v>
      </c>
      <c r="X60">
        <v>7190</v>
      </c>
      <c r="Y60">
        <v>264.47607788599998</v>
      </c>
      <c r="Z60">
        <v>1074</v>
      </c>
      <c r="AA60">
        <v>507.96182495340003</v>
      </c>
      <c r="AB60">
        <v>1259</v>
      </c>
      <c r="AC60">
        <v>227.20889594920001</v>
      </c>
      <c r="AD60">
        <v>1007</v>
      </c>
      <c r="AE60">
        <v>370.67229394240002</v>
      </c>
      <c r="AF60">
        <v>570</v>
      </c>
      <c r="AG60">
        <v>172.26889279439999</v>
      </c>
      <c r="AH60">
        <v>17</v>
      </c>
      <c r="AI60">
        <v>306.1176470588</v>
      </c>
      <c r="AL60" t="s">
        <v>378</v>
      </c>
      <c r="AM60">
        <v>210</v>
      </c>
      <c r="AN60">
        <v>172</v>
      </c>
      <c r="AO60">
        <v>269.62209302330001</v>
      </c>
      <c r="AP60">
        <v>40</v>
      </c>
      <c r="AQ60">
        <v>341.82499999999999</v>
      </c>
      <c r="AR60">
        <v>24</v>
      </c>
      <c r="AS60">
        <v>211.1666666667</v>
      </c>
      <c r="AT60">
        <v>12</v>
      </c>
      <c r="AU60">
        <v>222.3333333333</v>
      </c>
      <c r="AV60">
        <v>2</v>
      </c>
      <c r="AW60">
        <v>363</v>
      </c>
    </row>
    <row r="61" spans="6:49" x14ac:dyDescent="0.2">
      <c r="F61" t="s">
        <v>36</v>
      </c>
      <c r="G61">
        <v>5622</v>
      </c>
      <c r="H61">
        <v>4477</v>
      </c>
      <c r="I61">
        <v>567.26379271830001</v>
      </c>
      <c r="J61">
        <v>287</v>
      </c>
      <c r="K61">
        <v>935.71428571429999</v>
      </c>
      <c r="L61">
        <v>865</v>
      </c>
      <c r="M61">
        <v>826.05433526009995</v>
      </c>
      <c r="N61">
        <v>276</v>
      </c>
      <c r="O61">
        <v>662.76449275360005</v>
      </c>
      <c r="R61">
        <v>4</v>
      </c>
      <c r="S61">
        <v>749.75</v>
      </c>
      <c r="V61" t="s">
        <v>410</v>
      </c>
      <c r="W61">
        <v>598</v>
      </c>
      <c r="X61">
        <v>379</v>
      </c>
      <c r="Y61">
        <v>395.70712401060001</v>
      </c>
      <c r="Z61">
        <v>13</v>
      </c>
      <c r="AA61">
        <v>781.15384615380003</v>
      </c>
      <c r="AB61">
        <v>168</v>
      </c>
      <c r="AC61">
        <v>856.13095238100004</v>
      </c>
      <c r="AD61">
        <v>41</v>
      </c>
      <c r="AE61">
        <v>563.24390243899995</v>
      </c>
      <c r="AF61">
        <v>10</v>
      </c>
      <c r="AG61">
        <v>172</v>
      </c>
      <c r="AL61" t="s">
        <v>410</v>
      </c>
      <c r="AM61">
        <v>16</v>
      </c>
      <c r="AN61">
        <v>14</v>
      </c>
      <c r="AO61">
        <v>238</v>
      </c>
      <c r="AP61">
        <v>2</v>
      </c>
      <c r="AQ61">
        <v>733</v>
      </c>
      <c r="AR61">
        <v>2</v>
      </c>
      <c r="AS61">
        <v>96</v>
      </c>
    </row>
    <row r="62" spans="6:49" x14ac:dyDescent="0.2">
      <c r="F62" t="s">
        <v>50</v>
      </c>
      <c r="G62">
        <v>1926</v>
      </c>
      <c r="H62">
        <v>1294</v>
      </c>
      <c r="I62">
        <v>350.3183925811</v>
      </c>
      <c r="J62">
        <v>257</v>
      </c>
      <c r="K62">
        <v>398.56031128400002</v>
      </c>
      <c r="L62">
        <v>125</v>
      </c>
      <c r="M62">
        <v>208.376</v>
      </c>
      <c r="N62">
        <v>503</v>
      </c>
      <c r="O62">
        <v>453.82703777339998</v>
      </c>
      <c r="R62">
        <v>4</v>
      </c>
      <c r="S62">
        <v>761.25</v>
      </c>
      <c r="V62" t="s">
        <v>365</v>
      </c>
      <c r="W62">
        <v>56926</v>
      </c>
      <c r="X62">
        <v>39199</v>
      </c>
      <c r="Y62">
        <v>356.96910477839998</v>
      </c>
      <c r="Z62">
        <v>4626</v>
      </c>
      <c r="AA62">
        <v>533.54582792910003</v>
      </c>
      <c r="AB62">
        <v>9915</v>
      </c>
      <c r="AC62">
        <v>573.25214321730004</v>
      </c>
      <c r="AD62">
        <v>5553</v>
      </c>
      <c r="AE62">
        <v>526.18044300379995</v>
      </c>
      <c r="AF62">
        <v>2160</v>
      </c>
      <c r="AG62">
        <v>179.95599814729999</v>
      </c>
      <c r="AH62">
        <v>99</v>
      </c>
      <c r="AI62">
        <v>433.68686868690003</v>
      </c>
      <c r="AL62" t="s">
        <v>365</v>
      </c>
      <c r="AM62">
        <v>1472</v>
      </c>
      <c r="AN62">
        <v>1197</v>
      </c>
      <c r="AO62">
        <v>256.47201336680001</v>
      </c>
      <c r="AP62">
        <v>213</v>
      </c>
      <c r="AQ62">
        <v>357.84976525820002</v>
      </c>
      <c r="AR62">
        <v>209</v>
      </c>
      <c r="AS62">
        <v>212.7033492823</v>
      </c>
      <c r="AT62">
        <v>60</v>
      </c>
      <c r="AU62">
        <v>265.39999999999998</v>
      </c>
      <c r="AV62">
        <v>6</v>
      </c>
      <c r="AW62">
        <v>254.3333333333</v>
      </c>
    </row>
    <row r="63" spans="6:49" x14ac:dyDescent="0.2">
      <c r="F63" t="s">
        <v>57</v>
      </c>
      <c r="G63">
        <v>602</v>
      </c>
      <c r="H63">
        <v>490</v>
      </c>
      <c r="I63">
        <v>264.8</v>
      </c>
      <c r="J63">
        <v>47</v>
      </c>
      <c r="K63">
        <v>615.53191489359995</v>
      </c>
      <c r="L63">
        <v>66</v>
      </c>
      <c r="M63">
        <v>102.7727272727</v>
      </c>
      <c r="N63">
        <v>46</v>
      </c>
      <c r="O63">
        <v>274.52173913040002</v>
      </c>
      <c r="V63" t="s">
        <v>694</v>
      </c>
      <c r="W63">
        <v>318535</v>
      </c>
      <c r="X63">
        <v>229297</v>
      </c>
      <c r="Y63">
        <v>403.69985825499998</v>
      </c>
      <c r="Z63">
        <v>20373</v>
      </c>
      <c r="AA63">
        <v>585.97545771360001</v>
      </c>
      <c r="AB63">
        <v>53122</v>
      </c>
      <c r="AC63">
        <v>618.14854485900003</v>
      </c>
      <c r="AD63">
        <v>24894</v>
      </c>
      <c r="AE63">
        <v>525.4228605866</v>
      </c>
      <c r="AF63">
        <v>10753</v>
      </c>
      <c r="AG63">
        <v>181.77162790700001</v>
      </c>
      <c r="AH63">
        <v>469</v>
      </c>
      <c r="AI63">
        <v>472.06823027719997</v>
      </c>
      <c r="AL63" t="s">
        <v>694</v>
      </c>
      <c r="AM63">
        <v>7465</v>
      </c>
      <c r="AN63">
        <v>5773</v>
      </c>
      <c r="AO63">
        <v>330.60245972630003</v>
      </c>
      <c r="AP63">
        <v>1266</v>
      </c>
      <c r="AQ63">
        <v>467.05213270140001</v>
      </c>
      <c r="AR63">
        <v>1436</v>
      </c>
      <c r="AS63">
        <v>298.55153203340001</v>
      </c>
      <c r="AT63">
        <v>239</v>
      </c>
      <c r="AU63">
        <v>244.30543933050001</v>
      </c>
      <c r="AV63">
        <v>17</v>
      </c>
      <c r="AW63">
        <v>206.9411764706</v>
      </c>
    </row>
    <row r="64" spans="6:49" x14ac:dyDescent="0.2">
      <c r="F64" t="s">
        <v>68</v>
      </c>
      <c r="G64">
        <v>5028</v>
      </c>
      <c r="H64">
        <v>3895</v>
      </c>
      <c r="I64">
        <v>569.61129653399996</v>
      </c>
      <c r="J64">
        <v>166</v>
      </c>
      <c r="K64">
        <v>1120.0481927711</v>
      </c>
      <c r="L64">
        <v>215</v>
      </c>
      <c r="M64">
        <v>669.65116279070003</v>
      </c>
      <c r="N64">
        <v>916</v>
      </c>
      <c r="O64">
        <v>885.2740174672</v>
      </c>
      <c r="R64">
        <v>2</v>
      </c>
      <c r="S64">
        <v>828</v>
      </c>
    </row>
    <row r="65" spans="6:19" x14ac:dyDescent="0.2">
      <c r="F65" t="s">
        <v>70</v>
      </c>
      <c r="G65">
        <v>467</v>
      </c>
      <c r="H65">
        <v>248</v>
      </c>
      <c r="I65">
        <v>96.177419354799994</v>
      </c>
      <c r="J65">
        <v>132</v>
      </c>
      <c r="K65">
        <v>206.12878787880001</v>
      </c>
      <c r="L65">
        <v>134</v>
      </c>
      <c r="M65">
        <v>139.08208955219999</v>
      </c>
      <c r="N65">
        <v>80</v>
      </c>
      <c r="O65">
        <v>230.2</v>
      </c>
      <c r="R65">
        <v>5</v>
      </c>
      <c r="S65">
        <v>120.8</v>
      </c>
    </row>
    <row r="66" spans="6:19" x14ac:dyDescent="0.2">
      <c r="F66" t="s">
        <v>85</v>
      </c>
      <c r="G66">
        <v>187</v>
      </c>
      <c r="H66">
        <v>46</v>
      </c>
      <c r="I66">
        <v>1102.2608695652</v>
      </c>
      <c r="J66">
        <v>4</v>
      </c>
      <c r="K66">
        <v>1427.5</v>
      </c>
      <c r="L66">
        <v>75</v>
      </c>
      <c r="M66">
        <v>626.57333333329996</v>
      </c>
      <c r="N66">
        <v>66</v>
      </c>
      <c r="O66">
        <v>633.31818181819995</v>
      </c>
    </row>
    <row r="67" spans="6:19" x14ac:dyDescent="0.2">
      <c r="F67" t="s">
        <v>66</v>
      </c>
      <c r="G67">
        <v>5549</v>
      </c>
      <c r="H67">
        <v>3757</v>
      </c>
      <c r="I67">
        <v>266.52062816080002</v>
      </c>
      <c r="J67">
        <v>551</v>
      </c>
      <c r="K67">
        <v>321.86932849359999</v>
      </c>
      <c r="L67">
        <v>1115</v>
      </c>
      <c r="M67">
        <v>397.78206278030001</v>
      </c>
      <c r="N67">
        <v>668</v>
      </c>
      <c r="O67">
        <v>591.42065868259999</v>
      </c>
      <c r="R67">
        <v>9</v>
      </c>
      <c r="S67">
        <v>588</v>
      </c>
    </row>
    <row r="68" spans="6:19" x14ac:dyDescent="0.2">
      <c r="F68" t="s">
        <v>426</v>
      </c>
      <c r="G68">
        <v>20</v>
      </c>
      <c r="H68">
        <v>7</v>
      </c>
      <c r="I68">
        <v>382</v>
      </c>
      <c r="L68">
        <v>4</v>
      </c>
      <c r="M68">
        <v>599</v>
      </c>
      <c r="N68">
        <v>8</v>
      </c>
      <c r="O68">
        <v>167.25</v>
      </c>
      <c r="R68">
        <v>1</v>
      </c>
      <c r="S68">
        <v>360</v>
      </c>
    </row>
    <row r="69" spans="6:19" x14ac:dyDescent="0.2">
      <c r="F69" t="s">
        <v>86</v>
      </c>
      <c r="G69">
        <v>9115</v>
      </c>
      <c r="H69">
        <v>6929</v>
      </c>
      <c r="I69">
        <v>248.09496319819999</v>
      </c>
      <c r="J69">
        <v>1062</v>
      </c>
      <c r="K69">
        <v>502.62241054610001</v>
      </c>
      <c r="L69">
        <v>1179</v>
      </c>
      <c r="M69">
        <v>185.4622561493</v>
      </c>
      <c r="N69">
        <v>989</v>
      </c>
      <c r="O69">
        <v>356.08088978770002</v>
      </c>
      <c r="R69">
        <v>18</v>
      </c>
      <c r="S69">
        <v>302.94444444440001</v>
      </c>
    </row>
    <row r="70" spans="6:19" x14ac:dyDescent="0.2">
      <c r="F70" t="s">
        <v>138</v>
      </c>
      <c r="G70">
        <v>118</v>
      </c>
      <c r="H70">
        <v>82</v>
      </c>
      <c r="I70">
        <v>134.84146341460001</v>
      </c>
      <c r="J70">
        <v>42</v>
      </c>
      <c r="K70">
        <v>282.02380952380003</v>
      </c>
      <c r="L70">
        <v>10</v>
      </c>
      <c r="M70">
        <v>268.3</v>
      </c>
      <c r="N70">
        <v>26</v>
      </c>
      <c r="O70">
        <v>471.73076923079998</v>
      </c>
    </row>
    <row r="71" spans="6:19" x14ac:dyDescent="0.2">
      <c r="F71" t="s">
        <v>365</v>
      </c>
      <c r="G71">
        <v>56214</v>
      </c>
      <c r="H71">
        <v>40274</v>
      </c>
      <c r="I71">
        <v>362.09132896310001</v>
      </c>
      <c r="J71">
        <v>4722</v>
      </c>
      <c r="K71">
        <v>543.71177467170003</v>
      </c>
      <c r="L71">
        <v>9916</v>
      </c>
      <c r="M71">
        <v>575.78741428000001</v>
      </c>
      <c r="N71">
        <v>5919</v>
      </c>
      <c r="O71">
        <v>559.91214732219998</v>
      </c>
      <c r="R71">
        <v>105</v>
      </c>
      <c r="S71">
        <v>439.79047619049999</v>
      </c>
    </row>
    <row r="72" spans="6:19" x14ac:dyDescent="0.2">
      <c r="F72" t="s">
        <v>694</v>
      </c>
      <c r="G72">
        <v>326000</v>
      </c>
      <c r="H72">
        <v>235070</v>
      </c>
      <c r="I72">
        <v>401.90459375979998</v>
      </c>
      <c r="J72">
        <v>21639</v>
      </c>
      <c r="K72">
        <v>579.01779194970004</v>
      </c>
      <c r="L72">
        <v>54558</v>
      </c>
      <c r="M72">
        <v>609.73655559220003</v>
      </c>
      <c r="N72">
        <v>25133</v>
      </c>
      <c r="O72">
        <v>522.74917426080003</v>
      </c>
      <c r="P72">
        <v>10770</v>
      </c>
      <c r="Q72">
        <v>181.81136806910001</v>
      </c>
      <c r="R72">
        <v>469</v>
      </c>
      <c r="S72">
        <v>472.06823027719997</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490</v>
      </c>
      <c r="B1" t="s">
        <v>362</v>
      </c>
      <c r="C1" t="s">
        <v>489</v>
      </c>
      <c r="D1" t="s">
        <v>491</v>
      </c>
      <c r="E1" t="s">
        <v>492</v>
      </c>
      <c r="F1" t="s">
        <v>493</v>
      </c>
      <c r="G1" t="s">
        <v>494</v>
      </c>
      <c r="H1" t="s">
        <v>495</v>
      </c>
      <c r="I1" t="s">
        <v>496</v>
      </c>
      <c r="J1" t="s">
        <v>497</v>
      </c>
      <c r="K1" t="s">
        <v>498</v>
      </c>
      <c r="L1" t="s">
        <v>363</v>
      </c>
      <c r="M1" t="s">
        <v>499</v>
      </c>
      <c r="N1" t="s">
        <v>500</v>
      </c>
      <c r="O1" t="s">
        <v>501</v>
      </c>
      <c r="P1" t="s">
        <v>502</v>
      </c>
      <c r="Q1" t="s">
        <v>503</v>
      </c>
      <c r="R1" t="s">
        <v>674</v>
      </c>
    </row>
    <row r="2" spans="1:18" x14ac:dyDescent="0.2">
      <c r="A2">
        <v>1</v>
      </c>
      <c r="B2">
        <v>-99</v>
      </c>
      <c r="C2" t="s">
        <v>433</v>
      </c>
      <c r="D2" t="s">
        <v>694</v>
      </c>
      <c r="E2" t="s">
        <v>433</v>
      </c>
      <c r="F2" t="s">
        <v>694</v>
      </c>
      <c r="G2" t="s">
        <v>433</v>
      </c>
      <c r="H2" t="s">
        <v>6</v>
      </c>
      <c r="I2">
        <v>-99</v>
      </c>
      <c r="J2">
        <v>1</v>
      </c>
      <c r="K2" t="s">
        <v>6</v>
      </c>
      <c r="L2">
        <v>-99</v>
      </c>
      <c r="M2" t="s">
        <v>650</v>
      </c>
      <c r="N2" t="s">
        <v>650</v>
      </c>
      <c r="O2">
        <v>-99</v>
      </c>
      <c r="P2">
        <v>-99</v>
      </c>
      <c r="Q2">
        <v>1</v>
      </c>
      <c r="R2" t="s">
        <v>650</v>
      </c>
    </row>
    <row r="3" spans="1:18" x14ac:dyDescent="0.2">
      <c r="A3">
        <v>2</v>
      </c>
      <c r="B3">
        <v>-99</v>
      </c>
      <c r="C3" t="s">
        <v>434</v>
      </c>
      <c r="D3" t="s">
        <v>6</v>
      </c>
      <c r="E3" t="s">
        <v>434</v>
      </c>
      <c r="F3" t="s">
        <v>1032</v>
      </c>
      <c r="G3" t="s">
        <v>433</v>
      </c>
      <c r="H3" t="s">
        <v>6</v>
      </c>
      <c r="I3">
        <v>-99</v>
      </c>
      <c r="J3">
        <v>1</v>
      </c>
      <c r="K3" t="s">
        <v>6</v>
      </c>
      <c r="L3">
        <v>-99</v>
      </c>
      <c r="M3" t="s">
        <v>650</v>
      </c>
      <c r="N3" t="s">
        <v>650</v>
      </c>
      <c r="O3">
        <v>-99</v>
      </c>
      <c r="P3">
        <v>-99</v>
      </c>
      <c r="Q3">
        <v>1</v>
      </c>
      <c r="R3" t="s">
        <v>650</v>
      </c>
    </row>
    <row r="4" spans="1:18" x14ac:dyDescent="0.2">
      <c r="A4">
        <v>3</v>
      </c>
      <c r="B4">
        <v>-99</v>
      </c>
      <c r="C4" t="s">
        <v>651</v>
      </c>
      <c r="D4" t="s">
        <v>6</v>
      </c>
      <c r="E4" t="s">
        <v>651</v>
      </c>
      <c r="F4" t="s">
        <v>1034</v>
      </c>
      <c r="G4" t="s">
        <v>433</v>
      </c>
      <c r="H4" t="s">
        <v>6</v>
      </c>
      <c r="I4">
        <v>-99</v>
      </c>
      <c r="J4">
        <v>1</v>
      </c>
      <c r="K4" t="s">
        <v>6</v>
      </c>
      <c r="L4">
        <v>-99</v>
      </c>
      <c r="M4" t="s">
        <v>650</v>
      </c>
      <c r="N4" t="s">
        <v>650</v>
      </c>
      <c r="O4">
        <v>-99</v>
      </c>
      <c r="P4">
        <v>-99</v>
      </c>
      <c r="Q4">
        <v>1</v>
      </c>
      <c r="R4" t="s">
        <v>211</v>
      </c>
    </row>
    <row r="5" spans="1:18" x14ac:dyDescent="0.2">
      <c r="A5">
        <v>4</v>
      </c>
      <c r="B5">
        <v>-99</v>
      </c>
      <c r="C5" t="s">
        <v>435</v>
      </c>
      <c r="D5" t="s">
        <v>6</v>
      </c>
      <c r="E5" t="s">
        <v>435</v>
      </c>
      <c r="F5" t="s">
        <v>1040</v>
      </c>
      <c r="G5" t="s">
        <v>433</v>
      </c>
      <c r="H5" t="s">
        <v>6</v>
      </c>
      <c r="I5">
        <v>-99</v>
      </c>
      <c r="J5">
        <v>1</v>
      </c>
      <c r="K5" t="s">
        <v>6</v>
      </c>
      <c r="L5">
        <v>-99</v>
      </c>
      <c r="M5" t="s">
        <v>650</v>
      </c>
      <c r="N5" t="s">
        <v>650</v>
      </c>
      <c r="O5">
        <v>-99</v>
      </c>
      <c r="P5">
        <v>-99</v>
      </c>
      <c r="Q5">
        <v>1</v>
      </c>
      <c r="R5" t="s">
        <v>679</v>
      </c>
    </row>
    <row r="6" spans="1:18" x14ac:dyDescent="0.2">
      <c r="A6">
        <v>5</v>
      </c>
      <c r="B6">
        <v>-99</v>
      </c>
      <c r="C6" t="s">
        <v>436</v>
      </c>
      <c r="D6" t="s">
        <v>6</v>
      </c>
      <c r="E6" t="s">
        <v>436</v>
      </c>
      <c r="F6" t="s">
        <v>691</v>
      </c>
      <c r="G6" t="s">
        <v>433</v>
      </c>
      <c r="H6" t="s">
        <v>6</v>
      </c>
      <c r="I6">
        <v>-99</v>
      </c>
      <c r="J6">
        <v>1</v>
      </c>
      <c r="K6" t="s">
        <v>6</v>
      </c>
      <c r="L6">
        <v>-99</v>
      </c>
      <c r="M6" t="s">
        <v>650</v>
      </c>
      <c r="N6" t="s">
        <v>650</v>
      </c>
      <c r="O6">
        <v>-99</v>
      </c>
      <c r="P6">
        <v>-99</v>
      </c>
      <c r="Q6">
        <v>1</v>
      </c>
      <c r="R6" t="s">
        <v>675</v>
      </c>
    </row>
    <row r="7" spans="1:18" x14ac:dyDescent="0.2">
      <c r="A7">
        <v>6</v>
      </c>
      <c r="B7">
        <v>-99</v>
      </c>
      <c r="C7" t="s">
        <v>437</v>
      </c>
      <c r="D7" t="s">
        <v>6</v>
      </c>
      <c r="E7" t="s">
        <v>437</v>
      </c>
      <c r="F7" t="s">
        <v>1035</v>
      </c>
      <c r="G7" t="s">
        <v>433</v>
      </c>
      <c r="H7" t="s">
        <v>6</v>
      </c>
      <c r="I7">
        <v>-99</v>
      </c>
      <c r="J7">
        <v>1</v>
      </c>
      <c r="K7" t="s">
        <v>6</v>
      </c>
      <c r="L7">
        <v>-99</v>
      </c>
      <c r="M7" t="s">
        <v>650</v>
      </c>
      <c r="N7" t="s">
        <v>650</v>
      </c>
      <c r="O7">
        <v>-99</v>
      </c>
      <c r="P7">
        <v>-99</v>
      </c>
      <c r="Q7">
        <v>1</v>
      </c>
      <c r="R7" t="s">
        <v>676</v>
      </c>
    </row>
    <row r="8" spans="1:18" x14ac:dyDescent="0.2">
      <c r="A8">
        <v>7</v>
      </c>
      <c r="B8">
        <v>-99</v>
      </c>
      <c r="C8" t="s">
        <v>438</v>
      </c>
      <c r="D8" t="s">
        <v>6</v>
      </c>
      <c r="E8" t="s">
        <v>438</v>
      </c>
      <c r="F8" t="s">
        <v>1041</v>
      </c>
      <c r="G8" t="s">
        <v>433</v>
      </c>
      <c r="H8" t="s">
        <v>6</v>
      </c>
      <c r="I8">
        <v>-99</v>
      </c>
      <c r="J8">
        <v>1</v>
      </c>
      <c r="K8" t="s">
        <v>6</v>
      </c>
      <c r="L8">
        <v>-99</v>
      </c>
      <c r="M8" t="s">
        <v>650</v>
      </c>
      <c r="N8" t="s">
        <v>650</v>
      </c>
      <c r="O8">
        <v>-99</v>
      </c>
      <c r="P8">
        <v>-99</v>
      </c>
      <c r="Q8">
        <v>1</v>
      </c>
      <c r="R8" t="s">
        <v>677</v>
      </c>
    </row>
    <row r="9" spans="1:18" x14ac:dyDescent="0.2">
      <c r="A9">
        <v>8</v>
      </c>
      <c r="B9">
        <v>-99</v>
      </c>
      <c r="C9" t="s">
        <v>439</v>
      </c>
      <c r="D9" t="s">
        <v>6</v>
      </c>
      <c r="E9" t="s">
        <v>439</v>
      </c>
      <c r="F9" t="s">
        <v>1042</v>
      </c>
      <c r="G9" t="s">
        <v>433</v>
      </c>
      <c r="H9" t="s">
        <v>6</v>
      </c>
      <c r="I9">
        <v>-99</v>
      </c>
      <c r="J9">
        <v>1</v>
      </c>
      <c r="K9" t="s">
        <v>6</v>
      </c>
      <c r="L9">
        <v>-99</v>
      </c>
      <c r="M9" t="s">
        <v>650</v>
      </c>
      <c r="N9" t="s">
        <v>650</v>
      </c>
      <c r="O9">
        <v>-99</v>
      </c>
      <c r="P9">
        <v>-99</v>
      </c>
      <c r="Q9">
        <v>1</v>
      </c>
      <c r="R9" t="s">
        <v>394</v>
      </c>
    </row>
    <row r="10" spans="1:18" x14ac:dyDescent="0.2">
      <c r="A10">
        <v>9</v>
      </c>
      <c r="B10">
        <v>-99</v>
      </c>
      <c r="C10" t="s">
        <v>440</v>
      </c>
      <c r="D10" t="s">
        <v>6</v>
      </c>
      <c r="E10" t="s">
        <v>440</v>
      </c>
      <c r="F10" t="s">
        <v>1043</v>
      </c>
      <c r="G10" t="s">
        <v>433</v>
      </c>
      <c r="H10" t="s">
        <v>6</v>
      </c>
      <c r="I10">
        <v>-99</v>
      </c>
      <c r="J10">
        <v>1</v>
      </c>
      <c r="K10" t="s">
        <v>6</v>
      </c>
      <c r="L10">
        <v>-99</v>
      </c>
      <c r="M10" t="s">
        <v>650</v>
      </c>
      <c r="N10" t="s">
        <v>650</v>
      </c>
      <c r="O10">
        <v>-99</v>
      </c>
      <c r="P10">
        <v>-99</v>
      </c>
      <c r="Q10">
        <v>1</v>
      </c>
      <c r="R10" t="s">
        <v>680</v>
      </c>
    </row>
    <row r="11" spans="1:18" x14ac:dyDescent="0.2">
      <c r="A11">
        <v>10</v>
      </c>
      <c r="B11">
        <v>-99</v>
      </c>
      <c r="C11" t="s">
        <v>441</v>
      </c>
      <c r="D11" t="s">
        <v>6</v>
      </c>
      <c r="E11" t="s">
        <v>441</v>
      </c>
      <c r="F11" t="s">
        <v>1044</v>
      </c>
      <c r="G11" t="s">
        <v>433</v>
      </c>
      <c r="H11" t="s">
        <v>6</v>
      </c>
      <c r="I11">
        <v>-99</v>
      </c>
      <c r="J11">
        <v>1</v>
      </c>
      <c r="K11" t="s">
        <v>6</v>
      </c>
      <c r="L11">
        <v>-99</v>
      </c>
      <c r="M11" t="s">
        <v>650</v>
      </c>
      <c r="N11" t="s">
        <v>650</v>
      </c>
      <c r="O11">
        <v>-99</v>
      </c>
      <c r="P11">
        <v>-99</v>
      </c>
      <c r="Q11">
        <v>1</v>
      </c>
      <c r="R11" t="s">
        <v>650</v>
      </c>
    </row>
    <row r="12" spans="1:18" x14ac:dyDescent="0.2">
      <c r="A12">
        <v>11</v>
      </c>
      <c r="B12">
        <v>-99</v>
      </c>
      <c r="C12" t="s">
        <v>443</v>
      </c>
      <c r="D12" t="s">
        <v>504</v>
      </c>
      <c r="E12" t="s">
        <v>652</v>
      </c>
      <c r="F12" t="s">
        <v>132</v>
      </c>
      <c r="G12" t="s">
        <v>652</v>
      </c>
      <c r="H12" t="s">
        <v>366</v>
      </c>
      <c r="I12">
        <v>-99</v>
      </c>
      <c r="J12">
        <v>-99</v>
      </c>
      <c r="K12" t="s">
        <v>650</v>
      </c>
      <c r="L12">
        <v>-99</v>
      </c>
      <c r="M12" t="s">
        <v>650</v>
      </c>
      <c r="N12" t="s">
        <v>650</v>
      </c>
      <c r="O12">
        <v>-99</v>
      </c>
      <c r="P12">
        <v>-99</v>
      </c>
      <c r="Q12">
        <v>2</v>
      </c>
      <c r="R12" t="s">
        <v>650</v>
      </c>
    </row>
    <row r="13" spans="1:18" x14ac:dyDescent="0.2">
      <c r="A13">
        <v>12</v>
      </c>
      <c r="B13">
        <v>-99</v>
      </c>
      <c r="C13" t="s">
        <v>445</v>
      </c>
      <c r="D13" t="s">
        <v>504</v>
      </c>
      <c r="E13" t="s">
        <v>653</v>
      </c>
      <c r="F13" t="s">
        <v>133</v>
      </c>
      <c r="G13" t="s">
        <v>653</v>
      </c>
      <c r="H13" t="s">
        <v>373</v>
      </c>
      <c r="I13">
        <v>-99</v>
      </c>
      <c r="J13">
        <v>-99</v>
      </c>
      <c r="K13" t="s">
        <v>650</v>
      </c>
      <c r="L13">
        <v>-99</v>
      </c>
      <c r="M13" t="s">
        <v>650</v>
      </c>
      <c r="N13" t="s">
        <v>650</v>
      </c>
      <c r="O13">
        <v>-99</v>
      </c>
      <c r="P13">
        <v>-99</v>
      </c>
      <c r="Q13">
        <v>2</v>
      </c>
      <c r="R13" t="s">
        <v>650</v>
      </c>
    </row>
    <row r="14" spans="1:18" x14ac:dyDescent="0.2">
      <c r="A14">
        <v>13</v>
      </c>
      <c r="B14">
        <v>-99</v>
      </c>
      <c r="C14" t="s">
        <v>448</v>
      </c>
      <c r="D14" t="s">
        <v>504</v>
      </c>
      <c r="E14" t="s">
        <v>654</v>
      </c>
      <c r="F14" t="s">
        <v>134</v>
      </c>
      <c r="G14" t="s">
        <v>654</v>
      </c>
      <c r="H14" t="s">
        <v>382</v>
      </c>
      <c r="I14">
        <v>-99</v>
      </c>
      <c r="J14">
        <v>-99</v>
      </c>
      <c r="K14" t="s">
        <v>650</v>
      </c>
      <c r="L14">
        <v>-99</v>
      </c>
      <c r="M14" t="s">
        <v>650</v>
      </c>
      <c r="N14" t="s">
        <v>650</v>
      </c>
      <c r="O14">
        <v>-99</v>
      </c>
      <c r="P14">
        <v>-99</v>
      </c>
      <c r="Q14">
        <v>2</v>
      </c>
      <c r="R14" t="s">
        <v>650</v>
      </c>
    </row>
    <row r="15" spans="1:18" x14ac:dyDescent="0.2">
      <c r="A15">
        <v>14</v>
      </c>
      <c r="B15">
        <v>-99</v>
      </c>
      <c r="C15" t="s">
        <v>655</v>
      </c>
      <c r="D15" t="s">
        <v>504</v>
      </c>
      <c r="E15" t="s">
        <v>656</v>
      </c>
      <c r="F15" t="s">
        <v>135</v>
      </c>
      <c r="G15" t="s">
        <v>656</v>
      </c>
      <c r="H15" t="s">
        <v>398</v>
      </c>
      <c r="I15">
        <v>-99</v>
      </c>
      <c r="J15">
        <v>-99</v>
      </c>
      <c r="K15" t="s">
        <v>650</v>
      </c>
      <c r="L15">
        <v>-99</v>
      </c>
      <c r="M15" t="s">
        <v>650</v>
      </c>
      <c r="N15" t="s">
        <v>650</v>
      </c>
      <c r="O15">
        <v>-99</v>
      </c>
      <c r="P15">
        <v>-99</v>
      </c>
      <c r="Q15">
        <v>2</v>
      </c>
      <c r="R15" t="s">
        <v>650</v>
      </c>
    </row>
    <row r="16" spans="1:18" x14ac:dyDescent="0.2">
      <c r="A16">
        <v>15</v>
      </c>
      <c r="B16">
        <v>-99</v>
      </c>
      <c r="C16" t="s">
        <v>658</v>
      </c>
      <c r="D16" t="s">
        <v>425</v>
      </c>
      <c r="E16" t="s">
        <v>658</v>
      </c>
      <c r="F16" t="s">
        <v>425</v>
      </c>
      <c r="G16" t="s">
        <v>650</v>
      </c>
      <c r="H16" t="s">
        <v>650</v>
      </c>
      <c r="I16">
        <v>-99</v>
      </c>
      <c r="J16">
        <v>30</v>
      </c>
      <c r="K16" t="s">
        <v>365</v>
      </c>
      <c r="L16">
        <v>-99</v>
      </c>
      <c r="M16" t="s">
        <v>650</v>
      </c>
      <c r="N16" t="s">
        <v>650</v>
      </c>
      <c r="O16">
        <v>-99</v>
      </c>
      <c r="P16">
        <v>-99</v>
      </c>
      <c r="Q16">
        <v>3</v>
      </c>
      <c r="R16" t="s">
        <v>650</v>
      </c>
    </row>
    <row r="17" spans="1:18" x14ac:dyDescent="0.2">
      <c r="A17">
        <v>16</v>
      </c>
      <c r="B17">
        <v>-99</v>
      </c>
      <c r="C17" t="s">
        <v>657</v>
      </c>
      <c r="D17" t="s">
        <v>431</v>
      </c>
      <c r="E17" t="s">
        <v>657</v>
      </c>
      <c r="F17" t="s">
        <v>431</v>
      </c>
      <c r="G17" t="s">
        <v>650</v>
      </c>
      <c r="H17" t="s">
        <v>650</v>
      </c>
      <c r="I17">
        <v>-99</v>
      </c>
      <c r="J17">
        <v>31</v>
      </c>
      <c r="K17" t="s">
        <v>376</v>
      </c>
      <c r="L17">
        <v>-99</v>
      </c>
      <c r="M17" t="s">
        <v>650</v>
      </c>
      <c r="N17" t="s">
        <v>650</v>
      </c>
      <c r="O17">
        <v>-99</v>
      </c>
      <c r="P17">
        <v>-99</v>
      </c>
      <c r="Q17">
        <v>3</v>
      </c>
      <c r="R17" t="s">
        <v>650</v>
      </c>
    </row>
    <row r="18" spans="1:18" x14ac:dyDescent="0.2">
      <c r="A18">
        <v>17</v>
      </c>
      <c r="B18">
        <v>-99</v>
      </c>
      <c r="C18" t="s">
        <v>659</v>
      </c>
      <c r="D18" t="s">
        <v>429</v>
      </c>
      <c r="E18" t="s">
        <v>659</v>
      </c>
      <c r="F18" t="s">
        <v>429</v>
      </c>
      <c r="G18" t="s">
        <v>650</v>
      </c>
      <c r="H18" t="s">
        <v>650</v>
      </c>
      <c r="I18">
        <v>-99</v>
      </c>
      <c r="J18">
        <v>32</v>
      </c>
      <c r="K18" t="s">
        <v>386</v>
      </c>
      <c r="L18">
        <v>-99</v>
      </c>
      <c r="M18" t="s">
        <v>650</v>
      </c>
      <c r="N18" t="s">
        <v>650</v>
      </c>
      <c r="O18">
        <v>-99</v>
      </c>
      <c r="P18">
        <v>-99</v>
      </c>
      <c r="Q18">
        <v>3</v>
      </c>
      <c r="R18" t="s">
        <v>650</v>
      </c>
    </row>
    <row r="19" spans="1:18" x14ac:dyDescent="0.2">
      <c r="A19">
        <v>18</v>
      </c>
      <c r="B19">
        <v>-99</v>
      </c>
      <c r="C19" t="s">
        <v>660</v>
      </c>
      <c r="D19" t="s">
        <v>428</v>
      </c>
      <c r="E19" t="s">
        <v>660</v>
      </c>
      <c r="F19" t="s">
        <v>428</v>
      </c>
      <c r="G19" t="s">
        <v>650</v>
      </c>
      <c r="H19" t="s">
        <v>650</v>
      </c>
      <c r="I19">
        <v>-99</v>
      </c>
      <c r="J19">
        <v>33</v>
      </c>
      <c r="K19" t="s">
        <v>381</v>
      </c>
      <c r="L19">
        <v>-99</v>
      </c>
      <c r="M19" t="s">
        <v>650</v>
      </c>
      <c r="N19" t="s">
        <v>650</v>
      </c>
      <c r="O19">
        <v>-99</v>
      </c>
      <c r="P19">
        <v>-99</v>
      </c>
      <c r="Q19">
        <v>3</v>
      </c>
      <c r="R19" t="s">
        <v>650</v>
      </c>
    </row>
    <row r="20" spans="1:18" x14ac:dyDescent="0.2">
      <c r="A20">
        <v>19</v>
      </c>
      <c r="B20">
        <v>-99</v>
      </c>
      <c r="C20" t="s">
        <v>661</v>
      </c>
      <c r="D20" t="s">
        <v>430</v>
      </c>
      <c r="E20" t="s">
        <v>661</v>
      </c>
      <c r="F20" t="s">
        <v>430</v>
      </c>
      <c r="G20" t="s">
        <v>650</v>
      </c>
      <c r="H20" t="s">
        <v>650</v>
      </c>
      <c r="I20">
        <v>-99</v>
      </c>
      <c r="J20">
        <v>34</v>
      </c>
      <c r="K20" t="s">
        <v>400</v>
      </c>
      <c r="L20">
        <v>-99</v>
      </c>
      <c r="M20" t="s">
        <v>650</v>
      </c>
      <c r="N20" t="s">
        <v>650</v>
      </c>
      <c r="O20">
        <v>-99</v>
      </c>
      <c r="P20">
        <v>-99</v>
      </c>
      <c r="Q20">
        <v>3</v>
      </c>
      <c r="R20" t="s">
        <v>650</v>
      </c>
    </row>
    <row r="21" spans="1:18" x14ac:dyDescent="0.2">
      <c r="A21">
        <v>20</v>
      </c>
      <c r="B21">
        <v>1</v>
      </c>
      <c r="C21" t="s">
        <v>663</v>
      </c>
      <c r="D21" t="s">
        <v>364</v>
      </c>
      <c r="E21" t="s">
        <v>663</v>
      </c>
      <c r="F21" t="s">
        <v>505</v>
      </c>
      <c r="G21" t="s">
        <v>664</v>
      </c>
      <c r="H21" t="s">
        <v>8</v>
      </c>
      <c r="I21">
        <v>-99</v>
      </c>
      <c r="J21">
        <v>35</v>
      </c>
      <c r="K21" t="s">
        <v>8</v>
      </c>
      <c r="L21">
        <v>8240</v>
      </c>
      <c r="M21" t="s">
        <v>506</v>
      </c>
      <c r="N21" t="s">
        <v>650</v>
      </c>
      <c r="O21">
        <v>1</v>
      </c>
      <c r="P21">
        <v>2</v>
      </c>
      <c r="Q21">
        <v>-99</v>
      </c>
      <c r="R21" t="s">
        <v>650</v>
      </c>
    </row>
    <row r="22" spans="1:18" x14ac:dyDescent="0.2">
      <c r="A22">
        <v>21</v>
      </c>
      <c r="B22">
        <v>8</v>
      </c>
      <c r="C22" t="s">
        <v>139</v>
      </c>
      <c r="D22" t="s">
        <v>38</v>
      </c>
      <c r="E22" t="s">
        <v>507</v>
      </c>
      <c r="F22" t="s">
        <v>508</v>
      </c>
      <c r="G22" t="s">
        <v>652</v>
      </c>
      <c r="H22" t="s">
        <v>366</v>
      </c>
      <c r="I22">
        <v>380</v>
      </c>
      <c r="J22">
        <v>30</v>
      </c>
      <c r="K22" t="s">
        <v>365</v>
      </c>
      <c r="L22">
        <v>8233</v>
      </c>
      <c r="M22" t="s">
        <v>321</v>
      </c>
      <c r="N22" t="s">
        <v>367</v>
      </c>
      <c r="O22">
        <v>1</v>
      </c>
      <c r="P22">
        <v>2</v>
      </c>
      <c r="Q22">
        <v>-99</v>
      </c>
      <c r="R22" t="s">
        <v>678</v>
      </c>
    </row>
    <row r="23" spans="1:18" x14ac:dyDescent="0.2">
      <c r="A23">
        <v>22</v>
      </c>
      <c r="B23">
        <v>9</v>
      </c>
      <c r="C23" t="s">
        <v>140</v>
      </c>
      <c r="D23" t="s">
        <v>70</v>
      </c>
      <c r="E23" t="s">
        <v>509</v>
      </c>
      <c r="F23" t="s">
        <v>510</v>
      </c>
      <c r="G23" t="s">
        <v>652</v>
      </c>
      <c r="H23" t="s">
        <v>366</v>
      </c>
      <c r="I23">
        <v>380</v>
      </c>
      <c r="J23">
        <v>30</v>
      </c>
      <c r="K23" t="s">
        <v>365</v>
      </c>
      <c r="L23">
        <v>8235</v>
      </c>
      <c r="M23" t="s">
        <v>356</v>
      </c>
      <c r="N23" t="s">
        <v>368</v>
      </c>
      <c r="O23">
        <v>1</v>
      </c>
      <c r="P23">
        <v>1</v>
      </c>
      <c r="Q23">
        <v>-99</v>
      </c>
      <c r="R23" t="s">
        <v>678</v>
      </c>
    </row>
    <row r="24" spans="1:18" x14ac:dyDescent="0.2">
      <c r="A24">
        <v>23</v>
      </c>
      <c r="B24">
        <v>-99</v>
      </c>
      <c r="C24" t="s">
        <v>140</v>
      </c>
      <c r="D24" t="s">
        <v>70</v>
      </c>
      <c r="E24" t="s">
        <v>511</v>
      </c>
      <c r="F24" t="s">
        <v>512</v>
      </c>
      <c r="G24" t="s">
        <v>652</v>
      </c>
      <c r="H24" t="s">
        <v>366</v>
      </c>
      <c r="I24">
        <v>380</v>
      </c>
      <c r="J24">
        <v>30</v>
      </c>
      <c r="K24" t="s">
        <v>365</v>
      </c>
      <c r="L24">
        <v>8235</v>
      </c>
      <c r="M24" t="s">
        <v>356</v>
      </c>
      <c r="N24" t="s">
        <v>368</v>
      </c>
      <c r="O24">
        <v>-99</v>
      </c>
      <c r="P24">
        <v>1</v>
      </c>
      <c r="Q24">
        <v>-99</v>
      </c>
      <c r="R24" t="s">
        <v>394</v>
      </c>
    </row>
    <row r="25" spans="1:18" x14ac:dyDescent="0.2">
      <c r="A25">
        <v>24</v>
      </c>
      <c r="B25">
        <v>10</v>
      </c>
      <c r="C25" t="s">
        <v>141</v>
      </c>
      <c r="D25" t="s">
        <v>63</v>
      </c>
      <c r="E25" t="s">
        <v>513</v>
      </c>
      <c r="F25" t="s">
        <v>514</v>
      </c>
      <c r="G25" t="s">
        <v>652</v>
      </c>
      <c r="H25" t="s">
        <v>366</v>
      </c>
      <c r="I25">
        <v>380</v>
      </c>
      <c r="J25">
        <v>30</v>
      </c>
      <c r="K25" t="s">
        <v>365</v>
      </c>
      <c r="L25">
        <v>8237</v>
      </c>
      <c r="M25" t="s">
        <v>331</v>
      </c>
      <c r="N25" t="s">
        <v>63</v>
      </c>
      <c r="O25">
        <v>1</v>
      </c>
      <c r="P25">
        <v>2</v>
      </c>
      <c r="Q25">
        <v>-99</v>
      </c>
      <c r="R25" t="s">
        <v>678</v>
      </c>
    </row>
    <row r="26" spans="1:18" x14ac:dyDescent="0.2">
      <c r="A26">
        <v>25</v>
      </c>
      <c r="B26">
        <v>11</v>
      </c>
      <c r="C26" t="s">
        <v>142</v>
      </c>
      <c r="D26" t="s">
        <v>24</v>
      </c>
      <c r="E26" t="s">
        <v>515</v>
      </c>
      <c r="F26" t="s">
        <v>516</v>
      </c>
      <c r="G26" t="s">
        <v>652</v>
      </c>
      <c r="H26" t="s">
        <v>366</v>
      </c>
      <c r="I26">
        <v>380</v>
      </c>
      <c r="J26">
        <v>30</v>
      </c>
      <c r="K26" t="s">
        <v>365</v>
      </c>
      <c r="L26">
        <v>8238</v>
      </c>
      <c r="M26" t="s">
        <v>331</v>
      </c>
      <c r="N26" t="s">
        <v>63</v>
      </c>
      <c r="O26">
        <v>1</v>
      </c>
      <c r="P26">
        <v>2</v>
      </c>
      <c r="Q26">
        <v>-99</v>
      </c>
      <c r="R26" t="s">
        <v>678</v>
      </c>
    </row>
    <row r="27" spans="1:18" x14ac:dyDescent="0.2">
      <c r="A27">
        <v>26</v>
      </c>
      <c r="B27">
        <v>12</v>
      </c>
      <c r="C27" t="s">
        <v>143</v>
      </c>
      <c r="D27" t="s">
        <v>47</v>
      </c>
      <c r="E27" t="s">
        <v>517</v>
      </c>
      <c r="F27" t="s">
        <v>518</v>
      </c>
      <c r="G27" t="s">
        <v>652</v>
      </c>
      <c r="H27" t="s">
        <v>366</v>
      </c>
      <c r="I27">
        <v>380</v>
      </c>
      <c r="J27">
        <v>30</v>
      </c>
      <c r="K27" t="s">
        <v>365</v>
      </c>
      <c r="L27">
        <v>8239</v>
      </c>
      <c r="M27" t="s">
        <v>349</v>
      </c>
      <c r="N27" t="s">
        <v>369</v>
      </c>
      <c r="O27">
        <v>1</v>
      </c>
      <c r="P27">
        <v>2</v>
      </c>
      <c r="Q27">
        <v>-99</v>
      </c>
      <c r="R27" t="s">
        <v>678</v>
      </c>
    </row>
    <row r="28" spans="1:18" x14ac:dyDescent="0.2">
      <c r="A28">
        <v>27</v>
      </c>
      <c r="B28">
        <v>13</v>
      </c>
      <c r="C28" t="s">
        <v>144</v>
      </c>
      <c r="D28" t="s">
        <v>64</v>
      </c>
      <c r="E28" t="s">
        <v>519</v>
      </c>
      <c r="F28" t="s">
        <v>520</v>
      </c>
      <c r="G28" t="s">
        <v>652</v>
      </c>
      <c r="H28" t="s">
        <v>366</v>
      </c>
      <c r="I28">
        <v>380</v>
      </c>
      <c r="J28">
        <v>30</v>
      </c>
      <c r="K28" t="s">
        <v>365</v>
      </c>
      <c r="L28">
        <v>8241</v>
      </c>
      <c r="M28" t="s">
        <v>353</v>
      </c>
      <c r="N28" t="s">
        <v>370</v>
      </c>
      <c r="O28">
        <v>1</v>
      </c>
      <c r="P28">
        <v>2</v>
      </c>
      <c r="Q28">
        <v>-99</v>
      </c>
      <c r="R28" t="s">
        <v>678</v>
      </c>
    </row>
    <row r="29" spans="1:18" x14ac:dyDescent="0.2">
      <c r="A29">
        <v>28</v>
      </c>
      <c r="B29">
        <v>14</v>
      </c>
      <c r="C29" t="s">
        <v>102</v>
      </c>
      <c r="D29" t="s">
        <v>66</v>
      </c>
      <c r="E29" t="s">
        <v>521</v>
      </c>
      <c r="F29" t="s">
        <v>522</v>
      </c>
      <c r="G29" t="s">
        <v>652</v>
      </c>
      <c r="H29" t="s">
        <v>366</v>
      </c>
      <c r="I29">
        <v>380</v>
      </c>
      <c r="J29">
        <v>30</v>
      </c>
      <c r="K29" t="s">
        <v>365</v>
      </c>
      <c r="L29">
        <v>8242</v>
      </c>
      <c r="M29" t="s">
        <v>343</v>
      </c>
      <c r="N29" t="s">
        <v>371</v>
      </c>
      <c r="O29">
        <v>1</v>
      </c>
      <c r="P29">
        <v>1</v>
      </c>
      <c r="Q29">
        <v>-99</v>
      </c>
      <c r="R29" t="s">
        <v>678</v>
      </c>
    </row>
    <row r="30" spans="1:18" x14ac:dyDescent="0.2">
      <c r="A30">
        <v>29</v>
      </c>
      <c r="B30">
        <v>-99</v>
      </c>
      <c r="C30" t="s">
        <v>102</v>
      </c>
      <c r="D30" t="s">
        <v>66</v>
      </c>
      <c r="E30" t="s">
        <v>523</v>
      </c>
      <c r="F30" t="s">
        <v>213</v>
      </c>
      <c r="G30" t="s">
        <v>652</v>
      </c>
      <c r="H30" t="s">
        <v>366</v>
      </c>
      <c r="I30">
        <v>380</v>
      </c>
      <c r="J30">
        <v>30</v>
      </c>
      <c r="K30" t="s">
        <v>365</v>
      </c>
      <c r="L30">
        <v>8242</v>
      </c>
      <c r="M30" t="s">
        <v>343</v>
      </c>
      <c r="N30" t="s">
        <v>371</v>
      </c>
      <c r="O30">
        <v>-99</v>
      </c>
      <c r="P30">
        <v>1</v>
      </c>
      <c r="Q30">
        <v>-99</v>
      </c>
      <c r="R30" t="s">
        <v>211</v>
      </c>
    </row>
    <row r="31" spans="1:18" x14ac:dyDescent="0.2">
      <c r="A31">
        <v>30</v>
      </c>
      <c r="B31">
        <v>15</v>
      </c>
      <c r="C31" t="s">
        <v>145</v>
      </c>
      <c r="D31" t="s">
        <v>68</v>
      </c>
      <c r="E31" t="s">
        <v>524</v>
      </c>
      <c r="F31" t="s">
        <v>525</v>
      </c>
      <c r="G31" t="s">
        <v>652</v>
      </c>
      <c r="H31" t="s">
        <v>366</v>
      </c>
      <c r="I31">
        <v>380</v>
      </c>
      <c r="J31">
        <v>30</v>
      </c>
      <c r="K31" t="s">
        <v>365</v>
      </c>
      <c r="L31">
        <v>8243</v>
      </c>
      <c r="M31" t="s">
        <v>343</v>
      </c>
      <c r="N31" t="s">
        <v>371</v>
      </c>
      <c r="O31">
        <v>1</v>
      </c>
      <c r="P31">
        <v>1</v>
      </c>
      <c r="Q31">
        <v>-99</v>
      </c>
      <c r="R31" t="s">
        <v>678</v>
      </c>
    </row>
    <row r="32" spans="1:18" x14ac:dyDescent="0.2">
      <c r="A32">
        <v>31</v>
      </c>
      <c r="B32">
        <v>-99</v>
      </c>
      <c r="C32" t="s">
        <v>145</v>
      </c>
      <c r="D32" t="s">
        <v>68</v>
      </c>
      <c r="E32" t="s">
        <v>526</v>
      </c>
      <c r="F32" t="s">
        <v>527</v>
      </c>
      <c r="G32" t="s">
        <v>652</v>
      </c>
      <c r="H32" t="s">
        <v>366</v>
      </c>
      <c r="I32">
        <v>380</v>
      </c>
      <c r="J32">
        <v>30</v>
      </c>
      <c r="K32" t="s">
        <v>365</v>
      </c>
      <c r="L32">
        <v>8243</v>
      </c>
      <c r="M32" t="s">
        <v>343</v>
      </c>
      <c r="N32" t="s">
        <v>371</v>
      </c>
      <c r="O32">
        <v>-99</v>
      </c>
      <c r="P32">
        <v>1</v>
      </c>
      <c r="Q32">
        <v>-99</v>
      </c>
      <c r="R32" t="s">
        <v>677</v>
      </c>
    </row>
    <row r="33" spans="1:18" x14ac:dyDescent="0.2">
      <c r="A33">
        <v>32</v>
      </c>
      <c r="B33">
        <v>16</v>
      </c>
      <c r="C33" t="s">
        <v>146</v>
      </c>
      <c r="D33" t="s">
        <v>36</v>
      </c>
      <c r="E33" t="s">
        <v>528</v>
      </c>
      <c r="F33" t="s">
        <v>529</v>
      </c>
      <c r="G33" t="s">
        <v>652</v>
      </c>
      <c r="H33" t="s">
        <v>366</v>
      </c>
      <c r="I33">
        <v>380</v>
      </c>
      <c r="J33">
        <v>30</v>
      </c>
      <c r="K33" t="s">
        <v>365</v>
      </c>
      <c r="L33">
        <v>8244</v>
      </c>
      <c r="M33" t="s">
        <v>338</v>
      </c>
      <c r="N33" t="s">
        <v>372</v>
      </c>
      <c r="O33">
        <v>1</v>
      </c>
      <c r="P33">
        <v>2</v>
      </c>
      <c r="Q33">
        <v>-99</v>
      </c>
      <c r="R33" t="s">
        <v>678</v>
      </c>
    </row>
    <row r="34" spans="1:18" x14ac:dyDescent="0.2">
      <c r="A34">
        <v>33</v>
      </c>
      <c r="B34">
        <v>23</v>
      </c>
      <c r="C34" t="s">
        <v>106</v>
      </c>
      <c r="D34" t="s">
        <v>72</v>
      </c>
      <c r="E34" t="s">
        <v>530</v>
      </c>
      <c r="F34" t="s">
        <v>531</v>
      </c>
      <c r="G34" t="s">
        <v>653</v>
      </c>
      <c r="H34" t="s">
        <v>373</v>
      </c>
      <c r="I34">
        <v>381</v>
      </c>
      <c r="J34">
        <v>30</v>
      </c>
      <c r="K34" t="s">
        <v>365</v>
      </c>
      <c r="L34">
        <v>8245</v>
      </c>
      <c r="M34" t="s">
        <v>317</v>
      </c>
      <c r="N34" t="s">
        <v>374</v>
      </c>
      <c r="O34">
        <v>1</v>
      </c>
      <c r="P34">
        <v>2</v>
      </c>
      <c r="Q34">
        <v>-99</v>
      </c>
      <c r="R34" t="s">
        <v>678</v>
      </c>
    </row>
    <row r="35" spans="1:18" x14ac:dyDescent="0.2">
      <c r="A35">
        <v>34</v>
      </c>
      <c r="B35">
        <v>24</v>
      </c>
      <c r="C35" t="s">
        <v>147</v>
      </c>
      <c r="D35" t="s">
        <v>50</v>
      </c>
      <c r="E35" t="s">
        <v>532</v>
      </c>
      <c r="F35" t="s">
        <v>533</v>
      </c>
      <c r="G35" t="s">
        <v>653</v>
      </c>
      <c r="H35" t="s">
        <v>373</v>
      </c>
      <c r="I35">
        <v>381</v>
      </c>
      <c r="J35">
        <v>30</v>
      </c>
      <c r="K35" t="s">
        <v>365</v>
      </c>
      <c r="L35">
        <v>8246</v>
      </c>
      <c r="M35" t="s">
        <v>333</v>
      </c>
      <c r="N35" t="s">
        <v>375</v>
      </c>
      <c r="O35">
        <v>1</v>
      </c>
      <c r="P35">
        <v>2</v>
      </c>
      <c r="Q35">
        <v>-99</v>
      </c>
      <c r="R35" t="s">
        <v>678</v>
      </c>
    </row>
    <row r="36" spans="1:18" x14ac:dyDescent="0.2">
      <c r="A36">
        <v>35</v>
      </c>
      <c r="B36">
        <v>30</v>
      </c>
      <c r="C36" t="s">
        <v>148</v>
      </c>
      <c r="D36" t="s">
        <v>25</v>
      </c>
      <c r="E36" t="s">
        <v>534</v>
      </c>
      <c r="F36" t="s">
        <v>535</v>
      </c>
      <c r="G36" t="s">
        <v>653</v>
      </c>
      <c r="H36" t="s">
        <v>373</v>
      </c>
      <c r="I36">
        <v>381</v>
      </c>
      <c r="J36">
        <v>31</v>
      </c>
      <c r="K36" t="s">
        <v>376</v>
      </c>
      <c r="L36">
        <v>8247</v>
      </c>
      <c r="M36" t="s">
        <v>358</v>
      </c>
      <c r="N36" t="s">
        <v>377</v>
      </c>
      <c r="O36">
        <v>1</v>
      </c>
      <c r="P36">
        <v>2</v>
      </c>
      <c r="Q36">
        <v>-99</v>
      </c>
      <c r="R36" t="s">
        <v>678</v>
      </c>
    </row>
    <row r="37" spans="1:18" x14ac:dyDescent="0.2">
      <c r="A37">
        <v>36</v>
      </c>
      <c r="B37">
        <v>194</v>
      </c>
      <c r="C37" t="s">
        <v>149</v>
      </c>
      <c r="D37" t="s">
        <v>80</v>
      </c>
      <c r="E37" t="s">
        <v>536</v>
      </c>
      <c r="F37" t="s">
        <v>537</v>
      </c>
      <c r="G37" t="s">
        <v>653</v>
      </c>
      <c r="H37" t="s">
        <v>373</v>
      </c>
      <c r="I37">
        <v>381</v>
      </c>
      <c r="J37">
        <v>31</v>
      </c>
      <c r="K37" t="s">
        <v>376</v>
      </c>
      <c r="L37">
        <v>8248</v>
      </c>
      <c r="M37" t="s">
        <v>313</v>
      </c>
      <c r="N37" t="s">
        <v>421</v>
      </c>
      <c r="O37">
        <v>1</v>
      </c>
      <c r="P37">
        <v>2</v>
      </c>
      <c r="Q37">
        <v>-99</v>
      </c>
      <c r="R37" t="s">
        <v>678</v>
      </c>
    </row>
    <row r="38" spans="1:18" x14ac:dyDescent="0.2">
      <c r="A38">
        <v>37</v>
      </c>
      <c r="B38">
        <v>34</v>
      </c>
      <c r="C38" t="s">
        <v>150</v>
      </c>
      <c r="D38" t="s">
        <v>86</v>
      </c>
      <c r="E38" t="s">
        <v>538</v>
      </c>
      <c r="F38" t="s">
        <v>539</v>
      </c>
      <c r="G38" t="s">
        <v>653</v>
      </c>
      <c r="H38" t="s">
        <v>373</v>
      </c>
      <c r="I38">
        <v>381</v>
      </c>
      <c r="J38">
        <v>30</v>
      </c>
      <c r="K38" t="s">
        <v>365</v>
      </c>
      <c r="L38">
        <v>8249</v>
      </c>
      <c r="M38" t="s">
        <v>344</v>
      </c>
      <c r="N38" t="s">
        <v>378</v>
      </c>
      <c r="O38">
        <v>1</v>
      </c>
      <c r="P38">
        <v>1</v>
      </c>
      <c r="Q38">
        <v>-99</v>
      </c>
      <c r="R38" t="s">
        <v>678</v>
      </c>
    </row>
    <row r="39" spans="1:18" x14ac:dyDescent="0.2">
      <c r="A39">
        <v>38</v>
      </c>
      <c r="B39">
        <v>-99</v>
      </c>
      <c r="C39" t="s">
        <v>150</v>
      </c>
      <c r="D39" t="s">
        <v>86</v>
      </c>
      <c r="E39" t="s">
        <v>540</v>
      </c>
      <c r="F39" t="s">
        <v>216</v>
      </c>
      <c r="G39" t="s">
        <v>653</v>
      </c>
      <c r="H39" t="s">
        <v>373</v>
      </c>
      <c r="I39">
        <v>381</v>
      </c>
      <c r="J39">
        <v>30</v>
      </c>
      <c r="K39" t="s">
        <v>365</v>
      </c>
      <c r="L39">
        <v>8249</v>
      </c>
      <c r="M39" t="s">
        <v>344</v>
      </c>
      <c r="N39" t="s">
        <v>378</v>
      </c>
      <c r="O39">
        <v>-99</v>
      </c>
      <c r="P39">
        <v>1</v>
      </c>
      <c r="Q39">
        <v>-99</v>
      </c>
      <c r="R39" t="s">
        <v>675</v>
      </c>
    </row>
    <row r="40" spans="1:18" x14ac:dyDescent="0.2">
      <c r="A40">
        <v>39</v>
      </c>
      <c r="B40">
        <v>-99</v>
      </c>
      <c r="C40" t="s">
        <v>150</v>
      </c>
      <c r="D40" t="s">
        <v>86</v>
      </c>
      <c r="E40" t="s">
        <v>541</v>
      </c>
      <c r="F40" t="s">
        <v>953</v>
      </c>
      <c r="G40" t="s">
        <v>653</v>
      </c>
      <c r="H40" t="s">
        <v>373</v>
      </c>
      <c r="I40">
        <v>381</v>
      </c>
      <c r="J40">
        <v>30</v>
      </c>
      <c r="K40" t="s">
        <v>365</v>
      </c>
      <c r="L40">
        <v>8249</v>
      </c>
      <c r="M40" t="s">
        <v>344</v>
      </c>
      <c r="N40" t="s">
        <v>378</v>
      </c>
      <c r="O40">
        <v>-99</v>
      </c>
      <c r="P40">
        <v>1</v>
      </c>
      <c r="Q40">
        <v>-99</v>
      </c>
      <c r="R40" t="s">
        <v>676</v>
      </c>
    </row>
    <row r="41" spans="1:18" x14ac:dyDescent="0.2">
      <c r="A41">
        <v>40</v>
      </c>
      <c r="B41">
        <v>35</v>
      </c>
      <c r="C41" t="s">
        <v>151</v>
      </c>
      <c r="D41" t="s">
        <v>42</v>
      </c>
      <c r="E41" t="s">
        <v>542</v>
      </c>
      <c r="F41" t="s">
        <v>543</v>
      </c>
      <c r="G41" t="s">
        <v>653</v>
      </c>
      <c r="H41" t="s">
        <v>373</v>
      </c>
      <c r="I41">
        <v>381</v>
      </c>
      <c r="J41">
        <v>31</v>
      </c>
      <c r="K41" t="s">
        <v>376</v>
      </c>
      <c r="L41">
        <v>8250</v>
      </c>
      <c r="M41" t="s">
        <v>336</v>
      </c>
      <c r="N41" t="s">
        <v>379</v>
      </c>
      <c r="O41">
        <v>1</v>
      </c>
      <c r="P41">
        <v>2</v>
      </c>
      <c r="Q41">
        <v>-99</v>
      </c>
      <c r="R41" t="s">
        <v>678</v>
      </c>
    </row>
    <row r="42" spans="1:18" x14ac:dyDescent="0.2">
      <c r="A42">
        <v>41</v>
      </c>
      <c r="B42">
        <v>36</v>
      </c>
      <c r="C42" t="s">
        <v>94</v>
      </c>
      <c r="D42" t="s">
        <v>61</v>
      </c>
      <c r="E42" t="s">
        <v>544</v>
      </c>
      <c r="F42" t="s">
        <v>545</v>
      </c>
      <c r="G42" t="s">
        <v>653</v>
      </c>
      <c r="H42" t="s">
        <v>373</v>
      </c>
      <c r="I42">
        <v>381</v>
      </c>
      <c r="J42">
        <v>31</v>
      </c>
      <c r="K42" t="s">
        <v>376</v>
      </c>
      <c r="L42">
        <v>8251</v>
      </c>
      <c r="M42" t="s">
        <v>339</v>
      </c>
      <c r="N42" t="s">
        <v>380</v>
      </c>
      <c r="O42">
        <v>1</v>
      </c>
      <c r="P42">
        <v>2</v>
      </c>
      <c r="Q42">
        <v>-99</v>
      </c>
      <c r="R42" t="s">
        <v>678</v>
      </c>
    </row>
    <row r="43" spans="1:18" x14ac:dyDescent="0.2">
      <c r="A43">
        <v>42</v>
      </c>
      <c r="B43">
        <v>37</v>
      </c>
      <c r="C43" t="s">
        <v>152</v>
      </c>
      <c r="D43" t="s">
        <v>62</v>
      </c>
      <c r="E43" t="s">
        <v>546</v>
      </c>
      <c r="F43" t="s">
        <v>547</v>
      </c>
      <c r="G43" t="s">
        <v>654</v>
      </c>
      <c r="H43" t="s">
        <v>382</v>
      </c>
      <c r="I43">
        <v>382</v>
      </c>
      <c r="J43">
        <v>33</v>
      </c>
      <c r="K43" t="s">
        <v>381</v>
      </c>
      <c r="L43">
        <v>8252</v>
      </c>
      <c r="M43" t="s">
        <v>316</v>
      </c>
      <c r="N43" t="s">
        <v>383</v>
      </c>
      <c r="O43">
        <v>1</v>
      </c>
      <c r="P43">
        <v>2</v>
      </c>
      <c r="Q43">
        <v>-99</v>
      </c>
      <c r="R43" t="s">
        <v>678</v>
      </c>
    </row>
    <row r="44" spans="1:18" x14ac:dyDescent="0.2">
      <c r="A44">
        <v>43</v>
      </c>
      <c r="B44">
        <v>38</v>
      </c>
      <c r="C44" t="s">
        <v>153</v>
      </c>
      <c r="D44" t="s">
        <v>60</v>
      </c>
      <c r="E44" t="s">
        <v>548</v>
      </c>
      <c r="F44" t="s">
        <v>549</v>
      </c>
      <c r="G44" t="s">
        <v>653</v>
      </c>
      <c r="H44" t="s">
        <v>373</v>
      </c>
      <c r="I44">
        <v>381</v>
      </c>
      <c r="J44">
        <v>31</v>
      </c>
      <c r="K44" t="s">
        <v>376</v>
      </c>
      <c r="L44">
        <v>8253</v>
      </c>
      <c r="M44" t="s">
        <v>350</v>
      </c>
      <c r="N44" t="s">
        <v>384</v>
      </c>
      <c r="O44">
        <v>1</v>
      </c>
      <c r="P44">
        <v>2</v>
      </c>
      <c r="Q44">
        <v>-99</v>
      </c>
      <c r="R44" t="s">
        <v>678</v>
      </c>
    </row>
    <row r="45" spans="1:18" x14ac:dyDescent="0.2">
      <c r="A45">
        <v>44</v>
      </c>
      <c r="B45">
        <v>39</v>
      </c>
      <c r="C45" t="s">
        <v>154</v>
      </c>
      <c r="D45" t="s">
        <v>52</v>
      </c>
      <c r="E45" t="s">
        <v>550</v>
      </c>
      <c r="F45" t="s">
        <v>551</v>
      </c>
      <c r="G45" t="s">
        <v>653</v>
      </c>
      <c r="H45" t="s">
        <v>373</v>
      </c>
      <c r="I45">
        <v>381</v>
      </c>
      <c r="J45">
        <v>33</v>
      </c>
      <c r="K45" t="s">
        <v>381</v>
      </c>
      <c r="L45">
        <v>8254</v>
      </c>
      <c r="M45" t="s">
        <v>351</v>
      </c>
      <c r="N45" t="s">
        <v>385</v>
      </c>
      <c r="O45">
        <v>1</v>
      </c>
      <c r="P45">
        <v>1</v>
      </c>
      <c r="Q45">
        <v>-99</v>
      </c>
      <c r="R45" t="s">
        <v>678</v>
      </c>
    </row>
    <row r="46" spans="1:18" x14ac:dyDescent="0.2">
      <c r="A46">
        <v>45</v>
      </c>
      <c r="B46">
        <v>-99</v>
      </c>
      <c r="C46" t="s">
        <v>154</v>
      </c>
      <c r="D46" t="s">
        <v>52</v>
      </c>
      <c r="E46" t="s">
        <v>552</v>
      </c>
      <c r="F46" t="s">
        <v>553</v>
      </c>
      <c r="G46" t="s">
        <v>653</v>
      </c>
      <c r="H46" t="s">
        <v>373</v>
      </c>
      <c r="I46">
        <v>381</v>
      </c>
      <c r="J46">
        <v>33</v>
      </c>
      <c r="K46" t="s">
        <v>381</v>
      </c>
      <c r="L46">
        <v>8254</v>
      </c>
      <c r="M46" t="s">
        <v>351</v>
      </c>
      <c r="N46" t="s">
        <v>385</v>
      </c>
      <c r="O46">
        <v>-99</v>
      </c>
      <c r="P46">
        <v>1</v>
      </c>
      <c r="Q46">
        <v>-99</v>
      </c>
      <c r="R46" t="s">
        <v>679</v>
      </c>
    </row>
    <row r="47" spans="1:18" x14ac:dyDescent="0.2">
      <c r="A47">
        <v>46</v>
      </c>
      <c r="B47">
        <v>52</v>
      </c>
      <c r="C47" t="s">
        <v>155</v>
      </c>
      <c r="D47" t="s">
        <v>41</v>
      </c>
      <c r="E47" t="s">
        <v>554</v>
      </c>
      <c r="F47" t="s">
        <v>555</v>
      </c>
      <c r="G47" t="s">
        <v>652</v>
      </c>
      <c r="H47" t="s">
        <v>366</v>
      </c>
      <c r="I47">
        <v>380</v>
      </c>
      <c r="J47">
        <v>32</v>
      </c>
      <c r="K47" t="s">
        <v>386</v>
      </c>
      <c r="L47">
        <v>8255</v>
      </c>
      <c r="M47" t="s">
        <v>352</v>
      </c>
      <c r="N47" t="s">
        <v>387</v>
      </c>
      <c r="O47">
        <v>1</v>
      </c>
      <c r="P47">
        <v>2</v>
      </c>
      <c r="Q47">
        <v>-99</v>
      </c>
      <c r="R47" t="s">
        <v>678</v>
      </c>
    </row>
    <row r="48" spans="1:18" x14ac:dyDescent="0.2">
      <c r="A48">
        <v>47</v>
      </c>
      <c r="B48">
        <v>53</v>
      </c>
      <c r="C48" t="s">
        <v>156</v>
      </c>
      <c r="D48" t="s">
        <v>51</v>
      </c>
      <c r="E48" t="s">
        <v>556</v>
      </c>
      <c r="F48" t="s">
        <v>557</v>
      </c>
      <c r="G48" t="s">
        <v>652</v>
      </c>
      <c r="H48" t="s">
        <v>366</v>
      </c>
      <c r="I48">
        <v>380</v>
      </c>
      <c r="J48">
        <v>32</v>
      </c>
      <c r="K48" t="s">
        <v>386</v>
      </c>
      <c r="L48">
        <v>8256</v>
      </c>
      <c r="M48" t="s">
        <v>326</v>
      </c>
      <c r="N48" t="s">
        <v>388</v>
      </c>
      <c r="O48">
        <v>1</v>
      </c>
      <c r="P48">
        <v>2</v>
      </c>
      <c r="Q48">
        <v>-99</v>
      </c>
      <c r="R48" t="s">
        <v>678</v>
      </c>
    </row>
    <row r="49" spans="1:18" x14ac:dyDescent="0.2">
      <c r="A49">
        <v>48</v>
      </c>
      <c r="B49">
        <v>54</v>
      </c>
      <c r="C49" t="s">
        <v>157</v>
      </c>
      <c r="D49" t="s">
        <v>56</v>
      </c>
      <c r="E49" t="s">
        <v>558</v>
      </c>
      <c r="F49" t="s">
        <v>559</v>
      </c>
      <c r="G49" t="s">
        <v>653</v>
      </c>
      <c r="H49" t="s">
        <v>373</v>
      </c>
      <c r="I49">
        <v>381</v>
      </c>
      <c r="J49">
        <v>31</v>
      </c>
      <c r="K49" t="s">
        <v>376</v>
      </c>
      <c r="L49">
        <v>8257</v>
      </c>
      <c r="M49" t="s">
        <v>332</v>
      </c>
      <c r="N49" t="s">
        <v>389</v>
      </c>
      <c r="O49">
        <v>1</v>
      </c>
      <c r="P49">
        <v>1</v>
      </c>
      <c r="Q49">
        <v>-99</v>
      </c>
      <c r="R49" t="s">
        <v>678</v>
      </c>
    </row>
    <row r="50" spans="1:18" x14ac:dyDescent="0.2">
      <c r="A50">
        <v>49</v>
      </c>
      <c r="B50">
        <v>-99</v>
      </c>
      <c r="C50" t="s">
        <v>157</v>
      </c>
      <c r="D50" t="s">
        <v>56</v>
      </c>
      <c r="E50" t="s">
        <v>560</v>
      </c>
      <c r="F50" t="s">
        <v>561</v>
      </c>
      <c r="G50" t="s">
        <v>653</v>
      </c>
      <c r="H50" t="s">
        <v>373</v>
      </c>
      <c r="I50">
        <v>381</v>
      </c>
      <c r="J50">
        <v>31</v>
      </c>
      <c r="K50" t="s">
        <v>376</v>
      </c>
      <c r="L50">
        <v>8257</v>
      </c>
      <c r="M50" t="s">
        <v>332</v>
      </c>
      <c r="N50" t="s">
        <v>389</v>
      </c>
      <c r="O50">
        <v>-99</v>
      </c>
      <c r="P50">
        <v>1</v>
      </c>
      <c r="Q50">
        <v>-99</v>
      </c>
      <c r="R50" t="s">
        <v>680</v>
      </c>
    </row>
    <row r="51" spans="1:18" x14ac:dyDescent="0.2">
      <c r="A51">
        <v>50</v>
      </c>
      <c r="B51">
        <v>55</v>
      </c>
      <c r="C51" t="s">
        <v>158</v>
      </c>
      <c r="D51" t="s">
        <v>40</v>
      </c>
      <c r="E51" t="s">
        <v>562</v>
      </c>
      <c r="F51" t="s">
        <v>563</v>
      </c>
      <c r="G51" t="s">
        <v>654</v>
      </c>
      <c r="H51" t="s">
        <v>382</v>
      </c>
      <c r="I51">
        <v>382</v>
      </c>
      <c r="J51">
        <v>32</v>
      </c>
      <c r="K51" t="s">
        <v>386</v>
      </c>
      <c r="L51">
        <v>8258</v>
      </c>
      <c r="M51" t="s">
        <v>345</v>
      </c>
      <c r="N51" t="s">
        <v>390</v>
      </c>
      <c r="O51">
        <v>1</v>
      </c>
      <c r="P51">
        <v>2</v>
      </c>
      <c r="Q51">
        <v>-99</v>
      </c>
      <c r="R51" t="s">
        <v>678</v>
      </c>
    </row>
    <row r="52" spans="1:18" x14ac:dyDescent="0.2">
      <c r="A52">
        <v>51</v>
      </c>
      <c r="B52">
        <v>56</v>
      </c>
      <c r="C52" t="s">
        <v>159</v>
      </c>
      <c r="D52" t="s">
        <v>45</v>
      </c>
      <c r="E52" t="s">
        <v>564</v>
      </c>
      <c r="F52" t="s">
        <v>565</v>
      </c>
      <c r="G52" t="s">
        <v>652</v>
      </c>
      <c r="H52" t="s">
        <v>366</v>
      </c>
      <c r="I52">
        <v>380</v>
      </c>
      <c r="J52">
        <v>32</v>
      </c>
      <c r="K52" t="s">
        <v>386</v>
      </c>
      <c r="L52">
        <v>8259</v>
      </c>
      <c r="M52" t="s">
        <v>322</v>
      </c>
      <c r="N52" t="s">
        <v>391</v>
      </c>
      <c r="O52">
        <v>1</v>
      </c>
      <c r="P52">
        <v>2</v>
      </c>
      <c r="Q52">
        <v>-99</v>
      </c>
      <c r="R52" t="s">
        <v>678</v>
      </c>
    </row>
    <row r="53" spans="1:18" x14ac:dyDescent="0.2">
      <c r="A53">
        <v>52</v>
      </c>
      <c r="B53">
        <v>57</v>
      </c>
      <c r="C53" t="s">
        <v>160</v>
      </c>
      <c r="D53" t="s">
        <v>59</v>
      </c>
      <c r="E53" t="s">
        <v>566</v>
      </c>
      <c r="F53" t="s">
        <v>567</v>
      </c>
      <c r="G53" t="s">
        <v>654</v>
      </c>
      <c r="H53" t="s">
        <v>382</v>
      </c>
      <c r="I53">
        <v>382</v>
      </c>
      <c r="J53">
        <v>32</v>
      </c>
      <c r="K53" t="s">
        <v>386</v>
      </c>
      <c r="L53">
        <v>8260</v>
      </c>
      <c r="M53" t="s">
        <v>312</v>
      </c>
      <c r="N53" t="s">
        <v>392</v>
      </c>
      <c r="O53">
        <v>1</v>
      </c>
      <c r="P53">
        <v>1</v>
      </c>
      <c r="Q53">
        <v>-99</v>
      </c>
      <c r="R53" t="s">
        <v>678</v>
      </c>
    </row>
    <row r="54" spans="1:18" x14ac:dyDescent="0.2">
      <c r="A54">
        <v>53</v>
      </c>
      <c r="B54">
        <v>-99</v>
      </c>
      <c r="C54" t="s">
        <v>160</v>
      </c>
      <c r="D54" t="s">
        <v>59</v>
      </c>
      <c r="E54" t="s">
        <v>568</v>
      </c>
      <c r="F54" t="s">
        <v>212</v>
      </c>
      <c r="G54" t="s">
        <v>654</v>
      </c>
      <c r="H54" t="s">
        <v>382</v>
      </c>
      <c r="I54">
        <v>382</v>
      </c>
      <c r="J54">
        <v>32</v>
      </c>
      <c r="K54" t="s">
        <v>386</v>
      </c>
      <c r="L54">
        <v>8260</v>
      </c>
      <c r="M54" t="s">
        <v>312</v>
      </c>
      <c r="N54" t="s">
        <v>392</v>
      </c>
      <c r="O54">
        <v>-99</v>
      </c>
      <c r="P54">
        <v>1</v>
      </c>
      <c r="Q54">
        <v>-99</v>
      </c>
      <c r="R54" t="s">
        <v>211</v>
      </c>
    </row>
    <row r="55" spans="1:18" x14ac:dyDescent="0.2">
      <c r="A55">
        <v>54</v>
      </c>
      <c r="B55">
        <v>58</v>
      </c>
      <c r="C55" t="s">
        <v>161</v>
      </c>
      <c r="D55" t="s">
        <v>78</v>
      </c>
      <c r="E55" t="s">
        <v>569</v>
      </c>
      <c r="F55" t="s">
        <v>570</v>
      </c>
      <c r="G55" t="s">
        <v>654</v>
      </c>
      <c r="H55" t="s">
        <v>382</v>
      </c>
      <c r="I55">
        <v>382</v>
      </c>
      <c r="J55">
        <v>32</v>
      </c>
      <c r="K55" t="s">
        <v>386</v>
      </c>
      <c r="L55">
        <v>8261</v>
      </c>
      <c r="M55" t="s">
        <v>335</v>
      </c>
      <c r="N55" t="s">
        <v>393</v>
      </c>
      <c r="O55">
        <v>1</v>
      </c>
      <c r="P55">
        <v>2</v>
      </c>
      <c r="Q55">
        <v>-99</v>
      </c>
      <c r="R55" t="s">
        <v>678</v>
      </c>
    </row>
    <row r="56" spans="1:18" x14ac:dyDescent="0.2">
      <c r="A56">
        <v>55</v>
      </c>
      <c r="B56">
        <v>59</v>
      </c>
      <c r="C56" t="s">
        <v>162</v>
      </c>
      <c r="D56" t="s">
        <v>44</v>
      </c>
      <c r="E56" t="s">
        <v>571</v>
      </c>
      <c r="F56" t="s">
        <v>572</v>
      </c>
      <c r="G56" t="s">
        <v>654</v>
      </c>
      <c r="H56" t="s">
        <v>382</v>
      </c>
      <c r="I56">
        <v>382</v>
      </c>
      <c r="J56">
        <v>32</v>
      </c>
      <c r="K56" t="s">
        <v>386</v>
      </c>
      <c r="L56">
        <v>8262</v>
      </c>
      <c r="M56" t="s">
        <v>359</v>
      </c>
      <c r="N56" t="s">
        <v>395</v>
      </c>
      <c r="O56">
        <v>1</v>
      </c>
      <c r="P56">
        <v>2</v>
      </c>
      <c r="Q56">
        <v>-99</v>
      </c>
      <c r="R56" t="s">
        <v>678</v>
      </c>
    </row>
    <row r="57" spans="1:18" x14ac:dyDescent="0.2">
      <c r="A57">
        <v>56</v>
      </c>
      <c r="B57">
        <v>60</v>
      </c>
      <c r="C57" t="s">
        <v>163</v>
      </c>
      <c r="D57" t="s">
        <v>53</v>
      </c>
      <c r="E57" t="s">
        <v>573</v>
      </c>
      <c r="F57" t="s">
        <v>574</v>
      </c>
      <c r="G57" t="s">
        <v>654</v>
      </c>
      <c r="H57" t="s">
        <v>382</v>
      </c>
      <c r="I57">
        <v>382</v>
      </c>
      <c r="J57">
        <v>32</v>
      </c>
      <c r="K57" t="s">
        <v>386</v>
      </c>
      <c r="L57">
        <v>8263</v>
      </c>
      <c r="M57" t="s">
        <v>318</v>
      </c>
      <c r="N57" t="s">
        <v>396</v>
      </c>
      <c r="O57">
        <v>1</v>
      </c>
      <c r="P57">
        <v>2</v>
      </c>
      <c r="Q57">
        <v>-99</v>
      </c>
      <c r="R57" t="s">
        <v>678</v>
      </c>
    </row>
    <row r="58" spans="1:18" x14ac:dyDescent="0.2">
      <c r="A58">
        <v>57</v>
      </c>
      <c r="B58">
        <v>84</v>
      </c>
      <c r="C58" t="s">
        <v>164</v>
      </c>
      <c r="D58" t="s">
        <v>79</v>
      </c>
      <c r="E58" t="s">
        <v>575</v>
      </c>
      <c r="F58" t="s">
        <v>576</v>
      </c>
      <c r="G58" t="s">
        <v>654</v>
      </c>
      <c r="H58" t="s">
        <v>382</v>
      </c>
      <c r="I58">
        <v>382</v>
      </c>
      <c r="J58">
        <v>32</v>
      </c>
      <c r="K58" t="s">
        <v>386</v>
      </c>
      <c r="L58">
        <v>8264</v>
      </c>
      <c r="M58" t="s">
        <v>329</v>
      </c>
      <c r="N58" t="s">
        <v>397</v>
      </c>
      <c r="O58">
        <v>1</v>
      </c>
      <c r="P58">
        <v>1</v>
      </c>
      <c r="Q58">
        <v>-99</v>
      </c>
      <c r="R58" t="s">
        <v>678</v>
      </c>
    </row>
    <row r="59" spans="1:18" x14ac:dyDescent="0.2">
      <c r="A59">
        <v>58</v>
      </c>
      <c r="B59">
        <v>-99</v>
      </c>
      <c r="C59" t="s">
        <v>164</v>
      </c>
      <c r="D59" t="s">
        <v>79</v>
      </c>
      <c r="E59" t="s">
        <v>577</v>
      </c>
      <c r="F59" t="s">
        <v>487</v>
      </c>
      <c r="G59" t="s">
        <v>654</v>
      </c>
      <c r="H59" t="s">
        <v>382</v>
      </c>
      <c r="I59">
        <v>382</v>
      </c>
      <c r="J59">
        <v>32</v>
      </c>
      <c r="K59" t="s">
        <v>386</v>
      </c>
      <c r="L59">
        <v>8264</v>
      </c>
      <c r="M59" t="s">
        <v>329</v>
      </c>
      <c r="N59" t="s">
        <v>397</v>
      </c>
      <c r="O59">
        <v>-99</v>
      </c>
      <c r="P59">
        <v>1</v>
      </c>
      <c r="Q59">
        <v>-99</v>
      </c>
      <c r="R59" t="s">
        <v>650</v>
      </c>
    </row>
    <row r="60" spans="1:18" x14ac:dyDescent="0.2">
      <c r="A60">
        <v>59</v>
      </c>
      <c r="B60">
        <v>-99</v>
      </c>
      <c r="C60" t="s">
        <v>164</v>
      </c>
      <c r="D60" t="s">
        <v>79</v>
      </c>
      <c r="E60" t="s">
        <v>578</v>
      </c>
      <c r="F60" t="s">
        <v>215</v>
      </c>
      <c r="G60" t="s">
        <v>654</v>
      </c>
      <c r="H60" t="s">
        <v>382</v>
      </c>
      <c r="I60">
        <v>382</v>
      </c>
      <c r="J60">
        <v>32</v>
      </c>
      <c r="K60" t="s">
        <v>386</v>
      </c>
      <c r="L60">
        <v>8264</v>
      </c>
      <c r="M60" t="s">
        <v>329</v>
      </c>
      <c r="N60" t="s">
        <v>397</v>
      </c>
      <c r="O60">
        <v>-99</v>
      </c>
      <c r="P60">
        <v>1</v>
      </c>
      <c r="Q60">
        <v>-99</v>
      </c>
      <c r="R60" t="s">
        <v>211</v>
      </c>
    </row>
    <row r="61" spans="1:18" x14ac:dyDescent="0.2">
      <c r="A61">
        <v>60</v>
      </c>
      <c r="B61">
        <v>100</v>
      </c>
      <c r="C61" t="s">
        <v>165</v>
      </c>
      <c r="D61" t="s">
        <v>43</v>
      </c>
      <c r="E61" t="s">
        <v>579</v>
      </c>
      <c r="F61" t="s">
        <v>580</v>
      </c>
      <c r="G61" t="s">
        <v>656</v>
      </c>
      <c r="H61" t="s">
        <v>398</v>
      </c>
      <c r="I61">
        <v>383</v>
      </c>
      <c r="J61">
        <v>33</v>
      </c>
      <c r="K61" t="s">
        <v>381</v>
      </c>
      <c r="L61">
        <v>8268</v>
      </c>
      <c r="M61" t="s">
        <v>346</v>
      </c>
      <c r="N61" t="s">
        <v>399</v>
      </c>
      <c r="O61">
        <v>1</v>
      </c>
      <c r="P61">
        <v>2</v>
      </c>
      <c r="Q61">
        <v>-99</v>
      </c>
      <c r="R61" t="s">
        <v>678</v>
      </c>
    </row>
    <row r="62" spans="1:18" x14ac:dyDescent="0.2">
      <c r="A62">
        <v>61</v>
      </c>
      <c r="B62">
        <v>101</v>
      </c>
      <c r="C62" t="s">
        <v>166</v>
      </c>
      <c r="D62" t="s">
        <v>34</v>
      </c>
      <c r="E62" t="s">
        <v>581</v>
      </c>
      <c r="F62" t="s">
        <v>582</v>
      </c>
      <c r="G62" t="s">
        <v>656</v>
      </c>
      <c r="H62" t="s">
        <v>398</v>
      </c>
      <c r="I62">
        <v>383</v>
      </c>
      <c r="J62">
        <v>34</v>
      </c>
      <c r="K62" t="s">
        <v>400</v>
      </c>
      <c r="L62">
        <v>8269</v>
      </c>
      <c r="M62" t="s">
        <v>314</v>
      </c>
      <c r="N62" t="s">
        <v>401</v>
      </c>
      <c r="O62">
        <v>1</v>
      </c>
      <c r="P62">
        <v>2</v>
      </c>
      <c r="Q62">
        <v>-99</v>
      </c>
      <c r="R62" t="s">
        <v>678</v>
      </c>
    </row>
    <row r="63" spans="1:18" x14ac:dyDescent="0.2">
      <c r="A63">
        <v>62</v>
      </c>
      <c r="B63">
        <v>102</v>
      </c>
      <c r="C63" t="s">
        <v>167</v>
      </c>
      <c r="D63" t="s">
        <v>73</v>
      </c>
      <c r="E63" t="s">
        <v>583</v>
      </c>
      <c r="F63" t="s">
        <v>584</v>
      </c>
      <c r="G63" t="s">
        <v>656</v>
      </c>
      <c r="H63" t="s">
        <v>398</v>
      </c>
      <c r="I63">
        <v>383</v>
      </c>
      <c r="J63">
        <v>33</v>
      </c>
      <c r="K63" t="s">
        <v>381</v>
      </c>
      <c r="L63">
        <v>8270</v>
      </c>
      <c r="M63" t="s">
        <v>340</v>
      </c>
      <c r="N63" t="s">
        <v>402</v>
      </c>
      <c r="O63">
        <v>1</v>
      </c>
      <c r="P63">
        <v>1</v>
      </c>
      <c r="Q63">
        <v>-99</v>
      </c>
      <c r="R63" t="s">
        <v>678</v>
      </c>
    </row>
    <row r="64" spans="1:18" x14ac:dyDescent="0.2">
      <c r="A64">
        <v>63</v>
      </c>
      <c r="B64">
        <v>-99</v>
      </c>
      <c r="C64" t="s">
        <v>167</v>
      </c>
      <c r="D64" t="s">
        <v>73</v>
      </c>
      <c r="E64" t="s">
        <v>585</v>
      </c>
      <c r="F64" t="s">
        <v>214</v>
      </c>
      <c r="G64" t="s">
        <v>656</v>
      </c>
      <c r="H64" t="s">
        <v>398</v>
      </c>
      <c r="I64">
        <v>383</v>
      </c>
      <c r="J64">
        <v>33</v>
      </c>
      <c r="K64" t="s">
        <v>381</v>
      </c>
      <c r="L64">
        <v>8270</v>
      </c>
      <c r="M64" t="s">
        <v>340</v>
      </c>
      <c r="N64" t="s">
        <v>402</v>
      </c>
      <c r="O64">
        <v>-99</v>
      </c>
      <c r="P64">
        <v>1</v>
      </c>
      <c r="Q64">
        <v>-99</v>
      </c>
      <c r="R64" t="s">
        <v>675</v>
      </c>
    </row>
    <row r="65" spans="1:18" x14ac:dyDescent="0.2">
      <c r="A65">
        <v>64</v>
      </c>
      <c r="B65">
        <v>103</v>
      </c>
      <c r="C65" t="s">
        <v>168</v>
      </c>
      <c r="D65" t="s">
        <v>65</v>
      </c>
      <c r="E65" t="s">
        <v>586</v>
      </c>
      <c r="F65" t="s">
        <v>587</v>
      </c>
      <c r="G65" t="s">
        <v>656</v>
      </c>
      <c r="H65" t="s">
        <v>398</v>
      </c>
      <c r="I65">
        <v>383</v>
      </c>
      <c r="J65">
        <v>34</v>
      </c>
      <c r="K65" t="s">
        <v>400</v>
      </c>
      <c r="L65">
        <v>8272</v>
      </c>
      <c r="M65" t="s">
        <v>328</v>
      </c>
      <c r="N65" t="s">
        <v>403</v>
      </c>
      <c r="O65">
        <v>1</v>
      </c>
      <c r="P65">
        <v>2</v>
      </c>
      <c r="Q65">
        <v>-99</v>
      </c>
      <c r="R65" t="s">
        <v>678</v>
      </c>
    </row>
    <row r="66" spans="1:18" x14ac:dyDescent="0.2">
      <c r="A66">
        <v>65</v>
      </c>
      <c r="B66">
        <v>104</v>
      </c>
      <c r="C66" t="s">
        <v>169</v>
      </c>
      <c r="D66" t="s">
        <v>55</v>
      </c>
      <c r="E66" t="s">
        <v>588</v>
      </c>
      <c r="F66" t="s">
        <v>589</v>
      </c>
      <c r="G66" t="s">
        <v>656</v>
      </c>
      <c r="H66" t="s">
        <v>398</v>
      </c>
      <c r="I66">
        <v>383</v>
      </c>
      <c r="J66">
        <v>34</v>
      </c>
      <c r="K66" t="s">
        <v>400</v>
      </c>
      <c r="L66">
        <v>8221</v>
      </c>
      <c r="M66" t="s">
        <v>328</v>
      </c>
      <c r="N66" t="s">
        <v>403</v>
      </c>
      <c r="O66">
        <v>1</v>
      </c>
      <c r="P66">
        <v>2</v>
      </c>
      <c r="Q66">
        <v>-99</v>
      </c>
      <c r="R66" t="s">
        <v>678</v>
      </c>
    </row>
    <row r="67" spans="1:18" x14ac:dyDescent="0.2">
      <c r="A67">
        <v>66</v>
      </c>
      <c r="B67">
        <v>196</v>
      </c>
      <c r="C67" t="s">
        <v>170</v>
      </c>
      <c r="D67" t="s">
        <v>67</v>
      </c>
      <c r="E67" t="s">
        <v>590</v>
      </c>
      <c r="F67" t="s">
        <v>591</v>
      </c>
      <c r="G67" t="s">
        <v>656</v>
      </c>
      <c r="H67" t="s">
        <v>398</v>
      </c>
      <c r="I67">
        <v>383</v>
      </c>
      <c r="J67">
        <v>34</v>
      </c>
      <c r="K67" t="s">
        <v>400</v>
      </c>
      <c r="L67">
        <v>8202</v>
      </c>
      <c r="M67" t="s">
        <v>341</v>
      </c>
      <c r="N67" t="s">
        <v>422</v>
      </c>
      <c r="O67">
        <v>1</v>
      </c>
      <c r="P67">
        <v>2</v>
      </c>
      <c r="Q67">
        <v>-99</v>
      </c>
      <c r="R67" t="s">
        <v>678</v>
      </c>
    </row>
    <row r="68" spans="1:18" x14ac:dyDescent="0.2">
      <c r="A68">
        <v>67</v>
      </c>
      <c r="B68">
        <v>110</v>
      </c>
      <c r="C68" t="s">
        <v>171</v>
      </c>
      <c r="D68" t="s">
        <v>76</v>
      </c>
      <c r="E68" t="s">
        <v>592</v>
      </c>
      <c r="F68" t="s">
        <v>593</v>
      </c>
      <c r="G68" t="s">
        <v>656</v>
      </c>
      <c r="H68" t="s">
        <v>398</v>
      </c>
      <c r="I68">
        <v>383</v>
      </c>
      <c r="J68">
        <v>34</v>
      </c>
      <c r="K68" t="s">
        <v>400</v>
      </c>
      <c r="L68">
        <v>8203</v>
      </c>
      <c r="M68" t="s">
        <v>325</v>
      </c>
      <c r="N68" t="s">
        <v>83</v>
      </c>
      <c r="O68">
        <v>1</v>
      </c>
      <c r="P68">
        <v>1</v>
      </c>
      <c r="Q68">
        <v>-99</v>
      </c>
      <c r="R68" t="s">
        <v>678</v>
      </c>
    </row>
    <row r="69" spans="1:18" x14ac:dyDescent="0.2">
      <c r="A69">
        <v>68</v>
      </c>
      <c r="B69">
        <v>-99</v>
      </c>
      <c r="C69" t="s">
        <v>171</v>
      </c>
      <c r="D69" t="s">
        <v>76</v>
      </c>
      <c r="E69" t="s">
        <v>594</v>
      </c>
      <c r="F69" t="s">
        <v>595</v>
      </c>
      <c r="G69" t="s">
        <v>656</v>
      </c>
      <c r="H69" t="s">
        <v>398</v>
      </c>
      <c r="I69">
        <v>383</v>
      </c>
      <c r="J69">
        <v>34</v>
      </c>
      <c r="K69" t="s">
        <v>400</v>
      </c>
      <c r="L69">
        <v>8203</v>
      </c>
      <c r="M69" t="s">
        <v>325</v>
      </c>
      <c r="N69" t="s">
        <v>83</v>
      </c>
      <c r="O69">
        <v>-99</v>
      </c>
      <c r="P69">
        <v>1</v>
      </c>
      <c r="Q69">
        <v>-99</v>
      </c>
      <c r="R69" t="s">
        <v>394</v>
      </c>
    </row>
    <row r="70" spans="1:18" x14ac:dyDescent="0.2">
      <c r="A70">
        <v>69</v>
      </c>
      <c r="B70">
        <v>111</v>
      </c>
      <c r="C70" t="s">
        <v>172</v>
      </c>
      <c r="D70" t="s">
        <v>37</v>
      </c>
      <c r="E70" t="s">
        <v>596</v>
      </c>
      <c r="F70" t="s">
        <v>597</v>
      </c>
      <c r="G70" t="s">
        <v>656</v>
      </c>
      <c r="H70" t="s">
        <v>398</v>
      </c>
      <c r="I70">
        <v>383</v>
      </c>
      <c r="J70">
        <v>34</v>
      </c>
      <c r="K70" t="s">
        <v>400</v>
      </c>
      <c r="L70">
        <v>8204</v>
      </c>
      <c r="M70" t="s">
        <v>330</v>
      </c>
      <c r="N70" t="s">
        <v>404</v>
      </c>
      <c r="O70">
        <v>1</v>
      </c>
      <c r="P70">
        <v>2</v>
      </c>
      <c r="Q70">
        <v>-99</v>
      </c>
      <c r="R70" t="s">
        <v>678</v>
      </c>
    </row>
    <row r="71" spans="1:18" x14ac:dyDescent="0.2">
      <c r="A71">
        <v>70</v>
      </c>
      <c r="B71">
        <v>112</v>
      </c>
      <c r="C71" t="s">
        <v>173</v>
      </c>
      <c r="D71" t="s">
        <v>69</v>
      </c>
      <c r="E71" t="s">
        <v>598</v>
      </c>
      <c r="F71" t="s">
        <v>599</v>
      </c>
      <c r="G71" t="s">
        <v>656</v>
      </c>
      <c r="H71" t="s">
        <v>398</v>
      </c>
      <c r="I71">
        <v>383</v>
      </c>
      <c r="J71">
        <v>34</v>
      </c>
      <c r="K71" t="s">
        <v>400</v>
      </c>
      <c r="L71">
        <v>8205</v>
      </c>
      <c r="M71" t="s">
        <v>347</v>
      </c>
      <c r="N71" t="s">
        <v>405</v>
      </c>
      <c r="O71">
        <v>1</v>
      </c>
      <c r="P71">
        <v>2</v>
      </c>
      <c r="Q71">
        <v>-99</v>
      </c>
      <c r="R71" t="s">
        <v>678</v>
      </c>
    </row>
    <row r="72" spans="1:18" x14ac:dyDescent="0.2">
      <c r="A72">
        <v>71</v>
      </c>
      <c r="B72">
        <v>113</v>
      </c>
      <c r="C72" t="s">
        <v>174</v>
      </c>
      <c r="D72" t="s">
        <v>82</v>
      </c>
      <c r="E72" t="s">
        <v>600</v>
      </c>
      <c r="F72" t="s">
        <v>601</v>
      </c>
      <c r="G72" t="s">
        <v>654</v>
      </c>
      <c r="H72" t="s">
        <v>382</v>
      </c>
      <c r="I72">
        <v>382</v>
      </c>
      <c r="J72">
        <v>33</v>
      </c>
      <c r="K72" t="s">
        <v>381</v>
      </c>
      <c r="L72">
        <v>8206</v>
      </c>
      <c r="M72" t="s">
        <v>323</v>
      </c>
      <c r="N72" t="s">
        <v>406</v>
      </c>
      <c r="O72">
        <v>1</v>
      </c>
      <c r="P72">
        <v>2</v>
      </c>
      <c r="Q72">
        <v>-99</v>
      </c>
      <c r="R72" t="s">
        <v>678</v>
      </c>
    </row>
    <row r="73" spans="1:18" x14ac:dyDescent="0.2">
      <c r="A73">
        <v>72</v>
      </c>
      <c r="B73">
        <v>114</v>
      </c>
      <c r="C73" t="s">
        <v>175</v>
      </c>
      <c r="D73" t="s">
        <v>54</v>
      </c>
      <c r="E73" t="s">
        <v>602</v>
      </c>
      <c r="F73" t="s">
        <v>603</v>
      </c>
      <c r="G73" t="s">
        <v>654</v>
      </c>
      <c r="H73" t="s">
        <v>382</v>
      </c>
      <c r="I73">
        <v>382</v>
      </c>
      <c r="J73">
        <v>33</v>
      </c>
      <c r="K73" t="s">
        <v>381</v>
      </c>
      <c r="L73">
        <v>8207</v>
      </c>
      <c r="M73" t="s">
        <v>311</v>
      </c>
      <c r="N73" t="s">
        <v>407</v>
      </c>
      <c r="O73">
        <v>1</v>
      </c>
      <c r="P73">
        <v>2</v>
      </c>
      <c r="Q73">
        <v>-99</v>
      </c>
      <c r="R73" t="s">
        <v>678</v>
      </c>
    </row>
    <row r="74" spans="1:18" x14ac:dyDescent="0.2">
      <c r="A74">
        <v>73</v>
      </c>
      <c r="B74">
        <v>115</v>
      </c>
      <c r="C74" t="s">
        <v>176</v>
      </c>
      <c r="D74" t="s">
        <v>27</v>
      </c>
      <c r="E74" t="s">
        <v>604</v>
      </c>
      <c r="F74" t="s">
        <v>605</v>
      </c>
      <c r="G74" t="s">
        <v>654</v>
      </c>
      <c r="H74" t="s">
        <v>382</v>
      </c>
      <c r="I74">
        <v>382</v>
      </c>
      <c r="J74">
        <v>33</v>
      </c>
      <c r="K74" t="s">
        <v>381</v>
      </c>
      <c r="L74">
        <v>8208</v>
      </c>
      <c r="M74" t="s">
        <v>334</v>
      </c>
      <c r="N74" t="s">
        <v>408</v>
      </c>
      <c r="O74">
        <v>1</v>
      </c>
      <c r="P74">
        <v>2</v>
      </c>
      <c r="Q74">
        <v>-99</v>
      </c>
      <c r="R74" t="s">
        <v>678</v>
      </c>
    </row>
    <row r="75" spans="1:18" x14ac:dyDescent="0.2">
      <c r="A75">
        <v>74</v>
      </c>
      <c r="B75">
        <v>116</v>
      </c>
      <c r="C75" t="s">
        <v>177</v>
      </c>
      <c r="D75" t="s">
        <v>71</v>
      </c>
      <c r="E75" t="s">
        <v>606</v>
      </c>
      <c r="F75" t="s">
        <v>607</v>
      </c>
      <c r="G75" t="s">
        <v>656</v>
      </c>
      <c r="H75" t="s">
        <v>398</v>
      </c>
      <c r="I75">
        <v>383</v>
      </c>
      <c r="J75">
        <v>34</v>
      </c>
      <c r="K75" t="s">
        <v>400</v>
      </c>
      <c r="L75">
        <v>8210</v>
      </c>
      <c r="M75" t="s">
        <v>324</v>
      </c>
      <c r="N75" t="s">
        <v>409</v>
      </c>
      <c r="O75">
        <v>1</v>
      </c>
      <c r="P75">
        <v>2</v>
      </c>
      <c r="Q75">
        <v>-99</v>
      </c>
      <c r="R75" t="s">
        <v>678</v>
      </c>
    </row>
    <row r="76" spans="1:18" x14ac:dyDescent="0.2">
      <c r="A76">
        <v>75</v>
      </c>
      <c r="B76">
        <v>197</v>
      </c>
      <c r="C76" t="s">
        <v>178</v>
      </c>
      <c r="D76" t="s">
        <v>75</v>
      </c>
      <c r="E76" t="s">
        <v>608</v>
      </c>
      <c r="F76" t="s">
        <v>609</v>
      </c>
      <c r="G76" t="s">
        <v>653</v>
      </c>
      <c r="H76" t="s">
        <v>373</v>
      </c>
      <c r="I76">
        <v>381</v>
      </c>
      <c r="J76">
        <v>31</v>
      </c>
      <c r="K76" t="s">
        <v>376</v>
      </c>
      <c r="L76">
        <v>8211</v>
      </c>
      <c r="M76" t="s">
        <v>327</v>
      </c>
      <c r="N76" t="s">
        <v>423</v>
      </c>
      <c r="O76">
        <v>1</v>
      </c>
      <c r="P76">
        <v>2</v>
      </c>
      <c r="Q76">
        <v>-99</v>
      </c>
      <c r="R76" t="s">
        <v>678</v>
      </c>
    </row>
    <row r="77" spans="1:18" x14ac:dyDescent="0.2">
      <c r="A77">
        <v>76</v>
      </c>
      <c r="B77">
        <v>119</v>
      </c>
      <c r="C77" t="s">
        <v>179</v>
      </c>
      <c r="D77" t="s">
        <v>58</v>
      </c>
      <c r="E77" t="s">
        <v>610</v>
      </c>
      <c r="F77" t="s">
        <v>611</v>
      </c>
      <c r="G77" t="s">
        <v>656</v>
      </c>
      <c r="H77" t="s">
        <v>398</v>
      </c>
      <c r="I77">
        <v>383</v>
      </c>
      <c r="J77">
        <v>34</v>
      </c>
      <c r="K77" t="s">
        <v>400</v>
      </c>
      <c r="L77">
        <v>8223</v>
      </c>
      <c r="M77" t="s">
        <v>612</v>
      </c>
      <c r="N77" t="s">
        <v>613</v>
      </c>
      <c r="O77">
        <v>1</v>
      </c>
      <c r="P77">
        <v>2</v>
      </c>
      <c r="Q77">
        <v>-99</v>
      </c>
      <c r="R77" t="s">
        <v>678</v>
      </c>
    </row>
    <row r="78" spans="1:18" x14ac:dyDescent="0.2">
      <c r="A78">
        <v>77</v>
      </c>
      <c r="B78">
        <v>131</v>
      </c>
      <c r="C78" t="s">
        <v>180</v>
      </c>
      <c r="D78" t="s">
        <v>49</v>
      </c>
      <c r="E78" t="s">
        <v>614</v>
      </c>
      <c r="F78" t="s">
        <v>615</v>
      </c>
      <c r="G78" t="s">
        <v>654</v>
      </c>
      <c r="H78" t="s">
        <v>382</v>
      </c>
      <c r="I78">
        <v>382</v>
      </c>
      <c r="J78">
        <v>33</v>
      </c>
      <c r="K78" t="s">
        <v>381</v>
      </c>
      <c r="L78">
        <v>8226</v>
      </c>
      <c r="M78" t="s">
        <v>323</v>
      </c>
      <c r="N78" t="s">
        <v>406</v>
      </c>
      <c r="O78">
        <v>1</v>
      </c>
      <c r="P78">
        <v>2</v>
      </c>
      <c r="Q78">
        <v>-99</v>
      </c>
      <c r="R78" t="s">
        <v>678</v>
      </c>
    </row>
    <row r="79" spans="1:18" x14ac:dyDescent="0.2">
      <c r="A79">
        <v>78</v>
      </c>
      <c r="B79">
        <v>132</v>
      </c>
      <c r="C79" t="s">
        <v>665</v>
      </c>
      <c r="D79" t="s">
        <v>426</v>
      </c>
      <c r="E79" t="s">
        <v>616</v>
      </c>
      <c r="F79" t="s">
        <v>666</v>
      </c>
      <c r="G79" t="s">
        <v>653</v>
      </c>
      <c r="H79" t="s">
        <v>373</v>
      </c>
      <c r="I79">
        <v>381</v>
      </c>
      <c r="J79">
        <v>30</v>
      </c>
      <c r="K79" t="s">
        <v>365</v>
      </c>
      <c r="L79">
        <v>8229</v>
      </c>
      <c r="M79" t="s">
        <v>342</v>
      </c>
      <c r="N79" t="s">
        <v>410</v>
      </c>
      <c r="O79">
        <v>1</v>
      </c>
      <c r="P79">
        <v>2</v>
      </c>
      <c r="Q79">
        <v>-99</v>
      </c>
      <c r="R79" t="s">
        <v>678</v>
      </c>
    </row>
    <row r="80" spans="1:18" x14ac:dyDescent="0.2">
      <c r="A80">
        <v>79</v>
      </c>
      <c r="B80">
        <v>143</v>
      </c>
      <c r="C80" t="s">
        <v>181</v>
      </c>
      <c r="D80" t="s">
        <v>57</v>
      </c>
      <c r="E80" t="s">
        <v>617</v>
      </c>
      <c r="F80" t="s">
        <v>618</v>
      </c>
      <c r="G80" t="s">
        <v>652</v>
      </c>
      <c r="H80" t="s">
        <v>366</v>
      </c>
      <c r="I80">
        <v>380</v>
      </c>
      <c r="J80">
        <v>30</v>
      </c>
      <c r="K80" t="s">
        <v>365</v>
      </c>
      <c r="L80">
        <v>8230</v>
      </c>
      <c r="M80" t="s">
        <v>355</v>
      </c>
      <c r="N80" t="s">
        <v>411</v>
      </c>
      <c r="O80">
        <v>1</v>
      </c>
      <c r="P80">
        <v>2</v>
      </c>
      <c r="Q80">
        <v>-99</v>
      </c>
      <c r="R80" t="s">
        <v>678</v>
      </c>
    </row>
    <row r="81" spans="1:18" x14ac:dyDescent="0.2">
      <c r="A81">
        <v>80</v>
      </c>
      <c r="B81">
        <v>144</v>
      </c>
      <c r="C81" t="s">
        <v>667</v>
      </c>
      <c r="D81" t="s">
        <v>485</v>
      </c>
      <c r="E81" t="s">
        <v>667</v>
      </c>
      <c r="F81" t="s">
        <v>485</v>
      </c>
      <c r="G81" t="s">
        <v>664</v>
      </c>
      <c r="H81" t="s">
        <v>8</v>
      </c>
      <c r="I81">
        <v>-99</v>
      </c>
      <c r="J81">
        <v>35</v>
      </c>
      <c r="K81" t="s">
        <v>8</v>
      </c>
      <c r="L81">
        <v>8215</v>
      </c>
      <c r="M81" t="s">
        <v>335</v>
      </c>
      <c r="N81" t="s">
        <v>393</v>
      </c>
      <c r="O81">
        <v>1</v>
      </c>
      <c r="P81">
        <v>2</v>
      </c>
      <c r="Q81">
        <v>-99</v>
      </c>
      <c r="R81" t="s">
        <v>650</v>
      </c>
    </row>
    <row r="82" spans="1:18" x14ac:dyDescent="0.2">
      <c r="A82">
        <v>81</v>
      </c>
      <c r="B82">
        <v>145</v>
      </c>
      <c r="C82" t="s">
        <v>182</v>
      </c>
      <c r="D82" t="s">
        <v>74</v>
      </c>
      <c r="E82" t="s">
        <v>619</v>
      </c>
      <c r="F82" t="s">
        <v>620</v>
      </c>
      <c r="G82" t="s">
        <v>656</v>
      </c>
      <c r="H82" t="s">
        <v>398</v>
      </c>
      <c r="I82">
        <v>383</v>
      </c>
      <c r="J82">
        <v>34</v>
      </c>
      <c r="K82" t="s">
        <v>400</v>
      </c>
      <c r="L82">
        <v>8231</v>
      </c>
      <c r="M82" t="s">
        <v>328</v>
      </c>
      <c r="N82" t="s">
        <v>403</v>
      </c>
      <c r="O82">
        <v>1</v>
      </c>
      <c r="P82">
        <v>1</v>
      </c>
      <c r="Q82">
        <v>-99</v>
      </c>
      <c r="R82" t="s">
        <v>678</v>
      </c>
    </row>
    <row r="83" spans="1:18" x14ac:dyDescent="0.2">
      <c r="A83">
        <v>82</v>
      </c>
      <c r="B83">
        <v>-99</v>
      </c>
      <c r="C83" t="s">
        <v>182</v>
      </c>
      <c r="D83" t="s">
        <v>74</v>
      </c>
      <c r="E83" t="s">
        <v>621</v>
      </c>
      <c r="F83" t="s">
        <v>952</v>
      </c>
      <c r="G83" t="s">
        <v>656</v>
      </c>
      <c r="H83" t="s">
        <v>398</v>
      </c>
      <c r="I83">
        <v>383</v>
      </c>
      <c r="J83">
        <v>34</v>
      </c>
      <c r="K83" t="s">
        <v>400</v>
      </c>
      <c r="L83">
        <v>8231</v>
      </c>
      <c r="M83" t="s">
        <v>328</v>
      </c>
      <c r="N83" t="s">
        <v>403</v>
      </c>
      <c r="O83">
        <v>-99</v>
      </c>
      <c r="P83">
        <v>1</v>
      </c>
      <c r="Q83">
        <v>-99</v>
      </c>
      <c r="R83" t="s">
        <v>676</v>
      </c>
    </row>
    <row r="84" spans="1:18" x14ac:dyDescent="0.2">
      <c r="A84">
        <v>83</v>
      </c>
      <c r="B84">
        <v>151</v>
      </c>
      <c r="C84" t="s">
        <v>668</v>
      </c>
      <c r="D84" t="s">
        <v>1053</v>
      </c>
      <c r="E84" t="s">
        <v>668</v>
      </c>
      <c r="F84" t="s">
        <v>486</v>
      </c>
      <c r="G84" t="s">
        <v>664</v>
      </c>
      <c r="H84" t="s">
        <v>8</v>
      </c>
      <c r="I84">
        <v>380</v>
      </c>
      <c r="J84">
        <v>35</v>
      </c>
      <c r="K84" t="s">
        <v>8</v>
      </c>
      <c r="L84">
        <v>3180155</v>
      </c>
      <c r="M84" t="s">
        <v>342</v>
      </c>
      <c r="N84" t="s">
        <v>410</v>
      </c>
      <c r="O84">
        <v>1</v>
      </c>
      <c r="P84">
        <v>2</v>
      </c>
      <c r="Q84">
        <v>-99</v>
      </c>
      <c r="R84" t="s">
        <v>650</v>
      </c>
    </row>
    <row r="85" spans="1:18" x14ac:dyDescent="0.2">
      <c r="A85">
        <v>84</v>
      </c>
      <c r="B85">
        <v>152</v>
      </c>
      <c r="C85" t="s">
        <v>183</v>
      </c>
      <c r="D85" t="s">
        <v>81</v>
      </c>
      <c r="E85" t="s">
        <v>622</v>
      </c>
      <c r="F85" t="s">
        <v>623</v>
      </c>
      <c r="G85" t="s">
        <v>652</v>
      </c>
      <c r="H85" t="s">
        <v>366</v>
      </c>
      <c r="I85">
        <v>380</v>
      </c>
      <c r="J85">
        <v>30</v>
      </c>
      <c r="K85" t="s">
        <v>365</v>
      </c>
      <c r="L85">
        <v>8234</v>
      </c>
      <c r="M85" t="s">
        <v>348</v>
      </c>
      <c r="N85" t="s">
        <v>412</v>
      </c>
      <c r="O85">
        <v>1</v>
      </c>
      <c r="P85">
        <v>2</v>
      </c>
      <c r="Q85">
        <v>-99</v>
      </c>
      <c r="R85" t="s">
        <v>678</v>
      </c>
    </row>
    <row r="86" spans="1:18" x14ac:dyDescent="0.2">
      <c r="A86">
        <v>85</v>
      </c>
      <c r="B86">
        <v>153</v>
      </c>
      <c r="C86" t="s">
        <v>92</v>
      </c>
      <c r="D86" t="s">
        <v>138</v>
      </c>
      <c r="E86" t="s">
        <v>624</v>
      </c>
      <c r="F86" t="s">
        <v>625</v>
      </c>
      <c r="G86" t="s">
        <v>652</v>
      </c>
      <c r="H86" t="s">
        <v>366</v>
      </c>
      <c r="I86">
        <v>380</v>
      </c>
      <c r="J86">
        <v>30</v>
      </c>
      <c r="K86" t="s">
        <v>365</v>
      </c>
      <c r="L86">
        <v>8236</v>
      </c>
      <c r="M86" t="s">
        <v>361</v>
      </c>
      <c r="N86" t="s">
        <v>413</v>
      </c>
      <c r="O86">
        <v>1</v>
      </c>
      <c r="P86">
        <v>2</v>
      </c>
      <c r="Q86">
        <v>-99</v>
      </c>
      <c r="R86" t="s">
        <v>678</v>
      </c>
    </row>
    <row r="87" spans="1:18" x14ac:dyDescent="0.2">
      <c r="A87">
        <v>86</v>
      </c>
      <c r="B87">
        <v>154</v>
      </c>
      <c r="C87" t="s">
        <v>185</v>
      </c>
      <c r="D87" t="s">
        <v>184</v>
      </c>
      <c r="E87" t="s">
        <v>626</v>
      </c>
      <c r="F87" t="s">
        <v>627</v>
      </c>
      <c r="G87" t="s">
        <v>656</v>
      </c>
      <c r="H87" t="s">
        <v>398</v>
      </c>
      <c r="I87">
        <v>383</v>
      </c>
      <c r="J87">
        <v>33</v>
      </c>
      <c r="K87" t="s">
        <v>381</v>
      </c>
      <c r="L87">
        <v>8265</v>
      </c>
      <c r="M87" t="s">
        <v>354</v>
      </c>
      <c r="N87" t="s">
        <v>414</v>
      </c>
      <c r="O87">
        <v>1</v>
      </c>
      <c r="P87">
        <v>2</v>
      </c>
      <c r="Q87">
        <v>-99</v>
      </c>
      <c r="R87" t="s">
        <v>678</v>
      </c>
    </row>
    <row r="88" spans="1:18" x14ac:dyDescent="0.2">
      <c r="A88">
        <v>87</v>
      </c>
      <c r="B88">
        <v>155</v>
      </c>
      <c r="C88" t="s">
        <v>186</v>
      </c>
      <c r="D88" t="s">
        <v>46</v>
      </c>
      <c r="E88" t="s">
        <v>628</v>
      </c>
      <c r="F88" t="s">
        <v>629</v>
      </c>
      <c r="G88" t="s">
        <v>654</v>
      </c>
      <c r="H88" t="s">
        <v>382</v>
      </c>
      <c r="I88">
        <v>382</v>
      </c>
      <c r="J88">
        <v>32</v>
      </c>
      <c r="K88" t="s">
        <v>386</v>
      </c>
      <c r="L88">
        <v>8266</v>
      </c>
      <c r="M88" t="s">
        <v>319</v>
      </c>
      <c r="N88" t="s">
        <v>415</v>
      </c>
      <c r="O88">
        <v>1</v>
      </c>
      <c r="P88">
        <v>2</v>
      </c>
      <c r="Q88">
        <v>-99</v>
      </c>
      <c r="R88" t="s">
        <v>678</v>
      </c>
    </row>
    <row r="89" spans="1:18" x14ac:dyDescent="0.2">
      <c r="A89">
        <v>88</v>
      </c>
      <c r="B89">
        <v>156</v>
      </c>
      <c r="C89" t="s">
        <v>187</v>
      </c>
      <c r="D89" t="s">
        <v>77</v>
      </c>
      <c r="E89" t="s">
        <v>630</v>
      </c>
      <c r="F89" t="s">
        <v>631</v>
      </c>
      <c r="G89" t="s">
        <v>654</v>
      </c>
      <c r="H89" t="s">
        <v>382</v>
      </c>
      <c r="I89">
        <v>382</v>
      </c>
      <c r="J89">
        <v>32</v>
      </c>
      <c r="K89" t="s">
        <v>386</v>
      </c>
      <c r="L89">
        <v>8267</v>
      </c>
      <c r="M89" t="s">
        <v>337</v>
      </c>
      <c r="N89" t="s">
        <v>416</v>
      </c>
      <c r="O89">
        <v>1</v>
      </c>
      <c r="P89">
        <v>2</v>
      </c>
      <c r="Q89">
        <v>-99</v>
      </c>
      <c r="R89" t="s">
        <v>678</v>
      </c>
    </row>
    <row r="90" spans="1:18" x14ac:dyDescent="0.2">
      <c r="A90">
        <v>89</v>
      </c>
      <c r="B90">
        <v>157</v>
      </c>
      <c r="C90" t="s">
        <v>669</v>
      </c>
      <c r="D90" t="s">
        <v>39</v>
      </c>
      <c r="E90" t="s">
        <v>632</v>
      </c>
      <c r="F90" t="s">
        <v>633</v>
      </c>
      <c r="G90" t="s">
        <v>656</v>
      </c>
      <c r="H90" t="s">
        <v>398</v>
      </c>
      <c r="I90">
        <v>383</v>
      </c>
      <c r="J90">
        <v>33</v>
      </c>
      <c r="K90" t="s">
        <v>381</v>
      </c>
      <c r="L90">
        <v>8271</v>
      </c>
      <c r="M90" t="s">
        <v>315</v>
      </c>
      <c r="N90" t="s">
        <v>417</v>
      </c>
      <c r="O90">
        <v>1</v>
      </c>
      <c r="P90">
        <v>2</v>
      </c>
      <c r="Q90">
        <v>-99</v>
      </c>
      <c r="R90" t="s">
        <v>678</v>
      </c>
    </row>
    <row r="91" spans="1:18" x14ac:dyDescent="0.2">
      <c r="A91">
        <v>90</v>
      </c>
      <c r="B91">
        <v>158</v>
      </c>
      <c r="C91" t="s">
        <v>188</v>
      </c>
      <c r="D91" t="s">
        <v>84</v>
      </c>
      <c r="E91" t="s">
        <v>634</v>
      </c>
      <c r="F91" t="s">
        <v>635</v>
      </c>
      <c r="G91" t="s">
        <v>654</v>
      </c>
      <c r="H91" t="s">
        <v>382</v>
      </c>
      <c r="I91">
        <v>382</v>
      </c>
      <c r="J91">
        <v>32</v>
      </c>
      <c r="K91" t="s">
        <v>386</v>
      </c>
      <c r="L91">
        <v>8209</v>
      </c>
      <c r="M91" t="s">
        <v>360</v>
      </c>
      <c r="N91" t="s">
        <v>418</v>
      </c>
      <c r="O91">
        <v>1</v>
      </c>
      <c r="P91">
        <v>2</v>
      </c>
      <c r="Q91">
        <v>-99</v>
      </c>
      <c r="R91" t="s">
        <v>678</v>
      </c>
    </row>
    <row r="92" spans="1:18" x14ac:dyDescent="0.2">
      <c r="A92">
        <v>91</v>
      </c>
      <c r="B92">
        <v>198</v>
      </c>
      <c r="C92" t="s">
        <v>189</v>
      </c>
      <c r="D92" t="s">
        <v>48</v>
      </c>
      <c r="E92" t="s">
        <v>636</v>
      </c>
      <c r="F92" t="s">
        <v>637</v>
      </c>
      <c r="G92" t="s">
        <v>656</v>
      </c>
      <c r="H92" t="s">
        <v>398</v>
      </c>
      <c r="I92">
        <v>383</v>
      </c>
      <c r="J92">
        <v>34</v>
      </c>
      <c r="K92" t="s">
        <v>400</v>
      </c>
      <c r="L92">
        <v>8224</v>
      </c>
      <c r="M92" t="s">
        <v>357</v>
      </c>
      <c r="N92" t="s">
        <v>424</v>
      </c>
      <c r="O92">
        <v>1</v>
      </c>
      <c r="P92">
        <v>2</v>
      </c>
      <c r="Q92">
        <v>-99</v>
      </c>
      <c r="R92" t="s">
        <v>678</v>
      </c>
    </row>
    <row r="93" spans="1:18" x14ac:dyDescent="0.2">
      <c r="A93">
        <v>92</v>
      </c>
      <c r="B93">
        <v>161</v>
      </c>
      <c r="C93" t="s">
        <v>190</v>
      </c>
      <c r="D93" t="s">
        <v>85</v>
      </c>
      <c r="E93" t="s">
        <v>638</v>
      </c>
      <c r="F93" t="s">
        <v>639</v>
      </c>
      <c r="G93" t="s">
        <v>652</v>
      </c>
      <c r="H93" t="s">
        <v>366</v>
      </c>
      <c r="I93">
        <v>380</v>
      </c>
      <c r="J93">
        <v>30</v>
      </c>
      <c r="K93" t="s">
        <v>365</v>
      </c>
      <c r="L93">
        <v>8225</v>
      </c>
      <c r="M93" t="s">
        <v>320</v>
      </c>
      <c r="N93" t="s">
        <v>419</v>
      </c>
      <c r="O93">
        <v>1</v>
      </c>
      <c r="P93">
        <v>2</v>
      </c>
      <c r="Q93">
        <v>-99</v>
      </c>
      <c r="R93" t="s">
        <v>678</v>
      </c>
    </row>
    <row r="94" spans="1:18" x14ac:dyDescent="0.2">
      <c r="A94">
        <v>93</v>
      </c>
      <c r="B94">
        <v>162</v>
      </c>
      <c r="C94" t="s">
        <v>191</v>
      </c>
      <c r="D94" t="s">
        <v>35</v>
      </c>
      <c r="E94" t="s">
        <v>640</v>
      </c>
      <c r="F94" t="s">
        <v>641</v>
      </c>
      <c r="G94" t="s">
        <v>656</v>
      </c>
      <c r="H94" t="s">
        <v>398</v>
      </c>
      <c r="I94">
        <v>383</v>
      </c>
      <c r="J94">
        <v>34</v>
      </c>
      <c r="K94" t="s">
        <v>400</v>
      </c>
      <c r="L94">
        <v>8227</v>
      </c>
      <c r="M94" t="s">
        <v>473</v>
      </c>
      <c r="N94" t="s">
        <v>420</v>
      </c>
      <c r="O94">
        <v>1</v>
      </c>
      <c r="P94">
        <v>2</v>
      </c>
      <c r="Q94">
        <v>-99</v>
      </c>
      <c r="R94" t="s">
        <v>678</v>
      </c>
    </row>
    <row r="95" spans="1:18" x14ac:dyDescent="0.2">
      <c r="A95">
        <v>94</v>
      </c>
      <c r="B95">
        <v>-99</v>
      </c>
      <c r="C95" t="s">
        <v>670</v>
      </c>
      <c r="D95" t="s">
        <v>8</v>
      </c>
      <c r="E95" t="s">
        <v>671</v>
      </c>
      <c r="F95" t="s">
        <v>227</v>
      </c>
      <c r="G95" t="s">
        <v>650</v>
      </c>
      <c r="H95" t="s">
        <v>8</v>
      </c>
      <c r="I95">
        <v>-99</v>
      </c>
      <c r="J95">
        <v>-99</v>
      </c>
      <c r="K95" t="s">
        <v>8</v>
      </c>
      <c r="L95">
        <v>-99</v>
      </c>
      <c r="M95" t="s">
        <v>650</v>
      </c>
      <c r="N95" t="s">
        <v>650</v>
      </c>
      <c r="O95">
        <v>-99</v>
      </c>
      <c r="P95">
        <v>-99</v>
      </c>
      <c r="Q95">
        <v>-99</v>
      </c>
      <c r="R95" t="s">
        <v>211</v>
      </c>
    </row>
    <row r="96" spans="1:18" x14ac:dyDescent="0.2">
      <c r="A96">
        <v>95</v>
      </c>
      <c r="B96">
        <v>-99</v>
      </c>
      <c r="C96" t="s">
        <v>670</v>
      </c>
      <c r="D96" t="s">
        <v>8</v>
      </c>
      <c r="E96" t="s">
        <v>672</v>
      </c>
      <c r="F96" t="s">
        <v>306</v>
      </c>
      <c r="G96" t="s">
        <v>650</v>
      </c>
      <c r="H96" t="s">
        <v>8</v>
      </c>
      <c r="I96">
        <v>-99</v>
      </c>
      <c r="J96">
        <v>-99</v>
      </c>
      <c r="K96" t="s">
        <v>8</v>
      </c>
      <c r="L96">
        <v>-99</v>
      </c>
      <c r="M96" t="s">
        <v>650</v>
      </c>
      <c r="N96" t="s">
        <v>650</v>
      </c>
      <c r="O96">
        <v>-99</v>
      </c>
      <c r="P96">
        <v>-99</v>
      </c>
      <c r="Q96">
        <v>-99</v>
      </c>
      <c r="R96" t="s">
        <v>675</v>
      </c>
    </row>
    <row r="97" spans="1:18" x14ac:dyDescent="0.2">
      <c r="A97">
        <v>96</v>
      </c>
      <c r="B97">
        <v>-99</v>
      </c>
      <c r="C97" t="s">
        <v>670</v>
      </c>
      <c r="D97" t="s">
        <v>8</v>
      </c>
      <c r="E97" t="s">
        <v>673</v>
      </c>
      <c r="F97" t="s">
        <v>305</v>
      </c>
      <c r="G97" t="s">
        <v>650</v>
      </c>
      <c r="H97" t="s">
        <v>8</v>
      </c>
      <c r="I97">
        <v>-99</v>
      </c>
      <c r="J97">
        <v>-99</v>
      </c>
      <c r="K97" t="s">
        <v>8</v>
      </c>
      <c r="L97">
        <v>-99</v>
      </c>
      <c r="M97" t="s">
        <v>650</v>
      </c>
      <c r="N97" t="s">
        <v>650</v>
      </c>
      <c r="O97">
        <v>-99</v>
      </c>
      <c r="P97">
        <v>-99</v>
      </c>
      <c r="Q97">
        <v>-99</v>
      </c>
      <c r="R97" t="s">
        <v>676</v>
      </c>
    </row>
    <row r="98" spans="1:18" x14ac:dyDescent="0.2">
      <c r="A98">
        <v>97</v>
      </c>
      <c r="B98">
        <v>-99</v>
      </c>
      <c r="C98" t="s">
        <v>662</v>
      </c>
      <c r="D98" t="s">
        <v>1052</v>
      </c>
      <c r="E98" t="s">
        <v>662</v>
      </c>
      <c r="F98" t="s">
        <v>1052</v>
      </c>
      <c r="G98" t="s">
        <v>650</v>
      </c>
      <c r="H98" t="s">
        <v>650</v>
      </c>
      <c r="I98">
        <v>-99</v>
      </c>
      <c r="J98">
        <v>35</v>
      </c>
      <c r="K98" t="s">
        <v>8</v>
      </c>
      <c r="L98">
        <v>-99</v>
      </c>
      <c r="M98" t="s">
        <v>650</v>
      </c>
      <c r="N98" t="s">
        <v>650</v>
      </c>
      <c r="O98">
        <v>-99</v>
      </c>
      <c r="P98">
        <v>-99</v>
      </c>
      <c r="Q98">
        <v>3</v>
      </c>
      <c r="R98" t="s">
        <v>650</v>
      </c>
    </row>
    <row r="99" spans="1:18" x14ac:dyDescent="0.2">
      <c r="A99">
        <v>98</v>
      </c>
      <c r="B99">
        <v>-99</v>
      </c>
      <c r="C99" t="s">
        <v>670</v>
      </c>
      <c r="D99" t="s">
        <v>8</v>
      </c>
      <c r="E99" t="s">
        <v>681</v>
      </c>
      <c r="F99" t="s">
        <v>682</v>
      </c>
      <c r="G99" t="s">
        <v>650</v>
      </c>
      <c r="H99" t="s">
        <v>8</v>
      </c>
      <c r="I99">
        <v>-99</v>
      </c>
      <c r="J99">
        <v>-99</v>
      </c>
      <c r="K99" t="s">
        <v>8</v>
      </c>
      <c r="L99">
        <v>-99</v>
      </c>
      <c r="M99" t="s">
        <v>650</v>
      </c>
      <c r="N99" t="s">
        <v>650</v>
      </c>
      <c r="O99">
        <v>-99</v>
      </c>
      <c r="P99">
        <v>-99</v>
      </c>
      <c r="Q99">
        <v>-99</v>
      </c>
      <c r="R99" t="s">
        <v>678</v>
      </c>
    </row>
    <row r="100" spans="1:18" x14ac:dyDescent="0.2">
      <c r="A100">
        <v>99</v>
      </c>
      <c r="B100">
        <v>250</v>
      </c>
      <c r="C100" t="s">
        <v>650</v>
      </c>
      <c r="D100" t="s">
        <v>35</v>
      </c>
      <c r="E100" t="s">
        <v>717</v>
      </c>
      <c r="F100" t="s">
        <v>683</v>
      </c>
      <c r="G100" t="s">
        <v>650</v>
      </c>
      <c r="H100" t="s">
        <v>398</v>
      </c>
      <c r="I100">
        <v>-99</v>
      </c>
      <c r="J100">
        <v>-99</v>
      </c>
      <c r="K100" t="s">
        <v>400</v>
      </c>
      <c r="L100">
        <v>-99</v>
      </c>
      <c r="M100" t="s">
        <v>650</v>
      </c>
      <c r="N100" t="s">
        <v>650</v>
      </c>
      <c r="O100">
        <v>-99</v>
      </c>
      <c r="P100">
        <v>-99</v>
      </c>
      <c r="Q100">
        <v>-99</v>
      </c>
      <c r="R100" t="s">
        <v>684</v>
      </c>
    </row>
    <row r="101" spans="1:18" x14ac:dyDescent="0.2">
      <c r="A101">
        <v>100</v>
      </c>
      <c r="B101">
        <v>256</v>
      </c>
      <c r="C101" t="s">
        <v>650</v>
      </c>
      <c r="D101" t="s">
        <v>215</v>
      </c>
      <c r="E101" t="s">
        <v>718</v>
      </c>
      <c r="F101" t="s">
        <v>685</v>
      </c>
      <c r="G101" t="s">
        <v>650</v>
      </c>
      <c r="H101" t="s">
        <v>382</v>
      </c>
      <c r="I101">
        <v>-99</v>
      </c>
      <c r="J101">
        <v>-99</v>
      </c>
      <c r="K101" t="s">
        <v>386</v>
      </c>
      <c r="L101">
        <v>-99</v>
      </c>
      <c r="M101" t="s">
        <v>650</v>
      </c>
      <c r="N101" t="s">
        <v>650</v>
      </c>
      <c r="O101">
        <v>-99</v>
      </c>
      <c r="P101">
        <v>-99</v>
      </c>
      <c r="Q101">
        <v>-99</v>
      </c>
      <c r="R101" t="s">
        <v>684</v>
      </c>
    </row>
    <row r="102" spans="1:18" x14ac:dyDescent="0.2">
      <c r="A102">
        <v>101</v>
      </c>
      <c r="B102">
        <v>257</v>
      </c>
      <c r="C102" t="s">
        <v>650</v>
      </c>
      <c r="D102" t="s">
        <v>212</v>
      </c>
      <c r="E102" t="s">
        <v>719</v>
      </c>
      <c r="F102" t="s">
        <v>686</v>
      </c>
      <c r="G102" t="s">
        <v>650</v>
      </c>
      <c r="H102" t="s">
        <v>382</v>
      </c>
      <c r="I102">
        <v>-99</v>
      </c>
      <c r="J102">
        <v>-99</v>
      </c>
      <c r="K102" t="s">
        <v>386</v>
      </c>
      <c r="L102">
        <v>-99</v>
      </c>
      <c r="M102" t="s">
        <v>650</v>
      </c>
      <c r="N102" t="s">
        <v>650</v>
      </c>
      <c r="O102">
        <v>-99</v>
      </c>
      <c r="P102">
        <v>-99</v>
      </c>
      <c r="Q102">
        <v>-99</v>
      </c>
      <c r="R102" t="s">
        <v>684</v>
      </c>
    </row>
    <row r="103" spans="1:18" x14ac:dyDescent="0.2">
      <c r="A103">
        <v>102</v>
      </c>
      <c r="B103">
        <v>258</v>
      </c>
      <c r="C103" t="s">
        <v>650</v>
      </c>
      <c r="D103" t="s">
        <v>213</v>
      </c>
      <c r="E103" t="s">
        <v>720</v>
      </c>
      <c r="F103" t="s">
        <v>687</v>
      </c>
      <c r="G103" t="s">
        <v>650</v>
      </c>
      <c r="H103" t="s">
        <v>366</v>
      </c>
      <c r="I103">
        <v>-99</v>
      </c>
      <c r="J103">
        <v>-99</v>
      </c>
      <c r="K103" t="s">
        <v>365</v>
      </c>
      <c r="L103">
        <v>-99</v>
      </c>
      <c r="M103" t="s">
        <v>650</v>
      </c>
      <c r="N103" t="s">
        <v>650</v>
      </c>
      <c r="O103">
        <v>-99</v>
      </c>
      <c r="P103">
        <v>-99</v>
      </c>
      <c r="Q103">
        <v>-99</v>
      </c>
      <c r="R103" t="s">
        <v>684</v>
      </c>
    </row>
    <row r="104" spans="1:18" x14ac:dyDescent="0.2">
      <c r="A104">
        <v>103</v>
      </c>
      <c r="B104">
        <v>259</v>
      </c>
      <c r="C104" t="s">
        <v>650</v>
      </c>
      <c r="D104" t="s">
        <v>138</v>
      </c>
      <c r="E104" t="s">
        <v>721</v>
      </c>
      <c r="F104" t="s">
        <v>688</v>
      </c>
      <c r="G104" t="s">
        <v>650</v>
      </c>
      <c r="H104" t="s">
        <v>366</v>
      </c>
      <c r="I104">
        <v>-99</v>
      </c>
      <c r="J104">
        <v>-99</v>
      </c>
      <c r="K104" t="s">
        <v>365</v>
      </c>
      <c r="L104">
        <v>-99</v>
      </c>
      <c r="M104" t="s">
        <v>650</v>
      </c>
      <c r="N104" t="s">
        <v>650</v>
      </c>
      <c r="O104">
        <v>-99</v>
      </c>
      <c r="P104">
        <v>-99</v>
      </c>
      <c r="Q104">
        <v>-99</v>
      </c>
      <c r="R104" t="s">
        <v>684</v>
      </c>
    </row>
    <row r="105" spans="1:18" x14ac:dyDescent="0.2">
      <c r="A105">
        <v>104</v>
      </c>
      <c r="B105">
        <v>260</v>
      </c>
      <c r="C105" t="s">
        <v>650</v>
      </c>
      <c r="D105" t="s">
        <v>49</v>
      </c>
      <c r="E105" t="s">
        <v>722</v>
      </c>
      <c r="F105" t="s">
        <v>689</v>
      </c>
      <c r="G105" t="s">
        <v>650</v>
      </c>
      <c r="H105" t="s">
        <v>382</v>
      </c>
      <c r="I105">
        <v>-99</v>
      </c>
      <c r="J105">
        <v>-99</v>
      </c>
      <c r="K105" t="s">
        <v>381</v>
      </c>
      <c r="L105">
        <v>-99</v>
      </c>
      <c r="M105" t="s">
        <v>650</v>
      </c>
      <c r="N105" t="s">
        <v>650</v>
      </c>
      <c r="O105">
        <v>-99</v>
      </c>
      <c r="P105">
        <v>-99</v>
      </c>
      <c r="Q105">
        <v>-99</v>
      </c>
      <c r="R105" t="s">
        <v>684</v>
      </c>
    </row>
    <row r="106" spans="1:18" x14ac:dyDescent="0.2">
      <c r="A106">
        <v>105</v>
      </c>
      <c r="B106">
        <v>261</v>
      </c>
      <c r="C106" t="s">
        <v>650</v>
      </c>
      <c r="D106" t="s">
        <v>68</v>
      </c>
      <c r="E106" t="s">
        <v>723</v>
      </c>
      <c r="F106" t="s">
        <v>690</v>
      </c>
      <c r="G106" t="s">
        <v>650</v>
      </c>
      <c r="H106" t="s">
        <v>366</v>
      </c>
      <c r="I106">
        <v>-99</v>
      </c>
      <c r="J106">
        <v>-99</v>
      </c>
      <c r="K106" t="s">
        <v>365</v>
      </c>
      <c r="L106">
        <v>-99</v>
      </c>
      <c r="M106" t="s">
        <v>650</v>
      </c>
      <c r="N106" t="s">
        <v>650</v>
      </c>
      <c r="O106">
        <v>-99</v>
      </c>
      <c r="P106">
        <v>-99</v>
      </c>
      <c r="Q106">
        <v>-99</v>
      </c>
      <c r="R106" t="s">
        <v>684</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459</v>
      </c>
      <c r="B1" t="s">
        <v>453</v>
      </c>
      <c r="C1" t="s">
        <v>460</v>
      </c>
      <c r="D1" t="s">
        <v>461</v>
      </c>
      <c r="E1" t="s">
        <v>488</v>
      </c>
    </row>
    <row r="2" spans="1:5" x14ac:dyDescent="0.2">
      <c r="A2" t="s">
        <v>321</v>
      </c>
      <c r="B2" t="s">
        <v>367</v>
      </c>
      <c r="C2" t="s">
        <v>367</v>
      </c>
      <c r="D2" t="s">
        <v>462</v>
      </c>
      <c r="E2" t="s">
        <v>365</v>
      </c>
    </row>
    <row r="3" spans="1:5" x14ac:dyDescent="0.2">
      <c r="A3" t="s">
        <v>353</v>
      </c>
      <c r="B3" t="s">
        <v>370</v>
      </c>
      <c r="C3" t="s">
        <v>370</v>
      </c>
      <c r="D3" t="s">
        <v>462</v>
      </c>
      <c r="E3" t="s">
        <v>365</v>
      </c>
    </row>
    <row r="4" spans="1:5" x14ac:dyDescent="0.2">
      <c r="A4" t="s">
        <v>348</v>
      </c>
      <c r="B4" t="s">
        <v>412</v>
      </c>
      <c r="C4" t="s">
        <v>412</v>
      </c>
      <c r="D4" t="s">
        <v>462</v>
      </c>
      <c r="E4" t="s">
        <v>365</v>
      </c>
    </row>
    <row r="5" spans="1:5" x14ac:dyDescent="0.2">
      <c r="A5" t="s">
        <v>327</v>
      </c>
      <c r="B5" t="s">
        <v>423</v>
      </c>
      <c r="C5" t="s">
        <v>423</v>
      </c>
      <c r="D5" t="s">
        <v>463</v>
      </c>
      <c r="E5" t="s">
        <v>376</v>
      </c>
    </row>
    <row r="6" spans="1:5" x14ac:dyDescent="0.2">
      <c r="A6" t="s">
        <v>351</v>
      </c>
      <c r="B6" t="s">
        <v>385</v>
      </c>
      <c r="C6" t="s">
        <v>385</v>
      </c>
      <c r="D6" t="s">
        <v>463</v>
      </c>
      <c r="E6" t="s">
        <v>381</v>
      </c>
    </row>
    <row r="7" spans="1:5" x14ac:dyDescent="0.2">
      <c r="A7" t="s">
        <v>354</v>
      </c>
      <c r="B7" t="s">
        <v>414</v>
      </c>
      <c r="C7" t="s">
        <v>414</v>
      </c>
      <c r="D7" t="s">
        <v>465</v>
      </c>
      <c r="E7" t="s">
        <v>381</v>
      </c>
    </row>
    <row r="8" spans="1:5" x14ac:dyDescent="0.2">
      <c r="A8" t="s">
        <v>329</v>
      </c>
      <c r="B8" t="s">
        <v>397</v>
      </c>
      <c r="C8" t="s">
        <v>397</v>
      </c>
      <c r="D8" t="s">
        <v>466</v>
      </c>
      <c r="E8" t="s">
        <v>386</v>
      </c>
    </row>
    <row r="9" spans="1:5" x14ac:dyDescent="0.2">
      <c r="A9" t="s">
        <v>346</v>
      </c>
      <c r="B9" t="s">
        <v>399</v>
      </c>
      <c r="C9" t="s">
        <v>399</v>
      </c>
      <c r="D9" t="s">
        <v>465</v>
      </c>
      <c r="E9" t="s">
        <v>381</v>
      </c>
    </row>
    <row r="10" spans="1:5" x14ac:dyDescent="0.2">
      <c r="A10" t="s">
        <v>474</v>
      </c>
      <c r="B10" t="s">
        <v>475</v>
      </c>
      <c r="C10" t="s">
        <v>307</v>
      </c>
      <c r="D10" t="s">
        <v>450</v>
      </c>
      <c r="E10" t="s">
        <v>8</v>
      </c>
    </row>
    <row r="11" spans="1:5" x14ac:dyDescent="0.2">
      <c r="A11" t="s">
        <v>355</v>
      </c>
      <c r="B11" t="s">
        <v>411</v>
      </c>
      <c r="C11" t="s">
        <v>411</v>
      </c>
      <c r="D11" t="s">
        <v>462</v>
      </c>
      <c r="E11" t="s">
        <v>365</v>
      </c>
    </row>
    <row r="12" spans="1:5" x14ac:dyDescent="0.2">
      <c r="A12" t="s">
        <v>333</v>
      </c>
      <c r="B12" t="s">
        <v>375</v>
      </c>
      <c r="C12" t="s">
        <v>375</v>
      </c>
      <c r="D12" t="s">
        <v>463</v>
      </c>
      <c r="E12" t="s">
        <v>365</v>
      </c>
    </row>
    <row r="13" spans="1:5" x14ac:dyDescent="0.2">
      <c r="A13" t="s">
        <v>338</v>
      </c>
      <c r="B13" t="s">
        <v>372</v>
      </c>
      <c r="C13" t="s">
        <v>372</v>
      </c>
      <c r="D13" t="s">
        <v>462</v>
      </c>
      <c r="E13" t="s">
        <v>365</v>
      </c>
    </row>
    <row r="14" spans="1:5" x14ac:dyDescent="0.2">
      <c r="A14" t="s">
        <v>336</v>
      </c>
      <c r="B14" t="s">
        <v>379</v>
      </c>
      <c r="C14" t="s">
        <v>379</v>
      </c>
      <c r="D14" t="s">
        <v>463</v>
      </c>
      <c r="E14" t="s">
        <v>376</v>
      </c>
    </row>
    <row r="15" spans="1:5" x14ac:dyDescent="0.2">
      <c r="A15" t="s">
        <v>326</v>
      </c>
      <c r="B15" t="s">
        <v>388</v>
      </c>
      <c r="C15" t="s">
        <v>388</v>
      </c>
      <c r="D15" t="s">
        <v>462</v>
      </c>
      <c r="E15" t="s">
        <v>386</v>
      </c>
    </row>
    <row r="16" spans="1:5" x14ac:dyDescent="0.2">
      <c r="A16" t="s">
        <v>340</v>
      </c>
      <c r="B16" t="s">
        <v>402</v>
      </c>
      <c r="C16" t="s">
        <v>402</v>
      </c>
      <c r="D16" t="s">
        <v>465</v>
      </c>
      <c r="E16" t="s">
        <v>381</v>
      </c>
    </row>
    <row r="17" spans="1:5" x14ac:dyDescent="0.2">
      <c r="A17" t="s">
        <v>476</v>
      </c>
      <c r="B17" t="s">
        <v>477</v>
      </c>
      <c r="C17" t="s">
        <v>307</v>
      </c>
      <c r="D17" t="s">
        <v>450</v>
      </c>
      <c r="E17" t="s">
        <v>8</v>
      </c>
    </row>
    <row r="18" spans="1:5" x14ac:dyDescent="0.2">
      <c r="A18" t="s">
        <v>352</v>
      </c>
      <c r="B18" t="s">
        <v>387</v>
      </c>
      <c r="C18" t="s">
        <v>387</v>
      </c>
      <c r="D18" t="s">
        <v>462</v>
      </c>
      <c r="E18" t="s">
        <v>386</v>
      </c>
    </row>
    <row r="19" spans="1:5" x14ac:dyDescent="0.2">
      <c r="A19" t="s">
        <v>345</v>
      </c>
      <c r="B19" t="s">
        <v>390</v>
      </c>
      <c r="C19" t="s">
        <v>390</v>
      </c>
      <c r="D19" t="s">
        <v>466</v>
      </c>
      <c r="E19" t="s">
        <v>386</v>
      </c>
    </row>
    <row r="20" spans="1:5" x14ac:dyDescent="0.2">
      <c r="A20" t="s">
        <v>335</v>
      </c>
      <c r="B20" t="s">
        <v>393</v>
      </c>
      <c r="C20" t="s">
        <v>393</v>
      </c>
      <c r="D20" t="s">
        <v>466</v>
      </c>
      <c r="E20" t="s">
        <v>386</v>
      </c>
    </row>
    <row r="21" spans="1:5" x14ac:dyDescent="0.2">
      <c r="A21" t="s">
        <v>360</v>
      </c>
      <c r="B21" t="s">
        <v>418</v>
      </c>
      <c r="C21" t="s">
        <v>418</v>
      </c>
      <c r="D21" t="s">
        <v>466</v>
      </c>
      <c r="E21" t="s">
        <v>386</v>
      </c>
    </row>
    <row r="22" spans="1:5" x14ac:dyDescent="0.2">
      <c r="A22" t="s">
        <v>331</v>
      </c>
      <c r="B22" t="s">
        <v>63</v>
      </c>
      <c r="C22" t="s">
        <v>63</v>
      </c>
      <c r="D22" t="s">
        <v>462</v>
      </c>
      <c r="E22" t="s">
        <v>365</v>
      </c>
    </row>
    <row r="23" spans="1:5" x14ac:dyDescent="0.2">
      <c r="A23" t="s">
        <v>344</v>
      </c>
      <c r="B23" t="s">
        <v>378</v>
      </c>
      <c r="C23" t="s">
        <v>378</v>
      </c>
      <c r="D23" t="s">
        <v>307</v>
      </c>
      <c r="E23" t="s">
        <v>365</v>
      </c>
    </row>
    <row r="24" spans="1:5" x14ac:dyDescent="0.2">
      <c r="A24" t="s">
        <v>339</v>
      </c>
      <c r="B24" t="s">
        <v>380</v>
      </c>
      <c r="C24" t="s">
        <v>380</v>
      </c>
      <c r="D24" t="s">
        <v>463</v>
      </c>
      <c r="E24" t="s">
        <v>376</v>
      </c>
    </row>
    <row r="25" spans="1:5" x14ac:dyDescent="0.2">
      <c r="A25" t="s">
        <v>337</v>
      </c>
      <c r="B25" t="s">
        <v>416</v>
      </c>
      <c r="C25" t="s">
        <v>416</v>
      </c>
      <c r="D25" t="s">
        <v>466</v>
      </c>
      <c r="E25" t="s">
        <v>386</v>
      </c>
    </row>
    <row r="26" spans="1:5" x14ac:dyDescent="0.2">
      <c r="A26" t="s">
        <v>314</v>
      </c>
      <c r="B26" t="s">
        <v>401</v>
      </c>
      <c r="C26" t="s">
        <v>401</v>
      </c>
      <c r="D26" t="s">
        <v>465</v>
      </c>
      <c r="E26" t="s">
        <v>400</v>
      </c>
    </row>
    <row r="27" spans="1:5" x14ac:dyDescent="0.2">
      <c r="A27" t="s">
        <v>315</v>
      </c>
      <c r="B27" t="s">
        <v>417</v>
      </c>
      <c r="C27" t="s">
        <v>417</v>
      </c>
      <c r="D27" t="s">
        <v>465</v>
      </c>
      <c r="E27" t="s">
        <v>381</v>
      </c>
    </row>
    <row r="28" spans="1:5" x14ac:dyDescent="0.2">
      <c r="A28" t="s">
        <v>349</v>
      </c>
      <c r="B28" t="s">
        <v>369</v>
      </c>
      <c r="C28" t="s">
        <v>369</v>
      </c>
      <c r="D28" t="s">
        <v>462</v>
      </c>
      <c r="E28" t="s">
        <v>365</v>
      </c>
    </row>
    <row r="29" spans="1:5" x14ac:dyDescent="0.2">
      <c r="A29" t="s">
        <v>464</v>
      </c>
      <c r="B29" t="s">
        <v>450</v>
      </c>
      <c r="C29" t="s">
        <v>307</v>
      </c>
      <c r="D29" t="s">
        <v>450</v>
      </c>
      <c r="E29" t="s">
        <v>8</v>
      </c>
    </row>
    <row r="30" spans="1:5" x14ac:dyDescent="0.2">
      <c r="A30" t="s">
        <v>361</v>
      </c>
      <c r="B30" t="s">
        <v>413</v>
      </c>
      <c r="C30" t="s">
        <v>413</v>
      </c>
      <c r="D30" t="s">
        <v>462</v>
      </c>
      <c r="E30" t="s">
        <v>365</v>
      </c>
    </row>
    <row r="31" spans="1:5" x14ac:dyDescent="0.2">
      <c r="A31" t="s">
        <v>342</v>
      </c>
      <c r="B31" t="s">
        <v>410</v>
      </c>
      <c r="C31" t="s">
        <v>410</v>
      </c>
      <c r="D31" t="s">
        <v>307</v>
      </c>
      <c r="E31" t="s">
        <v>365</v>
      </c>
    </row>
    <row r="32" spans="1:5" x14ac:dyDescent="0.2">
      <c r="A32" t="s">
        <v>322</v>
      </c>
      <c r="B32" t="s">
        <v>391</v>
      </c>
      <c r="C32" t="s">
        <v>391</v>
      </c>
      <c r="D32" t="s">
        <v>462</v>
      </c>
      <c r="E32" t="s">
        <v>386</v>
      </c>
    </row>
    <row r="33" spans="1:5" x14ac:dyDescent="0.2">
      <c r="A33" t="s">
        <v>319</v>
      </c>
      <c r="B33" t="s">
        <v>415</v>
      </c>
      <c r="C33" t="s">
        <v>415</v>
      </c>
      <c r="D33" t="s">
        <v>466</v>
      </c>
      <c r="E33" t="s">
        <v>386</v>
      </c>
    </row>
    <row r="34" spans="1:5" x14ac:dyDescent="0.2">
      <c r="A34" t="s">
        <v>341</v>
      </c>
      <c r="B34" t="s">
        <v>422</v>
      </c>
      <c r="C34" t="s">
        <v>422</v>
      </c>
      <c r="D34" t="s">
        <v>465</v>
      </c>
      <c r="E34" t="s">
        <v>400</v>
      </c>
    </row>
    <row r="35" spans="1:5" x14ac:dyDescent="0.2">
      <c r="A35" t="s">
        <v>330</v>
      </c>
      <c r="B35" t="s">
        <v>404</v>
      </c>
      <c r="C35" t="s">
        <v>404</v>
      </c>
      <c r="D35" t="s">
        <v>465</v>
      </c>
      <c r="E35" t="s">
        <v>400</v>
      </c>
    </row>
    <row r="36" spans="1:5" x14ac:dyDescent="0.2">
      <c r="A36" t="s">
        <v>357</v>
      </c>
      <c r="B36" t="s">
        <v>424</v>
      </c>
      <c r="C36" t="s">
        <v>424</v>
      </c>
      <c r="D36" t="s">
        <v>465</v>
      </c>
      <c r="E36" t="s">
        <v>400</v>
      </c>
    </row>
    <row r="37" spans="1:5" x14ac:dyDescent="0.2">
      <c r="A37" t="s">
        <v>473</v>
      </c>
      <c r="B37" t="s">
        <v>420</v>
      </c>
      <c r="C37" t="s">
        <v>420</v>
      </c>
      <c r="D37" t="s">
        <v>465</v>
      </c>
      <c r="E37" t="s">
        <v>400</v>
      </c>
    </row>
    <row r="38" spans="1:5" x14ac:dyDescent="0.2">
      <c r="A38" t="s">
        <v>471</v>
      </c>
      <c r="B38" t="s">
        <v>472</v>
      </c>
      <c r="C38" t="s">
        <v>307</v>
      </c>
      <c r="D38" t="s">
        <v>450</v>
      </c>
      <c r="E38" t="s">
        <v>8</v>
      </c>
    </row>
    <row r="39" spans="1:5" x14ac:dyDescent="0.2">
      <c r="A39" t="s">
        <v>347</v>
      </c>
      <c r="B39" t="s">
        <v>405</v>
      </c>
      <c r="C39" t="s">
        <v>405</v>
      </c>
      <c r="D39" t="s">
        <v>465</v>
      </c>
      <c r="E39" t="s">
        <v>400</v>
      </c>
    </row>
    <row r="40" spans="1:5" x14ac:dyDescent="0.2">
      <c r="A40" t="s">
        <v>480</v>
      </c>
      <c r="B40" t="s">
        <v>481</v>
      </c>
      <c r="C40" t="s">
        <v>307</v>
      </c>
      <c r="D40" t="s">
        <v>450</v>
      </c>
      <c r="E40" t="s">
        <v>8</v>
      </c>
    </row>
    <row r="41" spans="1:5" x14ac:dyDescent="0.2">
      <c r="A41" t="s">
        <v>467</v>
      </c>
      <c r="B41" t="s">
        <v>468</v>
      </c>
      <c r="C41" t="s">
        <v>307</v>
      </c>
      <c r="D41" t="s">
        <v>450</v>
      </c>
      <c r="E41" t="s">
        <v>8</v>
      </c>
    </row>
    <row r="42" spans="1:5" x14ac:dyDescent="0.2">
      <c r="A42" t="s">
        <v>356</v>
      </c>
      <c r="B42" t="s">
        <v>368</v>
      </c>
      <c r="C42" t="s">
        <v>368</v>
      </c>
      <c r="D42" t="s">
        <v>462</v>
      </c>
      <c r="E42" t="s">
        <v>365</v>
      </c>
    </row>
    <row r="43" spans="1:5" x14ac:dyDescent="0.2">
      <c r="A43" t="s">
        <v>317</v>
      </c>
      <c r="B43" t="s">
        <v>374</v>
      </c>
      <c r="C43" t="s">
        <v>374</v>
      </c>
      <c r="D43" t="s">
        <v>463</v>
      </c>
      <c r="E43" t="s">
        <v>365</v>
      </c>
    </row>
    <row r="44" spans="1:5" x14ac:dyDescent="0.2">
      <c r="A44" t="s">
        <v>320</v>
      </c>
      <c r="B44" t="s">
        <v>419</v>
      </c>
      <c r="C44" t="s">
        <v>419</v>
      </c>
      <c r="D44" t="s">
        <v>462</v>
      </c>
      <c r="E44" t="s">
        <v>365</v>
      </c>
    </row>
    <row r="45" spans="1:5" x14ac:dyDescent="0.2">
      <c r="A45" t="s">
        <v>350</v>
      </c>
      <c r="B45" t="s">
        <v>384</v>
      </c>
      <c r="C45" t="s">
        <v>384</v>
      </c>
      <c r="D45" t="s">
        <v>463</v>
      </c>
      <c r="E45" t="s">
        <v>376</v>
      </c>
    </row>
    <row r="46" spans="1:5" x14ac:dyDescent="0.2">
      <c r="A46" t="s">
        <v>332</v>
      </c>
      <c r="B46" t="s">
        <v>389</v>
      </c>
      <c r="C46" t="s">
        <v>389</v>
      </c>
      <c r="D46" t="s">
        <v>463</v>
      </c>
      <c r="E46" t="s">
        <v>376</v>
      </c>
    </row>
    <row r="47" spans="1:5" x14ac:dyDescent="0.2">
      <c r="A47" t="s">
        <v>359</v>
      </c>
      <c r="B47" t="s">
        <v>395</v>
      </c>
      <c r="C47" t="s">
        <v>395</v>
      </c>
      <c r="D47" t="s">
        <v>466</v>
      </c>
      <c r="E47" t="s">
        <v>386</v>
      </c>
    </row>
    <row r="48" spans="1:5" x14ac:dyDescent="0.2">
      <c r="A48" t="s">
        <v>334</v>
      </c>
      <c r="B48" t="s">
        <v>408</v>
      </c>
      <c r="C48" t="s">
        <v>408</v>
      </c>
      <c r="D48" t="s">
        <v>466</v>
      </c>
      <c r="E48" t="s">
        <v>381</v>
      </c>
    </row>
    <row r="49" spans="1:5" x14ac:dyDescent="0.2">
      <c r="A49" t="s">
        <v>323</v>
      </c>
      <c r="B49" t="s">
        <v>406</v>
      </c>
      <c r="C49" t="s">
        <v>406</v>
      </c>
      <c r="D49" t="s">
        <v>466</v>
      </c>
      <c r="E49" t="s">
        <v>381</v>
      </c>
    </row>
    <row r="50" spans="1:5" x14ac:dyDescent="0.2">
      <c r="A50" t="s">
        <v>328</v>
      </c>
      <c r="B50" t="s">
        <v>403</v>
      </c>
      <c r="C50" t="s">
        <v>403</v>
      </c>
      <c r="D50" t="s">
        <v>465</v>
      </c>
      <c r="E50" t="s">
        <v>400</v>
      </c>
    </row>
    <row r="51" spans="1:5" x14ac:dyDescent="0.2">
      <c r="A51" t="s">
        <v>316</v>
      </c>
      <c r="B51" t="s">
        <v>383</v>
      </c>
      <c r="C51" t="s">
        <v>383</v>
      </c>
      <c r="D51" t="s">
        <v>466</v>
      </c>
      <c r="E51" t="s">
        <v>381</v>
      </c>
    </row>
    <row r="52" spans="1:5" x14ac:dyDescent="0.2">
      <c r="A52" t="s">
        <v>469</v>
      </c>
      <c r="B52" t="s">
        <v>470</v>
      </c>
      <c r="C52" t="s">
        <v>307</v>
      </c>
      <c r="D52" t="s">
        <v>450</v>
      </c>
      <c r="E52" t="s">
        <v>8</v>
      </c>
    </row>
    <row r="53" spans="1:5" x14ac:dyDescent="0.2">
      <c r="A53" t="s">
        <v>478</v>
      </c>
      <c r="B53" t="s">
        <v>479</v>
      </c>
      <c r="C53" t="s">
        <v>307</v>
      </c>
      <c r="D53" t="s">
        <v>450</v>
      </c>
      <c r="E53" t="s">
        <v>8</v>
      </c>
    </row>
    <row r="54" spans="1:5" x14ac:dyDescent="0.2">
      <c r="A54" t="s">
        <v>343</v>
      </c>
      <c r="B54" t="s">
        <v>371</v>
      </c>
      <c r="C54" t="s">
        <v>371</v>
      </c>
      <c r="D54" t="s">
        <v>462</v>
      </c>
      <c r="E54" t="s">
        <v>365</v>
      </c>
    </row>
    <row r="55" spans="1:5" x14ac:dyDescent="0.2">
      <c r="A55" t="s">
        <v>358</v>
      </c>
      <c r="B55" t="s">
        <v>377</v>
      </c>
      <c r="C55" t="s">
        <v>377</v>
      </c>
      <c r="D55" t="s">
        <v>463</v>
      </c>
      <c r="E55" t="s">
        <v>376</v>
      </c>
    </row>
    <row r="56" spans="1:5" x14ac:dyDescent="0.2">
      <c r="A56" t="s">
        <v>313</v>
      </c>
      <c r="B56" t="s">
        <v>421</v>
      </c>
      <c r="C56" t="s">
        <v>421</v>
      </c>
      <c r="D56" t="s">
        <v>463</v>
      </c>
      <c r="E56" t="s">
        <v>376</v>
      </c>
    </row>
    <row r="57" spans="1:5" x14ac:dyDescent="0.2">
      <c r="A57" t="s">
        <v>312</v>
      </c>
      <c r="B57" t="s">
        <v>392</v>
      </c>
      <c r="C57" t="s">
        <v>392</v>
      </c>
      <c r="D57" t="s">
        <v>466</v>
      </c>
      <c r="E57" t="s">
        <v>386</v>
      </c>
    </row>
    <row r="58" spans="1:5" x14ac:dyDescent="0.2">
      <c r="A58" t="s">
        <v>318</v>
      </c>
      <c r="B58" t="s">
        <v>396</v>
      </c>
      <c r="C58" t="s">
        <v>396</v>
      </c>
      <c r="D58" t="s">
        <v>466</v>
      </c>
      <c r="E58" t="s">
        <v>386</v>
      </c>
    </row>
    <row r="59" spans="1:5" x14ac:dyDescent="0.2">
      <c r="A59" t="s">
        <v>324</v>
      </c>
      <c r="B59" t="s">
        <v>409</v>
      </c>
      <c r="C59" t="s">
        <v>409</v>
      </c>
      <c r="D59" t="s">
        <v>465</v>
      </c>
      <c r="E59" t="s">
        <v>400</v>
      </c>
    </row>
    <row r="60" spans="1:5" x14ac:dyDescent="0.2">
      <c r="A60" t="s">
        <v>311</v>
      </c>
      <c r="B60" t="s">
        <v>407</v>
      </c>
      <c r="C60" t="s">
        <v>407</v>
      </c>
      <c r="D60" t="s">
        <v>466</v>
      </c>
      <c r="E60" t="s">
        <v>381</v>
      </c>
    </row>
    <row r="61" spans="1:5" x14ac:dyDescent="0.2">
      <c r="A61" t="s">
        <v>325</v>
      </c>
      <c r="B61" t="s">
        <v>83</v>
      </c>
      <c r="C61" t="s">
        <v>83</v>
      </c>
      <c r="D61" t="s">
        <v>465</v>
      </c>
      <c r="E61" t="s">
        <v>400</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1031</v>
      </c>
      <c r="C2" t="s">
        <v>433</v>
      </c>
      <c r="D2" t="s">
        <v>434</v>
      </c>
      <c r="E2" t="s">
        <v>435</v>
      </c>
      <c r="F2" t="s">
        <v>436</v>
      </c>
      <c r="G2" t="s">
        <v>437</v>
      </c>
      <c r="H2" t="s">
        <v>438</v>
      </c>
      <c r="I2" t="s">
        <v>439</v>
      </c>
      <c r="J2" t="s">
        <v>440</v>
      </c>
      <c r="K2" t="s">
        <v>441</v>
      </c>
      <c r="L2" t="s">
        <v>442</v>
      </c>
      <c r="M2" t="s">
        <v>443</v>
      </c>
      <c r="N2" t="s">
        <v>444</v>
      </c>
      <c r="O2" t="s">
        <v>445</v>
      </c>
      <c r="P2" t="s">
        <v>446</v>
      </c>
      <c r="Q2" t="s">
        <v>448</v>
      </c>
    </row>
    <row r="3" spans="2:33" x14ac:dyDescent="0.2">
      <c r="B3" t="s">
        <v>381</v>
      </c>
      <c r="C3" t="s">
        <v>407</v>
      </c>
      <c r="D3" t="s">
        <v>399</v>
      </c>
      <c r="E3" t="s">
        <v>383</v>
      </c>
      <c r="F3" t="s">
        <v>385</v>
      </c>
      <c r="G3" t="s">
        <v>414</v>
      </c>
      <c r="H3" t="s">
        <v>408</v>
      </c>
      <c r="I3" t="s">
        <v>406</v>
      </c>
      <c r="J3" t="s">
        <v>402</v>
      </c>
      <c r="K3" t="s">
        <v>417</v>
      </c>
      <c r="L3" t="s">
        <v>447</v>
      </c>
      <c r="M3" t="s">
        <v>447</v>
      </c>
      <c r="N3" t="s">
        <v>447</v>
      </c>
      <c r="O3" t="s">
        <v>447</v>
      </c>
      <c r="P3" t="s">
        <v>447</v>
      </c>
      <c r="Q3" t="s">
        <v>447</v>
      </c>
      <c r="S3" s="14" t="s">
        <v>407</v>
      </c>
      <c r="T3" s="14" t="s">
        <v>399</v>
      </c>
      <c r="U3" s="14" t="s">
        <v>383</v>
      </c>
      <c r="V3" s="14" t="s">
        <v>385</v>
      </c>
      <c r="W3" s="14" t="s">
        <v>414</v>
      </c>
      <c r="X3" s="14" t="s">
        <v>408</v>
      </c>
      <c r="Y3" s="14" t="s">
        <v>406</v>
      </c>
      <c r="Z3" s="14" t="s">
        <v>402</v>
      </c>
      <c r="AA3" s="14" t="s">
        <v>417</v>
      </c>
      <c r="AB3" s="14"/>
      <c r="AC3" s="14"/>
      <c r="AD3" s="14"/>
      <c r="AE3" s="14"/>
      <c r="AF3" s="15"/>
      <c r="AG3" s="15"/>
    </row>
    <row r="4" spans="2:33" x14ac:dyDescent="0.2">
      <c r="B4" t="s">
        <v>386</v>
      </c>
      <c r="C4" t="s">
        <v>390</v>
      </c>
      <c r="D4" t="s">
        <v>388</v>
      </c>
      <c r="E4" t="s">
        <v>395</v>
      </c>
      <c r="F4" t="s">
        <v>418</v>
      </c>
      <c r="G4" t="s">
        <v>391</v>
      </c>
      <c r="H4" t="s">
        <v>397</v>
      </c>
      <c r="I4" t="s">
        <v>393</v>
      </c>
      <c r="J4" t="s">
        <v>396</v>
      </c>
      <c r="K4" t="s">
        <v>415</v>
      </c>
      <c r="L4" t="s">
        <v>387</v>
      </c>
      <c r="M4" t="s">
        <v>416</v>
      </c>
      <c r="N4" t="s">
        <v>392</v>
      </c>
      <c r="O4" t="s">
        <v>447</v>
      </c>
      <c r="P4" t="s">
        <v>447</v>
      </c>
      <c r="Q4" t="s">
        <v>447</v>
      </c>
      <c r="S4" s="14" t="s">
        <v>390</v>
      </c>
      <c r="T4" s="14" t="s">
        <v>388</v>
      </c>
      <c r="U4" s="14" t="s">
        <v>395</v>
      </c>
      <c r="V4" s="14" t="s">
        <v>418</v>
      </c>
      <c r="W4" s="14" t="s">
        <v>391</v>
      </c>
      <c r="X4" s="14" t="s">
        <v>397</v>
      </c>
      <c r="Y4" s="14" t="s">
        <v>393</v>
      </c>
      <c r="Z4" s="14" t="s">
        <v>396</v>
      </c>
      <c r="AA4" s="14" t="s">
        <v>415</v>
      </c>
      <c r="AB4" s="14" t="s">
        <v>387</v>
      </c>
      <c r="AC4" s="14" t="s">
        <v>416</v>
      </c>
      <c r="AD4" s="14" t="s">
        <v>392</v>
      </c>
      <c r="AE4" s="14"/>
      <c r="AF4" s="15"/>
      <c r="AG4" s="15"/>
    </row>
    <row r="5" spans="2:33" x14ac:dyDescent="0.2">
      <c r="B5" t="s">
        <v>365</v>
      </c>
      <c r="C5" t="s">
        <v>369</v>
      </c>
      <c r="D5" t="s">
        <v>419</v>
      </c>
      <c r="E5" t="s">
        <v>410</v>
      </c>
      <c r="F5" t="s">
        <v>412</v>
      </c>
      <c r="G5" t="s">
        <v>372</v>
      </c>
      <c r="H5" t="s">
        <v>367</v>
      </c>
      <c r="I5" t="s">
        <v>411</v>
      </c>
      <c r="J5" t="s">
        <v>370</v>
      </c>
      <c r="K5" t="s">
        <v>63</v>
      </c>
      <c r="L5" t="s">
        <v>378</v>
      </c>
      <c r="M5" t="s">
        <v>371</v>
      </c>
      <c r="N5" t="s">
        <v>368</v>
      </c>
      <c r="O5" t="s">
        <v>413</v>
      </c>
      <c r="P5" t="s">
        <v>374</v>
      </c>
      <c r="Q5" t="s">
        <v>375</v>
      </c>
      <c r="S5" s="14" t="s">
        <v>369</v>
      </c>
      <c r="T5" s="14" t="s">
        <v>419</v>
      </c>
      <c r="U5" s="14" t="s">
        <v>410</v>
      </c>
      <c r="V5" s="14" t="s">
        <v>412</v>
      </c>
      <c r="W5" s="14" t="s">
        <v>372</v>
      </c>
      <c r="X5" s="14" t="s">
        <v>367</v>
      </c>
      <c r="Y5" s="14" t="s">
        <v>411</v>
      </c>
      <c r="Z5" s="14" t="s">
        <v>370</v>
      </c>
      <c r="AA5" s="14" t="s">
        <v>63</v>
      </c>
      <c r="AB5" s="14" t="s">
        <v>378</v>
      </c>
      <c r="AC5" s="14" t="s">
        <v>371</v>
      </c>
      <c r="AD5" s="14" t="s">
        <v>368</v>
      </c>
      <c r="AE5" s="14" t="s">
        <v>413</v>
      </c>
      <c r="AF5" s="15" t="s">
        <v>374</v>
      </c>
      <c r="AG5" s="15" t="s">
        <v>375</v>
      </c>
    </row>
    <row r="6" spans="2:33" x14ac:dyDescent="0.2">
      <c r="B6" t="s">
        <v>400</v>
      </c>
      <c r="C6" t="s">
        <v>420</v>
      </c>
      <c r="D6" t="s">
        <v>422</v>
      </c>
      <c r="E6" t="s">
        <v>403</v>
      </c>
      <c r="F6" t="s">
        <v>424</v>
      </c>
      <c r="G6" t="s">
        <v>404</v>
      </c>
      <c r="H6" t="s">
        <v>409</v>
      </c>
      <c r="I6" t="s">
        <v>401</v>
      </c>
      <c r="J6" t="s">
        <v>405</v>
      </c>
      <c r="K6" t="s">
        <v>83</v>
      </c>
      <c r="L6" t="s">
        <v>447</v>
      </c>
      <c r="M6" t="s">
        <v>447</v>
      </c>
      <c r="N6" t="s">
        <v>447</v>
      </c>
      <c r="O6" t="s">
        <v>447</v>
      </c>
      <c r="P6" t="s">
        <v>447</v>
      </c>
      <c r="Q6" t="s">
        <v>447</v>
      </c>
      <c r="S6" s="14" t="s">
        <v>420</v>
      </c>
      <c r="T6" s="14" t="s">
        <v>422</v>
      </c>
      <c r="U6" s="14" t="s">
        <v>403</v>
      </c>
      <c r="V6" s="14" t="s">
        <v>424</v>
      </c>
      <c r="W6" s="14" t="s">
        <v>404</v>
      </c>
      <c r="X6" s="14" t="s">
        <v>409</v>
      </c>
      <c r="Y6" s="14" t="s">
        <v>401</v>
      </c>
      <c r="Z6" s="14" t="s">
        <v>405</v>
      </c>
      <c r="AA6" s="14" t="s">
        <v>83</v>
      </c>
      <c r="AB6" s="14"/>
      <c r="AC6" s="14"/>
      <c r="AD6" s="14"/>
      <c r="AE6" s="14"/>
      <c r="AF6" s="15"/>
      <c r="AG6" s="15"/>
    </row>
    <row r="7" spans="2:33" x14ac:dyDescent="0.2">
      <c r="B7" t="s">
        <v>376</v>
      </c>
      <c r="C7" t="s">
        <v>384</v>
      </c>
      <c r="D7" t="s">
        <v>421</v>
      </c>
      <c r="E7" t="s">
        <v>377</v>
      </c>
      <c r="F7" t="s">
        <v>389</v>
      </c>
      <c r="G7" t="s">
        <v>423</v>
      </c>
      <c r="H7" t="s">
        <v>379</v>
      </c>
      <c r="I7" t="s">
        <v>380</v>
      </c>
      <c r="J7" t="s">
        <v>447</v>
      </c>
      <c r="K7" t="s">
        <v>447</v>
      </c>
      <c r="L7" t="s">
        <v>447</v>
      </c>
      <c r="M7" t="s">
        <v>447</v>
      </c>
      <c r="N7" t="s">
        <v>447</v>
      </c>
      <c r="O7" t="s">
        <v>447</v>
      </c>
      <c r="P7" t="s">
        <v>447</v>
      </c>
      <c r="Q7" t="s">
        <v>447</v>
      </c>
      <c r="S7" s="14" t="s">
        <v>384</v>
      </c>
      <c r="T7" s="14" t="s">
        <v>421</v>
      </c>
      <c r="U7" s="14" t="s">
        <v>377</v>
      </c>
      <c r="V7" s="14" t="s">
        <v>389</v>
      </c>
      <c r="W7" s="14" t="s">
        <v>423</v>
      </c>
      <c r="X7" s="14" t="s">
        <v>379</v>
      </c>
      <c r="Y7" s="14" t="s">
        <v>380</v>
      </c>
      <c r="Z7" s="14"/>
      <c r="AA7" s="14"/>
      <c r="AB7" s="14"/>
      <c r="AC7" s="14"/>
      <c r="AD7" s="14"/>
      <c r="AE7" s="14"/>
      <c r="AF7" s="15"/>
      <c r="AG7" s="15"/>
    </row>
    <row r="8" spans="2:33" x14ac:dyDescent="0.2">
      <c r="B8" t="s">
        <v>8</v>
      </c>
      <c r="C8" t="s">
        <v>8</v>
      </c>
      <c r="D8" t="s">
        <v>447</v>
      </c>
      <c r="E8" t="s">
        <v>447</v>
      </c>
      <c r="F8" t="s">
        <v>447</v>
      </c>
      <c r="G8" t="s">
        <v>447</v>
      </c>
      <c r="H8" t="s">
        <v>447</v>
      </c>
      <c r="I8" t="s">
        <v>447</v>
      </c>
      <c r="J8" t="s">
        <v>447</v>
      </c>
      <c r="K8" t="s">
        <v>447</v>
      </c>
      <c r="L8" t="s">
        <v>447</v>
      </c>
      <c r="M8" t="s">
        <v>447</v>
      </c>
      <c r="N8" t="s">
        <v>447</v>
      </c>
      <c r="O8" t="s">
        <v>447</v>
      </c>
      <c r="P8" t="s">
        <v>447</v>
      </c>
      <c r="Q8" t="s">
        <v>447</v>
      </c>
      <c r="S8" s="16" t="s">
        <v>8</v>
      </c>
      <c r="T8" s="16"/>
      <c r="U8" s="16"/>
      <c r="V8" s="16"/>
      <c r="W8" s="16"/>
      <c r="X8" s="16"/>
      <c r="Y8" s="16"/>
      <c r="Z8" s="16"/>
      <c r="AA8" s="16"/>
      <c r="AB8" s="16"/>
      <c r="AC8" s="16"/>
      <c r="AD8" s="16"/>
      <c r="AE8" s="16"/>
      <c r="AF8" s="17"/>
      <c r="AG8" s="17"/>
    </row>
    <row r="10" spans="2:33" x14ac:dyDescent="0.2">
      <c r="B10" t="s">
        <v>432</v>
      </c>
      <c r="C10" t="s">
        <v>433</v>
      </c>
      <c r="D10" t="s">
        <v>434</v>
      </c>
      <c r="E10" t="s">
        <v>435</v>
      </c>
      <c r="F10" t="s">
        <v>436</v>
      </c>
      <c r="G10" t="s">
        <v>437</v>
      </c>
      <c r="H10" t="s">
        <v>438</v>
      </c>
      <c r="I10" t="s">
        <v>439</v>
      </c>
      <c r="J10" t="s">
        <v>440</v>
      </c>
      <c r="K10" t="s">
        <v>441</v>
      </c>
      <c r="L10" t="s">
        <v>442</v>
      </c>
      <c r="M10" t="s">
        <v>443</v>
      </c>
      <c r="N10" t="s">
        <v>444</v>
      </c>
      <c r="O10" t="s">
        <v>445</v>
      </c>
      <c r="P10" t="s">
        <v>446</v>
      </c>
      <c r="Q10" t="s">
        <v>448</v>
      </c>
      <c r="R10" t="s">
        <v>449</v>
      </c>
    </row>
    <row r="11" spans="2:33" x14ac:dyDescent="0.2">
      <c r="B11" t="s">
        <v>381</v>
      </c>
      <c r="C11" t="s">
        <v>633</v>
      </c>
      <c r="D11" t="s">
        <v>580</v>
      </c>
      <c r="E11" t="s">
        <v>627</v>
      </c>
      <c r="F11" t="s">
        <v>615</v>
      </c>
      <c r="G11" t="s">
        <v>551</v>
      </c>
      <c r="H11" t="s">
        <v>603</v>
      </c>
      <c r="I11" t="s">
        <v>605</v>
      </c>
      <c r="J11" t="s">
        <v>547</v>
      </c>
      <c r="K11" t="s">
        <v>584</v>
      </c>
      <c r="L11" t="s">
        <v>601</v>
      </c>
      <c r="M11" t="s">
        <v>447</v>
      </c>
      <c r="N11" t="s">
        <v>447</v>
      </c>
      <c r="O11" t="s">
        <v>447</v>
      </c>
      <c r="P11" t="s">
        <v>447</v>
      </c>
      <c r="Q11" t="s">
        <v>447</v>
      </c>
      <c r="R11" t="s">
        <v>447</v>
      </c>
    </row>
    <row r="12" spans="2:33" x14ac:dyDescent="0.2">
      <c r="B12" t="s">
        <v>386</v>
      </c>
      <c r="C12" t="s">
        <v>563</v>
      </c>
      <c r="D12" t="s">
        <v>555</v>
      </c>
      <c r="E12" t="s">
        <v>572</v>
      </c>
      <c r="F12" t="s">
        <v>565</v>
      </c>
      <c r="G12" t="s">
        <v>629</v>
      </c>
      <c r="H12" t="s">
        <v>557</v>
      </c>
      <c r="I12" t="s">
        <v>574</v>
      </c>
      <c r="J12" t="s">
        <v>567</v>
      </c>
      <c r="K12" t="s">
        <v>631</v>
      </c>
      <c r="L12" t="s">
        <v>570</v>
      </c>
      <c r="M12" t="s">
        <v>576</v>
      </c>
      <c r="N12" t="s">
        <v>635</v>
      </c>
      <c r="O12" t="s">
        <v>447</v>
      </c>
      <c r="P12" t="s">
        <v>447</v>
      </c>
      <c r="Q12" t="s">
        <v>447</v>
      </c>
      <c r="R12" t="s">
        <v>447</v>
      </c>
    </row>
    <row r="13" spans="2:33" x14ac:dyDescent="0.2">
      <c r="B13" t="s">
        <v>365</v>
      </c>
      <c r="C13" t="s">
        <v>529</v>
      </c>
      <c r="D13" t="s">
        <v>508</v>
      </c>
      <c r="E13" t="s">
        <v>516</v>
      </c>
      <c r="F13" t="s">
        <v>518</v>
      </c>
      <c r="G13" t="s">
        <v>533</v>
      </c>
      <c r="H13" t="s">
        <v>618</v>
      </c>
      <c r="I13" t="s">
        <v>514</v>
      </c>
      <c r="J13" t="s">
        <v>520</v>
      </c>
      <c r="K13" t="s">
        <v>522</v>
      </c>
      <c r="L13" t="s">
        <v>525</v>
      </c>
      <c r="M13" t="s">
        <v>510</v>
      </c>
      <c r="N13" t="s">
        <v>531</v>
      </c>
      <c r="O13" t="s">
        <v>623</v>
      </c>
      <c r="P13" t="s">
        <v>625</v>
      </c>
      <c r="Q13" t="s">
        <v>639</v>
      </c>
      <c r="R13" t="s">
        <v>539</v>
      </c>
    </row>
    <row r="14" spans="2:33" x14ac:dyDescent="0.2">
      <c r="B14" t="s">
        <v>400</v>
      </c>
      <c r="C14" t="s">
        <v>582</v>
      </c>
      <c r="D14" t="s">
        <v>641</v>
      </c>
      <c r="E14" t="s">
        <v>597</v>
      </c>
      <c r="F14" t="s">
        <v>637</v>
      </c>
      <c r="G14" t="s">
        <v>589</v>
      </c>
      <c r="H14" t="s">
        <v>611</v>
      </c>
      <c r="I14" t="s">
        <v>587</v>
      </c>
      <c r="J14" t="s">
        <v>591</v>
      </c>
      <c r="K14" t="s">
        <v>599</v>
      </c>
      <c r="L14" t="s">
        <v>607</v>
      </c>
      <c r="M14" t="s">
        <v>620</v>
      </c>
      <c r="N14" t="s">
        <v>593</v>
      </c>
      <c r="O14" t="s">
        <v>447</v>
      </c>
      <c r="P14" t="s">
        <v>447</v>
      </c>
      <c r="Q14" t="s">
        <v>447</v>
      </c>
      <c r="R14" t="s">
        <v>447</v>
      </c>
    </row>
    <row r="15" spans="2:33" x14ac:dyDescent="0.2">
      <c r="B15" t="s">
        <v>376</v>
      </c>
      <c r="C15" t="s">
        <v>535</v>
      </c>
      <c r="D15" t="s">
        <v>543</v>
      </c>
      <c r="E15" t="s">
        <v>559</v>
      </c>
      <c r="F15" t="s">
        <v>549</v>
      </c>
      <c r="G15" t="s">
        <v>545</v>
      </c>
      <c r="H15" t="s">
        <v>609</v>
      </c>
      <c r="I15" t="s">
        <v>537</v>
      </c>
      <c r="J15" t="s">
        <v>447</v>
      </c>
      <c r="K15" t="s">
        <v>447</v>
      </c>
      <c r="L15" t="s">
        <v>447</v>
      </c>
      <c r="M15" t="s">
        <v>447</v>
      </c>
      <c r="N15" t="s">
        <v>447</v>
      </c>
      <c r="O15" t="s">
        <v>447</v>
      </c>
      <c r="P15" t="s">
        <v>447</v>
      </c>
      <c r="Q15" t="s">
        <v>447</v>
      </c>
      <c r="R15" t="s">
        <v>447</v>
      </c>
    </row>
    <row r="16" spans="2:33" x14ac:dyDescent="0.2">
      <c r="B16" t="s">
        <v>8</v>
      </c>
      <c r="C16" t="s">
        <v>447</v>
      </c>
      <c r="D16" t="s">
        <v>447</v>
      </c>
      <c r="E16" t="s">
        <v>447</v>
      </c>
      <c r="F16" t="s">
        <v>447</v>
      </c>
      <c r="G16" t="s">
        <v>447</v>
      </c>
      <c r="H16" t="s">
        <v>447</v>
      </c>
      <c r="I16" t="s">
        <v>447</v>
      </c>
      <c r="J16" t="s">
        <v>447</v>
      </c>
      <c r="K16" t="s">
        <v>447</v>
      </c>
      <c r="L16" t="s">
        <v>447</v>
      </c>
      <c r="M16" t="s">
        <v>447</v>
      </c>
      <c r="N16" t="s">
        <v>447</v>
      </c>
      <c r="O16" t="s">
        <v>447</v>
      </c>
      <c r="P16" t="s">
        <v>447</v>
      </c>
      <c r="Q16" t="s">
        <v>447</v>
      </c>
      <c r="R16" t="s">
        <v>447</v>
      </c>
    </row>
    <row r="19" spans="2:4" x14ac:dyDescent="0.2">
      <c r="B19" t="s">
        <v>969</v>
      </c>
      <c r="C19" t="s">
        <v>970</v>
      </c>
      <c r="D19" t="s">
        <v>971</v>
      </c>
    </row>
    <row r="20" spans="2:4" x14ac:dyDescent="0.2">
      <c r="B20" s="142">
        <v>42385</v>
      </c>
      <c r="C20">
        <v>24122</v>
      </c>
      <c r="D20">
        <v>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21"/>
      <c r="B1" s="122"/>
      <c r="C1" s="122"/>
      <c r="D1" s="122"/>
      <c r="E1" s="122"/>
      <c r="F1" s="122"/>
      <c r="G1" s="123"/>
      <c r="H1" s="124"/>
      <c r="I1" s="124"/>
      <c r="J1" s="124"/>
      <c r="K1" s="125"/>
    </row>
    <row r="2" spans="1:11" ht="39" customHeight="1" thickBot="1" x14ac:dyDescent="0.25">
      <c r="A2" s="121"/>
      <c r="B2" s="335" t="s">
        <v>975</v>
      </c>
      <c r="C2" s="336"/>
      <c r="D2" s="336"/>
      <c r="E2" s="336"/>
      <c r="F2" s="336"/>
      <c r="G2" s="337"/>
      <c r="H2" s="126" t="s">
        <v>5</v>
      </c>
      <c r="I2" s="127" t="s">
        <v>2</v>
      </c>
      <c r="J2" s="127" t="s">
        <v>231</v>
      </c>
      <c r="K2" s="125"/>
    </row>
    <row r="3" spans="1:11" ht="59.25" customHeight="1" x14ac:dyDescent="0.2">
      <c r="A3" s="121"/>
      <c r="B3" s="338"/>
      <c r="C3" s="339"/>
      <c r="D3" s="339"/>
      <c r="E3" s="339"/>
      <c r="F3" s="339"/>
      <c r="G3" s="339"/>
      <c r="H3" s="331">
        <f>SUM(H5,H10)</f>
        <v>360593</v>
      </c>
      <c r="I3" s="331">
        <f>SUM(I5,I10)</f>
        <v>78113</v>
      </c>
      <c r="J3" s="333">
        <f>ROUND(I3/H3,5)</f>
        <v>0.21662000000000001</v>
      </c>
      <c r="K3" s="125"/>
    </row>
    <row r="4" spans="1:11" ht="33" customHeight="1" thickBot="1" x14ac:dyDescent="0.25">
      <c r="A4" s="121"/>
      <c r="B4" s="342" t="str">
        <f>"As of: "&amp;TEXT(INDEX(MMWR_DATES[],1,1),"MMMM DD, YYYY")</f>
        <v>As of: January 16, 2016</v>
      </c>
      <c r="C4" s="343"/>
      <c r="D4" s="343"/>
      <c r="E4" s="343"/>
      <c r="F4" s="343"/>
      <c r="G4" s="344"/>
      <c r="H4" s="332"/>
      <c r="I4" s="332"/>
      <c r="J4" s="334"/>
      <c r="K4" s="128"/>
    </row>
    <row r="5" spans="1:11" ht="16.5" customHeight="1" thickBot="1" x14ac:dyDescent="0.25">
      <c r="A5" s="121"/>
      <c r="B5" s="340" t="s">
        <v>236</v>
      </c>
      <c r="C5" s="341"/>
      <c r="D5" s="341"/>
      <c r="E5" s="341"/>
      <c r="F5" s="341"/>
      <c r="G5" s="129" t="s">
        <v>247</v>
      </c>
      <c r="H5" s="150">
        <f>SUM(H6:H9)</f>
        <v>136975</v>
      </c>
      <c r="I5" s="150">
        <f>SUM(I6:I9)</f>
        <v>35381</v>
      </c>
      <c r="J5" s="151">
        <f t="shared" ref="J5:J15" si="0">IF(H5=0, 0,I5/H5)</f>
        <v>0.25830260996532212</v>
      </c>
      <c r="K5" s="125"/>
    </row>
    <row r="6" spans="1:11" ht="16.5" customHeight="1" x14ac:dyDescent="0.2">
      <c r="A6" s="121"/>
      <c r="B6" s="345" t="s">
        <v>16</v>
      </c>
      <c r="C6" s="346"/>
      <c r="D6" s="346"/>
      <c r="E6" s="346"/>
      <c r="F6" s="346"/>
      <c r="G6" s="130" t="s">
        <v>193</v>
      </c>
      <c r="H6" s="152">
        <f>IFERROR(VLOOKUP(MID($G6,4,3),MMWR_TRAD_AGG_NATIONAL[],2,0),0)</f>
        <v>40521</v>
      </c>
      <c r="I6" s="152">
        <f>IFERROR(VLOOKUP(MID($G6,4,3),MMWR_TRAD_AGG_NATIONAL[],3,0),0)</f>
        <v>13176</v>
      </c>
      <c r="J6" s="153">
        <f t="shared" si="0"/>
        <v>0.32516472939957058</v>
      </c>
      <c r="K6" s="125"/>
    </row>
    <row r="7" spans="1:11" ht="16.5" customHeight="1" x14ac:dyDescent="0.2">
      <c r="A7" s="121"/>
      <c r="B7" s="347" t="s">
        <v>0</v>
      </c>
      <c r="C7" s="348"/>
      <c r="D7" s="348"/>
      <c r="E7" s="348"/>
      <c r="F7" s="348"/>
      <c r="G7" s="131" t="s">
        <v>194</v>
      </c>
      <c r="H7" s="152">
        <f>IFERROR(VLOOKUP(MID($G7,4,3),MMWR_TRAD_AGG_NATIONAL[],2,0),0)</f>
        <v>79455</v>
      </c>
      <c r="I7" s="152">
        <f>IFERROR(VLOOKUP(MID($G7,4,3),MMWR_TRAD_AGG_NATIONAL[],3,0),0)</f>
        <v>20129</v>
      </c>
      <c r="J7" s="153">
        <f t="shared" si="0"/>
        <v>0.25333836762947581</v>
      </c>
      <c r="K7" s="125"/>
    </row>
    <row r="8" spans="1:11" ht="16.5" customHeight="1" x14ac:dyDescent="0.2">
      <c r="A8" s="121"/>
      <c r="B8" s="349" t="s">
        <v>237</v>
      </c>
      <c r="C8" s="350"/>
      <c r="D8" s="350"/>
      <c r="E8" s="350"/>
      <c r="F8" s="350"/>
      <c r="G8" s="132" t="s">
        <v>196</v>
      </c>
      <c r="H8" s="152">
        <f>IFERROR(VLOOKUP(MID($G8,4,3),MMWR_TRAD_AGG_NATIONAL[],2,0),0)</f>
        <v>8629</v>
      </c>
      <c r="I8" s="152">
        <f>IFERROR(VLOOKUP(MID($G8,4,3),MMWR_TRAD_AGG_NATIONAL[],3,0),0)</f>
        <v>567</v>
      </c>
      <c r="J8" s="153">
        <f t="shared" si="0"/>
        <v>6.5708656854791977E-2</v>
      </c>
      <c r="K8" s="125"/>
    </row>
    <row r="9" spans="1:11" ht="16.5" customHeight="1" thickBot="1" x14ac:dyDescent="0.25">
      <c r="A9" s="121"/>
      <c r="B9" s="351" t="s">
        <v>17</v>
      </c>
      <c r="C9" s="352"/>
      <c r="D9" s="352"/>
      <c r="E9" s="352"/>
      <c r="F9" s="352"/>
      <c r="G9" s="131" t="s">
        <v>198</v>
      </c>
      <c r="H9" s="152">
        <f>IFERROR(VLOOKUP(MID($G9,4,3),MMWR_TRAD_AGG_NATIONAL[],2,0),0)</f>
        <v>8370</v>
      </c>
      <c r="I9" s="152">
        <f>IFERROR(VLOOKUP(MID($G9,4,3),MMWR_TRAD_AGG_NATIONAL[],3,0),0)</f>
        <v>1509</v>
      </c>
      <c r="J9" s="153">
        <f t="shared" si="0"/>
        <v>0.18028673835125447</v>
      </c>
      <c r="K9" s="125"/>
    </row>
    <row r="10" spans="1:11" ht="17.25" thickBot="1" x14ac:dyDescent="0.25">
      <c r="A10" s="121"/>
      <c r="B10" s="340" t="s">
        <v>1</v>
      </c>
      <c r="C10" s="341"/>
      <c r="D10" s="341"/>
      <c r="E10" s="341"/>
      <c r="F10" s="341"/>
      <c r="G10" s="129" t="s">
        <v>247</v>
      </c>
      <c r="H10" s="150">
        <f>SUM(H11:H18)</f>
        <v>223618</v>
      </c>
      <c r="I10" s="150">
        <f>SUM(I11:I18)</f>
        <v>42732</v>
      </c>
      <c r="J10" s="151">
        <f t="shared" si="0"/>
        <v>0.19109374021769268</v>
      </c>
      <c r="K10" s="125"/>
    </row>
    <row r="11" spans="1:11" ht="16.5" customHeight="1" x14ac:dyDescent="0.2">
      <c r="A11" s="121"/>
      <c r="B11" s="345" t="s">
        <v>202</v>
      </c>
      <c r="C11" s="346"/>
      <c r="D11" s="346"/>
      <c r="E11" s="346"/>
      <c r="F11" s="346"/>
      <c r="G11" s="133" t="s">
        <v>197</v>
      </c>
      <c r="H11" s="154">
        <f>IFERROR(VLOOKUP(MID($G11,4,3),MMWR_TRAD_AGG_NATIONAL[],2,0),0)</f>
        <v>8137</v>
      </c>
      <c r="I11" s="152">
        <f>IFERROR(VLOOKUP(MID($G11,4,3),MMWR_TRAD_AGG_NATIONAL[],3,0),0)</f>
        <v>431</v>
      </c>
      <c r="J11" s="153">
        <f t="shared" si="0"/>
        <v>5.2967924296423746E-2</v>
      </c>
      <c r="K11" s="125"/>
    </row>
    <row r="12" spans="1:11" ht="16.5" customHeight="1" x14ac:dyDescent="0.2">
      <c r="A12" s="121"/>
      <c r="B12" s="347" t="s">
        <v>18</v>
      </c>
      <c r="C12" s="348"/>
      <c r="D12" s="348"/>
      <c r="E12" s="348"/>
      <c r="F12" s="348"/>
      <c r="G12" s="134" t="s">
        <v>195</v>
      </c>
      <c r="H12" s="155">
        <f>IFERROR(VLOOKUP(MID($G12,4,3),MMWR_TRAD_AGG_NATIONAL[],2,0),0)</f>
        <v>197591</v>
      </c>
      <c r="I12" s="152">
        <f>IFERROR(VLOOKUP(MID($G12,4,3),MMWR_TRAD_AGG_NATIONAL[],3,0),0)</f>
        <v>39380</v>
      </c>
      <c r="J12" s="153">
        <f t="shared" si="0"/>
        <v>0.19930057543106722</v>
      </c>
      <c r="K12" s="125"/>
    </row>
    <row r="13" spans="1:11" ht="16.5" customHeight="1" x14ac:dyDescent="0.2">
      <c r="A13" s="121"/>
      <c r="B13" s="347" t="s">
        <v>14</v>
      </c>
      <c r="C13" s="348"/>
      <c r="D13" s="348"/>
      <c r="E13" s="348"/>
      <c r="F13" s="348"/>
      <c r="G13" s="134" t="s">
        <v>199</v>
      </c>
      <c r="H13" s="155">
        <f>IFERROR(VLOOKUP(MID($G13,4,3),MMWR_TRAD_AGG_NATIONAL[],2,0),0)</f>
        <v>16412</v>
      </c>
      <c r="I13" s="152">
        <f>IFERROR(VLOOKUP(MID($G13,4,3),MMWR_TRAD_AGG_NATIONAL[],3,0),0)</f>
        <v>2127</v>
      </c>
      <c r="J13" s="153">
        <f t="shared" si="0"/>
        <v>0.12960029246892518</v>
      </c>
      <c r="K13" s="125"/>
    </row>
    <row r="14" spans="1:11" ht="16.5" customHeight="1" x14ac:dyDescent="0.2">
      <c r="A14" s="121"/>
      <c r="B14" s="349" t="s">
        <v>19</v>
      </c>
      <c r="C14" s="350"/>
      <c r="D14" s="350"/>
      <c r="E14" s="350"/>
      <c r="F14" s="350"/>
      <c r="G14" s="133" t="s">
        <v>200</v>
      </c>
      <c r="H14" s="155">
        <f>IFERROR(VLOOKUP(MID($G14,4,3),MMWR_TRAD_AGG_NATIONAL[],2,0),0)</f>
        <v>1447</v>
      </c>
      <c r="I14" s="152">
        <f>IFERROR(VLOOKUP(MID($G14,4,3),MMWR_TRAD_AGG_NATIONAL[],3,0),0)</f>
        <v>792</v>
      </c>
      <c r="J14" s="153">
        <f t="shared" si="0"/>
        <v>0.54733932273669661</v>
      </c>
      <c r="K14" s="125"/>
    </row>
    <row r="15" spans="1:11" ht="16.5" customHeight="1" x14ac:dyDescent="0.2">
      <c r="A15" s="121"/>
      <c r="B15" s="349" t="s">
        <v>87</v>
      </c>
      <c r="C15" s="350"/>
      <c r="D15" s="350"/>
      <c r="E15" s="350"/>
      <c r="F15" s="350"/>
      <c r="G15" s="133" t="s">
        <v>203</v>
      </c>
      <c r="H15" s="155">
        <f>IFERROR(VLOOKUP(MID($G15,4,3),MMWR_TRAD_AGG_NATIONAL[],2,0),0)</f>
        <v>26</v>
      </c>
      <c r="I15" s="152">
        <f>IFERROR(VLOOKUP(MID($G15,4,3),MMWR_TRAD_AGG_NATIONAL[],3,0),0)</f>
        <v>2</v>
      </c>
      <c r="J15" s="153">
        <f t="shared" si="0"/>
        <v>7.6923076923076927E-2</v>
      </c>
      <c r="K15" s="125"/>
    </row>
    <row r="16" spans="1:11" ht="15" x14ac:dyDescent="0.2">
      <c r="A16" s="121"/>
      <c r="B16" s="349" t="s">
        <v>88</v>
      </c>
      <c r="C16" s="350"/>
      <c r="D16" s="350"/>
      <c r="E16" s="350"/>
      <c r="F16" s="350"/>
      <c r="G16" s="133" t="s">
        <v>204</v>
      </c>
      <c r="H16" s="155">
        <f>IFERROR(VLOOKUP(MID($G16,4,3),MMWR_TRAD_AGG_NATIONAL[],2,0),0)</f>
        <v>2</v>
      </c>
      <c r="I16" s="152">
        <f>IFERROR(VLOOKUP(MID($G16,4,3),MMWR_TRAD_AGG_NATIONAL[],3,0),0)</f>
        <v>0</v>
      </c>
      <c r="J16" s="153">
        <f>IF(H16=0, 0,I16/H16)</f>
        <v>0</v>
      </c>
      <c r="K16" s="125"/>
    </row>
    <row r="17" spans="1:11" ht="16.5" customHeight="1" x14ac:dyDescent="0.2">
      <c r="A17" s="121"/>
      <c r="B17" s="349" t="s">
        <v>90</v>
      </c>
      <c r="C17" s="350"/>
      <c r="D17" s="350"/>
      <c r="E17" s="350"/>
      <c r="F17" s="350"/>
      <c r="G17" s="133" t="s">
        <v>205</v>
      </c>
      <c r="H17" s="155">
        <f>IFERROR(VLOOKUP(MID($G17,4,3),MMWR_TRAD_AGG_NATIONAL[],2,0),0)</f>
        <v>2</v>
      </c>
      <c r="I17" s="152">
        <f>IFERROR(VLOOKUP(MID($G17,4,3),MMWR_TRAD_AGG_NATIONAL[],3,0),0)</f>
        <v>0</v>
      </c>
      <c r="J17" s="153">
        <f>IF(H17=0, 0,I17/H17)</f>
        <v>0</v>
      </c>
      <c r="K17" s="125"/>
    </row>
    <row r="18" spans="1:11" ht="16.5" customHeight="1" thickBot="1" x14ac:dyDescent="0.25">
      <c r="A18" s="121"/>
      <c r="B18" s="351" t="s">
        <v>89</v>
      </c>
      <c r="C18" s="352"/>
      <c r="D18" s="352"/>
      <c r="E18" s="352"/>
      <c r="F18" s="352"/>
      <c r="G18" s="133" t="s">
        <v>206</v>
      </c>
      <c r="H18" s="156">
        <f>IFERROR(VLOOKUP(MID($G18,4,3),MMWR_TRAD_AGG_NATIONAL[],2,0),0)</f>
        <v>1</v>
      </c>
      <c r="I18" s="152">
        <f>IFERROR(VLOOKUP(MID($G18,4,3),MMWR_TRAD_AGG_NATIONAL[],3,0),0)</f>
        <v>0</v>
      </c>
      <c r="J18" s="157">
        <f>IF(H18=0, 0,I18/H18)</f>
        <v>0</v>
      </c>
      <c r="K18" s="125"/>
    </row>
    <row r="19" spans="1:11" ht="16.5" customHeight="1" x14ac:dyDescent="0.2">
      <c r="A19" s="121"/>
      <c r="B19" s="356" t="s">
        <v>965</v>
      </c>
      <c r="C19" s="357"/>
      <c r="D19" s="357"/>
      <c r="E19" s="357"/>
      <c r="F19" s="357"/>
      <c r="G19" s="357"/>
      <c r="H19" s="357"/>
      <c r="I19" s="357"/>
      <c r="J19" s="358"/>
      <c r="K19" s="125"/>
    </row>
    <row r="20" spans="1:11" ht="36" customHeight="1" thickBot="1" x14ac:dyDescent="0.25">
      <c r="A20" s="121"/>
      <c r="B20" s="359"/>
      <c r="C20" s="360"/>
      <c r="D20" s="360"/>
      <c r="E20" s="360"/>
      <c r="F20" s="360"/>
      <c r="G20" s="360"/>
      <c r="H20" s="360"/>
      <c r="I20" s="360"/>
      <c r="J20" s="361"/>
      <c r="K20" s="125"/>
    </row>
    <row r="21" spans="1:11" ht="36" customHeight="1" x14ac:dyDescent="0.2">
      <c r="A21" s="121"/>
      <c r="B21" s="308" t="s">
        <v>956</v>
      </c>
      <c r="C21" s="309"/>
      <c r="D21" s="310"/>
      <c r="E21" s="308" t="s">
        <v>957</v>
      </c>
      <c r="F21" s="309"/>
      <c r="G21" s="310"/>
      <c r="H21" s="308" t="s">
        <v>958</v>
      </c>
      <c r="I21" s="309"/>
      <c r="J21" s="310"/>
      <c r="K21" s="125"/>
    </row>
    <row r="22" spans="1:11" ht="29.25" customHeight="1" thickBot="1" x14ac:dyDescent="0.25">
      <c r="A22" s="121"/>
      <c r="B22" s="311"/>
      <c r="C22" s="312"/>
      <c r="D22" s="313"/>
      <c r="E22" s="311"/>
      <c r="F22" s="312"/>
      <c r="G22" s="313"/>
      <c r="H22" s="311"/>
      <c r="I22" s="312"/>
      <c r="J22" s="313"/>
      <c r="K22" s="125"/>
    </row>
    <row r="23" spans="1:11" ht="36" customHeight="1" x14ac:dyDescent="0.35">
      <c r="A23" s="121"/>
      <c r="B23" s="308" t="s">
        <v>950</v>
      </c>
      <c r="C23" s="309"/>
      <c r="D23" s="310"/>
      <c r="E23" s="308" t="s">
        <v>951</v>
      </c>
      <c r="F23" s="309"/>
      <c r="G23" s="310"/>
      <c r="H23" s="135"/>
      <c r="I23" s="135"/>
      <c r="J23" s="135"/>
      <c r="K23" s="125"/>
    </row>
    <row r="24" spans="1:11" ht="29.25" customHeight="1" thickBot="1" x14ac:dyDescent="0.4">
      <c r="A24" s="121"/>
      <c r="B24" s="311"/>
      <c r="C24" s="312"/>
      <c r="D24" s="313"/>
      <c r="E24" s="311"/>
      <c r="F24" s="312"/>
      <c r="G24" s="313"/>
      <c r="H24" s="135"/>
      <c r="I24" s="135"/>
      <c r="J24" s="135"/>
      <c r="K24" s="125"/>
    </row>
    <row r="25" spans="1:11" ht="29.25" customHeight="1" thickBot="1" x14ac:dyDescent="0.25">
      <c r="A25" s="121"/>
      <c r="B25" s="136"/>
      <c r="C25" s="137"/>
      <c r="D25" s="137"/>
      <c r="E25" s="137"/>
      <c r="F25" s="137"/>
      <c r="G25" s="137"/>
      <c r="H25" s="137"/>
      <c r="I25" s="137"/>
      <c r="J25" s="137"/>
      <c r="K25" s="138"/>
    </row>
    <row r="26" spans="1:11" ht="38.25" x14ac:dyDescent="0.2">
      <c r="A26" s="121"/>
      <c r="B26" s="139" t="s">
        <v>23</v>
      </c>
      <c r="C26" s="329"/>
      <c r="D26" s="329"/>
      <c r="E26" s="329"/>
      <c r="F26" s="330"/>
      <c r="G26" s="235" t="s">
        <v>28</v>
      </c>
      <c r="H26" s="235" t="s">
        <v>29</v>
      </c>
      <c r="I26" s="235" t="s">
        <v>30</v>
      </c>
      <c r="J26" s="236" t="s">
        <v>31</v>
      </c>
      <c r="K26" s="125"/>
    </row>
    <row r="27" spans="1:11" ht="16.5" customHeight="1" x14ac:dyDescent="0.2">
      <c r="A27" s="121"/>
      <c r="B27" s="326" t="s">
        <v>959</v>
      </c>
      <c r="C27" s="327"/>
      <c r="D27" s="327"/>
      <c r="E27" s="327"/>
      <c r="F27" s="328"/>
      <c r="G27" s="228">
        <v>8697</v>
      </c>
      <c r="H27" s="228">
        <v>7006</v>
      </c>
      <c r="I27" s="228">
        <v>1691</v>
      </c>
      <c r="J27" s="232">
        <v>0.24099999999999999</v>
      </c>
      <c r="K27" s="125"/>
    </row>
    <row r="28" spans="1:11" ht="15" x14ac:dyDescent="0.2">
      <c r="A28" s="121"/>
      <c r="B28" s="314" t="s">
        <v>24</v>
      </c>
      <c r="C28" s="315"/>
      <c r="D28" s="315"/>
      <c r="E28" s="315"/>
      <c r="F28" s="316"/>
      <c r="G28" s="229">
        <v>1627</v>
      </c>
      <c r="H28" s="229">
        <v>1262</v>
      </c>
      <c r="I28" s="229">
        <v>365</v>
      </c>
      <c r="J28" s="225">
        <v>0.28899999999999998</v>
      </c>
      <c r="K28" s="125"/>
    </row>
    <row r="29" spans="1:11" ht="15" x14ac:dyDescent="0.2">
      <c r="A29" s="121"/>
      <c r="B29" s="317" t="s">
        <v>25</v>
      </c>
      <c r="C29" s="318"/>
      <c r="D29" s="318"/>
      <c r="E29" s="318"/>
      <c r="F29" s="319"/>
      <c r="G29" s="230">
        <v>896</v>
      </c>
      <c r="H29" s="230">
        <v>782</v>
      </c>
      <c r="I29" s="230">
        <v>114</v>
      </c>
      <c r="J29" s="226">
        <v>0.14599999999999999</v>
      </c>
      <c r="K29" s="125"/>
    </row>
    <row r="30" spans="1:11" ht="15" x14ac:dyDescent="0.2">
      <c r="A30" s="121"/>
      <c r="B30" s="320" t="s">
        <v>26</v>
      </c>
      <c r="C30" s="321"/>
      <c r="D30" s="321"/>
      <c r="E30" s="321"/>
      <c r="F30" s="322"/>
      <c r="G30" s="230">
        <v>2428</v>
      </c>
      <c r="H30" s="230">
        <v>2035</v>
      </c>
      <c r="I30" s="230">
        <v>393</v>
      </c>
      <c r="J30" s="226">
        <v>0.193</v>
      </c>
      <c r="K30" s="125"/>
    </row>
    <row r="31" spans="1:11" ht="15" x14ac:dyDescent="0.2">
      <c r="A31" s="121"/>
      <c r="B31" s="323" t="s">
        <v>27</v>
      </c>
      <c r="C31" s="324"/>
      <c r="D31" s="324"/>
      <c r="E31" s="324"/>
      <c r="F31" s="325"/>
      <c r="G31" s="231">
        <v>3746</v>
      </c>
      <c r="H31" s="231">
        <v>2927</v>
      </c>
      <c r="I31" s="231">
        <v>819</v>
      </c>
      <c r="J31" s="227">
        <v>0.28000000000000003</v>
      </c>
      <c r="K31" s="125"/>
    </row>
    <row r="32" spans="1:11" ht="16.5" customHeight="1" x14ac:dyDescent="0.2">
      <c r="A32" s="121"/>
      <c r="B32" s="326" t="s">
        <v>238</v>
      </c>
      <c r="C32" s="327"/>
      <c r="D32" s="327"/>
      <c r="E32" s="327"/>
      <c r="F32" s="328"/>
      <c r="G32" s="228">
        <v>77891</v>
      </c>
      <c r="H32" s="228">
        <v>59775</v>
      </c>
      <c r="I32" s="228">
        <v>18116</v>
      </c>
      <c r="J32" s="232">
        <v>0.30299999999999999</v>
      </c>
      <c r="K32" s="125"/>
    </row>
    <row r="33" spans="1:11" ht="15" x14ac:dyDescent="0.2">
      <c r="A33" s="121"/>
      <c r="B33" s="314" t="s">
        <v>24</v>
      </c>
      <c r="C33" s="315"/>
      <c r="D33" s="315"/>
      <c r="E33" s="315"/>
      <c r="F33" s="316"/>
      <c r="G33" s="229">
        <v>14534</v>
      </c>
      <c r="H33" s="229">
        <v>10416</v>
      </c>
      <c r="I33" s="229">
        <v>4118</v>
      </c>
      <c r="J33" s="225">
        <v>0.39500000000000002</v>
      </c>
      <c r="K33" s="125"/>
    </row>
    <row r="34" spans="1:11" ht="15" x14ac:dyDescent="0.2">
      <c r="A34" s="121"/>
      <c r="B34" s="317" t="s">
        <v>25</v>
      </c>
      <c r="C34" s="318"/>
      <c r="D34" s="318"/>
      <c r="E34" s="318"/>
      <c r="F34" s="319"/>
      <c r="G34" s="230">
        <v>8310</v>
      </c>
      <c r="H34" s="230">
        <v>6976</v>
      </c>
      <c r="I34" s="230">
        <v>1334</v>
      </c>
      <c r="J34" s="226">
        <v>0.191</v>
      </c>
      <c r="K34" s="125"/>
    </row>
    <row r="35" spans="1:11" ht="15" x14ac:dyDescent="0.2">
      <c r="A35" s="121"/>
      <c r="B35" s="320" t="s">
        <v>26</v>
      </c>
      <c r="C35" s="321"/>
      <c r="D35" s="321"/>
      <c r="E35" s="321"/>
      <c r="F35" s="322"/>
      <c r="G35" s="230">
        <v>30830</v>
      </c>
      <c r="H35" s="230">
        <v>22271</v>
      </c>
      <c r="I35" s="230">
        <v>8559</v>
      </c>
      <c r="J35" s="226">
        <v>0.38400000000000001</v>
      </c>
      <c r="K35" s="125"/>
    </row>
    <row r="36" spans="1:11" ht="15.75" thickBot="1" x14ac:dyDescent="0.25">
      <c r="A36" s="121"/>
      <c r="B36" s="362" t="s">
        <v>27</v>
      </c>
      <c r="C36" s="363"/>
      <c r="D36" s="363"/>
      <c r="E36" s="363"/>
      <c r="F36" s="364"/>
      <c r="G36" s="230">
        <v>24217</v>
      </c>
      <c r="H36" s="230">
        <v>20112</v>
      </c>
      <c r="I36" s="230">
        <v>4105</v>
      </c>
      <c r="J36" s="226">
        <v>0.20399999999999999</v>
      </c>
      <c r="K36" s="125"/>
    </row>
    <row r="37" spans="1:11" ht="15.75" customHeight="1" thickBot="1" x14ac:dyDescent="0.25">
      <c r="A37" s="121"/>
      <c r="B37" s="353" t="s">
        <v>964</v>
      </c>
      <c r="C37" s="354"/>
      <c r="D37" s="354"/>
      <c r="E37" s="354"/>
      <c r="F37" s="354"/>
      <c r="G37" s="354"/>
      <c r="H37" s="354"/>
      <c r="I37" s="354"/>
      <c r="J37" s="355"/>
      <c r="K37" s="125"/>
    </row>
    <row r="38" spans="1:11" ht="15" customHeight="1" x14ac:dyDescent="0.2">
      <c r="A38" s="140"/>
      <c r="B38" s="141"/>
      <c r="C38" s="141"/>
      <c r="D38" s="141"/>
      <c r="E38" s="141"/>
      <c r="F38" s="141"/>
      <c r="G38" s="141"/>
      <c r="H38" s="141"/>
      <c r="I38" s="141"/>
      <c r="J38" s="141"/>
      <c r="K38" s="138"/>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1" priority="26" stopIfTrue="1">
      <formula>ISERROR(J6)</formula>
    </cfRule>
  </conditionalFormatting>
  <conditionalFormatting sqref="J8">
    <cfRule type="expression" dxfId="430"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80" t="s">
        <v>293</v>
      </c>
      <c r="D2" s="381"/>
      <c r="E2" s="381"/>
      <c r="F2" s="381"/>
      <c r="G2" s="381"/>
      <c r="H2" s="381"/>
      <c r="I2" s="381"/>
      <c r="J2" s="381"/>
      <c r="K2" s="382"/>
      <c r="L2" s="380" t="s">
        <v>298</v>
      </c>
      <c r="M2" s="381"/>
      <c r="N2" s="381"/>
      <c r="O2" s="382"/>
      <c r="P2" s="28"/>
    </row>
    <row r="3" spans="1:16" ht="24" customHeight="1" thickBot="1" x14ac:dyDescent="0.4">
      <c r="A3" s="25"/>
      <c r="B3" s="29"/>
      <c r="C3" s="383"/>
      <c r="D3" s="384"/>
      <c r="E3" s="384"/>
      <c r="F3" s="384"/>
      <c r="G3" s="384"/>
      <c r="H3" s="384"/>
      <c r="I3" s="384"/>
      <c r="J3" s="384"/>
      <c r="K3" s="385"/>
      <c r="L3" s="383" t="str">
        <f>Transformation!B4</f>
        <v>As of: January 16, 2016</v>
      </c>
      <c r="M3" s="384"/>
      <c r="N3" s="384"/>
      <c r="O3" s="385"/>
      <c r="P3" s="28"/>
    </row>
    <row r="4" spans="1:16" ht="51.75" customHeight="1" thickBot="1" x14ac:dyDescent="0.35">
      <c r="A4" s="30"/>
      <c r="B4" s="218" t="s">
        <v>451</v>
      </c>
      <c r="C4" s="386" t="s">
        <v>302</v>
      </c>
      <c r="D4" s="387"/>
      <c r="E4" s="387"/>
      <c r="F4" s="387"/>
      <c r="G4" s="387"/>
      <c r="H4" s="387"/>
      <c r="I4" s="387"/>
      <c r="J4" s="387"/>
      <c r="K4" s="387"/>
      <c r="L4" s="387"/>
      <c r="M4" s="387"/>
      <c r="N4" s="387"/>
      <c r="O4" s="388"/>
      <c r="P4" s="28"/>
    </row>
    <row r="5" spans="1:16" ht="27" customHeight="1" thickBot="1" x14ac:dyDescent="0.25">
      <c r="A5" s="30"/>
      <c r="B5" s="26"/>
      <c r="C5" s="389" t="s">
        <v>1038</v>
      </c>
      <c r="D5" s="390"/>
      <c r="E5" s="390"/>
      <c r="F5" s="390"/>
      <c r="G5" s="390"/>
      <c r="H5" s="390"/>
      <c r="I5" s="390"/>
      <c r="J5" s="390"/>
      <c r="K5" s="390"/>
      <c r="L5" s="390"/>
      <c r="M5" s="390"/>
      <c r="N5" s="390"/>
      <c r="O5" s="391"/>
      <c r="P5" s="28"/>
    </row>
    <row r="6" spans="1:16" ht="55.5" customHeight="1" x14ac:dyDescent="0.2">
      <c r="A6" s="30"/>
      <c r="B6" s="31"/>
      <c r="C6" s="32" t="s">
        <v>193</v>
      </c>
      <c r="D6" s="392" t="s">
        <v>16</v>
      </c>
      <c r="E6" s="393"/>
      <c r="F6" s="33" t="s">
        <v>196</v>
      </c>
      <c r="G6" s="392" t="s">
        <v>201</v>
      </c>
      <c r="H6" s="394"/>
      <c r="I6" s="33" t="s">
        <v>199</v>
      </c>
      <c r="J6" s="398" t="s">
        <v>14</v>
      </c>
      <c r="K6" s="399"/>
      <c r="L6" s="33" t="s">
        <v>204</v>
      </c>
      <c r="M6" s="395" t="s">
        <v>88</v>
      </c>
      <c r="N6" s="396"/>
      <c r="O6" s="397"/>
      <c r="P6" s="28"/>
    </row>
    <row r="7" spans="1:16" ht="51.75" customHeight="1" x14ac:dyDescent="0.2">
      <c r="A7" s="30"/>
      <c r="B7" s="34"/>
      <c r="C7" s="35" t="s">
        <v>194</v>
      </c>
      <c r="D7" s="368" t="s">
        <v>0</v>
      </c>
      <c r="E7" s="369"/>
      <c r="F7" s="36" t="s">
        <v>197</v>
      </c>
      <c r="G7" s="370" t="s">
        <v>202</v>
      </c>
      <c r="H7" s="370"/>
      <c r="I7" s="36" t="s">
        <v>200</v>
      </c>
      <c r="J7" s="400" t="s">
        <v>19</v>
      </c>
      <c r="K7" s="401"/>
      <c r="L7" s="36" t="s">
        <v>205</v>
      </c>
      <c r="M7" s="404" t="s">
        <v>90</v>
      </c>
      <c r="N7" s="405"/>
      <c r="O7" s="406"/>
      <c r="P7" s="28"/>
    </row>
    <row r="8" spans="1:16" ht="51.75" customHeight="1" thickBot="1" x14ac:dyDescent="0.25">
      <c r="A8" s="25"/>
      <c r="B8" s="28"/>
      <c r="C8" s="37" t="s">
        <v>195</v>
      </c>
      <c r="D8" s="371" t="s">
        <v>18</v>
      </c>
      <c r="E8" s="372"/>
      <c r="F8" s="38" t="s">
        <v>198</v>
      </c>
      <c r="G8" s="373" t="s">
        <v>17</v>
      </c>
      <c r="H8" s="373"/>
      <c r="I8" s="38" t="s">
        <v>203</v>
      </c>
      <c r="J8" s="402" t="s">
        <v>87</v>
      </c>
      <c r="K8" s="403"/>
      <c r="L8" s="38" t="s">
        <v>206</v>
      </c>
      <c r="M8" s="377" t="s">
        <v>89</v>
      </c>
      <c r="N8" s="378"/>
      <c r="O8" s="379"/>
      <c r="P8" s="28"/>
    </row>
    <row r="9" spans="1:16" x14ac:dyDescent="0.2">
      <c r="A9" s="28"/>
      <c r="B9" s="28"/>
      <c r="C9" s="39" t="s">
        <v>700</v>
      </c>
      <c r="D9" s="39" t="s">
        <v>702</v>
      </c>
      <c r="E9" s="39" t="s">
        <v>701</v>
      </c>
      <c r="F9" s="39" t="s">
        <v>704</v>
      </c>
      <c r="G9" s="39" t="s">
        <v>703</v>
      </c>
      <c r="H9" s="39" t="s">
        <v>706</v>
      </c>
      <c r="I9" s="39" t="s">
        <v>705</v>
      </c>
      <c r="J9" s="39" t="s">
        <v>916</v>
      </c>
      <c r="K9" s="39" t="s">
        <v>917</v>
      </c>
      <c r="L9" s="39" t="s">
        <v>919</v>
      </c>
      <c r="M9" s="39" t="s">
        <v>1039</v>
      </c>
      <c r="N9" s="39" t="s">
        <v>920</v>
      </c>
      <c r="O9" s="39" t="s">
        <v>921</v>
      </c>
      <c r="P9" s="28"/>
    </row>
    <row r="10" spans="1:16" ht="15.75" customHeight="1" x14ac:dyDescent="0.2">
      <c r="A10" s="25"/>
      <c r="B10" s="26"/>
      <c r="C10" s="374" t="s">
        <v>291</v>
      </c>
      <c r="D10" s="374"/>
      <c r="E10" s="374"/>
      <c r="F10" s="374"/>
      <c r="G10" s="374"/>
      <c r="H10" s="374"/>
      <c r="I10" s="374"/>
      <c r="J10" s="374"/>
      <c r="K10" s="374"/>
      <c r="L10" s="374"/>
      <c r="M10" s="374"/>
      <c r="N10" s="374"/>
      <c r="O10" s="374"/>
      <c r="P10" s="28"/>
    </row>
    <row r="11" spans="1:16" ht="32.25" customHeight="1" x14ac:dyDescent="0.2">
      <c r="A11" s="25"/>
      <c r="B11" s="26"/>
      <c r="C11" s="375" t="s">
        <v>229</v>
      </c>
      <c r="D11" s="375" t="s">
        <v>137</v>
      </c>
      <c r="E11" s="375" t="s">
        <v>230</v>
      </c>
      <c r="F11" s="375" t="s">
        <v>192</v>
      </c>
      <c r="G11" s="375" t="s">
        <v>207</v>
      </c>
      <c r="H11" s="375" t="s">
        <v>209</v>
      </c>
      <c r="I11" s="375" t="s">
        <v>210</v>
      </c>
      <c r="J11" s="409" t="s">
        <v>1050</v>
      </c>
      <c r="K11" s="409" t="s">
        <v>1051</v>
      </c>
      <c r="L11" s="407" t="s">
        <v>1048</v>
      </c>
      <c r="M11" s="408"/>
      <c r="N11" s="407" t="s">
        <v>1049</v>
      </c>
      <c r="O11" s="408"/>
      <c r="P11" s="28"/>
    </row>
    <row r="12" spans="1:16" ht="32.25" customHeight="1" x14ac:dyDescent="0.2">
      <c r="A12" s="25"/>
      <c r="B12" s="26"/>
      <c r="C12" s="376"/>
      <c r="D12" s="376"/>
      <c r="E12" s="376"/>
      <c r="F12" s="376"/>
      <c r="G12" s="376"/>
      <c r="H12" s="376"/>
      <c r="I12" s="376"/>
      <c r="J12" s="410"/>
      <c r="K12" s="410"/>
      <c r="L12" s="40" t="s">
        <v>922</v>
      </c>
      <c r="M12" s="40" t="s">
        <v>927</v>
      </c>
      <c r="N12" s="40" t="s">
        <v>922</v>
      </c>
      <c r="O12" s="40" t="s">
        <v>927</v>
      </c>
      <c r="P12" s="28"/>
    </row>
    <row r="13" spans="1:16" x14ac:dyDescent="0.2">
      <c r="A13" s="25"/>
      <c r="B13" s="41" t="s">
        <v>1046</v>
      </c>
      <c r="C13" s="145">
        <f>IF($B13=" ","",IFERROR(INDEX(MMWR_RATING_RO_ROLLUP[],MATCH($B13,MMWR_RATING_RO_ROLLUP[MMWR_RATING_RO_ROLLUP],0),MATCH(C$9,MMWR_RATING_RO_ROLLUP[#Headers],0)),"ERROR"))</f>
        <v>360593</v>
      </c>
      <c r="D13" s="146">
        <f>IF($B13=" ","",IFERROR(INDEX(MMWR_RATING_RO_ROLLUP[],MATCH($B13,MMWR_RATING_RO_ROLLUP[MMWR_RATING_RO_ROLLUP],0),MATCH(D$9,MMWR_RATING_RO_ROLLUP[#Headers],0)),"ERROR"))</f>
        <v>92.749781609699994</v>
      </c>
      <c r="E13" s="147">
        <f>IF($B13=" ","",IFERROR(INDEX(MMWR_RATING_RO_ROLLUP[],MATCH($B13,MMWR_RATING_RO_ROLLUP[MMWR_RATING_RO_ROLLUP],0),MATCH(E$9,MMWR_RATING_RO_ROLLUP[#Headers],0))/$C13,"ERROR"))</f>
        <v>0.21662372813670813</v>
      </c>
      <c r="F13" s="145">
        <f>IF($B13=" ","",IFERROR(INDEX(MMWR_RATING_RO_ROLLUP[],MATCH($B13,MMWR_RATING_RO_ROLLUP[MMWR_RATING_RO_ROLLUP],0),MATCH(F$9,MMWR_RATING_RO_ROLLUP[#Headers],0)),"ERROR"))</f>
        <v>50172</v>
      </c>
      <c r="G13" s="145">
        <f>IF($B13=" ","",IFERROR(INDEX(MMWR_RATING_RO_ROLLUP[],MATCH($B13,MMWR_RATING_RO_ROLLUP[MMWR_RATING_RO_ROLLUP],0),MATCH(G$9,MMWR_RATING_RO_ROLLUP[#Headers],0)),"ERROR"))</f>
        <v>357874</v>
      </c>
      <c r="H13" s="146">
        <f>IF($B13=" ","",IFERROR(INDEX(MMWR_RATING_RO_ROLLUP[],MATCH($B13,MMWR_RATING_RO_ROLLUP[MMWR_RATING_RO_ROLLUP],0),MATCH(H$9,MMWR_RATING_RO_ROLLUP[#Headers],0)),"ERROR"))</f>
        <v>130.74485768950001</v>
      </c>
      <c r="I13" s="146">
        <f>IF($B13=" ","",IFERROR(INDEX(MMWR_RATING_RO_ROLLUP[],MATCH($B13,MMWR_RATING_RO_ROLLUP[MMWR_RATING_RO_ROLLUP],0),MATCH(I$9,MMWR_RATING_RO_ROLLUP[#Headers],0)),"ERROR"))</f>
        <v>128.66425613480001</v>
      </c>
      <c r="J13" s="42"/>
      <c r="K13" s="42"/>
      <c r="L13" s="42"/>
      <c r="M13" s="42"/>
      <c r="N13" s="42"/>
      <c r="O13" s="42"/>
      <c r="P13" s="28"/>
    </row>
    <row r="14" spans="1:16" x14ac:dyDescent="0.2">
      <c r="A14" s="25"/>
      <c r="B14" s="366" t="s">
        <v>728</v>
      </c>
      <c r="C14" s="367"/>
      <c r="D14" s="367"/>
      <c r="E14" s="367"/>
      <c r="F14" s="367"/>
      <c r="G14" s="367"/>
      <c r="H14" s="367"/>
      <c r="I14" s="367"/>
      <c r="J14" s="367"/>
      <c r="K14" s="367"/>
      <c r="L14" s="367"/>
      <c r="M14" s="367"/>
      <c r="N14" s="367"/>
      <c r="O14" s="367"/>
      <c r="P14" s="28"/>
    </row>
    <row r="15" spans="1:16" x14ac:dyDescent="0.2">
      <c r="A15" s="25"/>
      <c r="B15" s="41" t="s">
        <v>724</v>
      </c>
      <c r="C15" s="145">
        <f>IF($B15=" ","",IFERROR(INDEX(MMWR_RATING_RO_ROLLUP[],MATCH($B15,MMWR_RATING_RO_ROLLUP[MMWR_RATING_RO_ROLLUP],0),MATCH(C$9,MMWR_RATING_RO_ROLLUP[#Headers],0)),"ERROR"))</f>
        <v>311542</v>
      </c>
      <c r="D15" s="146">
        <f>IF($B15=" ","",IFERROR(INDEX(MMWR_RATING_RO_ROLLUP[],MATCH($B15,MMWR_RATING_RO_ROLLUP[MMWR_RATING_RO_ROLLUP],0),MATCH(D$9,MMWR_RATING_RO_ROLLUP[#Headers],0)),"ERROR"))</f>
        <v>95.114594500899997</v>
      </c>
      <c r="E15" s="147">
        <f>IF($B15=" ","",IFERROR(INDEX(MMWR_RATING_RO_ROLLUP[],MATCH($B15,MMWR_RATING_RO_ROLLUP[MMWR_RATING_RO_ROLLUP],0),MATCH(E$9,MMWR_RATING_RO_ROLLUP[#Headers],0))/$C15,"ERROR"))</f>
        <v>0.22500658017217581</v>
      </c>
      <c r="F15" s="145">
        <f>IF($B15=" ","",IFERROR(INDEX(MMWR_RATING_RO_ROLLUP[],MATCH($B15,MMWR_RATING_RO_ROLLUP[MMWR_RATING_RO_ROLLUP],0),MATCH(F$9,MMWR_RATING_RO_ROLLUP[#Headers],0)),"ERROR"))</f>
        <v>42755</v>
      </c>
      <c r="G15" s="145">
        <f>IF($B15=" ","",IFERROR(INDEX(MMWR_RATING_RO_ROLLUP[],MATCH($B15,MMWR_RATING_RO_ROLLUP[MMWR_RATING_RO_ROLLUP],0),MATCH(G$9,MMWR_RATING_RO_ROLLUP[#Headers],0)),"ERROR"))</f>
        <v>303641</v>
      </c>
      <c r="H15" s="146">
        <f>IF($B15=" ","",IFERROR(INDEX(MMWR_RATING_RO_ROLLUP[],MATCH($B15,MMWR_RATING_RO_ROLLUP[MMWR_RATING_RO_ROLLUP],0),MATCH(H$9,MMWR_RATING_RO_ROLLUP[#Headers],0)),"ERROR"))</f>
        <v>136.5486843644</v>
      </c>
      <c r="I15" s="146">
        <f>IF($B15=" ","",IFERROR(INDEX(MMWR_RATING_RO_ROLLUP[],MATCH($B15,MMWR_RATING_RO_ROLLUP[MMWR_RATING_RO_ROLLUP],0),MATCH(I$9,MMWR_RATING_RO_ROLLUP[#Headers],0)),"ERROR"))</f>
        <v>135.9875741418</v>
      </c>
      <c r="J15" s="148">
        <f>VLOOKUP($B$13,MMWR_ACCURACY_RO[],MATCH(J$9,MMWR_ACCURACY_RO[#Headers],0),0)</f>
        <v>0.95793074625683206</v>
      </c>
      <c r="K15" s="148">
        <f>VLOOKUP($B$13,MMWR_ACCURACY_RO[],MATCH(K$9,MMWR_ACCURACY_RO[#Headers],0),0)</f>
        <v>0.89500092594819125</v>
      </c>
      <c r="L15" s="148">
        <f>VLOOKUP($B$13,MMWR_ACCURACY_RO[],MATCH(L$9,MMWR_ACCURACY_RO[#Headers],0),0)</f>
        <v>0.90338038648447916</v>
      </c>
      <c r="M15" s="148">
        <f>VLOOKUP($B$13,MMWR_ACCURACY_RO[],MATCH(M$9,MMWR_ACCURACY_RO[#Headers],0),0)</f>
        <v>7.5234859257471247E-3</v>
      </c>
      <c r="N15" s="148">
        <f>VLOOKUP($B$13,MMWR_ACCURACY_RO[],MATCH(N$9,MMWR_ACCURACY_RO[#Headers],0),0)</f>
        <v>0.9085906670232986</v>
      </c>
      <c r="O15" s="148">
        <f>VLOOKUP($B$13,MMWR_ACCURACY_RO[],MATCH(O$9,MMWR_ACCURACY_RO[#Headers],0),0)</f>
        <v>8.7967662163893571E-3</v>
      </c>
      <c r="P15" s="28"/>
    </row>
    <row r="16" spans="1:16" x14ac:dyDescent="0.2">
      <c r="A16" s="25"/>
      <c r="B16" s="219" t="s">
        <v>365</v>
      </c>
      <c r="C16" s="145">
        <f>IF($B16=" ","",IFERROR(INDEX(MMWR_RATING_RO_ROLLUP[],MATCH($B16,MMWR_RATING_RO_ROLLUP[MMWR_RATING_RO_ROLLUP],0),MATCH(C$9,MMWR_RATING_RO_ROLLUP[#Headers],0)),"ERROR"))</f>
        <v>67968</v>
      </c>
      <c r="D16" s="146">
        <f>IF($B16=" ","",IFERROR(INDEX(MMWR_RATING_RO_ROLLUP[],MATCH($B16,MMWR_RATING_RO_ROLLUP[MMWR_RATING_RO_ROLLUP],0),MATCH(D$9,MMWR_RATING_RO_ROLLUP[#Headers],0)),"ERROR"))</f>
        <v>94.8972751883</v>
      </c>
      <c r="E16" s="147">
        <f>IF($B16=" ","",IFERROR(INDEX(MMWR_RATING_RO_ROLLUP[],MATCH($B16,MMWR_RATING_RO_ROLLUP[MMWR_RATING_RO_ROLLUP],0),MATCH(E$9,MMWR_RATING_RO_ROLLUP[#Headers],0))/$C16,"ERROR"))</f>
        <v>0.22472339924670434</v>
      </c>
      <c r="F16" s="145">
        <f>IF($B16=" ","",IFERROR(INDEX(MMWR_RATING_RO_ROLLUP[],MATCH($B16,MMWR_RATING_RO_ROLLUP[MMWR_RATING_RO_ROLLUP],0),MATCH(F$9,MMWR_RATING_RO_ROLLUP[#Headers],0)),"ERROR"))</f>
        <v>9417</v>
      </c>
      <c r="G16" s="145">
        <f>IF($B16=" ","",IFERROR(INDEX(MMWR_RATING_RO_ROLLUP[],MATCH($B16,MMWR_RATING_RO_ROLLUP[MMWR_RATING_RO_ROLLUP],0),MATCH(G$9,MMWR_RATING_RO_ROLLUP[#Headers],0)),"ERROR"))</f>
        <v>65529</v>
      </c>
      <c r="H16" s="146">
        <f>IF($B16=" ","",IFERROR(INDEX(MMWR_RATING_RO_ROLLUP[],MATCH($B16,MMWR_RATING_RO_ROLLUP[MMWR_RATING_RO_ROLLUP],0),MATCH(H$9,MMWR_RATING_RO_ROLLUP[#Headers],0)),"ERROR"))</f>
        <v>134.52670701919999</v>
      </c>
      <c r="I16" s="146">
        <f>IF($B16=" ","",IFERROR(INDEX(MMWR_RATING_RO_ROLLUP[],MATCH($B16,MMWR_RATING_RO_ROLLUP[MMWR_RATING_RO_ROLLUP],0),MATCH(I$9,MMWR_RATING_RO_ROLLUP[#Headers],0)),"ERROR"))</f>
        <v>135.43367058859999</v>
      </c>
      <c r="J16" s="149">
        <f>IF($B16=" ","",IFERROR(VLOOKUP($B16,MMWR_ACCURACY_RO[],MATCH(J$9,MMWR_ACCURACY_RO[#Headers],0),0),"ERROR"))</f>
        <v>0.9602834708770337</v>
      </c>
      <c r="K16" s="149">
        <f>IF($B16=" ","",IFERROR(VLOOKUP($B16,MMWR_ACCURACY_RO[],MATCH(K$9,MMWR_ACCURACY_RO[#Headers],0),0),"ERROR"))</f>
        <v>0.88343657779439999</v>
      </c>
      <c r="L16" s="149">
        <f>IF($B16=" ","",IFERROR(VLOOKUP($B16,MMWR_ACCURACY_RO[],MATCH(L$9,MMWR_ACCURACY_RO[#Headers],0),0),"ERROR"))</f>
        <v>0.87075523409242972</v>
      </c>
      <c r="M16" s="149">
        <f>IF($B16=" ","",IFERROR(VLOOKUP($B16,MMWR_ACCURACY_RO[],MATCH(M$9,MMWR_ACCURACY_RO[#Headers],0),0),"ERROR"))</f>
        <v>1.6770998241114582E-2</v>
      </c>
      <c r="N16" s="149">
        <f>IF($B16=" ","",IFERROR(VLOOKUP($B16,MMWR_ACCURACY_RO[],MATCH(N$9,MMWR_ACCURACY_RO[#Headers],0),0),"ERROR"))</f>
        <v>0.89397814954597565</v>
      </c>
      <c r="O16" s="149">
        <f>IF($B16=" ","",IFERROR(VLOOKUP($B16,MMWR_ACCURACY_RO[],MATCH(O$9,MMWR_ACCURACY_RO[#Headers],0),0),"ERROR"))</f>
        <v>1.5886202338098201E-2</v>
      </c>
      <c r="P16" s="28"/>
    </row>
    <row r="17" spans="1:16" x14ac:dyDescent="0.2">
      <c r="A17" s="25"/>
      <c r="B17" s="8" t="str">
        <f>VLOOKUP($B$16,DISTRICT_RO[],2,0)</f>
        <v>Baltimore VSC</v>
      </c>
      <c r="C17" s="145">
        <f>IF($B17=" ","",IFERROR(INDEX(MMWR_RATING_RO_ROLLUP[],MATCH($B17,MMWR_RATING_RO_ROLLUP[MMWR_RATING_RO_ROLLUP],0),MATCH(C$9,MMWR_RATING_RO_ROLLUP[#Headers],0)),"ERROR"))</f>
        <v>2367</v>
      </c>
      <c r="D17" s="146">
        <f>IF($B17=" ","",IFERROR(INDEX(MMWR_RATING_RO_ROLLUP[],MATCH($B17,MMWR_RATING_RO_ROLLUP[MMWR_RATING_RO_ROLLUP],0),MATCH(D$9,MMWR_RATING_RO_ROLLUP[#Headers],0)),"ERROR"))</f>
        <v>104.8183354457</v>
      </c>
      <c r="E17" s="147">
        <f>IF($B17=" ","",IFERROR(INDEX(MMWR_RATING_RO_ROLLUP[],MATCH($B17,MMWR_RATING_RO_ROLLUP[MMWR_RATING_RO_ROLLUP],0),MATCH(E$9,MMWR_RATING_RO_ROLLUP[#Headers],0))/$C17,"ERROR"))</f>
        <v>0.23067173637515842</v>
      </c>
      <c r="F17" s="145">
        <f>IF($B17=" ","",IFERROR(INDEX(MMWR_RATING_RO_ROLLUP[],MATCH($B17,MMWR_RATING_RO_ROLLUP[MMWR_RATING_RO_ROLLUP],0),MATCH(F$9,MMWR_RATING_RO_ROLLUP[#Headers],0)),"ERROR"))</f>
        <v>315</v>
      </c>
      <c r="G17" s="145">
        <f>IF($B17=" ","",IFERROR(INDEX(MMWR_RATING_RO_ROLLUP[],MATCH($B17,MMWR_RATING_RO_ROLLUP[MMWR_RATING_RO_ROLLUP],0),MATCH(G$9,MMWR_RATING_RO_ROLLUP[#Headers],0)),"ERROR"))</f>
        <v>2831</v>
      </c>
      <c r="H17" s="146">
        <f>IF($B17=" ","",IFERROR(INDEX(MMWR_RATING_RO_ROLLUP[],MATCH($B17,MMWR_RATING_RO_ROLLUP[MMWR_RATING_RO_ROLLUP],0),MATCH(H$9,MMWR_RATING_RO_ROLLUP[#Headers],0)),"ERROR"))</f>
        <v>131.75873015869999</v>
      </c>
      <c r="I17" s="146">
        <f>IF($B17=" ","",IFERROR(INDEX(MMWR_RATING_RO_ROLLUP[],MATCH($B17,MMWR_RATING_RO_ROLLUP[MMWR_RATING_RO_ROLLUP],0),MATCH(I$9,MMWR_RATING_RO_ROLLUP[#Headers],0)),"ERROR"))</f>
        <v>130.3980925468</v>
      </c>
      <c r="J17" s="149">
        <f>IF($B17=" ","",IFERROR(VLOOKUP($B17,MMWR_ACCURACY_RO[],MATCH(J$9,MMWR_ACCURACY_RO[#Headers],0),0),"ERROR"))</f>
        <v>0.94157351218992869</v>
      </c>
      <c r="K17" s="149">
        <f>IF($B17=" ","",IFERROR(VLOOKUP($B17,MMWR_ACCURACY_RO[],MATCH(K$9,MMWR_ACCURACY_RO[#Headers],0),0),"ERROR"))</f>
        <v>0.80943291179511645</v>
      </c>
      <c r="L17" s="149">
        <f>IF($B17=" ","",IFERROR(VLOOKUP($B17,MMWR_ACCURACY_RO[],MATCH(L$9,MMWR_ACCURACY_RO[#Headers],0),0),"ERROR"))</f>
        <v>0.82536168293808887</v>
      </c>
      <c r="M17" s="149">
        <f>IF($B17=" ","",IFERROR(VLOOKUP($B17,MMWR_ACCURACY_RO[],MATCH(M$9,MMWR_ACCURACY_RO[#Headers],0),0),"ERROR"))</f>
        <v>4.7654090220379572E-2</v>
      </c>
      <c r="N17" s="149">
        <f>IF($B17=" ","",IFERROR(VLOOKUP($B17,MMWR_ACCURACY_RO[],MATCH(N$9,MMWR_ACCURACY_RO[#Headers],0),0),"ERROR"))</f>
        <v>0.8816617572068699</v>
      </c>
      <c r="O17" s="149">
        <f>IF($B17=" ","",IFERROR(VLOOKUP($B17,MMWR_ACCURACY_RO[],MATCH(O$9,MMWR_ACCURACY_RO[#Headers],0),0),"ERROR"))</f>
        <v>4.8696534231277649E-2</v>
      </c>
      <c r="P17" s="28"/>
    </row>
    <row r="18" spans="1:16" x14ac:dyDescent="0.2">
      <c r="A18" s="25"/>
      <c r="B18" s="8" t="str">
        <f>VLOOKUP($B$16,DISTRICT_RO[],3,0)</f>
        <v>Boston VSC</v>
      </c>
      <c r="C18" s="145">
        <f>IF($B18=" ","",IFERROR(INDEX(MMWR_RATING_RO_ROLLUP[],MATCH($B18,MMWR_RATING_RO_ROLLUP[MMWR_RATING_RO_ROLLUP],0),MATCH(C$9,MMWR_RATING_RO_ROLLUP[#Headers],0)),"ERROR"))</f>
        <v>3366</v>
      </c>
      <c r="D18" s="146">
        <f>IF($B18=" ","",IFERROR(INDEX(MMWR_RATING_RO_ROLLUP[],MATCH($B18,MMWR_RATING_RO_ROLLUP[MMWR_RATING_RO_ROLLUP],0),MATCH(D$9,MMWR_RATING_RO_ROLLUP[#Headers],0)),"ERROR"))</f>
        <v>90.3868092692</v>
      </c>
      <c r="E18" s="147">
        <f>IF($B18=" ","",IFERROR(INDEX(MMWR_RATING_RO_ROLLUP[],MATCH($B18,MMWR_RATING_RO_ROLLUP[MMWR_RATING_RO_ROLLUP],0),MATCH(E$9,MMWR_RATING_RO_ROLLUP[#Headers],0))/$C18,"ERROR"))</f>
        <v>0.23054070112893643</v>
      </c>
      <c r="F18" s="145">
        <f>IF($B18=" ","",IFERROR(INDEX(MMWR_RATING_RO_ROLLUP[],MATCH($B18,MMWR_RATING_RO_ROLLUP[MMWR_RATING_RO_ROLLUP],0),MATCH(F$9,MMWR_RATING_RO_ROLLUP[#Headers],0)),"ERROR"))</f>
        <v>339</v>
      </c>
      <c r="G18" s="145">
        <f>IF($B18=" ","",IFERROR(INDEX(MMWR_RATING_RO_ROLLUP[],MATCH($B18,MMWR_RATING_RO_ROLLUP[MMWR_RATING_RO_ROLLUP],0),MATCH(G$9,MMWR_RATING_RO_ROLLUP[#Headers],0)),"ERROR"))</f>
        <v>2973</v>
      </c>
      <c r="H18" s="146">
        <f>IF($B18=" ","",IFERROR(INDEX(MMWR_RATING_RO_ROLLUP[],MATCH($B18,MMWR_RATING_RO_ROLLUP[MMWR_RATING_RO_ROLLUP],0),MATCH(H$9,MMWR_RATING_RO_ROLLUP[#Headers],0)),"ERROR"))</f>
        <v>130.09734513270001</v>
      </c>
      <c r="I18" s="146">
        <f>IF($B18=" ","",IFERROR(INDEX(MMWR_RATING_RO_ROLLUP[],MATCH($B18,MMWR_RATING_RO_ROLLUP[MMWR_RATING_RO_ROLLUP],0),MATCH(I$9,MMWR_RATING_RO_ROLLUP[#Headers],0)),"ERROR"))</f>
        <v>117.20450723179999</v>
      </c>
      <c r="J18" s="149">
        <f>IF($B18=" ","",IFERROR(VLOOKUP($B18,MMWR_ACCURACY_RO[],MATCH(J$9,MMWR_ACCURACY_RO[#Headers],0),0),"ERROR"))</f>
        <v>0.91513510284542288</v>
      </c>
      <c r="K18" s="149">
        <f>IF($B18=" ","",IFERROR(VLOOKUP($B18,MMWR_ACCURACY_RO[],MATCH(K$9,MMWR_ACCURACY_RO[#Headers],0),0),"ERROR"))</f>
        <v>0.80435773543622924</v>
      </c>
      <c r="L18" s="149">
        <f>IF($B18=" ","",IFERROR(VLOOKUP($B18,MMWR_ACCURACY_RO[],MATCH(L$9,MMWR_ACCURACY_RO[#Headers],0),0),"ERROR"))</f>
        <v>0.81629668055524851</v>
      </c>
      <c r="M18" s="149">
        <f>IF($B18=" ","",IFERROR(VLOOKUP($B18,MMWR_ACCURACY_RO[],MATCH(M$9,MMWR_ACCURACY_RO[#Headers],0),0),"ERROR"))</f>
        <v>5.9557789657780587E-2</v>
      </c>
      <c r="N18" s="149">
        <f>IF($B18=" ","",IFERROR(VLOOKUP($B18,MMWR_ACCURACY_RO[],MATCH(N$9,MMWR_ACCURACY_RO[#Headers],0),0),"ERROR"))</f>
        <v>0.91326802427234399</v>
      </c>
      <c r="O18" s="149">
        <f>IF($B18=" ","",IFERROR(VLOOKUP($B18,MMWR_ACCURACY_RO[],MATCH(O$9,MMWR_ACCURACY_RO[#Headers],0),0),"ERROR"))</f>
        <v>5.7198828226144943E-2</v>
      </c>
      <c r="P18" s="28"/>
    </row>
    <row r="19" spans="1:16" x14ac:dyDescent="0.2">
      <c r="A19" s="25"/>
      <c r="B19" s="8" t="str">
        <f>VLOOKUP($B$16,DISTRICT_RO[],4,0)</f>
        <v>Buffalo VSC</v>
      </c>
      <c r="C19" s="145">
        <f>IF($B19=" ","",IFERROR(INDEX(MMWR_RATING_RO_ROLLUP[],MATCH($B19,MMWR_RATING_RO_ROLLUP[MMWR_RATING_RO_ROLLUP],0),MATCH(C$9,MMWR_RATING_RO_ROLLUP[#Headers],0)),"ERROR"))</f>
        <v>3173</v>
      </c>
      <c r="D19" s="146">
        <f>IF($B19=" ","",IFERROR(INDEX(MMWR_RATING_RO_ROLLUP[],MATCH($B19,MMWR_RATING_RO_ROLLUP[MMWR_RATING_RO_ROLLUP],0),MATCH(D$9,MMWR_RATING_RO_ROLLUP[#Headers],0)),"ERROR"))</f>
        <v>76.802395209599993</v>
      </c>
      <c r="E19" s="147">
        <f>IF($B19=" ","",IFERROR(INDEX(MMWR_RATING_RO_ROLLUP[],MATCH($B19,MMWR_RATING_RO_ROLLUP[MMWR_RATING_RO_ROLLUP],0),MATCH(E$9,MMWR_RATING_RO_ROLLUP[#Headers],0))/$C19,"ERROR"))</f>
        <v>0.12259691144027735</v>
      </c>
      <c r="F19" s="145">
        <f>IF($B19=" ","",IFERROR(INDEX(MMWR_RATING_RO_ROLLUP[],MATCH($B19,MMWR_RATING_RO_ROLLUP[MMWR_RATING_RO_ROLLUP],0),MATCH(F$9,MMWR_RATING_RO_ROLLUP[#Headers],0)),"ERROR"))</f>
        <v>373</v>
      </c>
      <c r="G19" s="145">
        <f>IF($B19=" ","",IFERROR(INDEX(MMWR_RATING_RO_ROLLUP[],MATCH($B19,MMWR_RATING_RO_ROLLUP[MMWR_RATING_RO_ROLLUP],0),MATCH(G$9,MMWR_RATING_RO_ROLLUP[#Headers],0)),"ERROR"))</f>
        <v>2789</v>
      </c>
      <c r="H19" s="146">
        <f>IF($B19=" ","",IFERROR(INDEX(MMWR_RATING_RO_ROLLUP[],MATCH($B19,MMWR_RATING_RO_ROLLUP[MMWR_RATING_RO_ROLLUP],0),MATCH(H$9,MMWR_RATING_RO_ROLLUP[#Headers],0)),"ERROR"))</f>
        <v>146.03217158179999</v>
      </c>
      <c r="I19" s="146">
        <f>IF($B19=" ","",IFERROR(INDEX(MMWR_RATING_RO_ROLLUP[],MATCH($B19,MMWR_RATING_RO_ROLLUP[MMWR_RATING_RO_ROLLUP],0),MATCH(I$9,MMWR_RATING_RO_ROLLUP[#Headers],0)),"ERROR"))</f>
        <v>147.52491932589999</v>
      </c>
      <c r="J19" s="149">
        <f>IF($B19=" ","",IFERROR(VLOOKUP($B19,MMWR_ACCURACY_RO[],MATCH(J$9,MMWR_ACCURACY_RO[#Headers],0),0),"ERROR"))</f>
        <v>0.97290082364303454</v>
      </c>
      <c r="K19" s="149">
        <f>IF($B19=" ","",IFERROR(VLOOKUP($B19,MMWR_ACCURACY_RO[],MATCH(K$9,MMWR_ACCURACY_RO[#Headers],0),0),"ERROR"))</f>
        <v>0.9210423079244372</v>
      </c>
      <c r="L19" s="149">
        <f>IF($B19=" ","",IFERROR(VLOOKUP($B19,MMWR_ACCURACY_RO[],MATCH(L$9,MMWR_ACCURACY_RO[#Headers],0),0),"ERROR"))</f>
        <v>0.88971425818285677</v>
      </c>
      <c r="M19" s="149">
        <f>IF($B19=" ","",IFERROR(VLOOKUP($B19,MMWR_ACCURACY_RO[],MATCH(M$9,MMWR_ACCURACY_RO[#Headers],0),0),"ERROR"))</f>
        <v>4.9253196543825976E-2</v>
      </c>
      <c r="N19" s="149">
        <f>IF($B19=" ","",IFERROR(VLOOKUP($B19,MMWR_ACCURACY_RO[],MATCH(N$9,MMWR_ACCURACY_RO[#Headers],0),0),"ERROR"))</f>
        <v>0.88066854899574309</v>
      </c>
      <c r="O19" s="149">
        <f>IF($B19=" ","",IFERROR(VLOOKUP($B19,MMWR_ACCURACY_RO[],MATCH(O$9,MMWR_ACCURACY_RO[#Headers],0),0),"ERROR"))</f>
        <v>4.7145725771360392E-2</v>
      </c>
      <c r="P19" s="28"/>
    </row>
    <row r="20" spans="1:16" x14ac:dyDescent="0.2">
      <c r="A20" s="25"/>
      <c r="B20" s="8" t="str">
        <f>VLOOKUP($B$16,DISTRICT_RO[],5,0)</f>
        <v>Hartford VSC</v>
      </c>
      <c r="C20" s="145">
        <f>IF($B20=" ","",IFERROR(INDEX(MMWR_RATING_RO_ROLLUP[],MATCH($B20,MMWR_RATING_RO_ROLLUP[MMWR_RATING_RO_ROLLUP],0),MATCH(C$9,MMWR_RATING_RO_ROLLUP[#Headers],0)),"ERROR"))</f>
        <v>3000</v>
      </c>
      <c r="D20" s="146">
        <f>IF($B20=" ","",IFERROR(INDEX(MMWR_RATING_RO_ROLLUP[],MATCH($B20,MMWR_RATING_RO_ROLLUP[MMWR_RATING_RO_ROLLUP],0),MATCH(D$9,MMWR_RATING_RO_ROLLUP[#Headers],0)),"ERROR"))</f>
        <v>96.570999999999998</v>
      </c>
      <c r="E20" s="147">
        <f>IF($B20=" ","",IFERROR(INDEX(MMWR_RATING_RO_ROLLUP[],MATCH($B20,MMWR_RATING_RO_ROLLUP[MMWR_RATING_RO_ROLLUP],0),MATCH(E$9,MMWR_RATING_RO_ROLLUP[#Headers],0))/$C20,"ERROR"))</f>
        <v>0.21</v>
      </c>
      <c r="F20" s="145">
        <f>IF($B20=" ","",IFERROR(INDEX(MMWR_RATING_RO_ROLLUP[],MATCH($B20,MMWR_RATING_RO_ROLLUP[MMWR_RATING_RO_ROLLUP],0),MATCH(F$9,MMWR_RATING_RO_ROLLUP[#Headers],0)),"ERROR"))</f>
        <v>304</v>
      </c>
      <c r="G20" s="145">
        <f>IF($B20=" ","",IFERROR(INDEX(MMWR_RATING_RO_ROLLUP[],MATCH($B20,MMWR_RATING_RO_ROLLUP[MMWR_RATING_RO_ROLLUP],0),MATCH(G$9,MMWR_RATING_RO_ROLLUP[#Headers],0)),"ERROR"))</f>
        <v>2573</v>
      </c>
      <c r="H20" s="146">
        <f>IF($B20=" ","",IFERROR(INDEX(MMWR_RATING_RO_ROLLUP[],MATCH($B20,MMWR_RATING_RO_ROLLUP[MMWR_RATING_RO_ROLLUP],0),MATCH(H$9,MMWR_RATING_RO_ROLLUP[#Headers],0)),"ERROR"))</f>
        <v>141.6875</v>
      </c>
      <c r="I20" s="146">
        <f>IF($B20=" ","",IFERROR(INDEX(MMWR_RATING_RO_ROLLUP[],MATCH($B20,MMWR_RATING_RO_ROLLUP[MMWR_RATING_RO_ROLLUP],0),MATCH(I$9,MMWR_RATING_RO_ROLLUP[#Headers],0)),"ERROR"))</f>
        <v>139.33579479209999</v>
      </c>
      <c r="J20" s="149">
        <f>IF($B20=" ","",IFERROR(VLOOKUP($B20,MMWR_ACCURACY_RO[],MATCH(J$9,MMWR_ACCURACY_RO[#Headers],0),0),"ERROR"))</f>
        <v>0.99294266353007277</v>
      </c>
      <c r="K20" s="149">
        <f>IF($B20=" ","",IFERROR(VLOOKUP($B20,MMWR_ACCURACY_RO[],MATCH(K$9,MMWR_ACCURACY_RO[#Headers],0),0),"ERROR"))</f>
        <v>0.96322722283205264</v>
      </c>
      <c r="L20" s="149">
        <f>IF($B20=" ","",IFERROR(VLOOKUP($B20,MMWR_ACCURACY_RO[],MATCH(L$9,MMWR_ACCURACY_RO[#Headers],0),0),"ERROR"))</f>
        <v>0.92046869333413084</v>
      </c>
      <c r="M20" s="149">
        <f>IF($B20=" ","",IFERROR(VLOOKUP($B20,MMWR_ACCURACY_RO[],MATCH(M$9,MMWR_ACCURACY_RO[#Headers],0),0),"ERROR"))</f>
        <v>4.3251515963425573E-2</v>
      </c>
      <c r="N20" s="149">
        <f>IF($B20=" ","",IFERROR(VLOOKUP($B20,MMWR_ACCURACY_RO[],MATCH(N$9,MMWR_ACCURACY_RO[#Headers],0),0),"ERROR"))</f>
        <v>0.96695884760400896</v>
      </c>
      <c r="O20" s="149">
        <f>IF($B20=" ","",IFERROR(VLOOKUP($B20,MMWR_ACCURACY_RO[],MATCH(O$9,MMWR_ACCURACY_RO[#Headers],0),0),"ERROR"))</f>
        <v>3.3365891722760568E-2</v>
      </c>
      <c r="P20" s="28"/>
    </row>
    <row r="21" spans="1:16" x14ac:dyDescent="0.2">
      <c r="A21" s="25"/>
      <c r="B21" s="8" t="str">
        <f>VLOOKUP($B$16,DISTRICT_RO[],6,0)</f>
        <v>Huntington VSC</v>
      </c>
      <c r="C21" s="145">
        <f>IF($B21=" ","",IFERROR(INDEX(MMWR_RATING_RO_ROLLUP[],MATCH($B21,MMWR_RATING_RO_ROLLUP[MMWR_RATING_RO_ROLLUP],0),MATCH(C$9,MMWR_RATING_RO_ROLLUP[#Headers],0)),"ERROR"))</f>
        <v>5727</v>
      </c>
      <c r="D21" s="146">
        <f>IF($B21=" ","",IFERROR(INDEX(MMWR_RATING_RO_ROLLUP[],MATCH($B21,MMWR_RATING_RO_ROLLUP[MMWR_RATING_RO_ROLLUP],0),MATCH(D$9,MMWR_RATING_RO_ROLLUP[#Headers],0)),"ERROR"))</f>
        <v>93.259298061799996</v>
      </c>
      <c r="E21" s="147">
        <f>IF($B21=" ","",IFERROR(INDEX(MMWR_RATING_RO_ROLLUP[],MATCH($B21,MMWR_RATING_RO_ROLLUP[MMWR_RATING_RO_ROLLUP],0),MATCH(E$9,MMWR_RATING_RO_ROLLUP[#Headers],0))/$C21,"ERROR"))</f>
        <v>0.2034223851929457</v>
      </c>
      <c r="F21" s="145">
        <f>IF($B21=" ","",IFERROR(INDEX(MMWR_RATING_RO_ROLLUP[],MATCH($B21,MMWR_RATING_RO_ROLLUP[MMWR_RATING_RO_ROLLUP],0),MATCH(F$9,MMWR_RATING_RO_ROLLUP[#Headers],0)),"ERROR"))</f>
        <v>809</v>
      </c>
      <c r="G21" s="145">
        <f>IF($B21=" ","",IFERROR(INDEX(MMWR_RATING_RO_ROLLUP[],MATCH($B21,MMWR_RATING_RO_ROLLUP[MMWR_RATING_RO_ROLLUP],0),MATCH(G$9,MMWR_RATING_RO_ROLLUP[#Headers],0)),"ERROR"))</f>
        <v>5317</v>
      </c>
      <c r="H21" s="146">
        <f>IF($B21=" ","",IFERROR(INDEX(MMWR_RATING_RO_ROLLUP[],MATCH($B21,MMWR_RATING_RO_ROLLUP[MMWR_RATING_RO_ROLLUP],0),MATCH(H$9,MMWR_RATING_RO_ROLLUP[#Headers],0)),"ERROR"))</f>
        <v>134.68479604449999</v>
      </c>
      <c r="I21" s="146">
        <f>IF($B21=" ","",IFERROR(INDEX(MMWR_RATING_RO_ROLLUP[],MATCH($B21,MMWR_RATING_RO_ROLLUP[MMWR_RATING_RO_ROLLUP],0),MATCH(I$9,MMWR_RATING_RO_ROLLUP[#Headers],0)),"ERROR"))</f>
        <v>136.43614820389999</v>
      </c>
      <c r="J21" s="149">
        <f>IF($B21=" ","",IFERROR(VLOOKUP($B21,MMWR_ACCURACY_RO[],MATCH(J$9,MMWR_ACCURACY_RO[#Headers],0),0),"ERROR"))</f>
        <v>0.97382659623017243</v>
      </c>
      <c r="K21" s="149">
        <f>IF($B21=" ","",IFERROR(VLOOKUP($B21,MMWR_ACCURACY_RO[],MATCH(K$9,MMWR_ACCURACY_RO[#Headers],0),0),"ERROR"))</f>
        <v>0.93293431553100059</v>
      </c>
      <c r="L21" s="149">
        <f>IF($B21=" ","",IFERROR(VLOOKUP($B21,MMWR_ACCURACY_RO[],MATCH(L$9,MMWR_ACCURACY_RO[#Headers],0),0),"ERROR"))</f>
        <v>0.90171809874766351</v>
      </c>
      <c r="M21" s="149">
        <f>IF($B21=" ","",IFERROR(VLOOKUP($B21,MMWR_ACCURACY_RO[],MATCH(M$9,MMWR_ACCURACY_RO[#Headers],0),0),"ERROR"))</f>
        <v>4.3704081920787986E-2</v>
      </c>
      <c r="N21" s="149">
        <f>IF($B21=" ","",IFERROR(VLOOKUP($B21,MMWR_ACCURACY_RO[],MATCH(N$9,MMWR_ACCURACY_RO[#Headers],0),0),"ERROR"))</f>
        <v>0.89575342716306783</v>
      </c>
      <c r="O21" s="149">
        <f>IF($B21=" ","",IFERROR(VLOOKUP($B21,MMWR_ACCURACY_RO[],MATCH(O$9,MMWR_ACCURACY_RO[#Headers],0),0),"ERROR"))</f>
        <v>5.1571207049398993E-2</v>
      </c>
      <c r="P21" s="28"/>
    </row>
    <row r="22" spans="1:16" x14ac:dyDescent="0.2">
      <c r="A22" s="25"/>
      <c r="B22" s="8" t="str">
        <f>VLOOKUP($B$16,DISTRICT_RO[],7,0)</f>
        <v>Manchester VSC</v>
      </c>
      <c r="C22" s="145">
        <f>IF($B22=" ","",IFERROR(INDEX(MMWR_RATING_RO_ROLLUP[],MATCH($B22,MMWR_RATING_RO_ROLLUP[MMWR_RATING_RO_ROLLUP],0),MATCH(C$9,MMWR_RATING_RO_ROLLUP[#Headers],0)),"ERROR"))</f>
        <v>1174</v>
      </c>
      <c r="D22" s="146">
        <f>IF($B22=" ","",IFERROR(INDEX(MMWR_RATING_RO_ROLLUP[],MATCH($B22,MMWR_RATING_RO_ROLLUP[MMWR_RATING_RO_ROLLUP],0),MATCH(D$9,MMWR_RATING_RO_ROLLUP[#Headers],0)),"ERROR"))</f>
        <v>102.8449744463</v>
      </c>
      <c r="E22" s="147">
        <f>IF($B22=" ","",IFERROR(INDEX(MMWR_RATING_RO_ROLLUP[],MATCH($B22,MMWR_RATING_RO_ROLLUP[MMWR_RATING_RO_ROLLUP],0),MATCH(E$9,MMWR_RATING_RO_ROLLUP[#Headers],0))/$C22,"ERROR"))</f>
        <v>0.25298126064735943</v>
      </c>
      <c r="F22" s="145">
        <f>IF($B22=" ","",IFERROR(INDEX(MMWR_RATING_RO_ROLLUP[],MATCH($B22,MMWR_RATING_RO_ROLLUP[MMWR_RATING_RO_ROLLUP],0),MATCH(F$9,MMWR_RATING_RO_ROLLUP[#Headers],0)),"ERROR"))</f>
        <v>146</v>
      </c>
      <c r="G22" s="145">
        <f>IF($B22=" ","",IFERROR(INDEX(MMWR_RATING_RO_ROLLUP[],MATCH($B22,MMWR_RATING_RO_ROLLUP[MMWR_RATING_RO_ROLLUP],0),MATCH(G$9,MMWR_RATING_RO_ROLLUP[#Headers],0)),"ERROR"))</f>
        <v>1127</v>
      </c>
      <c r="H22" s="146">
        <f>IF($B22=" ","",IFERROR(INDEX(MMWR_RATING_RO_ROLLUP[],MATCH($B22,MMWR_RATING_RO_ROLLUP[MMWR_RATING_RO_ROLLUP],0),MATCH(H$9,MMWR_RATING_RO_ROLLUP[#Headers],0)),"ERROR"))</f>
        <v>144.8561643836</v>
      </c>
      <c r="I22" s="146">
        <f>IF($B22=" ","",IFERROR(INDEX(MMWR_RATING_RO_ROLLUP[],MATCH($B22,MMWR_RATING_RO_ROLLUP[MMWR_RATING_RO_ROLLUP],0),MATCH(I$9,MMWR_RATING_RO_ROLLUP[#Headers],0)),"ERROR"))</f>
        <v>137.82697426799999</v>
      </c>
      <c r="J22" s="149">
        <f>IF($B22=" ","",IFERROR(VLOOKUP($B22,MMWR_ACCURACY_RO[],MATCH(J$9,MMWR_ACCURACY_RO[#Headers],0),0),"ERROR"))</f>
        <v>0.97083819419625006</v>
      </c>
      <c r="K22" s="149">
        <f>IF($B22=" ","",IFERROR(VLOOKUP($B22,MMWR_ACCURACY_RO[],MATCH(K$9,MMWR_ACCURACY_RO[#Headers],0),0),"ERROR"))</f>
        <v>0.95297951582867779</v>
      </c>
      <c r="L22" s="149">
        <f>IF($B22=" ","",IFERROR(VLOOKUP($B22,MMWR_ACCURACY_RO[],MATCH(L$9,MMWR_ACCURACY_RO[#Headers],0),0),"ERROR"))</f>
        <v>0.91828318006920673</v>
      </c>
      <c r="M22" s="149">
        <f>IF($B22=" ","",IFERROR(VLOOKUP($B22,MMWR_ACCURACY_RO[],MATCH(M$9,MMWR_ACCURACY_RO[#Headers],0),0),"ERROR"))</f>
        <v>3.998971318316457E-2</v>
      </c>
      <c r="N22" s="149">
        <f>IF($B22=" ","",IFERROR(VLOOKUP($B22,MMWR_ACCURACY_RO[],MATCH(N$9,MMWR_ACCURACY_RO[#Headers],0),0),"ERROR"))</f>
        <v>0.91904552613265944</v>
      </c>
      <c r="O22" s="149">
        <f>IF($B22=" ","",IFERROR(VLOOKUP($B22,MMWR_ACCURACY_RO[],MATCH(O$9,MMWR_ACCURACY_RO[#Headers],0),0),"ERROR"))</f>
        <v>4.5578205498796438E-2</v>
      </c>
      <c r="P22" s="28"/>
    </row>
    <row r="23" spans="1:16" x14ac:dyDescent="0.2">
      <c r="A23" s="25"/>
      <c r="B23" s="8" t="str">
        <f>VLOOKUP($B$16,DISTRICT_RO[],8,0)</f>
        <v>New York VSC</v>
      </c>
      <c r="C23" s="145">
        <f>IF($B23=" ","",IFERROR(INDEX(MMWR_RATING_RO_ROLLUP[],MATCH($B23,MMWR_RATING_RO_ROLLUP[MMWR_RATING_RO_ROLLUP],0),MATCH(C$9,MMWR_RATING_RO_ROLLUP[#Headers],0)),"ERROR"))</f>
        <v>3656</v>
      </c>
      <c r="D23" s="146">
        <f>IF($B23=" ","",IFERROR(INDEX(MMWR_RATING_RO_ROLLUP[],MATCH($B23,MMWR_RATING_RO_ROLLUP[MMWR_RATING_RO_ROLLUP],0),MATCH(D$9,MMWR_RATING_RO_ROLLUP[#Headers],0)),"ERROR"))</f>
        <v>93.441192560199994</v>
      </c>
      <c r="E23" s="147">
        <f>IF($B23=" ","",IFERROR(INDEX(MMWR_RATING_RO_ROLLUP[],MATCH($B23,MMWR_RATING_RO_ROLLUP[MMWR_RATING_RO_ROLLUP],0),MATCH(E$9,MMWR_RATING_RO_ROLLUP[#Headers],0))/$C23,"ERROR"))</f>
        <v>0.24617067833698031</v>
      </c>
      <c r="F23" s="145">
        <f>IF($B23=" ","",IFERROR(INDEX(MMWR_RATING_RO_ROLLUP[],MATCH($B23,MMWR_RATING_RO_ROLLUP[MMWR_RATING_RO_ROLLUP],0),MATCH(F$9,MMWR_RATING_RO_ROLLUP[#Headers],0)),"ERROR"))</f>
        <v>488</v>
      </c>
      <c r="G23" s="145">
        <f>IF($B23=" ","",IFERROR(INDEX(MMWR_RATING_RO_ROLLUP[],MATCH($B23,MMWR_RATING_RO_ROLLUP[MMWR_RATING_RO_ROLLUP],0),MATCH(G$9,MMWR_RATING_RO_ROLLUP[#Headers],0)),"ERROR"))</f>
        <v>3295</v>
      </c>
      <c r="H23" s="146">
        <f>IF($B23=" ","",IFERROR(INDEX(MMWR_RATING_RO_ROLLUP[],MATCH($B23,MMWR_RATING_RO_ROLLUP[MMWR_RATING_RO_ROLLUP],0),MATCH(H$9,MMWR_RATING_RO_ROLLUP[#Headers],0)),"ERROR"))</f>
        <v>138.45081967210001</v>
      </c>
      <c r="I23" s="146">
        <f>IF($B23=" ","",IFERROR(INDEX(MMWR_RATING_RO_ROLLUP[],MATCH($B23,MMWR_RATING_RO_ROLLUP[MMWR_RATING_RO_ROLLUP],0),MATCH(I$9,MMWR_RATING_RO_ROLLUP[#Headers],0)),"ERROR"))</f>
        <v>133.2749620637</v>
      </c>
      <c r="J23" s="149">
        <f>IF($B23=" ","",IFERROR(VLOOKUP($B23,MMWR_ACCURACY_RO[],MATCH(J$9,MMWR_ACCURACY_RO[#Headers],0),0),"ERROR"))</f>
        <v>0.9309579048110056</v>
      </c>
      <c r="K23" s="149">
        <f>IF($B23=" ","",IFERROR(VLOOKUP($B23,MMWR_ACCURACY_RO[],MATCH(K$9,MMWR_ACCURACY_RO[#Headers],0),0),"ERROR"))</f>
        <v>0.82271031855864396</v>
      </c>
      <c r="L23" s="149">
        <f>IF($B23=" ","",IFERROR(VLOOKUP($B23,MMWR_ACCURACY_RO[],MATCH(L$9,MMWR_ACCURACY_RO[#Headers],0),0),"ERROR"))</f>
        <v>0.90256916498993978</v>
      </c>
      <c r="M23" s="149">
        <f>IF($B23=" ","",IFERROR(VLOOKUP($B23,MMWR_ACCURACY_RO[],MATCH(M$9,MMWR_ACCURACY_RO[#Headers],0),0),"ERROR"))</f>
        <v>4.8066180689815712E-2</v>
      </c>
      <c r="N23" s="149">
        <f>IF($B23=" ","",IFERROR(VLOOKUP($B23,MMWR_ACCURACY_RO[],MATCH(N$9,MMWR_ACCURACY_RO[#Headers],0),0),"ERROR"))</f>
        <v>0.92324390080204044</v>
      </c>
      <c r="O23" s="149">
        <f>IF($B23=" ","",IFERROR(VLOOKUP($B23,MMWR_ACCURACY_RO[],MATCH(O$9,MMWR_ACCURACY_RO[#Headers],0),0),"ERROR"))</f>
        <v>4.1670066440340679E-2</v>
      </c>
      <c r="P23" s="28"/>
    </row>
    <row r="24" spans="1:16" x14ac:dyDescent="0.2">
      <c r="A24" s="25"/>
      <c r="B24" s="8" t="str">
        <f>VLOOKUP($B$16,DISTRICT_RO[],9,0)</f>
        <v>Newark VSC</v>
      </c>
      <c r="C24" s="145">
        <f>IF($B24=" ","",IFERROR(INDEX(MMWR_RATING_RO_ROLLUP[],MATCH($B24,MMWR_RATING_RO_ROLLUP[MMWR_RATING_RO_ROLLUP],0),MATCH(C$9,MMWR_RATING_RO_ROLLUP[#Headers],0)),"ERROR"))</f>
        <v>2090</v>
      </c>
      <c r="D24" s="146">
        <f>IF($B24=" ","",IFERROR(INDEX(MMWR_RATING_RO_ROLLUP[],MATCH($B24,MMWR_RATING_RO_ROLLUP[MMWR_RATING_RO_ROLLUP],0),MATCH(D$9,MMWR_RATING_RO_ROLLUP[#Headers],0)),"ERROR"))</f>
        <v>75.806220095699999</v>
      </c>
      <c r="E24" s="147">
        <f>IF($B24=" ","",IFERROR(INDEX(MMWR_RATING_RO_ROLLUP[],MATCH($B24,MMWR_RATING_RO_ROLLUP[MMWR_RATING_RO_ROLLUP],0),MATCH(E$9,MMWR_RATING_RO_ROLLUP[#Headers],0))/$C24,"ERROR"))</f>
        <v>0.15119617224880383</v>
      </c>
      <c r="F24" s="145">
        <f>IF($B24=" ","",IFERROR(INDEX(MMWR_RATING_RO_ROLLUP[],MATCH($B24,MMWR_RATING_RO_ROLLUP[MMWR_RATING_RO_ROLLUP],0),MATCH(F$9,MMWR_RATING_RO_ROLLUP[#Headers],0)),"ERROR"))</f>
        <v>307</v>
      </c>
      <c r="G24" s="145">
        <f>IF($B24=" ","",IFERROR(INDEX(MMWR_RATING_RO_ROLLUP[],MATCH($B24,MMWR_RATING_RO_ROLLUP[MMWR_RATING_RO_ROLLUP],0),MATCH(G$9,MMWR_RATING_RO_ROLLUP[#Headers],0)),"ERROR"))</f>
        <v>1877</v>
      </c>
      <c r="H24" s="146">
        <f>IF($B24=" ","",IFERROR(INDEX(MMWR_RATING_RO_ROLLUP[],MATCH($B24,MMWR_RATING_RO_ROLLUP[MMWR_RATING_RO_ROLLUP],0),MATCH(H$9,MMWR_RATING_RO_ROLLUP[#Headers],0)),"ERROR"))</f>
        <v>119.9087947883</v>
      </c>
      <c r="I24" s="146">
        <f>IF($B24=" ","",IFERROR(INDEX(MMWR_RATING_RO_ROLLUP[],MATCH($B24,MMWR_RATING_RO_ROLLUP[MMWR_RATING_RO_ROLLUP],0),MATCH(I$9,MMWR_RATING_RO_ROLLUP[#Headers],0)),"ERROR"))</f>
        <v>139.39477890250001</v>
      </c>
      <c r="J24" s="149">
        <f>IF($B24=" ","",IFERROR(VLOOKUP($B24,MMWR_ACCURACY_RO[],MATCH(J$9,MMWR_ACCURACY_RO[#Headers],0),0),"ERROR"))</f>
        <v>0.93767883533000007</v>
      </c>
      <c r="K24" s="149">
        <f>IF($B24=" ","",IFERROR(VLOOKUP($B24,MMWR_ACCURACY_RO[],MATCH(K$9,MMWR_ACCURACY_RO[#Headers],0),0),"ERROR"))</f>
        <v>0.88166404474742177</v>
      </c>
      <c r="L24" s="149">
        <f>IF($B24=" ","",IFERROR(VLOOKUP($B24,MMWR_ACCURACY_RO[],MATCH(L$9,MMWR_ACCURACY_RO[#Headers],0),0),"ERROR"))</f>
        <v>0.87932553351546094</v>
      </c>
      <c r="M24" s="149">
        <f>IF($B24=" ","",IFERROR(VLOOKUP($B24,MMWR_ACCURACY_RO[],MATCH(M$9,MMWR_ACCURACY_RO[#Headers],0),0),"ERROR"))</f>
        <v>4.375571969644497E-2</v>
      </c>
      <c r="N24" s="149">
        <f>IF($B24=" ","",IFERROR(VLOOKUP($B24,MMWR_ACCURACY_RO[],MATCH(N$9,MMWR_ACCURACY_RO[#Headers],0),0),"ERROR"))</f>
        <v>0.85503522570817581</v>
      </c>
      <c r="O24" s="149">
        <f>IF($B24=" ","",IFERROR(VLOOKUP($B24,MMWR_ACCURACY_RO[],MATCH(O$9,MMWR_ACCURACY_RO[#Headers],0),0),"ERROR"))</f>
        <v>5.1176209522065225E-2</v>
      </c>
      <c r="P24" s="28"/>
    </row>
    <row r="25" spans="1:16" x14ac:dyDescent="0.2">
      <c r="A25" s="25"/>
      <c r="B25" s="8" t="str">
        <f>VLOOKUP($B$16,DISTRICT_RO[],10,0)</f>
        <v>Philadelphia VSC</v>
      </c>
      <c r="C25" s="145">
        <f>IF($B25=" ","",IFERROR(INDEX(MMWR_RATING_RO_ROLLUP[],MATCH($B25,MMWR_RATING_RO_ROLLUP[MMWR_RATING_RO_ROLLUP],0),MATCH(C$9,MMWR_RATING_RO_ROLLUP[#Headers],0)),"ERROR"))</f>
        <v>7273</v>
      </c>
      <c r="D25" s="146">
        <f>IF($B25=" ","",IFERROR(INDEX(MMWR_RATING_RO_ROLLUP[],MATCH($B25,MMWR_RATING_RO_ROLLUP[MMWR_RATING_RO_ROLLUP],0),MATCH(D$9,MMWR_RATING_RO_ROLLUP[#Headers],0)),"ERROR"))</f>
        <v>113.72734772450001</v>
      </c>
      <c r="E25" s="147">
        <f>IF($B25=" ","",IFERROR(INDEX(MMWR_RATING_RO_ROLLUP[],MATCH($B25,MMWR_RATING_RO_ROLLUP[MMWR_RATING_RO_ROLLUP],0),MATCH(E$9,MMWR_RATING_RO_ROLLUP[#Headers],0))/$C25,"ERROR"))</f>
        <v>0.31142582153169257</v>
      </c>
      <c r="F25" s="145">
        <f>IF($B25=" ","",IFERROR(INDEX(MMWR_RATING_RO_ROLLUP[],MATCH($B25,MMWR_RATING_RO_ROLLUP[MMWR_RATING_RO_ROLLUP],0),MATCH(F$9,MMWR_RATING_RO_ROLLUP[#Headers],0)),"ERROR"))</f>
        <v>1116</v>
      </c>
      <c r="G25" s="145">
        <f>IF($B25=" ","",IFERROR(INDEX(MMWR_RATING_RO_ROLLUP[],MATCH($B25,MMWR_RATING_RO_ROLLUP[MMWR_RATING_RO_ROLLUP],0),MATCH(G$9,MMWR_RATING_RO_ROLLUP[#Headers],0)),"ERROR"))</f>
        <v>7525</v>
      </c>
      <c r="H25" s="146">
        <f>IF($B25=" ","",IFERROR(INDEX(MMWR_RATING_RO_ROLLUP[],MATCH($B25,MMWR_RATING_RO_ROLLUP[MMWR_RATING_RO_ROLLUP],0),MATCH(H$9,MMWR_RATING_RO_ROLLUP[#Headers],0)),"ERROR"))</f>
        <v>144.9086021505</v>
      </c>
      <c r="I25" s="146">
        <f>IF($B25=" ","",IFERROR(INDEX(MMWR_RATING_RO_ROLLUP[],MATCH($B25,MMWR_RATING_RO_ROLLUP[MMWR_RATING_RO_ROLLUP],0),MATCH(I$9,MMWR_RATING_RO_ROLLUP[#Headers],0)),"ERROR"))</f>
        <v>153.5825913621</v>
      </c>
      <c r="J25" s="149">
        <f>IF($B25=" ","",IFERROR(VLOOKUP($B25,MMWR_ACCURACY_RO[],MATCH(J$9,MMWR_ACCURACY_RO[#Headers],0),0),"ERROR"))</f>
        <v>0.96772408735050564</v>
      </c>
      <c r="K25" s="149">
        <f>IF($B25=" ","",IFERROR(VLOOKUP($B25,MMWR_ACCURACY_RO[],MATCH(K$9,MMWR_ACCURACY_RO[#Headers],0),0),"ERROR"))</f>
        <v>0.93488888053247077</v>
      </c>
      <c r="L25" s="149">
        <f>IF($B25=" ","",IFERROR(VLOOKUP($B25,MMWR_ACCURACY_RO[],MATCH(L$9,MMWR_ACCURACY_RO[#Headers],0),0),"ERROR"))</f>
        <v>0.86094930004569425</v>
      </c>
      <c r="M25" s="149">
        <f>IF($B25=" ","",IFERROR(VLOOKUP($B25,MMWR_ACCURACY_RO[],MATCH(M$9,MMWR_ACCURACY_RO[#Headers],0),0),"ERROR"))</f>
        <v>5.1128656528516031E-2</v>
      </c>
      <c r="N25" s="149">
        <f>IF($B25=" ","",IFERROR(VLOOKUP($B25,MMWR_ACCURACY_RO[],MATCH(N$9,MMWR_ACCURACY_RO[#Headers],0),0),"ERROR"))</f>
        <v>0.89468325884570687</v>
      </c>
      <c r="O25" s="149">
        <f>IF($B25=" ","",IFERROR(VLOOKUP($B25,MMWR_ACCURACY_RO[],MATCH(O$9,MMWR_ACCURACY_RO[#Headers],0),0),"ERROR"))</f>
        <v>5.2004402500186231E-2</v>
      </c>
      <c r="P25" s="28"/>
    </row>
    <row r="26" spans="1:16" x14ac:dyDescent="0.2">
      <c r="A26" s="25"/>
      <c r="B26" s="8" t="str">
        <f>VLOOKUP($B$16,DISTRICT_RO[],11,0)</f>
        <v>Pittsburgh VSC</v>
      </c>
      <c r="C26" s="145">
        <f>IF($B26=" ","",IFERROR(INDEX(MMWR_RATING_RO_ROLLUP[],MATCH($B26,MMWR_RATING_RO_ROLLUP[MMWR_RATING_RO_ROLLUP],0),MATCH(C$9,MMWR_RATING_RO_ROLLUP[#Headers],0)),"ERROR"))</f>
        <v>3786</v>
      </c>
      <c r="D26" s="146">
        <f>IF($B26=" ","",IFERROR(INDEX(MMWR_RATING_RO_ROLLUP[],MATCH($B26,MMWR_RATING_RO_ROLLUP[MMWR_RATING_RO_ROLLUP],0),MATCH(D$9,MMWR_RATING_RO_ROLLUP[#Headers],0)),"ERROR"))</f>
        <v>131.7995245642</v>
      </c>
      <c r="E26" s="147">
        <f>IF($B26=" ","",IFERROR(INDEX(MMWR_RATING_RO_ROLLUP[],MATCH($B26,MMWR_RATING_RO_ROLLUP[MMWR_RATING_RO_ROLLUP],0),MATCH(E$9,MMWR_RATING_RO_ROLLUP[#Headers],0))/$C26,"ERROR"))</f>
        <v>0.39144215530903326</v>
      </c>
      <c r="F26" s="145">
        <f>IF($B26=" ","",IFERROR(INDEX(MMWR_RATING_RO_ROLLUP[],MATCH($B26,MMWR_RATING_RO_ROLLUP[MMWR_RATING_RO_ROLLUP],0),MATCH(F$9,MMWR_RATING_RO_ROLLUP[#Headers],0)),"ERROR"))</f>
        <v>431</v>
      </c>
      <c r="G26" s="145">
        <f>IF($B26=" ","",IFERROR(INDEX(MMWR_RATING_RO_ROLLUP[],MATCH($B26,MMWR_RATING_RO_ROLLUP[MMWR_RATING_RO_ROLLUP],0),MATCH(G$9,MMWR_RATING_RO_ROLLUP[#Headers],0)),"ERROR"))</f>
        <v>3050</v>
      </c>
      <c r="H26" s="146">
        <f>IF($B26=" ","",IFERROR(INDEX(MMWR_RATING_RO_ROLLUP[],MATCH($B26,MMWR_RATING_RO_ROLLUP[MMWR_RATING_RO_ROLLUP],0),MATCH(H$9,MMWR_RATING_RO_ROLLUP[#Headers],0)),"ERROR"))</f>
        <v>180.3781902552</v>
      </c>
      <c r="I26" s="146">
        <f>IF($B26=" ","",IFERROR(INDEX(MMWR_RATING_RO_ROLLUP[],MATCH($B26,MMWR_RATING_RO_ROLLUP[MMWR_RATING_RO_ROLLUP],0),MATCH(I$9,MMWR_RATING_RO_ROLLUP[#Headers],0)),"ERROR"))</f>
        <v>184.0921311475</v>
      </c>
      <c r="J26" s="149">
        <f>IF($B26=" ","",IFERROR(VLOOKUP($B26,MMWR_ACCURACY_RO[],MATCH(J$9,MMWR_ACCURACY_RO[#Headers],0),0),"ERROR"))</f>
        <v>0.89264644170719065</v>
      </c>
      <c r="K26" s="149">
        <f>IF($B26=" ","",IFERROR(VLOOKUP($B26,MMWR_ACCURACY_RO[],MATCH(K$9,MMWR_ACCURACY_RO[#Headers],0),0),"ERROR"))</f>
        <v>0.86267918932278809</v>
      </c>
      <c r="L26" s="149">
        <f>IF($B26=" ","",IFERROR(VLOOKUP($B26,MMWR_ACCURACY_RO[],MATCH(L$9,MMWR_ACCURACY_RO[#Headers],0),0),"ERROR"))</f>
        <v>0.89501628148136447</v>
      </c>
      <c r="M26" s="149">
        <f>IF($B26=" ","",IFERROR(VLOOKUP($B26,MMWR_ACCURACY_RO[],MATCH(M$9,MMWR_ACCURACY_RO[#Headers],0),0),"ERROR"))</f>
        <v>4.7987089016772587E-2</v>
      </c>
      <c r="N26" s="149">
        <f>IF($B26=" ","",IFERROR(VLOOKUP($B26,MMWR_ACCURACY_RO[],MATCH(N$9,MMWR_ACCURACY_RO[#Headers],0),0),"ERROR"))</f>
        <v>0.89272950754772717</v>
      </c>
      <c r="O26" s="149">
        <f>IF($B26=" ","",IFERROR(VLOOKUP($B26,MMWR_ACCURACY_RO[],MATCH(O$9,MMWR_ACCURACY_RO[#Headers],0),0),"ERROR"))</f>
        <v>6.1393887445169708E-2</v>
      </c>
      <c r="P26" s="28"/>
    </row>
    <row r="27" spans="1:16" x14ac:dyDescent="0.2">
      <c r="A27" s="25"/>
      <c r="B27" s="8" t="str">
        <f>VLOOKUP($B$16,DISTRICT_RO[],12,0)</f>
        <v>Providence VSC</v>
      </c>
      <c r="C27" s="145">
        <f>IF($B27=" ","",IFERROR(INDEX(MMWR_RATING_RO_ROLLUP[],MATCH($B27,MMWR_RATING_RO_ROLLUP[MMWR_RATING_RO_ROLLUP],0),MATCH(C$9,MMWR_RATING_RO_ROLLUP[#Headers],0)),"ERROR"))</f>
        <v>4023</v>
      </c>
      <c r="D27" s="146">
        <f>IF($B27=" ","",IFERROR(INDEX(MMWR_RATING_RO_ROLLUP[],MATCH($B27,MMWR_RATING_RO_ROLLUP[MMWR_RATING_RO_ROLLUP],0),MATCH(D$9,MMWR_RATING_RO_ROLLUP[#Headers],0)),"ERROR"))</f>
        <v>87.7315436242</v>
      </c>
      <c r="E27" s="147">
        <f>IF($B27=" ","",IFERROR(INDEX(MMWR_RATING_RO_ROLLUP[],MATCH($B27,MMWR_RATING_RO_ROLLUP[MMWR_RATING_RO_ROLLUP],0),MATCH(E$9,MMWR_RATING_RO_ROLLUP[#Headers],0))/$C27,"ERROR"))</f>
        <v>0.20183942331593338</v>
      </c>
      <c r="F27" s="145">
        <f>IF($B27=" ","",IFERROR(INDEX(MMWR_RATING_RO_ROLLUP[],MATCH($B27,MMWR_RATING_RO_ROLLUP[MMWR_RATING_RO_ROLLUP],0),MATCH(F$9,MMWR_RATING_RO_ROLLUP[#Headers],0)),"ERROR"))</f>
        <v>1002</v>
      </c>
      <c r="G27" s="145">
        <f>IF($B27=" ","",IFERROR(INDEX(MMWR_RATING_RO_ROLLUP[],MATCH($B27,MMWR_RATING_RO_ROLLUP[MMWR_RATING_RO_ROLLUP],0),MATCH(G$9,MMWR_RATING_RO_ROLLUP[#Headers],0)),"ERROR"))</f>
        <v>7040</v>
      </c>
      <c r="H27" s="146">
        <f>IF($B27=" ","",IFERROR(INDEX(MMWR_RATING_RO_ROLLUP[],MATCH($B27,MMWR_RATING_RO_ROLLUP[MMWR_RATING_RO_ROLLUP],0),MATCH(H$9,MMWR_RATING_RO_ROLLUP[#Headers],0)),"ERROR"))</f>
        <v>90.240518962099998</v>
      </c>
      <c r="I27" s="146">
        <f>IF($B27=" ","",IFERROR(INDEX(MMWR_RATING_RO_ROLLUP[],MATCH($B27,MMWR_RATING_RO_ROLLUP[MMWR_RATING_RO_ROLLUP],0),MATCH(I$9,MMWR_RATING_RO_ROLLUP[#Headers],0)),"ERROR"))</f>
        <v>82.897869318199994</v>
      </c>
      <c r="J27" s="149">
        <f>IF($B27=" ","",IFERROR(VLOOKUP($B27,MMWR_ACCURACY_RO[],MATCH(J$9,MMWR_ACCURACY_RO[#Headers],0),0),"ERROR"))</f>
        <v>0.97846077807786269</v>
      </c>
      <c r="K27" s="149">
        <f>IF($B27=" ","",IFERROR(VLOOKUP($B27,MMWR_ACCURACY_RO[],MATCH(K$9,MMWR_ACCURACY_RO[#Headers],0),0),"ERROR"))</f>
        <v>0.9234382194934766</v>
      </c>
      <c r="L27" s="149">
        <f>IF($B27=" ","",IFERROR(VLOOKUP($B27,MMWR_ACCURACY_RO[],MATCH(L$9,MMWR_ACCURACY_RO[#Headers],0),0),"ERROR"))</f>
        <v>0.86546179515091071</v>
      </c>
      <c r="M27" s="149">
        <f>IF($B27=" ","",IFERROR(VLOOKUP($B27,MMWR_ACCURACY_RO[],MATCH(M$9,MMWR_ACCURACY_RO[#Headers],0),0),"ERROR"))</f>
        <v>6.1458675408162765E-2</v>
      </c>
      <c r="N27" s="149">
        <f>IF($B27=" ","",IFERROR(VLOOKUP($B27,MMWR_ACCURACY_RO[],MATCH(N$9,MMWR_ACCURACY_RO[#Headers],0),0),"ERROR"))</f>
        <v>0.96440821256038634</v>
      </c>
      <c r="O27" s="149">
        <f>IF($B27=" ","",IFERROR(VLOOKUP($B27,MMWR_ACCURACY_RO[],MATCH(O$9,MMWR_ACCURACY_RO[#Headers],0),0),"ERROR"))</f>
        <v>2.9057881010602388E-2</v>
      </c>
      <c r="P27" s="28"/>
    </row>
    <row r="28" spans="1:16" x14ac:dyDescent="0.2">
      <c r="A28" s="25"/>
      <c r="B28" s="8" t="str">
        <f>VLOOKUP($B$16,DISTRICT_RO[],13,0)</f>
        <v>Roanoke VSC</v>
      </c>
      <c r="C28" s="145">
        <f>IF($B28=" ","",IFERROR(INDEX(MMWR_RATING_RO_ROLLUP[],MATCH($B28,MMWR_RATING_RO_ROLLUP[MMWR_RATING_RO_ROLLUP],0),MATCH(C$9,MMWR_RATING_RO_ROLLUP[#Headers],0)),"ERROR"))</f>
        <v>10181</v>
      </c>
      <c r="D28" s="146">
        <f>IF($B28=" ","",IFERROR(INDEX(MMWR_RATING_RO_ROLLUP[],MATCH($B28,MMWR_RATING_RO_ROLLUP[MMWR_RATING_RO_ROLLUP],0),MATCH(D$9,MMWR_RATING_RO_ROLLUP[#Headers],0)),"ERROR"))</f>
        <v>90.301443866</v>
      </c>
      <c r="E28" s="147">
        <f>IF($B28=" ","",IFERROR(INDEX(MMWR_RATING_RO_ROLLUP[],MATCH($B28,MMWR_RATING_RO_ROLLUP[MMWR_RATING_RO_ROLLUP],0),MATCH(E$9,MMWR_RATING_RO_ROLLUP[#Headers],0))/$C28,"ERROR"))</f>
        <v>0.20636479717120126</v>
      </c>
      <c r="F28" s="145">
        <f>IF($B28=" ","",IFERROR(INDEX(MMWR_RATING_RO_ROLLUP[],MATCH($B28,MMWR_RATING_RO_ROLLUP[MMWR_RATING_RO_ROLLUP],0),MATCH(F$9,MMWR_RATING_RO_ROLLUP[#Headers],0)),"ERROR"))</f>
        <v>1487</v>
      </c>
      <c r="G28" s="145">
        <f>IF($B28=" ","",IFERROR(INDEX(MMWR_RATING_RO_ROLLUP[],MATCH($B28,MMWR_RATING_RO_ROLLUP[MMWR_RATING_RO_ROLLUP],0),MATCH(G$9,MMWR_RATING_RO_ROLLUP[#Headers],0)),"ERROR"))</f>
        <v>9328</v>
      </c>
      <c r="H28" s="146">
        <f>IF($B28=" ","",IFERROR(INDEX(MMWR_RATING_RO_ROLLUP[],MATCH($B28,MMWR_RATING_RO_ROLLUP[MMWR_RATING_RO_ROLLUP],0),MATCH(H$9,MMWR_RATING_RO_ROLLUP[#Headers],0)),"ERROR"))</f>
        <v>135.18157363820001</v>
      </c>
      <c r="I28" s="146">
        <f>IF($B28=" ","",IFERROR(INDEX(MMWR_RATING_RO_ROLLUP[],MATCH($B28,MMWR_RATING_RO_ROLLUP[MMWR_RATING_RO_ROLLUP],0),MATCH(I$9,MMWR_RATING_RO_ROLLUP[#Headers],0)),"ERROR"))</f>
        <v>139.28216123499999</v>
      </c>
      <c r="J28" s="149">
        <f>IF($B28=" ","",IFERROR(VLOOKUP($B28,MMWR_ACCURACY_RO[],MATCH(J$9,MMWR_ACCURACY_RO[#Headers],0),0),"ERROR"))</f>
        <v>0.95152562622882364</v>
      </c>
      <c r="K28" s="149">
        <f>IF($B28=" ","",IFERROR(VLOOKUP($B28,MMWR_ACCURACY_RO[],MATCH(K$9,MMWR_ACCURACY_RO[#Headers],0),0),"ERROR"))</f>
        <v>0.82786320862979113</v>
      </c>
      <c r="L28" s="149">
        <f>IF($B28=" ","",IFERROR(VLOOKUP($B28,MMWR_ACCURACY_RO[],MATCH(L$9,MMWR_ACCURACY_RO[#Headers],0),0),"ERROR"))</f>
        <v>0.90482226030999069</v>
      </c>
      <c r="M28" s="149">
        <f>IF($B28=" ","",IFERROR(VLOOKUP($B28,MMWR_ACCURACY_RO[],MATCH(M$9,MMWR_ACCURACY_RO[#Headers],0),0),"ERROR"))</f>
        <v>4.7945896177201491E-2</v>
      </c>
      <c r="N28" s="149">
        <f>IF($B28=" ","",IFERROR(VLOOKUP($B28,MMWR_ACCURACY_RO[],MATCH(N$9,MMWR_ACCURACY_RO[#Headers],0),0),"ERROR"))</f>
        <v>0.91252981744131167</v>
      </c>
      <c r="O28" s="149">
        <f>IF($B28=" ","",IFERROR(VLOOKUP($B28,MMWR_ACCURACY_RO[],MATCH(O$9,MMWR_ACCURACY_RO[#Headers],0),0),"ERROR"))</f>
        <v>4.3477177312269008E-2</v>
      </c>
      <c r="P28" s="28"/>
    </row>
    <row r="29" spans="1:16" x14ac:dyDescent="0.2">
      <c r="A29" s="25"/>
      <c r="B29" s="8" t="str">
        <f>VLOOKUP($B$16,DISTRICT_RO[],14,0)</f>
        <v>Togus VSC</v>
      </c>
      <c r="C29" s="145">
        <f>IF($B29=" ","",IFERROR(INDEX(MMWR_RATING_RO_ROLLUP[],MATCH($B29,MMWR_RATING_RO_ROLLUP[MMWR_RATING_RO_ROLLUP],0),MATCH(C$9,MMWR_RATING_RO_ROLLUP[#Headers],0)),"ERROR"))</f>
        <v>6017</v>
      </c>
      <c r="D29" s="146">
        <f>IF($B29=" ","",IFERROR(INDEX(MMWR_RATING_RO_ROLLUP[],MATCH($B29,MMWR_RATING_RO_ROLLUP[MMWR_RATING_RO_ROLLUP],0),MATCH(D$9,MMWR_RATING_RO_ROLLUP[#Headers],0)),"ERROR"))</f>
        <v>92.806215722100006</v>
      </c>
      <c r="E29" s="147">
        <f>IF($B29=" ","",IFERROR(INDEX(MMWR_RATING_RO_ROLLUP[],MATCH($B29,MMWR_RATING_RO_ROLLUP[MMWR_RATING_RO_ROLLUP],0),MATCH(E$9,MMWR_RATING_RO_ROLLUP[#Headers],0))/$C29,"ERROR"))</f>
        <v>0.20259265414658467</v>
      </c>
      <c r="F29" s="145">
        <f>IF($B29=" ","",IFERROR(INDEX(MMWR_RATING_RO_ROLLUP[],MATCH($B29,MMWR_RATING_RO_ROLLUP[MMWR_RATING_RO_ROLLUP],0),MATCH(F$9,MMWR_RATING_RO_ROLLUP[#Headers],0)),"ERROR"))</f>
        <v>646</v>
      </c>
      <c r="G29" s="145">
        <f>IF($B29=" ","",IFERROR(INDEX(MMWR_RATING_RO_ROLLUP[],MATCH($B29,MMWR_RATING_RO_ROLLUP[MMWR_RATING_RO_ROLLUP],0),MATCH(G$9,MMWR_RATING_RO_ROLLUP[#Headers],0)),"ERROR"))</f>
        <v>5148</v>
      </c>
      <c r="H29" s="146">
        <f>IF($B29=" ","",IFERROR(INDEX(MMWR_RATING_RO_ROLLUP[],MATCH($B29,MMWR_RATING_RO_ROLLUP[MMWR_RATING_RO_ROLLUP],0),MATCH(H$9,MMWR_RATING_RO_ROLLUP[#Headers],0)),"ERROR"))</f>
        <v>145.02786377710001</v>
      </c>
      <c r="I29" s="146">
        <f>IF($B29=" ","",IFERROR(INDEX(MMWR_RATING_RO_ROLLUP[],MATCH($B29,MMWR_RATING_RO_ROLLUP[MMWR_RATING_RO_ROLLUP],0),MATCH(I$9,MMWR_RATING_RO_ROLLUP[#Headers],0)),"ERROR"))</f>
        <v>134.78613053609999</v>
      </c>
      <c r="J29" s="149">
        <f>IF($B29=" ","",IFERROR(VLOOKUP($B29,MMWR_ACCURACY_RO[],MATCH(J$9,MMWR_ACCURACY_RO[#Headers],0),0),"ERROR"))</f>
        <v>0.97482626361856239</v>
      </c>
      <c r="K29" s="149">
        <f>IF($B29=" ","",IFERROR(VLOOKUP($B29,MMWR_ACCURACY_RO[],MATCH(K$9,MMWR_ACCURACY_RO[#Headers],0),0),"ERROR"))</f>
        <v>0.93310924369747905</v>
      </c>
      <c r="L29" s="149">
        <f>IF($B29=" ","",IFERROR(VLOOKUP($B29,MMWR_ACCURACY_RO[],MATCH(L$9,MMWR_ACCURACY_RO[#Headers],0),0),"ERROR"))</f>
        <v>0.87728844491403335</v>
      </c>
      <c r="M29" s="149">
        <f>IF($B29=" ","",IFERROR(VLOOKUP($B29,MMWR_ACCURACY_RO[],MATCH(M$9,MMWR_ACCURACY_RO[#Headers],0),0),"ERROR"))</f>
        <v>5.8404860319807954E-2</v>
      </c>
      <c r="N29" s="149">
        <f>IF($B29=" ","",IFERROR(VLOOKUP($B29,MMWR_ACCURACY_RO[],MATCH(N$9,MMWR_ACCURACY_RO[#Headers],0),0),"ERROR"))</f>
        <v>0.96138227536418208</v>
      </c>
      <c r="O29" s="149">
        <f>IF($B29=" ","",IFERROR(VLOOKUP($B29,MMWR_ACCURACY_RO[],MATCH(O$9,MMWR_ACCURACY_RO[#Headers],0),0),"ERROR"))</f>
        <v>3.768486353500286E-2</v>
      </c>
      <c r="P29" s="28"/>
    </row>
    <row r="30" spans="1:16" x14ac:dyDescent="0.2">
      <c r="A30" s="25"/>
      <c r="B30" s="8" t="str">
        <f>VLOOKUP($B$16,DISTRICT_RO[],15,0)</f>
        <v>White River Junction VSC</v>
      </c>
      <c r="C30" s="145">
        <f>IF($B30=" ","",IFERROR(INDEX(MMWR_RATING_RO_ROLLUP[],MATCH($B30,MMWR_RATING_RO_ROLLUP[MMWR_RATING_RO_ROLLUP],0),MATCH(C$9,MMWR_RATING_RO_ROLLUP[#Headers],0)),"ERROR"))</f>
        <v>607</v>
      </c>
      <c r="D30" s="146">
        <f>IF($B30=" ","",IFERROR(INDEX(MMWR_RATING_RO_ROLLUP[],MATCH($B30,MMWR_RATING_RO_ROLLUP[MMWR_RATING_RO_ROLLUP],0),MATCH(D$9,MMWR_RATING_RO_ROLLUP[#Headers],0)),"ERROR"))</f>
        <v>120.4728171334</v>
      </c>
      <c r="E30" s="147">
        <f>IF($B30=" ","",IFERROR(INDEX(MMWR_RATING_RO_ROLLUP[],MATCH($B30,MMWR_RATING_RO_ROLLUP[MMWR_RATING_RO_ROLLUP],0),MATCH(E$9,MMWR_RATING_RO_ROLLUP[#Headers],0))/$C30,"ERROR"))</f>
        <v>0.35914332784184516</v>
      </c>
      <c r="F30" s="145">
        <f>IF($B30=" ","",IFERROR(INDEX(MMWR_RATING_RO_ROLLUP[],MATCH($B30,MMWR_RATING_RO_ROLLUP[MMWR_RATING_RO_ROLLUP],0),MATCH(F$9,MMWR_RATING_RO_ROLLUP[#Headers],0)),"ERROR"))</f>
        <v>99</v>
      </c>
      <c r="G30" s="145">
        <f>IF($B30=" ","",IFERROR(INDEX(MMWR_RATING_RO_ROLLUP[],MATCH($B30,MMWR_RATING_RO_ROLLUP[MMWR_RATING_RO_ROLLUP],0),MATCH(G$9,MMWR_RATING_RO_ROLLUP[#Headers],0)),"ERROR"))</f>
        <v>548</v>
      </c>
      <c r="H30" s="146">
        <f>IF($B30=" ","",IFERROR(INDEX(MMWR_RATING_RO_ROLLUP[],MATCH($B30,MMWR_RATING_RO_ROLLUP[MMWR_RATING_RO_ROLLUP],0),MATCH(H$9,MMWR_RATING_RO_ROLLUP[#Headers],0)),"ERROR"))</f>
        <v>152.0707070707</v>
      </c>
      <c r="I30" s="146">
        <f>IF($B30=" ","",IFERROR(INDEX(MMWR_RATING_RO_ROLLUP[],MATCH($B30,MMWR_RATING_RO_ROLLUP[MMWR_RATING_RO_ROLLUP],0),MATCH(I$9,MMWR_RATING_RO_ROLLUP[#Headers],0)),"ERROR"))</f>
        <v>169.30656934309999</v>
      </c>
      <c r="J30" s="149">
        <f>IF($B30=" ","",IFERROR(VLOOKUP($B30,MMWR_ACCURACY_RO[],MATCH(J$9,MMWR_ACCURACY_RO[#Headers],0),0),"ERROR"))</f>
        <v>0.89788239917700241</v>
      </c>
      <c r="K30" s="149">
        <f>IF($B30=" ","",IFERROR(VLOOKUP($B30,MMWR_ACCURACY_RO[],MATCH(K$9,MMWR_ACCURACY_RO[#Headers],0),0),"ERROR"))</f>
        <v>0.81767887878042766</v>
      </c>
      <c r="L30" s="149">
        <f>IF($B30=" ","",IFERROR(VLOOKUP($B30,MMWR_ACCURACY_RO[],MATCH(L$9,MMWR_ACCURACY_RO[#Headers],0),0),"ERROR"))</f>
        <v>0.82574129396003926</v>
      </c>
      <c r="M30" s="149">
        <f>IF($B30=" ","",IFERROR(VLOOKUP($B30,MMWR_ACCURACY_RO[],MATCH(M$9,MMWR_ACCURACY_RO[#Headers],0),0),"ERROR"))</f>
        <v>5.3492724060872091E-2</v>
      </c>
      <c r="N30" s="149">
        <f>IF($B30=" ","",IFERROR(VLOOKUP($B30,MMWR_ACCURACY_RO[],MATCH(N$9,MMWR_ACCURACY_RO[#Headers],0),0),"ERROR"))</f>
        <v>0.89697304195543626</v>
      </c>
      <c r="O30" s="149">
        <f>IF($B30=" ","",IFERROR(VLOOKUP($B30,MMWR_ACCURACY_RO[],MATCH(O$9,MMWR_ACCURACY_RO[#Headers],0),0),"ERROR"))</f>
        <v>3.9208575895078542E-2</v>
      </c>
      <c r="P30" s="28"/>
    </row>
    <row r="31" spans="1:16" x14ac:dyDescent="0.2">
      <c r="A31" s="25"/>
      <c r="B31" s="8" t="str">
        <f>VLOOKUP($B$16,DISTRICT_RO[],16,0)</f>
        <v>Wilmington VSC</v>
      </c>
      <c r="C31" s="145">
        <f>IF($B31=" ","",IFERROR(INDEX(MMWR_RATING_RO_ROLLUP[],MATCH($B31,MMWR_RATING_RO_ROLLUP[MMWR_RATING_RO_ROLLUP],0),MATCH(C$9,MMWR_RATING_RO_ROLLUP[#Headers],0)),"ERROR"))</f>
        <v>538</v>
      </c>
      <c r="D31" s="146">
        <f>IF($B31=" ","",IFERROR(INDEX(MMWR_RATING_RO_ROLLUP[],MATCH($B31,MMWR_RATING_RO_ROLLUP[MMWR_RATING_RO_ROLLUP],0),MATCH(D$9,MMWR_RATING_RO_ROLLUP[#Headers],0)),"ERROR"))</f>
        <v>80.035315985099999</v>
      </c>
      <c r="E31" s="147">
        <f>IF($B31=" ","",IFERROR(INDEX(MMWR_RATING_RO_ROLLUP[],MATCH($B31,MMWR_RATING_RO_ROLLUP[MMWR_RATING_RO_ROLLUP],0),MATCH(E$9,MMWR_RATING_RO_ROLLUP[#Headers],0))/$C31,"ERROR"))</f>
        <v>0.20074349442379183</v>
      </c>
      <c r="F31" s="145">
        <f>IF($B31=" ","",IFERROR(INDEX(MMWR_RATING_RO_ROLLUP[],MATCH($B31,MMWR_RATING_RO_ROLLUP[MMWR_RATING_RO_ROLLUP],0),MATCH(F$9,MMWR_RATING_RO_ROLLUP[#Headers],0)),"ERROR"))</f>
        <v>53</v>
      </c>
      <c r="G31" s="145">
        <f>IF($B31=" ","",IFERROR(INDEX(MMWR_RATING_RO_ROLLUP[],MATCH($B31,MMWR_RATING_RO_ROLLUP[MMWR_RATING_RO_ROLLUP],0),MATCH(G$9,MMWR_RATING_RO_ROLLUP[#Headers],0)),"ERROR"))</f>
        <v>337</v>
      </c>
      <c r="H31" s="146">
        <f>IF($B31=" ","",IFERROR(INDEX(MMWR_RATING_RO_ROLLUP[],MATCH($B31,MMWR_RATING_RO_ROLLUP[MMWR_RATING_RO_ROLLUP],0),MATCH(H$9,MMWR_RATING_RO_ROLLUP[#Headers],0)),"ERROR"))</f>
        <v>127.9433962264</v>
      </c>
      <c r="I31" s="146">
        <f>IF($B31=" ","",IFERROR(INDEX(MMWR_RATING_RO_ROLLUP[],MATCH($B31,MMWR_RATING_RO_ROLLUP[MMWR_RATING_RO_ROLLUP],0),MATCH(I$9,MMWR_RATING_RO_ROLLUP[#Headers],0)),"ERROR"))</f>
        <v>118.4866468843</v>
      </c>
      <c r="J31" s="149">
        <f>IF($B31=" ","",IFERROR(VLOOKUP($B31,MMWR_ACCURACY_RO[],MATCH(J$9,MMWR_ACCURACY_RO[#Headers],0),0),"ERROR"))</f>
        <v>0.92686134555715871</v>
      </c>
      <c r="K31" s="149">
        <f>IF($B31=" ","",IFERROR(VLOOKUP($B31,MMWR_ACCURACY_RO[],MATCH(K$9,MMWR_ACCURACY_RO[#Headers],0),0),"ERROR"))</f>
        <v>0.82216603455541515</v>
      </c>
      <c r="L31" s="149">
        <f>IF($B31=" ","",IFERROR(VLOOKUP($B31,MMWR_ACCURACY_RO[],MATCH(L$9,MMWR_ACCURACY_RO[#Headers],0),0),"ERROR"))</f>
        <v>0.86779042182519106</v>
      </c>
      <c r="M31" s="149">
        <f>IF($B31=" ","",IFERROR(VLOOKUP($B31,MMWR_ACCURACY_RO[],MATCH(M$9,MMWR_ACCURACY_RO[#Headers],0),0),"ERROR"))</f>
        <v>4.6849540436246569E-2</v>
      </c>
      <c r="N31" s="149">
        <f>IF($B31=" ","",IFERROR(VLOOKUP($B31,MMWR_ACCURACY_RO[],MATCH(N$9,MMWR_ACCURACY_RO[#Headers],0),0),"ERROR"))</f>
        <v>0.88755736108471039</v>
      </c>
      <c r="O31" s="149">
        <f>IF($B31=" ","",IFERROR(VLOOKUP($B31,MMWR_ACCURACY_RO[],MATCH(O$9,MMWR_ACCURACY_RO[#Headers],0),0),"ERROR"))</f>
        <v>5.0868954657902206E-2</v>
      </c>
      <c r="P31" s="28"/>
    </row>
    <row r="32" spans="1:16" x14ac:dyDescent="0.2">
      <c r="A32" s="25"/>
      <c r="B32" s="8" t="str">
        <f>VLOOKUP($B$16,DISTRICT_RO[],17,0)</f>
        <v>Winston-Salem VSC</v>
      </c>
      <c r="C32" s="145">
        <f>IF($B32=" ","",IFERROR(INDEX(MMWR_RATING_RO_ROLLUP[],MATCH($B32,MMWR_RATING_RO_ROLLUP[MMWR_RATING_RO_ROLLUP],0),MATCH(C$9,MMWR_RATING_RO_ROLLUP[#Headers],0)),"ERROR"))</f>
        <v>10990</v>
      </c>
      <c r="D32" s="146">
        <f>IF($B32=" ","",IFERROR(INDEX(MMWR_RATING_RO_ROLLUP[],MATCH($B32,MMWR_RATING_RO_ROLLUP[MMWR_RATING_RO_ROLLUP],0),MATCH(D$9,MMWR_RATING_RO_ROLLUP[#Headers],0)),"ERROR"))</f>
        <v>85.195268425799995</v>
      </c>
      <c r="E32" s="147">
        <f>IF($B32=" ","",IFERROR(INDEX(MMWR_RATING_RO_ROLLUP[],MATCH($B32,MMWR_RATING_RO_ROLLUP[MMWR_RATING_RO_ROLLUP],0),MATCH(E$9,MMWR_RATING_RO_ROLLUP[#Headers],0))/$C32,"ERROR"))</f>
        <v>0.18653321201091902</v>
      </c>
      <c r="F32" s="145">
        <f>IF($B32=" ","",IFERROR(INDEX(MMWR_RATING_RO_ROLLUP[],MATCH($B32,MMWR_RATING_RO_ROLLUP[MMWR_RATING_RO_ROLLUP],0),MATCH(F$9,MMWR_RATING_RO_ROLLUP[#Headers],0)),"ERROR"))</f>
        <v>1502</v>
      </c>
      <c r="G32" s="145">
        <f>IF($B32=" ","",IFERROR(INDEX(MMWR_RATING_RO_ROLLUP[],MATCH($B32,MMWR_RATING_RO_ROLLUP[MMWR_RATING_RO_ROLLUP],0),MATCH(G$9,MMWR_RATING_RO_ROLLUP[#Headers],0)),"ERROR"))</f>
        <v>9771</v>
      </c>
      <c r="H32" s="146">
        <f>IF($B32=" ","",IFERROR(INDEX(MMWR_RATING_RO_ROLLUP[],MATCH($B32,MMWR_RATING_RO_ROLLUP[MMWR_RATING_RO_ROLLUP],0),MATCH(H$9,MMWR_RATING_RO_ROLLUP[#Headers],0)),"ERROR"))</f>
        <v>135.0079893475</v>
      </c>
      <c r="I32" s="146">
        <f>IF($B32=" ","",IFERROR(INDEX(MMWR_RATING_RO_ROLLUP[],MATCH($B32,MMWR_RATING_RO_ROLLUP[MMWR_RATING_RO_ROLLUP],0),MATCH(I$9,MMWR_RATING_RO_ROLLUP[#Headers],0)),"ERROR"))</f>
        <v>141.1439975438</v>
      </c>
      <c r="J32" s="149">
        <f>IF($B32=" ","",IFERROR(VLOOKUP($B32,MMWR_ACCURACY_RO[],MATCH(J$9,MMWR_ACCURACY_RO[#Headers],0),0),"ERROR"))</f>
        <v>0.96590175676835222</v>
      </c>
      <c r="K32" s="149">
        <f>IF($B32=" ","",IFERROR(VLOOKUP($B32,MMWR_ACCURACY_RO[],MATCH(K$9,MMWR_ACCURACY_RO[#Headers],0),0),"ERROR"))</f>
        <v>0.85800305184114367</v>
      </c>
      <c r="L32" s="149">
        <f>IF($B32=" ","",IFERROR(VLOOKUP($B32,MMWR_ACCURACY_RO[],MATCH(L$9,MMWR_ACCURACY_RO[#Headers],0),0),"ERROR"))</f>
        <v>0.82970171691976191</v>
      </c>
      <c r="M32" s="149">
        <f>IF($B32=" ","",IFERROR(VLOOKUP($B32,MMWR_ACCURACY_RO[],MATCH(M$9,MMWR_ACCURACY_RO[#Headers],0),0),"ERROR"))</f>
        <v>5.3853925693320551E-2</v>
      </c>
      <c r="N32" s="149">
        <f>IF($B32=" ","",IFERROR(VLOOKUP($B32,MMWR_ACCURACY_RO[],MATCH(N$9,MMWR_ACCURACY_RO[#Headers],0),0),"ERROR"))</f>
        <v>0.94813896229333006</v>
      </c>
      <c r="O32" s="149">
        <f>IF($B32=" ","",IFERROR(VLOOKUP($B32,MMWR_ACCURACY_RO[],MATCH(O$9,MMWR_ACCURACY_RO[#Headers],0),0),"ERROR"))</f>
        <v>3.6797931644336403E-2</v>
      </c>
      <c r="P32" s="28"/>
    </row>
    <row r="33" spans="1:16" x14ac:dyDescent="0.2">
      <c r="A33" s="25"/>
      <c r="B33" s="366" t="s">
        <v>729</v>
      </c>
      <c r="C33" s="367"/>
      <c r="D33" s="367"/>
      <c r="E33" s="367"/>
      <c r="F33" s="367"/>
      <c r="G33" s="367"/>
      <c r="H33" s="367"/>
      <c r="I33" s="367"/>
      <c r="J33" s="367"/>
      <c r="K33" s="367"/>
      <c r="L33" s="367"/>
      <c r="M33" s="367"/>
      <c r="N33" s="367"/>
      <c r="O33" s="367"/>
      <c r="P33" s="28"/>
    </row>
    <row r="34" spans="1:16" x14ac:dyDescent="0.2">
      <c r="A34" s="25"/>
      <c r="B34" s="11" t="s">
        <v>692</v>
      </c>
      <c r="C34" s="145">
        <f>IF($B34=" ","",IFERROR(INDEX(MMWR_RATING_RO_ROLLUP[],MATCH($B34,MMWR_RATING_RO_ROLLUP[MMWR_RATING_RO_ROLLUP],0),MATCH(C$9,MMWR_RATING_RO_ROLLUP[#Headers],0)),"ERROR"))</f>
        <v>26933</v>
      </c>
      <c r="D34" s="146">
        <f>IF($B34=" ","",IFERROR(INDEX(MMWR_RATING_RO_ROLLUP[],MATCH($B34,MMWR_RATING_RO_ROLLUP[MMWR_RATING_RO_ROLLUP],0),MATCH(D$9,MMWR_RATING_RO_ROLLUP[#Headers],0)),"ERROR"))</f>
        <v>69.481602495100006</v>
      </c>
      <c r="E34" s="147">
        <f>IF($B34=" ","",IFERROR(INDEX(MMWR_RATING_RO_ROLLUP[],MATCH($B34,MMWR_RATING_RO_ROLLUP[MMWR_RATING_RO_ROLLUP],0),MATCH(E$9,MMWR_RATING_RO_ROLLUP[#Headers],0))/$C34,"ERROR"))</f>
        <v>0.10514981621059667</v>
      </c>
      <c r="F34" s="145">
        <f>IF($B34=" ","",IFERROR(INDEX(MMWR_RATING_RO_ROLLUP[],MATCH($B34,MMWR_RATING_RO_ROLLUP[MMWR_RATING_RO_ROLLUP],0),MATCH(F$9,MMWR_RATING_RO_ROLLUP[#Headers],0)),"ERROR"))</f>
        <v>5599</v>
      </c>
      <c r="G34" s="145">
        <f>IF($B34=" ","",IFERROR(INDEX(MMWR_RATING_RO_ROLLUP[],MATCH($B34,MMWR_RATING_RO_ROLLUP[MMWR_RATING_RO_ROLLUP],0),MATCH(G$9,MMWR_RATING_RO_ROLLUP[#Headers],0)),"ERROR"))</f>
        <v>41792</v>
      </c>
      <c r="H34" s="146">
        <f>IF($B34=" ","",IFERROR(INDEX(MMWR_RATING_RO_ROLLUP[],MATCH($B34,MMWR_RATING_RO_ROLLUP[MMWR_RATING_RO_ROLLUP],0),MATCH(H$9,MMWR_RATING_RO_ROLLUP[#Headers],0)),"ERROR"))</f>
        <v>79.032505804600007</v>
      </c>
      <c r="I34" s="146">
        <f>IF($B34=" ","",IFERROR(INDEX(MMWR_RATING_RO_ROLLUP[],MATCH($B34,MMWR_RATING_RO_ROLLUP[MMWR_RATING_RO_ROLLUP],0),MATCH(I$9,MMWR_RATING_RO_ROLLUP[#Headers],0)),"ERROR"))</f>
        <v>72.376435681499999</v>
      </c>
      <c r="J34" s="42"/>
      <c r="K34" s="234">
        <f>IF($B34=" ","",IFERROR(VLOOKUP($B34,MMWR_ACCURACY_RO[],MATCH(K$50,MMWR_ACCURACY_RO[#Headers],0),0),"ERROR"))</f>
        <v>0.97160112937304843</v>
      </c>
      <c r="L34" s="234">
        <f>IF($B34=" ","",IFERROR(VLOOKUP($B34,MMWR_ACCURACY_RO[],MATCH(L$50,MMWR_ACCURACY_RO[#Headers],0),0),"ERROR"))</f>
        <v>0.96163913115719257</v>
      </c>
      <c r="M34" s="234">
        <f>IF($B34=" ","",IFERROR(VLOOKUP($B34,MMWR_ACCURACY_RO[],MATCH(M$50,MMWR_ACCURACY_RO[#Headers],0),0),"ERROR"))</f>
        <v>1.7703075779040064E-2</v>
      </c>
      <c r="N34" s="234">
        <f>IF($B34=" ","",IFERROR(VLOOKUP($B34,MMWR_ACCURACY_RO[],MATCH(N$50,MMWR_ACCURACY_RO[#Headers],0),0),"ERROR"))</f>
        <v>0.96424101944600116</v>
      </c>
      <c r="O34" s="234">
        <f>IF($B34=" ","",IFERROR(VLOOKUP($B34,MMWR_ACCURACY_RO[],MATCH(O$50,MMWR_ACCURACY_RO[#Headers],0),0),"ERROR"))</f>
        <v>1.8811832979832133E-2</v>
      </c>
      <c r="P34" s="28"/>
    </row>
    <row r="35" spans="1:16" x14ac:dyDescent="0.2">
      <c r="A35" s="25"/>
      <c r="B35" s="12" t="s">
        <v>213</v>
      </c>
      <c r="C35" s="145">
        <f>IF($B35=" ","",IFERROR(INDEX(MMWR_RATING_RO_ROLLUP[],MATCH($B35,MMWR_RATING_RO_ROLLUP[MMWR_RATING_RO_ROLLUP],0),MATCH(C$9,MMWR_RATING_RO_ROLLUP[#Headers],0)),"ERROR"))</f>
        <v>12284</v>
      </c>
      <c r="D35" s="146">
        <f>IF($B35=" ","",IFERROR(INDEX(MMWR_RATING_RO_ROLLUP[],MATCH($B35,MMWR_RATING_RO_ROLLUP[MMWR_RATING_RO_ROLLUP],0),MATCH(D$9,MMWR_RATING_RO_ROLLUP[#Headers],0)),"ERROR"))</f>
        <v>69.407847606600001</v>
      </c>
      <c r="E35" s="147">
        <f>IF($B35=" ","",IFERROR(INDEX(MMWR_RATING_RO_ROLLUP[],MATCH($B35,MMWR_RATING_RO_ROLLUP[MMWR_RATING_RO_ROLLUP],0),MATCH(E$9,MMWR_RATING_RO_ROLLUP[#Headers],0))/$C35,"ERROR"))</f>
        <v>9.4268967762943662E-2</v>
      </c>
      <c r="F35" s="145">
        <f>IF($B35=" ","",IFERROR(INDEX(MMWR_RATING_RO_ROLLUP[],MATCH($B35,MMWR_RATING_RO_ROLLUP[MMWR_RATING_RO_ROLLUP],0),MATCH(F$9,MMWR_RATING_RO_ROLLUP[#Headers],0)),"ERROR"))</f>
        <v>1790</v>
      </c>
      <c r="G35" s="145">
        <f>IF($B35=" ","",IFERROR(INDEX(MMWR_RATING_RO_ROLLUP[],MATCH($B35,MMWR_RATING_RO_ROLLUP[MMWR_RATING_RO_ROLLUP],0),MATCH(G$9,MMWR_RATING_RO_ROLLUP[#Headers],0)),"ERROR"))</f>
        <v>13217</v>
      </c>
      <c r="H35" s="146">
        <f>IF($B35=" ","",IFERROR(INDEX(MMWR_RATING_RO_ROLLUP[],MATCH($B35,MMWR_RATING_RO_ROLLUP[MMWR_RATING_RO_ROLLUP],0),MATCH(H$9,MMWR_RATING_RO_ROLLUP[#Headers],0)),"ERROR"))</f>
        <v>98.427374301699999</v>
      </c>
      <c r="I35" s="146">
        <f>IF($B35=" ","",IFERROR(INDEX(MMWR_RATING_RO_ROLLUP[],MATCH($B35,MMWR_RATING_RO_ROLLUP[MMWR_RATING_RO_ROLLUP],0),MATCH(I$9,MMWR_RATING_RO_ROLLUP[#Headers],0)),"ERROR"))</f>
        <v>85.968903684599994</v>
      </c>
      <c r="J35" s="42"/>
      <c r="K35" s="223">
        <f>IF($B35=" ","",IFERROR(VLOOKUP($B35,MMWR_ACCURACY_RO[],MATCH(K$50,MMWR_ACCURACY_RO[#Headers],0),0),"ERROR"))</f>
        <v>0.91294528988622348</v>
      </c>
      <c r="L35" s="223">
        <f>IF($B35=" ","",IFERROR(VLOOKUP($B35,MMWR_ACCURACY_RO[],MATCH(L$50,MMWR_ACCURACY_RO[#Headers],0),0),"ERROR"))</f>
        <v>0.93017667772598667</v>
      </c>
      <c r="M35" s="223">
        <f>IF($B35=" ","",IFERROR(VLOOKUP($B35,MMWR_ACCURACY_RO[],MATCH(M$50,MMWR_ACCURACY_RO[#Headers],0),0),"ERROR"))</f>
        <v>4.3386517725416809E-2</v>
      </c>
      <c r="N35" s="223">
        <f>IF($B35=" ","",IFERROR(VLOOKUP($B35,MMWR_ACCURACY_RO[],MATCH(N$50,MMWR_ACCURACY_RO[#Headers],0),0),"ERROR"))</f>
        <v>0.92519699830758606</v>
      </c>
      <c r="O35" s="223">
        <f>IF($B35=" ","",IFERROR(VLOOKUP($B35,MMWR_ACCURACY_RO[],MATCH(O$50,MMWR_ACCURACY_RO[#Headers],0),0),"ERROR"))</f>
        <v>4.881325786853296E-2</v>
      </c>
      <c r="P35" s="28"/>
    </row>
    <row r="36" spans="1:16" x14ac:dyDescent="0.2">
      <c r="A36" s="43"/>
      <c r="B36" s="12" t="s">
        <v>212</v>
      </c>
      <c r="C36" s="145">
        <f>IF($B36=" ","",IFERROR(INDEX(MMWR_RATING_RO_ROLLUP[],MATCH($B36,MMWR_RATING_RO_ROLLUP[MMWR_RATING_RO_ROLLUP],0),MATCH(C$9,MMWR_RATING_RO_ROLLUP[#Headers],0)),"ERROR"))</f>
        <v>6673</v>
      </c>
      <c r="D36" s="146">
        <f>IF($B36=" ","",IFERROR(INDEX(MMWR_RATING_RO_ROLLUP[],MATCH($B36,MMWR_RATING_RO_ROLLUP[MMWR_RATING_RO_ROLLUP],0),MATCH(D$9,MMWR_RATING_RO_ROLLUP[#Headers],0)),"ERROR"))</f>
        <v>69.171736850000002</v>
      </c>
      <c r="E36" s="147">
        <f>IF($B36=" ","",IFERROR(INDEX(MMWR_RATING_RO_ROLLUP[],MATCH($B36,MMWR_RATING_RO_ROLLUP[MMWR_RATING_RO_ROLLUP],0),MATCH(E$9,MMWR_RATING_RO_ROLLUP[#Headers],0))/$C36,"ERROR"))</f>
        <v>0.11164393825865428</v>
      </c>
      <c r="F36" s="145">
        <f>IF($B36=" ","",IFERROR(INDEX(MMWR_RATING_RO_ROLLUP[],MATCH($B36,MMWR_RATING_RO_ROLLUP[MMWR_RATING_RO_ROLLUP],0),MATCH(F$9,MMWR_RATING_RO_ROLLUP[#Headers],0)),"ERROR"))</f>
        <v>1554</v>
      </c>
      <c r="G36" s="145">
        <f>IF($B36=" ","",IFERROR(INDEX(MMWR_RATING_RO_ROLLUP[],MATCH($B36,MMWR_RATING_RO_ROLLUP[MMWR_RATING_RO_ROLLUP],0),MATCH(G$9,MMWR_RATING_RO_ROLLUP[#Headers],0)),"ERROR"))</f>
        <v>11628</v>
      </c>
      <c r="H36" s="146">
        <f>IF($B36=" ","",IFERROR(INDEX(MMWR_RATING_RO_ROLLUP[],MATCH($B36,MMWR_RATING_RO_ROLLUP[MMWR_RATING_RO_ROLLUP],0),MATCH(H$9,MMWR_RATING_RO_ROLLUP[#Headers],0)),"ERROR"))</f>
        <v>80.158944658899998</v>
      </c>
      <c r="I36" s="146">
        <f>IF($B36=" ","",IFERROR(INDEX(MMWR_RATING_RO_ROLLUP[],MATCH($B36,MMWR_RATING_RO_ROLLUP[MMWR_RATING_RO_ROLLUP],0),MATCH(I$9,MMWR_RATING_RO_ROLLUP[#Headers],0)),"ERROR"))</f>
        <v>69.964654282799998</v>
      </c>
      <c r="J36" s="42"/>
      <c r="K36" s="223">
        <f>IF($B36=" ","",IFERROR(VLOOKUP($B36,MMWR_ACCURACY_RO[],MATCH(K$50,MMWR_ACCURACY_RO[#Headers],0),0),"ERROR"))</f>
        <v>1</v>
      </c>
      <c r="L36" s="223">
        <f>IF($B36=" ","",IFERROR(VLOOKUP($B36,MMWR_ACCURACY_RO[],MATCH(L$50,MMWR_ACCURACY_RO[#Headers],0),0),"ERROR"))</f>
        <v>0.9527406412662911</v>
      </c>
      <c r="M36" s="223">
        <f>IF($B36=" ","",IFERROR(VLOOKUP($B36,MMWR_ACCURACY_RO[],MATCH(M$50,MMWR_ACCURACY_RO[#Headers],0),0),"ERROR"))</f>
        <v>3.4903923101055979E-2</v>
      </c>
      <c r="N36" s="223">
        <f>IF($B36=" ","",IFERROR(VLOOKUP($B36,MMWR_ACCURACY_RO[],MATCH(N$50,MMWR_ACCURACY_RO[#Headers],0),0),"ERROR"))</f>
        <v>0.97667166653509119</v>
      </c>
      <c r="O36" s="223">
        <f>IF($B36=" ","",IFERROR(VLOOKUP($B36,MMWR_ACCURACY_RO[],MATCH(O$50,MMWR_ACCURACY_RO[#Headers],0),0),"ERROR"))</f>
        <v>2.2442018434798996E-2</v>
      </c>
      <c r="P36" s="28"/>
    </row>
    <row r="37" spans="1:16" x14ac:dyDescent="0.2">
      <c r="A37" s="25"/>
      <c r="B37" s="12" t="s">
        <v>215</v>
      </c>
      <c r="C37" s="145">
        <f>IF($B37=" ","",IFERROR(INDEX(MMWR_RATING_RO_ROLLUP[],MATCH($B37,MMWR_RATING_RO_ROLLUP[MMWR_RATING_RO_ROLLUP],0),MATCH(C$9,MMWR_RATING_RO_ROLLUP[#Headers],0)),"ERROR"))</f>
        <v>7386</v>
      </c>
      <c r="D37" s="146">
        <f>IF($B37=" ","",IFERROR(INDEX(MMWR_RATING_RO_ROLLUP[],MATCH($B37,MMWR_RATING_RO_ROLLUP[MMWR_RATING_RO_ROLLUP],0),MATCH(D$9,MMWR_RATING_RO_ROLLUP[#Headers],0)),"ERROR"))</f>
        <v>60.591930679699999</v>
      </c>
      <c r="E37" s="147">
        <f>IF($B37=" ","",IFERROR(INDEX(MMWR_RATING_RO_ROLLUP[],MATCH($B37,MMWR_RATING_RO_ROLLUP[MMWR_RATING_RO_ROLLUP],0),MATCH(E$9,MMWR_RATING_RO_ROLLUP[#Headers],0))/$C37,"ERROR"))</f>
        <v>8.3671811535337121E-2</v>
      </c>
      <c r="F37" s="145">
        <f>IF($B37=" ","",IFERROR(INDEX(MMWR_RATING_RO_ROLLUP[],MATCH($B37,MMWR_RATING_RO_ROLLUP[MMWR_RATING_RO_ROLLUP],0),MATCH(F$9,MMWR_RATING_RO_ROLLUP[#Headers],0)),"ERROR"))</f>
        <v>2098</v>
      </c>
      <c r="G37" s="145">
        <f>IF($B37=" ","",IFERROR(INDEX(MMWR_RATING_RO_ROLLUP[],MATCH($B37,MMWR_RATING_RO_ROLLUP[MMWR_RATING_RO_ROLLUP],0),MATCH(G$9,MMWR_RATING_RO_ROLLUP[#Headers],0)),"ERROR"))</f>
        <v>15690</v>
      </c>
      <c r="H37" s="146">
        <f>IF($B37=" ","",IFERROR(INDEX(MMWR_RATING_RO_ROLLUP[],MATCH($B37,MMWR_RATING_RO_ROLLUP[MMWR_RATING_RO_ROLLUP],0),MATCH(H$9,MMWR_RATING_RO_ROLLUP[#Headers],0)),"ERROR"))</f>
        <v>63.2383222116</v>
      </c>
      <c r="I37" s="146">
        <f>IF($B37=" ","",IFERROR(INDEX(MMWR_RATING_RO_ROLLUP[],MATCH($B37,MMWR_RATING_RO_ROLLUP[MMWR_RATING_RO_ROLLUP],0),MATCH(I$9,MMWR_RATING_RO_ROLLUP[#Headers],0)),"ERROR"))</f>
        <v>65.095092415600007</v>
      </c>
      <c r="J37" s="42"/>
      <c r="K37" s="223">
        <f>IF($B37=" ","",IFERROR(VLOOKUP($B37,MMWR_ACCURACY_RO[],MATCH(K$50,MMWR_ACCURACY_RO[#Headers],0),0),"ERROR"))</f>
        <v>1</v>
      </c>
      <c r="L37" s="223">
        <f>IF($B37=" ","",IFERROR(VLOOKUP($B37,MMWR_ACCURACY_RO[],MATCH(L$50,MMWR_ACCURACY_RO[#Headers],0),0),"ERROR"))</f>
        <v>0.99564297054154172</v>
      </c>
      <c r="M37" s="223">
        <f>IF($B37=" ","",IFERROR(VLOOKUP($B37,MMWR_ACCURACY_RO[],MATCH(M$50,MMWR_ACCURACY_RO[#Headers],0),0),"ERROR"))</f>
        <v>6.4823634343978394E-3</v>
      </c>
      <c r="N37" s="223">
        <f>IF($B37=" ","",IFERROR(VLOOKUP($B37,MMWR_ACCURACY_RO[],MATCH(N$50,MMWR_ACCURACY_RO[#Headers],0),0),"ERROR"))</f>
        <v>0.99094843130183918</v>
      </c>
      <c r="O37" s="223">
        <f>IF($B37=" ","",IFERROR(VLOOKUP($B37,MMWR_ACCURACY_RO[],MATCH(O$50,MMWR_ACCURACY_RO[#Headers],0),0),"ERROR"))</f>
        <v>1.3483231278089036E-2</v>
      </c>
      <c r="P37" s="28"/>
    </row>
    <row r="38" spans="1:16" x14ac:dyDescent="0.2">
      <c r="A38" s="25"/>
      <c r="B38" s="13" t="s">
        <v>227</v>
      </c>
      <c r="C38" s="145">
        <f>IF($B38=" ","",IFERROR(INDEX(MMWR_RATING_RO_ROLLUP[],MATCH($B38,MMWR_RATING_RO_ROLLUP[MMWR_RATING_RO_ROLLUP],0),MATCH(C$9,MMWR_RATING_RO_ROLLUP[#Headers],0)),"ERROR"))</f>
        <v>590</v>
      </c>
      <c r="D38" s="146">
        <f>IF($B38=" ","",IFERROR(INDEX(MMWR_RATING_RO_ROLLUP[],MATCH($B38,MMWR_RATING_RO_ROLLUP[MMWR_RATING_RO_ROLLUP],0),MATCH(D$9,MMWR_RATING_RO_ROLLUP[#Headers],0)),"ERROR"))</f>
        <v>185.8084745763</v>
      </c>
      <c r="E38" s="147">
        <f>IF($B38=" ","",IFERROR(INDEX(MMWR_RATING_RO_ROLLUP[],MATCH($B38,MMWR_RATING_RO_ROLLUP[MMWR_RATING_RO_ROLLUP],0),MATCH(E$9,MMWR_RATING_RO_ROLLUP[#Headers],0))/$C38,"ERROR"))</f>
        <v>0.52711864406779663</v>
      </c>
      <c r="F38" s="145">
        <f>IF($B38=" ","",IFERROR(INDEX(MMWR_RATING_RO_ROLLUP[],MATCH($B38,MMWR_RATING_RO_ROLLUP[MMWR_RATING_RO_ROLLUP],0),MATCH(F$9,MMWR_RATING_RO_ROLLUP[#Headers],0)),"ERROR"))</f>
        <v>157</v>
      </c>
      <c r="G38" s="145">
        <f>IF($B38=" ","",IFERROR(INDEX(MMWR_RATING_RO_ROLLUP[],MATCH($B38,MMWR_RATING_RO_ROLLUP[MMWR_RATING_RO_ROLLUP],0),MATCH(G$9,MMWR_RATING_RO_ROLLUP[#Headers],0)),"ERROR"))</f>
        <v>1257</v>
      </c>
      <c r="H38" s="146">
        <f>IF($B38=" ","",IFERROR(INDEX(MMWR_RATING_RO_ROLLUP[],MATCH($B38,MMWR_RATING_RO_ROLLUP[MMWR_RATING_RO_ROLLUP],0),MATCH(H$9,MMWR_RATING_RO_ROLLUP[#Headers],0)),"ERROR"))</f>
        <v>57.815286624199999</v>
      </c>
      <c r="I38" s="146">
        <f>IF($B38=" ","",IFERROR(INDEX(MMWR_RATING_RO_ROLLUP[],MATCH($B38,MMWR_RATING_RO_ROLLUP[MMWR_RATING_RO_ROLLUP],0),MATCH(I$9,MMWR_RATING_RO_ROLLUP[#Headers],0)),"ERROR"))</f>
        <v>42.652346857600001</v>
      </c>
      <c r="J38" s="42"/>
      <c r="K38" s="42"/>
      <c r="L38" s="42"/>
      <c r="M38" s="42"/>
      <c r="N38" s="42"/>
      <c r="O38" s="42"/>
      <c r="P38" s="28"/>
    </row>
    <row r="39" spans="1:16" x14ac:dyDescent="0.2">
      <c r="A39" s="25"/>
      <c r="B39" s="366" t="s">
        <v>912</v>
      </c>
      <c r="C39" s="367"/>
      <c r="D39" s="367"/>
      <c r="E39" s="367"/>
      <c r="F39" s="367"/>
      <c r="G39" s="367"/>
      <c r="H39" s="367"/>
      <c r="I39" s="367"/>
      <c r="J39" s="367"/>
      <c r="K39" s="367"/>
      <c r="L39" s="367"/>
      <c r="M39" s="367"/>
      <c r="N39" s="367"/>
      <c r="O39" s="367"/>
      <c r="P39" s="28"/>
    </row>
    <row r="40" spans="1:16" x14ac:dyDescent="0.2">
      <c r="A40" s="25"/>
      <c r="B40" s="44" t="s">
        <v>693</v>
      </c>
      <c r="C40" s="145">
        <f>IF($B40=" ","",IFERROR(INDEX(MMWR_RATING_RO_ROLLUP[],MATCH($B40,MMWR_RATING_RO_ROLLUP[MMWR_RATING_RO_ROLLUP],0),MATCH(C$9,MMWR_RATING_RO_ROLLUP[#Headers],0)),"ERROR"))</f>
        <v>10736</v>
      </c>
      <c r="D40" s="146">
        <f>IF($B40=" ","",IFERROR(INDEX(MMWR_RATING_RO_ROLLUP[],MATCH($B40,MMWR_RATING_RO_ROLLUP[MMWR_RATING_RO_ROLLUP],0),MATCH(D$9,MMWR_RATING_RO_ROLLUP[#Headers],0)),"ERROR"))</f>
        <v>88.494970193699999</v>
      </c>
      <c r="E40" s="147">
        <f>IF($B40=" ","",IFERROR(INDEX(MMWR_RATING_RO_ROLLUP[],MATCH($B40,MMWR_RATING_RO_ROLLUP[MMWR_RATING_RO_ROLLUP],0),MATCH(E$9,MMWR_RATING_RO_ROLLUP[#Headers],0))/$C40,"ERROR"))</f>
        <v>0.23379284649776452</v>
      </c>
      <c r="F40" s="145">
        <f>IF($B40=" ","",IFERROR(INDEX(MMWR_RATING_RO_ROLLUP[],MATCH($B40,MMWR_RATING_RO_ROLLUP[MMWR_RATING_RO_ROLLUP],0),MATCH(F$9,MMWR_RATING_RO_ROLLUP[#Headers],0)),"ERROR"))</f>
        <v>823</v>
      </c>
      <c r="G40" s="145">
        <f>IF($B40=" ","",IFERROR(INDEX(MMWR_RATING_RO_ROLLUP[],MATCH($B40,MMWR_RATING_RO_ROLLUP[MMWR_RATING_RO_ROLLUP],0),MATCH(G$9,MMWR_RATING_RO_ROLLUP[#Headers],0)),"ERROR"))</f>
        <v>5559</v>
      </c>
      <c r="H40" s="146">
        <f>IF($B40=" ","",IFERROR(INDEX(MMWR_RATING_RO_ROLLUP[],MATCH($B40,MMWR_RATING_RO_ROLLUP[MMWR_RATING_RO_ROLLUP],0),MATCH(H$9,MMWR_RATING_RO_ROLLUP[#Headers],0)),"ERROR"))</f>
        <v>159.86269744840001</v>
      </c>
      <c r="I40" s="146">
        <f>IF($B40=" ","",IFERROR(INDEX(MMWR_RATING_RO_ROLLUP[],MATCH($B40,MMWR_RATING_RO_ROLLUP[MMWR_RATING_RO_ROLLUP],0),MATCH(I$9,MMWR_RATING_RO_ROLLUP[#Headers],0)),"ERROR"))</f>
        <v>143.17880913830001</v>
      </c>
      <c r="J40" s="42"/>
      <c r="K40" s="42"/>
      <c r="L40" s="42"/>
      <c r="M40" s="42"/>
      <c r="N40" s="42"/>
      <c r="O40" s="42"/>
      <c r="P40" s="28"/>
    </row>
    <row r="41" spans="1:16" x14ac:dyDescent="0.2">
      <c r="A41" s="25"/>
      <c r="B41" s="45" t="s">
        <v>952</v>
      </c>
      <c r="C41" s="145">
        <f>IF($B41=" ","",IFERROR(INDEX(MMWR_RATING_RO_ROLLUP[],MATCH($B41,MMWR_RATING_RO_ROLLUP[MMWR_RATING_RO_ROLLUP],0),MATCH(C$9,MMWR_RATING_RO_ROLLUP[#Headers],0)),"ERROR"))</f>
        <v>4893</v>
      </c>
      <c r="D41" s="146">
        <f>IF($B41=" ","",IFERROR(INDEX(MMWR_RATING_RO_ROLLUP[],MATCH($B41,MMWR_RATING_RO_ROLLUP[MMWR_RATING_RO_ROLLUP],0),MATCH(D$9,MMWR_RATING_RO_ROLLUP[#Headers],0)),"ERROR"))</f>
        <v>83.384631105699995</v>
      </c>
      <c r="E41" s="147">
        <f>IF($B41=" ","",IFERROR(INDEX(MMWR_RATING_RO_ROLLUP[],MATCH($B41,MMWR_RATING_RO_ROLLUP[MMWR_RATING_RO_ROLLUP],0),MATCH(E$9,MMWR_RATING_RO_ROLLUP[#Headers],0))/$C41,"ERROR"))</f>
        <v>0.17535254445125689</v>
      </c>
      <c r="F41" s="145">
        <f>IF($B41=" ","",IFERROR(INDEX(MMWR_RATING_RO_ROLLUP[],MATCH($B41,MMWR_RATING_RO_ROLLUP[MMWR_RATING_RO_ROLLUP],0),MATCH(F$9,MMWR_RATING_RO_ROLLUP[#Headers],0)),"ERROR"))</f>
        <v>350</v>
      </c>
      <c r="G41" s="145">
        <f>IF($B41=" ","",IFERROR(INDEX(MMWR_RATING_RO_ROLLUP[],MATCH($B41,MMWR_RATING_RO_ROLLUP[MMWR_RATING_RO_ROLLUP],0),MATCH(G$9,MMWR_RATING_RO_ROLLUP[#Headers],0)),"ERROR"))</f>
        <v>2708</v>
      </c>
      <c r="H41" s="146">
        <f>IF($B41=" ","",IFERROR(INDEX(MMWR_RATING_RO_ROLLUP[],MATCH($B41,MMWR_RATING_RO_ROLLUP[MMWR_RATING_RO_ROLLUP],0),MATCH(H$9,MMWR_RATING_RO_ROLLUP[#Headers],0)),"ERROR"))</f>
        <v>148.7628571429</v>
      </c>
      <c r="I41" s="146">
        <f>IF($B41=" ","",IFERROR(INDEX(MMWR_RATING_RO_ROLLUP[],MATCH($B41,MMWR_RATING_RO_ROLLUP[MMWR_RATING_RO_ROLLUP],0),MATCH(I$9,MMWR_RATING_RO_ROLLUP[#Headers],0)),"ERROR"))</f>
        <v>129.1850073855</v>
      </c>
      <c r="J41" s="42"/>
      <c r="K41" s="42"/>
      <c r="L41" s="42"/>
      <c r="M41" s="42"/>
      <c r="N41" s="42"/>
      <c r="O41" s="42"/>
      <c r="P41" s="28"/>
    </row>
    <row r="42" spans="1:16" x14ac:dyDescent="0.2">
      <c r="A42" s="25"/>
      <c r="B42" s="45" t="s">
        <v>953</v>
      </c>
      <c r="C42" s="145">
        <f>IF($B42=" ","",IFERROR(INDEX(MMWR_RATING_RO_ROLLUP[],MATCH($B42,MMWR_RATING_RO_ROLLUP[MMWR_RATING_RO_ROLLUP],0),MATCH(C$9,MMWR_RATING_RO_ROLLUP[#Headers],0)),"ERROR"))</f>
        <v>5433</v>
      </c>
      <c r="D42" s="146">
        <f>IF($B42=" ","",IFERROR(INDEX(MMWR_RATING_RO_ROLLUP[],MATCH($B42,MMWR_RATING_RO_ROLLUP[MMWR_RATING_RO_ROLLUP],0),MATCH(D$9,MMWR_RATING_RO_ROLLUP[#Headers],0)),"ERROR"))</f>
        <v>96.038100497000002</v>
      </c>
      <c r="E42" s="147">
        <f>IF($B42=" ","",IFERROR(INDEX(MMWR_RATING_RO_ROLLUP[],MATCH($B42,MMWR_RATING_RO_ROLLUP[MMWR_RATING_RO_ROLLUP],0),MATCH(E$9,MMWR_RATING_RO_ROLLUP[#Headers],0))/$C42,"ERROR"))</f>
        <v>0.2961531382293392</v>
      </c>
      <c r="F42" s="145">
        <f>IF($B42=" ","",IFERROR(INDEX(MMWR_RATING_RO_ROLLUP[],MATCH($B42,MMWR_RATING_RO_ROLLUP[MMWR_RATING_RO_ROLLUP],0),MATCH(F$9,MMWR_RATING_RO_ROLLUP[#Headers],0)),"ERROR"))</f>
        <v>459</v>
      </c>
      <c r="G42" s="145">
        <f>IF($B42=" ","",IFERROR(INDEX(MMWR_RATING_RO_ROLLUP[],MATCH($B42,MMWR_RATING_RO_ROLLUP[MMWR_RATING_RO_ROLLUP],0),MATCH(G$9,MMWR_RATING_RO_ROLLUP[#Headers],0)),"ERROR"))</f>
        <v>2705</v>
      </c>
      <c r="H42" s="146">
        <f>IF($B42=" ","",IFERROR(INDEX(MMWR_RATING_RO_ROLLUP[],MATCH($B42,MMWR_RATING_RO_ROLLUP[MMWR_RATING_RO_ROLLUP],0),MATCH(H$9,MMWR_RATING_RO_ROLLUP[#Headers],0)),"ERROR"))</f>
        <v>167.1525054466</v>
      </c>
      <c r="I42" s="146">
        <f>IF($B42=" ","",IFERROR(INDEX(MMWR_RATING_RO_ROLLUP[],MATCH($B42,MMWR_RATING_RO_ROLLUP[MMWR_RATING_RO_ROLLUP],0),MATCH(I$9,MMWR_RATING_RO_ROLLUP[#Headers],0)),"ERROR"))</f>
        <v>157.91866913120001</v>
      </c>
      <c r="J42" s="42"/>
      <c r="K42" s="42"/>
      <c r="L42" s="42"/>
      <c r="M42" s="42"/>
      <c r="N42" s="42"/>
      <c r="O42" s="42"/>
      <c r="P42" s="28"/>
    </row>
    <row r="43" spans="1:16" x14ac:dyDescent="0.2">
      <c r="A43" s="25"/>
      <c r="B43" s="46" t="s">
        <v>305</v>
      </c>
      <c r="C43" s="145">
        <f>IF($B43=" ","",IFERROR(INDEX(MMWR_RATING_RO_ROLLUP[],MATCH($B43,MMWR_RATING_RO_ROLLUP[MMWR_RATING_RO_ROLLUP],0),MATCH(C$9,MMWR_RATING_RO_ROLLUP[#Headers],0)),"ERROR"))</f>
        <v>410</v>
      </c>
      <c r="D43" s="146">
        <f>IF($B43=" ","",IFERROR(INDEX(MMWR_RATING_RO_ROLLUP[],MATCH($B43,MMWR_RATING_RO_ROLLUP[MMWR_RATING_RO_ROLLUP],0),MATCH(D$9,MMWR_RATING_RO_ROLLUP[#Headers],0)),"ERROR"))</f>
        <v>49.526829268299998</v>
      </c>
      <c r="E43" s="147">
        <f>IF($B43=" ","",IFERROR(INDEX(MMWR_RATING_RO_ROLLUP[],MATCH($B43,MMWR_RATING_RO_ROLLUP[MMWR_RATING_RO_ROLLUP],0),MATCH(E$9,MMWR_RATING_RO_ROLLUP[#Headers],0))/$C43,"ERROR"))</f>
        <v>0.1048780487804878</v>
      </c>
      <c r="F43" s="145">
        <f>IF($B43=" ","",IFERROR(INDEX(MMWR_RATING_RO_ROLLUP[],MATCH($B43,MMWR_RATING_RO_ROLLUP[MMWR_RATING_RO_ROLLUP],0),MATCH(F$9,MMWR_RATING_RO_ROLLUP[#Headers],0)),"ERROR"))</f>
        <v>14</v>
      </c>
      <c r="G43" s="145">
        <f>IF($B43=" ","",IFERROR(INDEX(MMWR_RATING_RO_ROLLUP[],MATCH($B43,MMWR_RATING_RO_ROLLUP[MMWR_RATING_RO_ROLLUP],0),MATCH(G$9,MMWR_RATING_RO_ROLLUP[#Headers],0)),"ERROR"))</f>
        <v>146</v>
      </c>
      <c r="H43" s="146">
        <f>IF($B43=" ","",IFERROR(INDEX(MMWR_RATING_RO_ROLLUP[],MATCH($B43,MMWR_RATING_RO_ROLLUP[MMWR_RATING_RO_ROLLUP],0),MATCH(H$9,MMWR_RATING_RO_ROLLUP[#Headers],0)),"ERROR"))</f>
        <v>198.3571428571</v>
      </c>
      <c r="I43" s="146">
        <f>IF($B43=" ","",IFERROR(INDEX(MMWR_RATING_RO_ROLLUP[],MATCH($B43,MMWR_RATING_RO_ROLLUP[MMWR_RATING_RO_ROLLUP],0),MATCH(I$9,MMWR_RATING_RO_ROLLUP[#Headers],0)),"ERROR"))</f>
        <v>129.6438356164</v>
      </c>
      <c r="J43" s="42"/>
      <c r="K43" s="42"/>
      <c r="L43" s="42"/>
      <c r="M43" s="42"/>
      <c r="N43" s="42"/>
      <c r="O43" s="42"/>
      <c r="P43" s="28"/>
    </row>
    <row r="44" spans="1:16" x14ac:dyDescent="0.2">
      <c r="A44" s="25"/>
      <c r="B44" s="366" t="s">
        <v>730</v>
      </c>
      <c r="C44" s="367"/>
      <c r="D44" s="367"/>
      <c r="E44" s="367"/>
      <c r="F44" s="367"/>
      <c r="G44" s="367"/>
      <c r="H44" s="367"/>
      <c r="I44" s="367"/>
      <c r="J44" s="367"/>
      <c r="K44" s="367"/>
      <c r="L44" s="367"/>
      <c r="M44" s="367"/>
      <c r="N44" s="367"/>
      <c r="O44" s="367"/>
      <c r="P44" s="28"/>
    </row>
    <row r="45" spans="1:16" x14ac:dyDescent="0.2">
      <c r="A45" s="25"/>
      <c r="B45" s="44" t="s">
        <v>691</v>
      </c>
      <c r="C45" s="145">
        <f>IF($B45=" ","",IFERROR(INDEX(MMWR_RATING_RO_ROLLUP[],MATCH($B45,MMWR_RATING_RO_ROLLUP[MMWR_RATING_RO_ROLLUP],0),MATCH(C$9,MMWR_RATING_RO_ROLLUP[#Headers],0)),"ERROR"))</f>
        <v>11382</v>
      </c>
      <c r="D45" s="146">
        <f>IF($B45=" ","",IFERROR(INDEX(MMWR_RATING_RO_ROLLUP[],MATCH($B45,MMWR_RATING_RO_ROLLUP[MMWR_RATING_RO_ROLLUP],0),MATCH(D$9,MMWR_RATING_RO_ROLLUP[#Headers],0)),"ERROR"))</f>
        <v>87.093744508900002</v>
      </c>
      <c r="E45" s="147">
        <f>IF($B45=" ","",IFERROR(INDEX(MMWR_RATING_RO_ROLLUP[],MATCH($B45,MMWR_RATING_RO_ROLLUP[MMWR_RATING_RO_ROLLUP],0),MATCH(E$9,MMWR_RATING_RO_ROLLUP[#Headers],0))/$C45,"ERROR"))</f>
        <v>0.23475663328061852</v>
      </c>
      <c r="F45" s="145">
        <f>IF($B45=" ","",IFERROR(INDEX(MMWR_RATING_RO_ROLLUP[],MATCH($B45,MMWR_RATING_RO_ROLLUP[MMWR_RATING_RO_ROLLUP],0),MATCH(F$9,MMWR_RATING_RO_ROLLUP[#Headers],0)),"ERROR"))</f>
        <v>995</v>
      </c>
      <c r="G45" s="145">
        <f>IF($B45=" ","",IFERROR(INDEX(MMWR_RATING_RO_ROLLUP[],MATCH($B45,MMWR_RATING_RO_ROLLUP[MMWR_RATING_RO_ROLLUP],0),MATCH(G$9,MMWR_RATING_RO_ROLLUP[#Headers],0)),"ERROR"))</f>
        <v>6882</v>
      </c>
      <c r="H45" s="146">
        <f>IF($B45=" ","",IFERROR(INDEX(MMWR_RATING_RO_ROLLUP[],MATCH($B45,MMWR_RATING_RO_ROLLUP[MMWR_RATING_RO_ROLLUP],0),MATCH(H$9,MMWR_RATING_RO_ROLLUP[#Headers],0)),"ERROR"))</f>
        <v>148.26331658289999</v>
      </c>
      <c r="I45" s="146">
        <f>IF($B45=" ","",IFERROR(INDEX(MMWR_RATING_RO_ROLLUP[],MATCH($B45,MMWR_RATING_RO_ROLLUP[MMWR_RATING_RO_ROLLUP],0),MATCH(I$9,MMWR_RATING_RO_ROLLUP[#Headers],0)),"ERROR"))</f>
        <v>135.64399883749999</v>
      </c>
      <c r="J45" s="42"/>
      <c r="K45" s="42"/>
      <c r="L45" s="42"/>
      <c r="M45" s="42"/>
      <c r="N45" s="42"/>
      <c r="O45" s="42"/>
      <c r="P45" s="28"/>
    </row>
    <row r="46" spans="1:16" x14ac:dyDescent="0.2">
      <c r="A46" s="25"/>
      <c r="B46" s="45" t="s">
        <v>214</v>
      </c>
      <c r="C46" s="145">
        <f>IF($B46=" ","",IFERROR(INDEX(MMWR_RATING_RO_ROLLUP[],MATCH($B46,MMWR_RATING_RO_ROLLUP[MMWR_RATING_RO_ROLLUP],0),MATCH(C$9,MMWR_RATING_RO_ROLLUP[#Headers],0)),"ERROR"))</f>
        <v>4517</v>
      </c>
      <c r="D46" s="146">
        <f>IF($B46=" ","",IFERROR(INDEX(MMWR_RATING_RO_ROLLUP[],MATCH($B46,MMWR_RATING_RO_ROLLUP[MMWR_RATING_RO_ROLLUP],0),MATCH(D$9,MMWR_RATING_RO_ROLLUP[#Headers],0)),"ERROR"))</f>
        <v>80.215851228700004</v>
      </c>
      <c r="E46" s="147">
        <f>IF($B46=" ","",IFERROR(INDEX(MMWR_RATING_RO_ROLLUP[],MATCH($B46,MMWR_RATING_RO_ROLLUP[MMWR_RATING_RO_ROLLUP],0),MATCH(E$9,MMWR_RATING_RO_ROLLUP[#Headers],0))/$C46,"ERROR"))</f>
        <v>0.16072614567190613</v>
      </c>
      <c r="F46" s="145">
        <f>IF($B46=" ","",IFERROR(INDEX(MMWR_RATING_RO_ROLLUP[],MATCH($B46,MMWR_RATING_RO_ROLLUP[MMWR_RATING_RO_ROLLUP],0),MATCH(F$9,MMWR_RATING_RO_ROLLUP[#Headers],0)),"ERROR"))</f>
        <v>410</v>
      </c>
      <c r="G46" s="145">
        <f>IF($B46=" ","",IFERROR(INDEX(MMWR_RATING_RO_ROLLUP[],MATCH($B46,MMWR_RATING_RO_ROLLUP[MMWR_RATING_RO_ROLLUP],0),MATCH(G$9,MMWR_RATING_RO_ROLLUP[#Headers],0)),"ERROR"))</f>
        <v>2938</v>
      </c>
      <c r="H46" s="146">
        <f>IF($B46=" ","",IFERROR(INDEX(MMWR_RATING_RO_ROLLUP[],MATCH($B46,MMWR_RATING_RO_ROLLUP[MMWR_RATING_RO_ROLLUP],0),MATCH(H$9,MMWR_RATING_RO_ROLLUP[#Headers],0)),"ERROR"))</f>
        <v>136.58780487799999</v>
      </c>
      <c r="I46" s="146">
        <f>IF($B46=" ","",IFERROR(INDEX(MMWR_RATING_RO_ROLLUP[],MATCH($B46,MMWR_RATING_RO_ROLLUP[MMWR_RATING_RO_ROLLUP],0),MATCH(I$9,MMWR_RATING_RO_ROLLUP[#Headers],0)),"ERROR"))</f>
        <v>123.4189925119</v>
      </c>
      <c r="J46" s="42"/>
      <c r="K46" s="42"/>
      <c r="L46" s="42"/>
      <c r="M46" s="42"/>
      <c r="N46" s="42"/>
      <c r="O46" s="42"/>
      <c r="P46" s="28"/>
    </row>
    <row r="47" spans="1:16" x14ac:dyDescent="0.2">
      <c r="A47" s="25"/>
      <c r="B47" s="45" t="s">
        <v>216</v>
      </c>
      <c r="C47" s="145">
        <f>IF($B47=" ","",IFERROR(INDEX(MMWR_RATING_RO_ROLLUP[],MATCH($B47,MMWR_RATING_RO_ROLLUP[MMWR_RATING_RO_ROLLUP],0),MATCH(C$9,MMWR_RATING_RO_ROLLUP[#Headers],0)),"ERROR"))</f>
        <v>6096</v>
      </c>
      <c r="D47" s="146">
        <f>IF($B47=" ","",IFERROR(INDEX(MMWR_RATING_RO_ROLLUP[],MATCH($B47,MMWR_RATING_RO_ROLLUP[MMWR_RATING_RO_ROLLUP],0),MATCH(D$9,MMWR_RATING_RO_ROLLUP[#Headers],0)),"ERROR"))</f>
        <v>87.943405511799995</v>
      </c>
      <c r="E47" s="147">
        <f>IF($B47=" ","",IFERROR(INDEX(MMWR_RATING_RO_ROLLUP[],MATCH($B47,MMWR_RATING_RO_ROLLUP[MMWR_RATING_RO_ROLLUP],0),MATCH(E$9,MMWR_RATING_RO_ROLLUP[#Headers],0))/$C47,"ERROR"))</f>
        <v>0.25278871391076113</v>
      </c>
      <c r="F47" s="145">
        <f>IF($B47=" ","",IFERROR(INDEX(MMWR_RATING_RO_ROLLUP[],MATCH($B47,MMWR_RATING_RO_ROLLUP[MMWR_RATING_RO_ROLLUP],0),MATCH(F$9,MMWR_RATING_RO_ROLLUP[#Headers],0)),"ERROR"))</f>
        <v>411</v>
      </c>
      <c r="G47" s="145">
        <f>IF($B47=" ","",IFERROR(INDEX(MMWR_RATING_RO_ROLLUP[],MATCH($B47,MMWR_RATING_RO_ROLLUP[MMWR_RATING_RO_ROLLUP],0),MATCH(G$9,MMWR_RATING_RO_ROLLUP[#Headers],0)),"ERROR"))</f>
        <v>3013</v>
      </c>
      <c r="H47" s="146">
        <f>IF($B47=" ","",IFERROR(INDEX(MMWR_RATING_RO_ROLLUP[],MATCH($B47,MMWR_RATING_RO_ROLLUP[MMWR_RATING_RO_ROLLUP],0),MATCH(H$9,MMWR_RATING_RO_ROLLUP[#Headers],0)),"ERROR"))</f>
        <v>158.38929440390001</v>
      </c>
      <c r="I47" s="146">
        <f>IF($B47=" ","",IFERROR(INDEX(MMWR_RATING_RO_ROLLUP[],MATCH($B47,MMWR_RATING_RO_ROLLUP[MMWR_RATING_RO_ROLLUP],0),MATCH(I$9,MMWR_RATING_RO_ROLLUP[#Headers],0)),"ERROR"))</f>
        <v>150.2525721872</v>
      </c>
      <c r="J47" s="42"/>
      <c r="K47" s="42"/>
      <c r="L47" s="42"/>
      <c r="M47" s="42"/>
      <c r="N47" s="42"/>
      <c r="O47" s="42"/>
      <c r="P47" s="28"/>
    </row>
    <row r="48" spans="1:16" x14ac:dyDescent="0.2">
      <c r="A48" s="25"/>
      <c r="B48" s="47" t="s">
        <v>306</v>
      </c>
      <c r="C48" s="145">
        <f>IF($B48=" ","",IFERROR(INDEX(MMWR_RATING_RO_ROLLUP[],MATCH($B48,MMWR_RATING_RO_ROLLUP[MMWR_RATING_RO_ROLLUP],0),MATCH(C$9,MMWR_RATING_RO_ROLLUP[#Headers],0)),"ERROR"))</f>
        <v>769</v>
      </c>
      <c r="D48" s="146">
        <f>IF($B48=" ","",IFERROR(INDEX(MMWR_RATING_RO_ROLLUP[],MATCH($B48,MMWR_RATING_RO_ROLLUP[MMWR_RATING_RO_ROLLUP],0),MATCH(D$9,MMWR_RATING_RO_ROLLUP[#Headers],0)),"ERROR"))</f>
        <v>120.75812743820001</v>
      </c>
      <c r="E48" s="147">
        <f>IF($B48=" ","",IFERROR(INDEX(MMWR_RATING_RO_ROLLUP[],MATCH($B48,MMWR_RATING_RO_ROLLUP[MMWR_RATING_RO_ROLLUP],0),MATCH(E$9,MMWR_RATING_RO_ROLLUP[#Headers],0))/$C48,"ERROR"))</f>
        <v>0.52665799739921981</v>
      </c>
      <c r="F48" s="145">
        <f>IF($B48=" ","",IFERROR(INDEX(MMWR_RATING_RO_ROLLUP[],MATCH($B48,MMWR_RATING_RO_ROLLUP[MMWR_RATING_RO_ROLLUP],0),MATCH(F$9,MMWR_RATING_RO_ROLLUP[#Headers],0)),"ERROR"))</f>
        <v>174</v>
      </c>
      <c r="G48" s="145">
        <f>IF($B48=" ","",IFERROR(INDEX(MMWR_RATING_RO_ROLLUP[],MATCH($B48,MMWR_RATING_RO_ROLLUP[MMWR_RATING_RO_ROLLUP],0),MATCH(G$9,MMWR_RATING_RO_ROLLUP[#Headers],0)),"ERROR"))</f>
        <v>931</v>
      </c>
      <c r="H48" s="146">
        <f>IF($B48=" ","",IFERROR(INDEX(MMWR_RATING_RO_ROLLUP[],MATCH($B48,MMWR_RATING_RO_ROLLUP[MMWR_RATING_RO_ROLLUP],0),MATCH(H$9,MMWR_RATING_RO_ROLLUP[#Headers],0)),"ERROR"))</f>
        <v>151.85632183909999</v>
      </c>
      <c r="I48" s="146">
        <f>IF($B48=" ","",IFERROR(INDEX(MMWR_RATING_RO_ROLLUP[],MATCH($B48,MMWR_RATING_RO_ROLLUP[MMWR_RATING_RO_ROLLUP],0),MATCH(I$9,MMWR_RATING_RO_ROLLUP[#Headers],0)),"ERROR"))</f>
        <v>126.9452201933</v>
      </c>
      <c r="J48" s="42"/>
      <c r="K48" s="42"/>
      <c r="L48" s="42"/>
      <c r="M48" s="42"/>
      <c r="N48" s="42"/>
      <c r="O48" s="42"/>
      <c r="P48" s="28"/>
    </row>
    <row r="49" spans="1:16" ht="15.75" x14ac:dyDescent="0.25">
      <c r="A49" s="25"/>
      <c r="B49" s="365" t="s">
        <v>1047</v>
      </c>
      <c r="C49" s="365"/>
      <c r="D49" s="365"/>
      <c r="E49" s="365"/>
      <c r="F49" s="365"/>
      <c r="G49" s="365"/>
      <c r="H49" s="365"/>
      <c r="I49" s="365"/>
      <c r="J49" s="365"/>
      <c r="K49" s="365"/>
      <c r="L49" s="365"/>
      <c r="M49" s="365"/>
      <c r="N49" s="365"/>
      <c r="O49" s="233"/>
      <c r="P49" s="28"/>
    </row>
    <row r="50" spans="1:16" ht="12" customHeight="1" x14ac:dyDescent="0.2">
      <c r="A50" s="25"/>
      <c r="B50" s="26"/>
      <c r="C50" s="26"/>
      <c r="D50" s="26"/>
      <c r="E50" s="26"/>
      <c r="F50" s="26"/>
      <c r="G50" s="26"/>
      <c r="H50" s="26"/>
      <c r="I50" s="26"/>
      <c r="J50" s="26"/>
      <c r="K50" s="27" t="s">
        <v>918</v>
      </c>
      <c r="L50" s="27" t="s">
        <v>923</v>
      </c>
      <c r="M50" s="27" t="s">
        <v>924</v>
      </c>
      <c r="N50" s="27" t="s">
        <v>925</v>
      </c>
      <c r="O50" s="27" t="s">
        <v>926</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29" priority="2">
      <formula>IF(OR(ISERROR(A1),A1="ERROR"),TRUE,FALSE)</formula>
    </cfRule>
  </conditionalFormatting>
  <conditionalFormatting sqref="B4">
    <cfRule type="expression" dxfId="428"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80" t="s">
        <v>292</v>
      </c>
      <c r="D2" s="381"/>
      <c r="E2" s="381"/>
      <c r="F2" s="381"/>
      <c r="G2" s="381"/>
      <c r="H2" s="381"/>
      <c r="I2" s="381"/>
      <c r="J2" s="380" t="s">
        <v>298</v>
      </c>
      <c r="K2" s="381"/>
      <c r="L2" s="381"/>
      <c r="M2" s="382"/>
      <c r="N2" s="28"/>
    </row>
    <row r="3" spans="1:16" ht="24" customHeight="1" thickBot="1" x14ac:dyDescent="0.4">
      <c r="A3" s="25"/>
      <c r="B3" s="29"/>
      <c r="C3" s="383"/>
      <c r="D3" s="384"/>
      <c r="E3" s="384"/>
      <c r="F3" s="384"/>
      <c r="G3" s="384"/>
      <c r="H3" s="384"/>
      <c r="I3" s="384"/>
      <c r="J3" s="383" t="str">
        <f>Transformation!B4</f>
        <v>As of: January 16, 2016</v>
      </c>
      <c r="K3" s="384"/>
      <c r="L3" s="384"/>
      <c r="M3" s="385"/>
      <c r="N3" s="28"/>
    </row>
    <row r="4" spans="1:16" ht="51" customHeight="1" thickBot="1" x14ac:dyDescent="0.35">
      <c r="A4" s="30"/>
      <c r="B4" s="218" t="s">
        <v>451</v>
      </c>
      <c r="C4" s="386" t="s">
        <v>966</v>
      </c>
      <c r="D4" s="387"/>
      <c r="E4" s="387"/>
      <c r="F4" s="387"/>
      <c r="G4" s="387"/>
      <c r="H4" s="387"/>
      <c r="I4" s="387"/>
      <c r="J4" s="387"/>
      <c r="K4" s="387"/>
      <c r="L4" s="387"/>
      <c r="M4" s="388"/>
      <c r="N4" s="28"/>
      <c r="O4" s="22"/>
      <c r="P4" s="23"/>
    </row>
    <row r="5" spans="1:16" ht="27" customHeight="1" thickBot="1" x14ac:dyDescent="0.25">
      <c r="A5" s="30"/>
      <c r="B5" s="48"/>
      <c r="C5" s="389" t="s">
        <v>1038</v>
      </c>
      <c r="D5" s="390"/>
      <c r="E5" s="390"/>
      <c r="F5" s="390"/>
      <c r="G5" s="390"/>
      <c r="H5" s="390"/>
      <c r="I5" s="390"/>
      <c r="J5" s="390"/>
      <c r="K5" s="390"/>
      <c r="L5" s="390"/>
      <c r="M5" s="390"/>
      <c r="N5" s="390"/>
      <c r="O5" s="391"/>
    </row>
    <row r="6" spans="1:16" ht="55.5" customHeight="1" x14ac:dyDescent="0.2">
      <c r="A6" s="30"/>
      <c r="B6" s="31"/>
      <c r="C6" s="32" t="s">
        <v>193</v>
      </c>
      <c r="D6" s="392" t="s">
        <v>16</v>
      </c>
      <c r="E6" s="393"/>
      <c r="F6" s="33" t="s">
        <v>196</v>
      </c>
      <c r="G6" s="392" t="s">
        <v>201</v>
      </c>
      <c r="H6" s="394"/>
      <c r="I6" s="33" t="s">
        <v>199</v>
      </c>
      <c r="J6" s="49" t="s">
        <v>14</v>
      </c>
      <c r="K6" s="33" t="s">
        <v>204</v>
      </c>
      <c r="L6" s="398" t="s">
        <v>88</v>
      </c>
      <c r="M6" s="411"/>
      <c r="N6" s="28"/>
    </row>
    <row r="7" spans="1:16" ht="51.75" customHeight="1" x14ac:dyDescent="0.2">
      <c r="A7" s="30"/>
      <c r="B7" s="34"/>
      <c r="C7" s="35" t="s">
        <v>194</v>
      </c>
      <c r="D7" s="368" t="s">
        <v>0</v>
      </c>
      <c r="E7" s="369"/>
      <c r="F7" s="36" t="s">
        <v>197</v>
      </c>
      <c r="G7" s="370" t="s">
        <v>202</v>
      </c>
      <c r="H7" s="370"/>
      <c r="I7" s="36" t="s">
        <v>200</v>
      </c>
      <c r="J7" s="50" t="s">
        <v>19</v>
      </c>
      <c r="K7" s="36" t="s">
        <v>205</v>
      </c>
      <c r="L7" s="412" t="s">
        <v>90</v>
      </c>
      <c r="M7" s="413"/>
      <c r="N7" s="28"/>
    </row>
    <row r="8" spans="1:16" ht="51.75" customHeight="1" thickBot="1" x14ac:dyDescent="0.25">
      <c r="A8" s="25"/>
      <c r="B8" s="28"/>
      <c r="C8" s="37" t="s">
        <v>195</v>
      </c>
      <c r="D8" s="371" t="s">
        <v>18</v>
      </c>
      <c r="E8" s="372"/>
      <c r="F8" s="38" t="s">
        <v>198</v>
      </c>
      <c r="G8" s="373" t="s">
        <v>17</v>
      </c>
      <c r="H8" s="373"/>
      <c r="I8" s="38" t="s">
        <v>203</v>
      </c>
      <c r="J8" s="51" t="s">
        <v>87</v>
      </c>
      <c r="K8" s="38" t="s">
        <v>206</v>
      </c>
      <c r="L8" s="414" t="s">
        <v>89</v>
      </c>
      <c r="M8" s="415"/>
      <c r="N8" s="28"/>
    </row>
    <row r="9" spans="1:16" x14ac:dyDescent="0.2">
      <c r="A9" s="28"/>
      <c r="B9" s="28"/>
      <c r="C9" s="39" t="s">
        <v>695</v>
      </c>
      <c r="D9" s="39" t="s">
        <v>697</v>
      </c>
      <c r="E9" s="39" t="s">
        <v>696</v>
      </c>
      <c r="F9" s="39" t="s">
        <v>699</v>
      </c>
      <c r="G9" s="39" t="s">
        <v>698</v>
      </c>
      <c r="H9" s="39" t="s">
        <v>709</v>
      </c>
      <c r="I9" s="39" t="s">
        <v>708</v>
      </c>
      <c r="J9" s="39"/>
      <c r="K9" s="39"/>
      <c r="L9" s="39"/>
      <c r="M9" s="39"/>
      <c r="N9" s="28"/>
    </row>
    <row r="10" spans="1:16" ht="15.75" customHeight="1" x14ac:dyDescent="0.2">
      <c r="A10" s="25"/>
      <c r="B10" s="26"/>
      <c r="C10" s="374" t="s">
        <v>291</v>
      </c>
      <c r="D10" s="374"/>
      <c r="E10" s="374"/>
      <c r="F10" s="374"/>
      <c r="G10" s="374"/>
      <c r="H10" s="374"/>
      <c r="I10" s="374"/>
      <c r="J10" s="374"/>
      <c r="K10" s="374"/>
      <c r="L10" s="374"/>
      <c r="M10" s="416"/>
      <c r="N10" s="28"/>
    </row>
    <row r="11" spans="1:16" ht="64.5" customHeight="1" x14ac:dyDescent="0.2">
      <c r="A11" s="25"/>
      <c r="B11" s="26"/>
      <c r="C11" s="52" t="s">
        <v>229</v>
      </c>
      <c r="D11" s="52" t="s">
        <v>137</v>
      </c>
      <c r="E11" s="52" t="s">
        <v>230</v>
      </c>
      <c r="F11" s="52" t="s">
        <v>192</v>
      </c>
      <c r="G11" s="52" t="s">
        <v>207</v>
      </c>
      <c r="H11" s="52" t="s">
        <v>209</v>
      </c>
      <c r="I11" s="52" t="s">
        <v>210</v>
      </c>
      <c r="J11" s="418" t="s">
        <v>967</v>
      </c>
      <c r="K11" s="419"/>
      <c r="L11" s="419"/>
      <c r="M11" s="420"/>
      <c r="N11" s="28"/>
    </row>
    <row r="12" spans="1:16" x14ac:dyDescent="0.2">
      <c r="A12" s="25"/>
      <c r="B12" s="41" t="s">
        <v>725</v>
      </c>
      <c r="C12" s="145">
        <f>IF($B12=" ","",IFERROR(INDEX(MMWR_RATING_RO_ROLLUP[],MATCH($B12,MMWR_RATING_RO_ROLLUP[MMWR_RATING_RO_ROLLUP],0),MATCH(C$9,MMWR_RATING_RO_ROLLUP[#Headers],0)),"ERROR"))</f>
        <v>360593</v>
      </c>
      <c r="D12" s="146">
        <f>IF($B12=" ","",IFERROR(INDEX(MMWR_RATING_RO_ROLLUP[],MATCH($B12,MMWR_RATING_RO_ROLLUP[MMWR_RATING_RO_ROLLUP],0),MATCH(D$9,MMWR_RATING_RO_ROLLUP[#Headers],0)),"ERROR"))</f>
        <v>92.749781609699994</v>
      </c>
      <c r="E12" s="147">
        <f>IF($B12=" ","",IFERROR(INDEX(MMWR_RATING_RO_ROLLUP[],MATCH($B12,MMWR_RATING_RO_ROLLUP[MMWR_RATING_RO_ROLLUP],0),MATCH(E$9,MMWR_RATING_RO_ROLLUP[#Headers],0))/$C12,"ERROR"))</f>
        <v>0.21662372813670813</v>
      </c>
      <c r="F12" s="145">
        <f>IF($B12=" ","",IFERROR(INDEX(MMWR_RATING_RO_ROLLUP[],MATCH($B12,MMWR_RATING_RO_ROLLUP[MMWR_RATING_RO_ROLLUP],0),MATCH(F$9,MMWR_RATING_RO_ROLLUP[#Headers],0)),"ERROR"))</f>
        <v>50172</v>
      </c>
      <c r="G12" s="145">
        <f>IF($B12=" ","",IFERROR(INDEX(MMWR_RATING_RO_ROLLUP[],MATCH($B12,MMWR_RATING_RO_ROLLUP[MMWR_RATING_RO_ROLLUP],0),MATCH(G$9,MMWR_RATING_RO_ROLLUP[#Headers],0)),"ERROR"))</f>
        <v>357874</v>
      </c>
      <c r="H12" s="146">
        <f>IF($B12=" ","",IFERROR(INDEX(MMWR_RATING_RO_ROLLUP[],MATCH($B12,MMWR_RATING_RO_ROLLUP[MMWR_RATING_RO_ROLLUP],0),MATCH(H$9,MMWR_RATING_RO_ROLLUP[#Headers],0)),"ERROR"))</f>
        <v>130.74485768950001</v>
      </c>
      <c r="I12" s="146">
        <f>IF($B12=" ","",IFERROR(INDEX(MMWR_RATING_RO_ROLLUP[],MATCH($B12,MMWR_RATING_RO_ROLLUP[MMWR_RATING_RO_ROLLUP],0),MATCH(I$9,MMWR_RATING_RO_ROLLUP[#Headers],0)),"ERROR"))</f>
        <v>128.66425613480001</v>
      </c>
      <c r="J12" s="42"/>
      <c r="K12" s="42"/>
      <c r="L12" s="42"/>
      <c r="M12" s="42"/>
      <c r="N12" s="28"/>
    </row>
    <row r="13" spans="1:16" x14ac:dyDescent="0.2">
      <c r="A13" s="25"/>
      <c r="B13" s="366" t="s">
        <v>728</v>
      </c>
      <c r="C13" s="367"/>
      <c r="D13" s="367"/>
      <c r="E13" s="367"/>
      <c r="F13" s="367"/>
      <c r="G13" s="367"/>
      <c r="H13" s="367"/>
      <c r="I13" s="367"/>
      <c r="J13" s="367"/>
      <c r="K13" s="367"/>
      <c r="L13" s="367"/>
      <c r="M13" s="417"/>
      <c r="N13" s="28"/>
    </row>
    <row r="14" spans="1:16" x14ac:dyDescent="0.2">
      <c r="A14" s="25"/>
      <c r="B14" s="41" t="s">
        <v>724</v>
      </c>
      <c r="C14" s="145">
        <f>IF($B14=" ","",IFERROR(INDEX(MMWR_RATING_RO_ROLLUP[],MATCH($B14,MMWR_RATING_RO_ROLLUP[MMWR_RATING_RO_ROLLUP],0),MATCH(C$9,MMWR_RATING_RO_ROLLUP[#Headers],0)),"ERROR"))</f>
        <v>311542</v>
      </c>
      <c r="D14" s="146">
        <f>IF($B14=" ","",IFERROR(INDEX(MMWR_RATING_RO_ROLLUP[],MATCH($B14,MMWR_RATING_RO_ROLLUP[MMWR_RATING_RO_ROLLUP],0),MATCH(D$9,MMWR_RATING_RO_ROLLUP[#Headers],0)),"ERROR"))</f>
        <v>95.114594500899997</v>
      </c>
      <c r="E14" s="147">
        <f>IF($B14=" ","",IFERROR(INDEX(MMWR_RATING_RO_ROLLUP[],MATCH($B14,MMWR_RATING_RO_ROLLUP[MMWR_RATING_RO_ROLLUP],0),MATCH(E$9,MMWR_RATING_RO_ROLLUP[#Headers],0))/$C14,"ERROR"))</f>
        <v>0.22500658017217581</v>
      </c>
      <c r="F14" s="145">
        <f>IF($B14=" ","",IFERROR(INDEX(MMWR_RATING_RO_ROLLUP[],MATCH($B14,MMWR_RATING_RO_ROLLUP[MMWR_RATING_RO_ROLLUP],0),MATCH(F$9,MMWR_RATING_RO_ROLLUP[#Headers],0)),"ERROR"))</f>
        <v>42755</v>
      </c>
      <c r="G14" s="145">
        <f>IF($B14=" ","",IFERROR(INDEX(MMWR_RATING_RO_ROLLUP[],MATCH($B14,MMWR_RATING_RO_ROLLUP[MMWR_RATING_RO_ROLLUP],0),MATCH(G$9,MMWR_RATING_RO_ROLLUP[#Headers],0)),"ERROR"))</f>
        <v>303641</v>
      </c>
      <c r="H14" s="146">
        <f>IF($B14=" ","",IFERROR(INDEX(MMWR_RATING_RO_ROLLUP[],MATCH($B14,MMWR_RATING_RO_ROLLUP[MMWR_RATING_RO_ROLLUP],0),MATCH(H$9,MMWR_RATING_RO_ROLLUP[#Headers],0)),"ERROR"))</f>
        <v>136.5486843644</v>
      </c>
      <c r="I14" s="146">
        <f>IF($B14=" ","",IFERROR(INDEX(MMWR_RATING_RO_ROLLUP[],MATCH($B14,MMWR_RATING_RO_ROLLUP[MMWR_RATING_RO_ROLLUP],0),MATCH(I$9,MMWR_RATING_RO_ROLLUP[#Headers],0)),"ERROR"))</f>
        <v>135.9875741418</v>
      </c>
      <c r="J14" s="42"/>
      <c r="K14" s="42"/>
      <c r="L14" s="42"/>
      <c r="M14" s="42"/>
      <c r="N14" s="28"/>
    </row>
    <row r="15" spans="1:16" x14ac:dyDescent="0.2">
      <c r="A15" s="25"/>
      <c r="B15" s="219" t="s">
        <v>365</v>
      </c>
      <c r="C15" s="145">
        <f>IF($B15=" ","",IFERROR(INDEX(MMWR_RATING_RO_ROLLUP[],MATCH($B15,MMWR_RATING_RO_ROLLUP[MMWR_RATING_RO_ROLLUP],0),MATCH(C$9,MMWR_RATING_RO_ROLLUP[#Headers],0)),"ERROR"))</f>
        <v>69465</v>
      </c>
      <c r="D15" s="146">
        <f>IF($B15=" ","",IFERROR(INDEX(MMWR_RATING_RO_ROLLUP[],MATCH($B15,MMWR_RATING_RO_ROLLUP[MMWR_RATING_RO_ROLLUP],0),MATCH(D$9,MMWR_RATING_RO_ROLLUP[#Headers],0)),"ERROR"))</f>
        <v>97.362441517299999</v>
      </c>
      <c r="E15" s="147">
        <f>IF($B15=" ","",IFERROR(INDEX(MMWR_RATING_RO_ROLLUP[],MATCH($B15,MMWR_RATING_RO_ROLLUP[MMWR_RATING_RO_ROLLUP],0),MATCH(E$9,MMWR_RATING_RO_ROLLUP[#Headers],0))/$C15,"ERROR"))</f>
        <v>0.23429064996760959</v>
      </c>
      <c r="F15" s="145">
        <f>IF($B15=" ","",IFERROR(INDEX(MMWR_RATING_RO_ROLLUP[],MATCH($B15,MMWR_RATING_RO_ROLLUP[MMWR_RATING_RO_ROLLUP],0),MATCH(F$9,MMWR_RATING_RO_ROLLUP[#Headers],0)),"ERROR"))</f>
        <v>9622</v>
      </c>
      <c r="G15" s="145">
        <f>IF($B15=" ","",IFERROR(INDEX(MMWR_RATING_RO_ROLLUP[],MATCH($B15,MMWR_RATING_RO_ROLLUP[MMWR_RATING_RO_ROLLUP],0),MATCH(G$9,MMWR_RATING_RO_ROLLUP[#Headers],0)),"ERROR"))</f>
        <v>66619</v>
      </c>
      <c r="H15" s="146">
        <f>IF($B15=" ","",IFERROR(INDEX(MMWR_RATING_RO_ROLLUP[],MATCH($B15,MMWR_RATING_RO_ROLLUP[MMWR_RATING_RO_ROLLUP],0),MATCH(H$9,MMWR_RATING_RO_ROLLUP[#Headers],0)),"ERROR"))</f>
        <v>137.18520058199999</v>
      </c>
      <c r="I15" s="146">
        <f>IF($B15=" ","",IFERROR(INDEX(MMWR_RATING_RO_ROLLUP[],MATCH($B15,MMWR_RATING_RO_ROLLUP[MMWR_RATING_RO_ROLLUP],0),MATCH(I$9,MMWR_RATING_RO_ROLLUP[#Headers],0)),"ERROR"))</f>
        <v>136.84930725469999</v>
      </c>
      <c r="J15" s="42"/>
      <c r="K15" s="42"/>
      <c r="L15" s="42"/>
      <c r="M15" s="42"/>
      <c r="N15" s="28"/>
    </row>
    <row r="16" spans="1:16" x14ac:dyDescent="0.2">
      <c r="A16" s="25"/>
      <c r="B16" s="8" t="str">
        <f>VLOOKUP($B$15,DISTRICT_RO[],2,0)</f>
        <v>Baltimore VSC</v>
      </c>
      <c r="C16" s="145">
        <f>IF($B16=" ","",IFERROR(INDEX(MMWR_RATING_RO_ROLLUP[],MATCH($B16,MMWR_RATING_RO_ROLLUP[MMWR_RATING_RO_ROLLUP],0),MATCH(C$9,MMWR_RATING_RO_ROLLUP[#Headers],0)),"ERROR"))</f>
        <v>4596</v>
      </c>
      <c r="D16" s="146">
        <f>IF($B16=" ","",IFERROR(INDEX(MMWR_RATING_RO_ROLLUP[],MATCH($B16,MMWR_RATING_RO_ROLLUP[MMWR_RATING_RO_ROLLUP],0),MATCH(D$9,MMWR_RATING_RO_ROLLUP[#Headers],0)),"ERROR"))</f>
        <v>94.260661444700006</v>
      </c>
      <c r="E16" s="147">
        <f>IF($B16=" ","",IFERROR(INDEX(MMWR_RATING_RO_ROLLUP[],MATCH($B16,MMWR_RATING_RO_ROLLUP[MMWR_RATING_RO_ROLLUP],0),MATCH(E$9,MMWR_RATING_RO_ROLLUP[#Headers],0))/$C16,"ERROR"))</f>
        <v>0.20191470844212359</v>
      </c>
      <c r="F16" s="145">
        <f>IF($B16=" ","",IFERROR(INDEX(MMWR_RATING_RO_ROLLUP[],MATCH($B16,MMWR_RATING_RO_ROLLUP[MMWR_RATING_RO_ROLLUP],0),MATCH(F$9,MMWR_RATING_RO_ROLLUP[#Headers],0)),"ERROR"))</f>
        <v>544</v>
      </c>
      <c r="G16" s="145">
        <f>IF($B16=" ","",IFERROR(INDEX(MMWR_RATING_RO_ROLLUP[],MATCH($B16,MMWR_RATING_RO_ROLLUP[MMWR_RATING_RO_ROLLUP],0),MATCH(G$9,MMWR_RATING_RO_ROLLUP[#Headers],0)),"ERROR"))</f>
        <v>4500</v>
      </c>
      <c r="H16" s="146">
        <f>IF($B16=" ","",IFERROR(INDEX(MMWR_RATING_RO_ROLLUP[],MATCH($B16,MMWR_RATING_RO_ROLLUP[MMWR_RATING_RO_ROLLUP],0),MATCH(H$9,MMWR_RATING_RO_ROLLUP[#Headers],0)),"ERROR"))</f>
        <v>150.8363970588</v>
      </c>
      <c r="I16" s="146">
        <f>IF($B16=" ","",IFERROR(INDEX(MMWR_RATING_RO_ROLLUP[],MATCH($B16,MMWR_RATING_RO_ROLLUP[MMWR_RATING_RO_ROLLUP],0),MATCH(I$9,MMWR_RATING_RO_ROLLUP[#Headers],0)),"ERROR"))</f>
        <v>144.2026666667</v>
      </c>
      <c r="J16" s="42"/>
      <c r="K16" s="42"/>
      <c r="L16" s="42"/>
      <c r="M16" s="42"/>
      <c r="N16" s="28"/>
    </row>
    <row r="17" spans="1:14" x14ac:dyDescent="0.2">
      <c r="A17" s="25"/>
      <c r="B17" s="8" t="str">
        <f>VLOOKUP($B$15,DISTRICT_RO[],3,0)</f>
        <v>Boston VSC</v>
      </c>
      <c r="C17" s="145">
        <f>IF($B17=" ","",IFERROR(INDEX(MMWR_RATING_RO_ROLLUP[],MATCH($B17,MMWR_RATING_RO_ROLLUP[MMWR_RATING_RO_ROLLUP],0),MATCH(C$9,MMWR_RATING_RO_ROLLUP[#Headers],0)),"ERROR"))</f>
        <v>3513</v>
      </c>
      <c r="D17" s="146">
        <f>IF($B17=" ","",IFERROR(INDEX(MMWR_RATING_RO_ROLLUP[],MATCH($B17,MMWR_RATING_RO_ROLLUP[MMWR_RATING_RO_ROLLUP],0),MATCH(D$9,MMWR_RATING_RO_ROLLUP[#Headers],0)),"ERROR"))</f>
        <v>98.629945915199997</v>
      </c>
      <c r="E17" s="147">
        <f>IF($B17=" ","",IFERROR(INDEX(MMWR_RATING_RO_ROLLUP[],MATCH($B17,MMWR_RATING_RO_ROLLUP[MMWR_RATING_RO_ROLLUP],0),MATCH(E$9,MMWR_RATING_RO_ROLLUP[#Headers],0))/$C17,"ERROR"))</f>
        <v>0.26017648733276399</v>
      </c>
      <c r="F17" s="145">
        <f>IF($B17=" ","",IFERROR(INDEX(MMWR_RATING_RO_ROLLUP[],MATCH($B17,MMWR_RATING_RO_ROLLUP[MMWR_RATING_RO_ROLLUP],0),MATCH(F$9,MMWR_RATING_RO_ROLLUP[#Headers],0)),"ERROR"))</f>
        <v>376</v>
      </c>
      <c r="G17" s="145">
        <f>IF($B17=" ","",IFERROR(INDEX(MMWR_RATING_RO_ROLLUP[],MATCH($B17,MMWR_RATING_RO_ROLLUP[MMWR_RATING_RO_ROLLUP],0),MATCH(G$9,MMWR_RATING_RO_ROLLUP[#Headers],0)),"ERROR"))</f>
        <v>3252</v>
      </c>
      <c r="H17" s="146">
        <f>IF($B17=" ","",IFERROR(INDEX(MMWR_RATING_RO_ROLLUP[],MATCH($B17,MMWR_RATING_RO_ROLLUP[MMWR_RATING_RO_ROLLUP],0),MATCH(H$9,MMWR_RATING_RO_ROLLUP[#Headers],0)),"ERROR"))</f>
        <v>147.11968085109999</v>
      </c>
      <c r="I17" s="146">
        <f>IF($B17=" ","",IFERROR(INDEX(MMWR_RATING_RO_ROLLUP[],MATCH($B17,MMWR_RATING_RO_ROLLUP[MMWR_RATING_RO_ROLLUP],0),MATCH(I$9,MMWR_RATING_RO_ROLLUP[#Headers],0)),"ERROR"))</f>
        <v>126.7647601476</v>
      </c>
      <c r="J17" s="42"/>
      <c r="K17" s="42"/>
      <c r="L17" s="42"/>
      <c r="M17" s="42"/>
      <c r="N17" s="28"/>
    </row>
    <row r="18" spans="1:14" x14ac:dyDescent="0.2">
      <c r="A18" s="25"/>
      <c r="B18" s="8" t="str">
        <f>VLOOKUP($B$15,DISTRICT_RO[],4,0)</f>
        <v>Buffalo VSC</v>
      </c>
      <c r="C18" s="145">
        <f>IF($B18=" ","",IFERROR(INDEX(MMWR_RATING_RO_ROLLUP[],MATCH($B18,MMWR_RATING_RO_ROLLUP[MMWR_RATING_RO_ROLLUP],0),MATCH(C$9,MMWR_RATING_RO_ROLLUP[#Headers],0)),"ERROR"))</f>
        <v>3936</v>
      </c>
      <c r="D18" s="146">
        <f>IF($B18=" ","",IFERROR(INDEX(MMWR_RATING_RO_ROLLUP[],MATCH($B18,MMWR_RATING_RO_ROLLUP[MMWR_RATING_RO_ROLLUP],0),MATCH(D$9,MMWR_RATING_RO_ROLLUP[#Headers],0)),"ERROR"))</f>
        <v>87.8772865854</v>
      </c>
      <c r="E18" s="147">
        <f>IF($B18=" ","",IFERROR(INDEX(MMWR_RATING_RO_ROLLUP[],MATCH($B18,MMWR_RATING_RO_ROLLUP[MMWR_RATING_RO_ROLLUP],0),MATCH(E$9,MMWR_RATING_RO_ROLLUP[#Headers],0))/$C18,"ERROR"))</f>
        <v>0.1638719512195122</v>
      </c>
      <c r="F18" s="145">
        <f>IF($B18=" ","",IFERROR(INDEX(MMWR_RATING_RO_ROLLUP[],MATCH($B18,MMWR_RATING_RO_ROLLUP[MMWR_RATING_RO_ROLLUP],0),MATCH(F$9,MMWR_RATING_RO_ROLLUP[#Headers],0)),"ERROR"))</f>
        <v>468</v>
      </c>
      <c r="G18" s="145">
        <f>IF($B18=" ","",IFERROR(INDEX(MMWR_RATING_RO_ROLLUP[],MATCH($B18,MMWR_RATING_RO_ROLLUP[MMWR_RATING_RO_ROLLUP],0),MATCH(G$9,MMWR_RATING_RO_ROLLUP[#Headers],0)),"ERROR"))</f>
        <v>3590</v>
      </c>
      <c r="H18" s="146">
        <f>IF($B18=" ","",IFERROR(INDEX(MMWR_RATING_RO_ROLLUP[],MATCH($B18,MMWR_RATING_RO_ROLLUP[MMWR_RATING_RO_ROLLUP],0),MATCH(H$9,MMWR_RATING_RO_ROLLUP[#Headers],0)),"ERROR"))</f>
        <v>156.93803418799999</v>
      </c>
      <c r="I18" s="146">
        <f>IF($B18=" ","",IFERROR(INDEX(MMWR_RATING_RO_ROLLUP[],MATCH($B18,MMWR_RATING_RO_ROLLUP[MMWR_RATING_RO_ROLLUP],0),MATCH(I$9,MMWR_RATING_RO_ROLLUP[#Headers],0)),"ERROR"))</f>
        <v>151.39805013930001</v>
      </c>
      <c r="J18" s="42"/>
      <c r="K18" s="42"/>
      <c r="L18" s="42"/>
      <c r="M18" s="42"/>
      <c r="N18" s="28"/>
    </row>
    <row r="19" spans="1:14" x14ac:dyDescent="0.2">
      <c r="A19" s="25"/>
      <c r="B19" s="8" t="str">
        <f>VLOOKUP($B$15,DISTRICT_RO[],5,0)</f>
        <v>Hartford VSC</v>
      </c>
      <c r="C19" s="145">
        <f>IF($B19=" ","",IFERROR(INDEX(MMWR_RATING_RO_ROLLUP[],MATCH($B19,MMWR_RATING_RO_ROLLUP[MMWR_RATING_RO_ROLLUP],0),MATCH(C$9,MMWR_RATING_RO_ROLLUP[#Headers],0)),"ERROR"))</f>
        <v>2021</v>
      </c>
      <c r="D19" s="146">
        <f>IF($B19=" ","",IFERROR(INDEX(MMWR_RATING_RO_ROLLUP[],MATCH($B19,MMWR_RATING_RO_ROLLUP[MMWR_RATING_RO_ROLLUP],0),MATCH(D$9,MMWR_RATING_RO_ROLLUP[#Headers],0)),"ERROR"))</f>
        <v>88.428005937699993</v>
      </c>
      <c r="E19" s="147">
        <f>IF($B19=" ","",IFERROR(INDEX(MMWR_RATING_RO_ROLLUP[],MATCH($B19,MMWR_RATING_RO_ROLLUP[MMWR_RATING_RO_ROLLUP],0),MATCH(E$9,MMWR_RATING_RO_ROLLUP[#Headers],0))/$C19,"ERROR"))</f>
        <v>0.17565561603166749</v>
      </c>
      <c r="F19" s="145">
        <f>IF($B19=" ","",IFERROR(INDEX(MMWR_RATING_RO_ROLLUP[],MATCH($B19,MMWR_RATING_RO_ROLLUP[MMWR_RATING_RO_ROLLUP],0),MATCH(F$9,MMWR_RATING_RO_ROLLUP[#Headers],0)),"ERROR"))</f>
        <v>193</v>
      </c>
      <c r="G19" s="145">
        <f>IF($B19=" ","",IFERROR(INDEX(MMWR_RATING_RO_ROLLUP[],MATCH($B19,MMWR_RATING_RO_ROLLUP[MMWR_RATING_RO_ROLLUP],0),MATCH(G$9,MMWR_RATING_RO_ROLLUP[#Headers],0)),"ERROR"))</f>
        <v>1670</v>
      </c>
      <c r="H19" s="146">
        <f>IF($B19=" ","",IFERROR(INDEX(MMWR_RATING_RO_ROLLUP[],MATCH($B19,MMWR_RATING_RO_ROLLUP[MMWR_RATING_RO_ROLLUP],0),MATCH(H$9,MMWR_RATING_RO_ROLLUP[#Headers],0)),"ERROR"))</f>
        <v>128.4404145078</v>
      </c>
      <c r="I19" s="146">
        <f>IF($B19=" ","",IFERROR(INDEX(MMWR_RATING_RO_ROLLUP[],MATCH($B19,MMWR_RATING_RO_ROLLUP[MMWR_RATING_RO_ROLLUP],0),MATCH(I$9,MMWR_RATING_RO_ROLLUP[#Headers],0)),"ERROR"))</f>
        <v>116.5862275449</v>
      </c>
      <c r="J19" s="42"/>
      <c r="K19" s="42"/>
      <c r="L19" s="42"/>
      <c r="M19" s="42"/>
      <c r="N19" s="28"/>
    </row>
    <row r="20" spans="1:14" x14ac:dyDescent="0.2">
      <c r="A20" s="25"/>
      <c r="B20" s="8" t="str">
        <f>VLOOKUP($B$15,DISTRICT_RO[],6,0)</f>
        <v>Huntington VSC</v>
      </c>
      <c r="C20" s="145">
        <f>IF($B20=" ","",IFERROR(INDEX(MMWR_RATING_RO_ROLLUP[],MATCH($B20,MMWR_RATING_RO_ROLLUP[MMWR_RATING_RO_ROLLUP],0),MATCH(C$9,MMWR_RATING_RO_ROLLUP[#Headers],0)),"ERROR"))</f>
        <v>2550</v>
      </c>
      <c r="D20" s="146">
        <f>IF($B20=" ","",IFERROR(INDEX(MMWR_RATING_RO_ROLLUP[],MATCH($B20,MMWR_RATING_RO_ROLLUP[MMWR_RATING_RO_ROLLUP],0),MATCH(D$9,MMWR_RATING_RO_ROLLUP[#Headers],0)),"ERROR"))</f>
        <v>84.0078431373</v>
      </c>
      <c r="E20" s="147">
        <f>IF($B20=" ","",IFERROR(INDEX(MMWR_RATING_RO_ROLLUP[],MATCH($B20,MMWR_RATING_RO_ROLLUP[MMWR_RATING_RO_ROLLUP],0),MATCH(E$9,MMWR_RATING_RO_ROLLUP[#Headers],0))/$C20,"ERROR"))</f>
        <v>0.15254901960784314</v>
      </c>
      <c r="F20" s="145">
        <f>IF($B20=" ","",IFERROR(INDEX(MMWR_RATING_RO_ROLLUP[],MATCH($B20,MMWR_RATING_RO_ROLLUP[MMWR_RATING_RO_ROLLUP],0),MATCH(F$9,MMWR_RATING_RO_ROLLUP[#Headers],0)),"ERROR"))</f>
        <v>369</v>
      </c>
      <c r="G20" s="145">
        <f>IF($B20=" ","",IFERROR(INDEX(MMWR_RATING_RO_ROLLUP[],MATCH($B20,MMWR_RATING_RO_ROLLUP[MMWR_RATING_RO_ROLLUP],0),MATCH(G$9,MMWR_RATING_RO_ROLLUP[#Headers],0)),"ERROR"))</f>
        <v>2459</v>
      </c>
      <c r="H20" s="146">
        <f>IF($B20=" ","",IFERROR(INDEX(MMWR_RATING_RO_ROLLUP[],MATCH($B20,MMWR_RATING_RO_ROLLUP[MMWR_RATING_RO_ROLLUP],0),MATCH(H$9,MMWR_RATING_RO_ROLLUP[#Headers],0)),"ERROR"))</f>
        <v>118.8401084011</v>
      </c>
      <c r="I20" s="146">
        <f>IF($B20=" ","",IFERROR(INDEX(MMWR_RATING_RO_ROLLUP[],MATCH($B20,MMWR_RATING_RO_ROLLUP[MMWR_RATING_RO_ROLLUP],0),MATCH(I$9,MMWR_RATING_RO_ROLLUP[#Headers],0)),"ERROR"))</f>
        <v>117.3908092721</v>
      </c>
      <c r="J20" s="42"/>
      <c r="K20" s="42"/>
      <c r="L20" s="42"/>
      <c r="M20" s="42"/>
      <c r="N20" s="28"/>
    </row>
    <row r="21" spans="1:14" x14ac:dyDescent="0.2">
      <c r="A21" s="25"/>
      <c r="B21" s="8" t="str">
        <f>VLOOKUP($B$15,DISTRICT_RO[],7,0)</f>
        <v>Manchester VSC</v>
      </c>
      <c r="C21" s="145">
        <f>IF($B21=" ","",IFERROR(INDEX(MMWR_RATING_RO_ROLLUP[],MATCH($B21,MMWR_RATING_RO_ROLLUP[MMWR_RATING_RO_ROLLUP],0),MATCH(C$9,MMWR_RATING_RO_ROLLUP[#Headers],0)),"ERROR"))</f>
        <v>1184</v>
      </c>
      <c r="D21" s="146">
        <f>IF($B21=" ","",IFERROR(INDEX(MMWR_RATING_RO_ROLLUP[],MATCH($B21,MMWR_RATING_RO_ROLLUP[MMWR_RATING_RO_ROLLUP],0),MATCH(D$9,MMWR_RATING_RO_ROLLUP[#Headers],0)),"ERROR"))</f>
        <v>100.4586148649</v>
      </c>
      <c r="E21" s="147">
        <f>IF($B21=" ","",IFERROR(INDEX(MMWR_RATING_RO_ROLLUP[],MATCH($B21,MMWR_RATING_RO_ROLLUP[MMWR_RATING_RO_ROLLUP],0),MATCH(E$9,MMWR_RATING_RO_ROLLUP[#Headers],0))/$C21,"ERROR"))</f>
        <v>0.23226351351351351</v>
      </c>
      <c r="F21" s="145">
        <f>IF($B21=" ","",IFERROR(INDEX(MMWR_RATING_RO_ROLLUP[],MATCH($B21,MMWR_RATING_RO_ROLLUP[MMWR_RATING_RO_ROLLUP],0),MATCH(F$9,MMWR_RATING_RO_ROLLUP[#Headers],0)),"ERROR"))</f>
        <v>141</v>
      </c>
      <c r="G21" s="145">
        <f>IF($B21=" ","",IFERROR(INDEX(MMWR_RATING_RO_ROLLUP[],MATCH($B21,MMWR_RATING_RO_ROLLUP[MMWR_RATING_RO_ROLLUP],0),MATCH(G$9,MMWR_RATING_RO_ROLLUP[#Headers],0)),"ERROR"))</f>
        <v>1112</v>
      </c>
      <c r="H21" s="146">
        <f>IF($B21=" ","",IFERROR(INDEX(MMWR_RATING_RO_ROLLUP[],MATCH($B21,MMWR_RATING_RO_ROLLUP[MMWR_RATING_RO_ROLLUP],0),MATCH(H$9,MMWR_RATING_RO_ROLLUP[#Headers],0)),"ERROR"))</f>
        <v>142.31205673759999</v>
      </c>
      <c r="I21" s="146">
        <f>IF($B21=" ","",IFERROR(INDEX(MMWR_RATING_RO_ROLLUP[],MATCH($B21,MMWR_RATING_RO_ROLLUP[MMWR_RATING_RO_ROLLUP],0),MATCH(I$9,MMWR_RATING_RO_ROLLUP[#Headers],0)),"ERROR"))</f>
        <v>131.33902877700001</v>
      </c>
      <c r="J21" s="42"/>
      <c r="K21" s="42"/>
      <c r="L21" s="42"/>
      <c r="M21" s="42"/>
      <c r="N21" s="28"/>
    </row>
    <row r="22" spans="1:14" x14ac:dyDescent="0.2">
      <c r="A22" s="25"/>
      <c r="B22" s="8" t="str">
        <f>VLOOKUP($B$15,DISTRICT_RO[],8,0)</f>
        <v>New York VSC</v>
      </c>
      <c r="C22" s="145">
        <f>IF($B22=" ","",IFERROR(INDEX(MMWR_RATING_RO_ROLLUP[],MATCH($B22,MMWR_RATING_RO_ROLLUP[MMWR_RATING_RO_ROLLUP],0),MATCH(C$9,MMWR_RATING_RO_ROLLUP[#Headers],0)),"ERROR"))</f>
        <v>4947</v>
      </c>
      <c r="D22" s="146">
        <f>IF($B22=" ","",IFERROR(INDEX(MMWR_RATING_RO_ROLLUP[],MATCH($B22,MMWR_RATING_RO_ROLLUP[MMWR_RATING_RO_ROLLUP],0),MATCH(D$9,MMWR_RATING_RO_ROLLUP[#Headers],0)),"ERROR"))</f>
        <v>96.3070547807</v>
      </c>
      <c r="E22" s="147">
        <f>IF($B22=" ","",IFERROR(INDEX(MMWR_RATING_RO_ROLLUP[],MATCH($B22,MMWR_RATING_RO_ROLLUP[MMWR_RATING_RO_ROLLUP],0),MATCH(E$9,MMWR_RATING_RO_ROLLUP[#Headers],0))/$C22,"ERROR"))</f>
        <v>0.23670911663634525</v>
      </c>
      <c r="F22" s="145">
        <f>IF($B22=" ","",IFERROR(INDEX(MMWR_RATING_RO_ROLLUP[],MATCH($B22,MMWR_RATING_RO_ROLLUP[MMWR_RATING_RO_ROLLUP],0),MATCH(F$9,MMWR_RATING_RO_ROLLUP[#Headers],0)),"ERROR"))</f>
        <v>634</v>
      </c>
      <c r="G22" s="145">
        <f>IF($B22=" ","",IFERROR(INDEX(MMWR_RATING_RO_ROLLUP[],MATCH($B22,MMWR_RATING_RO_ROLLUP[MMWR_RATING_RO_ROLLUP],0),MATCH(G$9,MMWR_RATING_RO_ROLLUP[#Headers],0)),"ERROR"))</f>
        <v>4029</v>
      </c>
      <c r="H22" s="146">
        <f>IF($B22=" ","",IFERROR(INDEX(MMWR_RATING_RO_ROLLUP[],MATCH($B22,MMWR_RATING_RO_ROLLUP[MMWR_RATING_RO_ROLLUP],0),MATCH(H$9,MMWR_RATING_RO_ROLLUP[#Headers],0)),"ERROR"))</f>
        <v>144.35331230279999</v>
      </c>
      <c r="I22" s="146">
        <f>IF($B22=" ","",IFERROR(INDEX(MMWR_RATING_RO_ROLLUP[],MATCH($B22,MMWR_RATING_RO_ROLLUP[MMWR_RATING_RO_ROLLUP],0),MATCH(I$9,MMWR_RATING_RO_ROLLUP[#Headers],0)),"ERROR"))</f>
        <v>141.44303797469999</v>
      </c>
      <c r="J22" s="42"/>
      <c r="K22" s="42"/>
      <c r="L22" s="42"/>
      <c r="M22" s="42"/>
      <c r="N22" s="28"/>
    </row>
    <row r="23" spans="1:14" x14ac:dyDescent="0.2">
      <c r="A23" s="25"/>
      <c r="B23" s="8" t="str">
        <f>VLOOKUP($B$15,DISTRICT_RO[],9,0)</f>
        <v>Newark VSC</v>
      </c>
      <c r="C23" s="145">
        <f>IF($B23=" ","",IFERROR(INDEX(MMWR_RATING_RO_ROLLUP[],MATCH($B23,MMWR_RATING_RO_ROLLUP[MMWR_RATING_RO_ROLLUP],0),MATCH(C$9,MMWR_RATING_RO_ROLLUP[#Headers],0)),"ERROR"))</f>
        <v>2712</v>
      </c>
      <c r="D23" s="146">
        <f>IF($B23=" ","",IFERROR(INDEX(MMWR_RATING_RO_ROLLUP[],MATCH($B23,MMWR_RATING_RO_ROLLUP[MMWR_RATING_RO_ROLLUP],0),MATCH(D$9,MMWR_RATING_RO_ROLLUP[#Headers],0)),"ERROR"))</f>
        <v>88.856563421800004</v>
      </c>
      <c r="E23" s="147">
        <f>IF($B23=" ","",IFERROR(INDEX(MMWR_RATING_RO_ROLLUP[],MATCH($B23,MMWR_RATING_RO_ROLLUP[MMWR_RATING_RO_ROLLUP],0),MATCH(E$9,MMWR_RATING_RO_ROLLUP[#Headers],0))/$C23,"ERROR"))</f>
        <v>0.20169616519174041</v>
      </c>
      <c r="F23" s="145">
        <f>IF($B23=" ","",IFERROR(INDEX(MMWR_RATING_RO_ROLLUP[],MATCH($B23,MMWR_RATING_RO_ROLLUP[MMWR_RATING_RO_ROLLUP],0),MATCH(F$9,MMWR_RATING_RO_ROLLUP[#Headers],0)),"ERROR"))</f>
        <v>353</v>
      </c>
      <c r="G23" s="145">
        <f>IF($B23=" ","",IFERROR(INDEX(MMWR_RATING_RO_ROLLUP[],MATCH($B23,MMWR_RATING_RO_ROLLUP[MMWR_RATING_RO_ROLLUP],0),MATCH(G$9,MMWR_RATING_RO_ROLLUP[#Headers],0)),"ERROR"))</f>
        <v>2322</v>
      </c>
      <c r="H23" s="146">
        <f>IF($B23=" ","",IFERROR(INDEX(MMWR_RATING_RO_ROLLUP[],MATCH($B23,MMWR_RATING_RO_ROLLUP[MMWR_RATING_RO_ROLLUP],0),MATCH(H$9,MMWR_RATING_RO_ROLLUP[#Headers],0)),"ERROR"))</f>
        <v>130.3796033994</v>
      </c>
      <c r="I23" s="146">
        <f>IF($B23=" ","",IFERROR(INDEX(MMWR_RATING_RO_ROLLUP[],MATCH($B23,MMWR_RATING_RO_ROLLUP[MMWR_RATING_RO_ROLLUP],0),MATCH(I$9,MMWR_RATING_RO_ROLLUP[#Headers],0)),"ERROR"))</f>
        <v>143.28337639969999</v>
      </c>
      <c r="J23" s="42"/>
      <c r="K23" s="42"/>
      <c r="L23" s="42"/>
      <c r="M23" s="42"/>
      <c r="N23" s="28"/>
    </row>
    <row r="24" spans="1:14" x14ac:dyDescent="0.2">
      <c r="A24" s="25"/>
      <c r="B24" s="8" t="str">
        <f>VLOOKUP($B$15,DISTRICT_RO[],10,0)</f>
        <v>Philadelphia VSC</v>
      </c>
      <c r="C24" s="145">
        <f>IF($B24=" ","",IFERROR(INDEX(MMWR_RATING_RO_ROLLUP[],MATCH($B24,MMWR_RATING_RO_ROLLUP[MMWR_RATING_RO_ROLLUP],0),MATCH(C$9,MMWR_RATING_RO_ROLLUP[#Headers],0)),"ERROR"))</f>
        <v>7116</v>
      </c>
      <c r="D24" s="146">
        <f>IF($B24=" ","",IFERROR(INDEX(MMWR_RATING_RO_ROLLUP[],MATCH($B24,MMWR_RATING_RO_ROLLUP[MMWR_RATING_RO_ROLLUP],0),MATCH(D$9,MMWR_RATING_RO_ROLLUP[#Headers],0)),"ERROR"))</f>
        <v>113.76194491290001</v>
      </c>
      <c r="E24" s="147">
        <f>IF($B24=" ","",IFERROR(INDEX(MMWR_RATING_RO_ROLLUP[],MATCH($B24,MMWR_RATING_RO_ROLLUP[MMWR_RATING_RO_ROLLUP],0),MATCH(E$9,MMWR_RATING_RO_ROLLUP[#Headers],0))/$C24,"ERROR"))</f>
        <v>0.31281618887015178</v>
      </c>
      <c r="F24" s="145">
        <f>IF($B24=" ","",IFERROR(INDEX(MMWR_RATING_RO_ROLLUP[],MATCH($B24,MMWR_RATING_RO_ROLLUP[MMWR_RATING_RO_ROLLUP],0),MATCH(F$9,MMWR_RATING_RO_ROLLUP[#Headers],0)),"ERROR"))</f>
        <v>1062</v>
      </c>
      <c r="G24" s="145">
        <f>IF($B24=" ","",IFERROR(INDEX(MMWR_RATING_RO_ROLLUP[],MATCH($B24,MMWR_RATING_RO_ROLLUP[MMWR_RATING_RO_ROLLUP],0),MATCH(G$9,MMWR_RATING_RO_ROLLUP[#Headers],0)),"ERROR"))</f>
        <v>7241</v>
      </c>
      <c r="H24" s="146">
        <f>IF($B24=" ","",IFERROR(INDEX(MMWR_RATING_RO_ROLLUP[],MATCH($B24,MMWR_RATING_RO_ROLLUP[MMWR_RATING_RO_ROLLUP],0),MATCH(H$9,MMWR_RATING_RO_ROLLUP[#Headers],0)),"ERROR"))</f>
        <v>143.52542372880001</v>
      </c>
      <c r="I24" s="146">
        <f>IF($B24=" ","",IFERROR(INDEX(MMWR_RATING_RO_ROLLUP[],MATCH($B24,MMWR_RATING_RO_ROLLUP[MMWR_RATING_RO_ROLLUP],0),MATCH(I$9,MMWR_RATING_RO_ROLLUP[#Headers],0)),"ERROR"))</f>
        <v>153.9830133959</v>
      </c>
      <c r="J24" s="42"/>
      <c r="K24" s="42"/>
      <c r="L24" s="42"/>
      <c r="M24" s="42"/>
      <c r="N24" s="28"/>
    </row>
    <row r="25" spans="1:14" x14ac:dyDescent="0.2">
      <c r="A25" s="25"/>
      <c r="B25" s="8" t="str">
        <f>VLOOKUP($B$15,DISTRICT_RO[],11,0)</f>
        <v>Pittsburgh VSC</v>
      </c>
      <c r="C25" s="145">
        <f>IF($B25=" ","",IFERROR(INDEX(MMWR_RATING_RO_ROLLUP[],MATCH($B25,MMWR_RATING_RO_ROLLUP[MMWR_RATING_RO_ROLLUP],0),MATCH(C$9,MMWR_RATING_RO_ROLLUP[#Headers],0)),"ERROR"))</f>
        <v>4748</v>
      </c>
      <c r="D25" s="146">
        <f>IF($B25=" ","",IFERROR(INDEX(MMWR_RATING_RO_ROLLUP[],MATCH($B25,MMWR_RATING_RO_ROLLUP[MMWR_RATING_RO_ROLLUP],0),MATCH(D$9,MMWR_RATING_RO_ROLLUP[#Headers],0)),"ERROR"))</f>
        <v>112.09793597300001</v>
      </c>
      <c r="E25" s="147">
        <f>IF($B25=" ","",IFERROR(INDEX(MMWR_RATING_RO_ROLLUP[],MATCH($B25,MMWR_RATING_RO_ROLLUP[MMWR_RATING_RO_ROLLUP],0),MATCH(E$9,MMWR_RATING_RO_ROLLUP[#Headers],0))/$C25,"ERROR"))</f>
        <v>0.29254422914911543</v>
      </c>
      <c r="F25" s="145">
        <f>IF($B25=" ","",IFERROR(INDEX(MMWR_RATING_RO_ROLLUP[],MATCH($B25,MMWR_RATING_RO_ROLLUP[MMWR_RATING_RO_ROLLUP],0),MATCH(F$9,MMWR_RATING_RO_ROLLUP[#Headers],0)),"ERROR"))</f>
        <v>570</v>
      </c>
      <c r="G25" s="145">
        <f>IF($B25=" ","",IFERROR(INDEX(MMWR_RATING_RO_ROLLUP[],MATCH($B25,MMWR_RATING_RO_ROLLUP[MMWR_RATING_RO_ROLLUP],0),MATCH(G$9,MMWR_RATING_RO_ROLLUP[#Headers],0)),"ERROR"))</f>
        <v>3875</v>
      </c>
      <c r="H25" s="146">
        <f>IF($B25=" ","",IFERROR(INDEX(MMWR_RATING_RO_ROLLUP[],MATCH($B25,MMWR_RATING_RO_ROLLUP[MMWR_RATING_RO_ROLLUP],0),MATCH(H$9,MMWR_RATING_RO_ROLLUP[#Headers],0)),"ERROR"))</f>
        <v>163.02807017539999</v>
      </c>
      <c r="I25" s="146">
        <f>IF($B25=" ","",IFERROR(INDEX(MMWR_RATING_RO_ROLLUP[],MATCH($B25,MMWR_RATING_RO_ROLLUP[MMWR_RATING_RO_ROLLUP],0),MATCH(I$9,MMWR_RATING_RO_ROLLUP[#Headers],0)),"ERROR"))</f>
        <v>166.70400000000001</v>
      </c>
      <c r="J25" s="42"/>
      <c r="K25" s="42"/>
      <c r="L25" s="42"/>
      <c r="M25" s="42"/>
      <c r="N25" s="28"/>
    </row>
    <row r="26" spans="1:14" x14ac:dyDescent="0.2">
      <c r="A26" s="25"/>
      <c r="B26" s="8" t="str">
        <f>VLOOKUP($B$15,DISTRICT_RO[],12,0)</f>
        <v>Providence VSC</v>
      </c>
      <c r="C26" s="145">
        <f>IF($B26=" ","",IFERROR(INDEX(MMWR_RATING_RO_ROLLUP[],MATCH($B26,MMWR_RATING_RO_ROLLUP[MMWR_RATING_RO_ROLLUP],0),MATCH(C$9,MMWR_RATING_RO_ROLLUP[#Headers],0)),"ERROR"))</f>
        <v>2588</v>
      </c>
      <c r="D26" s="146">
        <f>IF($B26=" ","",IFERROR(INDEX(MMWR_RATING_RO_ROLLUP[],MATCH($B26,MMWR_RATING_RO_ROLLUP[MMWR_RATING_RO_ROLLUP],0),MATCH(D$9,MMWR_RATING_RO_ROLLUP[#Headers],0)),"ERROR"))</f>
        <v>74.605100463699998</v>
      </c>
      <c r="E26" s="147">
        <f>IF($B26=" ","",IFERROR(INDEX(MMWR_RATING_RO_ROLLUP[],MATCH($B26,MMWR_RATING_RO_ROLLUP[MMWR_RATING_RO_ROLLUP],0),MATCH(E$9,MMWR_RATING_RO_ROLLUP[#Headers],0))/$C26,"ERROR"))</f>
        <v>0.16576506955177744</v>
      </c>
      <c r="F26" s="145">
        <f>IF($B26=" ","",IFERROR(INDEX(MMWR_RATING_RO_ROLLUP[],MATCH($B26,MMWR_RATING_RO_ROLLUP[MMWR_RATING_RO_ROLLUP],0),MATCH(F$9,MMWR_RATING_RO_ROLLUP[#Headers],0)),"ERROR"))</f>
        <v>803</v>
      </c>
      <c r="G26" s="145">
        <f>IF($B26=" ","",IFERROR(INDEX(MMWR_RATING_RO_ROLLUP[],MATCH($B26,MMWR_RATING_RO_ROLLUP[MMWR_RATING_RO_ROLLUP],0),MATCH(G$9,MMWR_RATING_RO_ROLLUP[#Headers],0)),"ERROR"))</f>
        <v>5690</v>
      </c>
      <c r="H26" s="146">
        <f>IF($B26=" ","",IFERROR(INDEX(MMWR_RATING_RO_ROLLUP[],MATCH($B26,MMWR_RATING_RO_ROLLUP[MMWR_RATING_RO_ROLLUP],0),MATCH(H$9,MMWR_RATING_RO_ROLLUP[#Headers],0)),"ERROR"))</f>
        <v>68.513075965100001</v>
      </c>
      <c r="I26" s="146">
        <f>IF($B26=" ","",IFERROR(INDEX(MMWR_RATING_RO_ROLLUP[],MATCH($B26,MMWR_RATING_RO_ROLLUP[MMWR_RATING_RO_ROLLUP],0),MATCH(I$9,MMWR_RATING_RO_ROLLUP[#Headers],0)),"ERROR"))</f>
        <v>55.947627416499998</v>
      </c>
      <c r="J26" s="42"/>
      <c r="K26" s="42"/>
      <c r="L26" s="42"/>
      <c r="M26" s="42"/>
      <c r="N26" s="28"/>
    </row>
    <row r="27" spans="1:14" x14ac:dyDescent="0.2">
      <c r="A27" s="25"/>
      <c r="B27" s="8" t="str">
        <f>VLOOKUP($B$15,DISTRICT_RO[],13,0)</f>
        <v>Roanoke VSC</v>
      </c>
      <c r="C27" s="145">
        <f>IF($B27=" ","",IFERROR(INDEX(MMWR_RATING_RO_ROLLUP[],MATCH($B27,MMWR_RATING_RO_ROLLUP[MMWR_RATING_RO_ROLLUP],0),MATCH(C$9,MMWR_RATING_RO_ROLLUP[#Headers],0)),"ERROR"))</f>
        <v>10672</v>
      </c>
      <c r="D27" s="146">
        <f>IF($B27=" ","",IFERROR(INDEX(MMWR_RATING_RO_ROLLUP[],MATCH($B27,MMWR_RATING_RO_ROLLUP[MMWR_RATING_RO_ROLLUP],0),MATCH(D$9,MMWR_RATING_RO_ROLLUP[#Headers],0)),"ERROR"))</f>
        <v>93.0626874063</v>
      </c>
      <c r="E27" s="147">
        <f>IF($B27=" ","",IFERROR(INDEX(MMWR_RATING_RO_ROLLUP[],MATCH($B27,MMWR_RATING_RO_ROLLUP[MMWR_RATING_RO_ROLLUP],0),MATCH(E$9,MMWR_RATING_RO_ROLLUP[#Headers],0))/$C27,"ERROR"))</f>
        <v>0.20867691154422788</v>
      </c>
      <c r="F27" s="145">
        <f>IF($B27=" ","",IFERROR(INDEX(MMWR_RATING_RO_ROLLUP[],MATCH($B27,MMWR_RATING_RO_ROLLUP[MMWR_RATING_RO_ROLLUP],0),MATCH(F$9,MMWR_RATING_RO_ROLLUP[#Headers],0)),"ERROR"))</f>
        <v>1513</v>
      </c>
      <c r="G27" s="145">
        <f>IF($B27=" ","",IFERROR(INDEX(MMWR_RATING_RO_ROLLUP[],MATCH($B27,MMWR_RATING_RO_ROLLUP[MMWR_RATING_RO_ROLLUP],0),MATCH(G$9,MMWR_RATING_RO_ROLLUP[#Headers],0)),"ERROR"))</f>
        <v>9094</v>
      </c>
      <c r="H27" s="146">
        <f>IF($B27=" ","",IFERROR(INDEX(MMWR_RATING_RO_ROLLUP[],MATCH($B27,MMWR_RATING_RO_ROLLUP[MMWR_RATING_RO_ROLLUP],0),MATCH(H$9,MMWR_RATING_RO_ROLLUP[#Headers],0)),"ERROR"))</f>
        <v>137.24058162590001</v>
      </c>
      <c r="I27" s="146">
        <f>IF($B27=" ","",IFERROR(INDEX(MMWR_RATING_RO_ROLLUP[],MATCH($B27,MMWR_RATING_RO_ROLLUP[MMWR_RATING_RO_ROLLUP],0),MATCH(I$9,MMWR_RATING_RO_ROLLUP[#Headers],0)),"ERROR"))</f>
        <v>144.54684407299999</v>
      </c>
      <c r="J27" s="42"/>
      <c r="K27" s="42"/>
      <c r="L27" s="42"/>
      <c r="M27" s="42"/>
      <c r="N27" s="28"/>
    </row>
    <row r="28" spans="1:14" x14ac:dyDescent="0.2">
      <c r="A28" s="25"/>
      <c r="B28" s="8" t="str">
        <f>VLOOKUP($B$15,DISTRICT_RO[],14,0)</f>
        <v>Togus VSC</v>
      </c>
      <c r="C28" s="145">
        <f>IF($B28=" ","",IFERROR(INDEX(MMWR_RATING_RO_ROLLUP[],MATCH($B28,MMWR_RATING_RO_ROLLUP[MMWR_RATING_RO_ROLLUP],0),MATCH(C$9,MMWR_RATING_RO_ROLLUP[#Headers],0)),"ERROR"))</f>
        <v>1299</v>
      </c>
      <c r="D28" s="146">
        <f>IF($B28=" ","",IFERROR(INDEX(MMWR_RATING_RO_ROLLUP[],MATCH($B28,MMWR_RATING_RO_ROLLUP[MMWR_RATING_RO_ROLLUP],0),MATCH(D$9,MMWR_RATING_RO_ROLLUP[#Headers],0)),"ERROR"))</f>
        <v>74.936874518899998</v>
      </c>
      <c r="E28" s="147">
        <f>IF($B28=" ","",IFERROR(INDEX(MMWR_RATING_RO_ROLLUP[],MATCH($B28,MMWR_RATING_RO_ROLLUP[MMWR_RATING_RO_ROLLUP],0),MATCH(E$9,MMWR_RATING_RO_ROLLUP[#Headers],0))/$C28,"ERROR"))</f>
        <v>0.11393379522709776</v>
      </c>
      <c r="F28" s="145">
        <f>IF($B28=" ","",IFERROR(INDEX(MMWR_RATING_RO_ROLLUP[],MATCH($B28,MMWR_RATING_RO_ROLLUP[MMWR_RATING_RO_ROLLUP],0),MATCH(F$9,MMWR_RATING_RO_ROLLUP[#Headers],0)),"ERROR"))</f>
        <v>138</v>
      </c>
      <c r="G28" s="145">
        <f>IF($B28=" ","",IFERROR(INDEX(MMWR_RATING_RO_ROLLUP[],MATCH($B28,MMWR_RATING_RO_ROLLUP[MMWR_RATING_RO_ROLLUP],0),MATCH(G$9,MMWR_RATING_RO_ROLLUP[#Headers],0)),"ERROR"))</f>
        <v>1341</v>
      </c>
      <c r="H28" s="146">
        <f>IF($B28=" ","",IFERROR(INDEX(MMWR_RATING_RO_ROLLUP[],MATCH($B28,MMWR_RATING_RO_ROLLUP[MMWR_RATING_RO_ROLLUP],0),MATCH(H$9,MMWR_RATING_RO_ROLLUP[#Headers],0)),"ERROR"))</f>
        <v>113.37681159420001</v>
      </c>
      <c r="I28" s="146">
        <f>IF($B28=" ","",IFERROR(INDEX(MMWR_RATING_RO_ROLLUP[],MATCH($B28,MMWR_RATING_RO_ROLLUP[MMWR_RATING_RO_ROLLUP],0),MATCH(I$9,MMWR_RATING_RO_ROLLUP[#Headers],0)),"ERROR"))</f>
        <v>107.8061148397</v>
      </c>
      <c r="J28" s="42"/>
      <c r="K28" s="42"/>
      <c r="L28" s="42"/>
      <c r="M28" s="42"/>
      <c r="N28" s="28"/>
    </row>
    <row r="29" spans="1:14" x14ac:dyDescent="0.2">
      <c r="A29" s="25"/>
      <c r="B29" s="8" t="str">
        <f>VLOOKUP($B$15,DISTRICT_RO[],15,0)</f>
        <v>White River Junction VSC</v>
      </c>
      <c r="C29" s="145">
        <f>IF($B29=" ","",IFERROR(INDEX(MMWR_RATING_RO_ROLLUP[],MATCH($B29,MMWR_RATING_RO_ROLLUP[MMWR_RATING_RO_ROLLUP],0),MATCH(C$9,MMWR_RATING_RO_ROLLUP[#Headers],0)),"ERROR"))</f>
        <v>574</v>
      </c>
      <c r="D29" s="146">
        <f>IF($B29=" ","",IFERROR(INDEX(MMWR_RATING_RO_ROLLUP[],MATCH($B29,MMWR_RATING_RO_ROLLUP[MMWR_RATING_RO_ROLLUP],0),MATCH(D$9,MMWR_RATING_RO_ROLLUP[#Headers],0)),"ERROR"))</f>
        <v>100.6655052265</v>
      </c>
      <c r="E29" s="147">
        <f>IF($B29=" ","",IFERROR(INDEX(MMWR_RATING_RO_ROLLUP[],MATCH($B29,MMWR_RATING_RO_ROLLUP[MMWR_RATING_RO_ROLLUP],0),MATCH(E$9,MMWR_RATING_RO_ROLLUP[#Headers],0))/$C29,"ERROR"))</f>
        <v>0.2665505226480836</v>
      </c>
      <c r="F29" s="145">
        <f>IF($B29=" ","",IFERROR(INDEX(MMWR_RATING_RO_ROLLUP[],MATCH($B29,MMWR_RATING_RO_ROLLUP[MMWR_RATING_RO_ROLLUP],0),MATCH(F$9,MMWR_RATING_RO_ROLLUP[#Headers],0)),"ERROR"))</f>
        <v>78</v>
      </c>
      <c r="G29" s="145">
        <f>IF($B29=" ","",IFERROR(INDEX(MMWR_RATING_RO_ROLLUP[],MATCH($B29,MMWR_RATING_RO_ROLLUP[MMWR_RATING_RO_ROLLUP],0),MATCH(G$9,MMWR_RATING_RO_ROLLUP[#Headers],0)),"ERROR"))</f>
        <v>326</v>
      </c>
      <c r="H29" s="146">
        <f>IF($B29=" ","",IFERROR(INDEX(MMWR_RATING_RO_ROLLUP[],MATCH($B29,MMWR_RATING_RO_ROLLUP[MMWR_RATING_RO_ROLLUP],0),MATCH(H$9,MMWR_RATING_RO_ROLLUP[#Headers],0)),"ERROR"))</f>
        <v>127.5769230769</v>
      </c>
      <c r="I29" s="146">
        <f>IF($B29=" ","",IFERROR(INDEX(MMWR_RATING_RO_ROLLUP[],MATCH($B29,MMWR_RATING_RO_ROLLUP[MMWR_RATING_RO_ROLLUP],0),MATCH(I$9,MMWR_RATING_RO_ROLLUP[#Headers],0)),"ERROR"))</f>
        <v>139.90490797550001</v>
      </c>
      <c r="J29" s="42"/>
      <c r="K29" s="42"/>
      <c r="L29" s="42"/>
      <c r="M29" s="42"/>
      <c r="N29" s="28"/>
    </row>
    <row r="30" spans="1:14" x14ac:dyDescent="0.2">
      <c r="A30" s="25"/>
      <c r="B30" s="8" t="str">
        <f>VLOOKUP($B$15,DISTRICT_RO[],16,0)</f>
        <v>Wilmington VSC</v>
      </c>
      <c r="C30" s="145">
        <f>IF($B30=" ","",IFERROR(INDEX(MMWR_RATING_RO_ROLLUP[],MATCH($B30,MMWR_RATING_RO_ROLLUP[MMWR_RATING_RO_ROLLUP],0),MATCH(C$9,MMWR_RATING_RO_ROLLUP[#Headers],0)),"ERROR"))</f>
        <v>736</v>
      </c>
      <c r="D30" s="146">
        <f>IF($B30=" ","",IFERROR(INDEX(MMWR_RATING_RO_ROLLUP[],MATCH($B30,MMWR_RATING_RO_ROLLUP[MMWR_RATING_RO_ROLLUP],0),MATCH(D$9,MMWR_RATING_RO_ROLLUP[#Headers],0)),"ERROR"))</f>
        <v>108.2418478261</v>
      </c>
      <c r="E30" s="147">
        <f>IF($B30=" ","",IFERROR(INDEX(MMWR_RATING_RO_ROLLUP[],MATCH($B30,MMWR_RATING_RO_ROLLUP[MMWR_RATING_RO_ROLLUP],0),MATCH(E$9,MMWR_RATING_RO_ROLLUP[#Headers],0))/$C30,"ERROR"))</f>
        <v>0.32608695652173914</v>
      </c>
      <c r="F30" s="145">
        <f>IF($B30=" ","",IFERROR(INDEX(MMWR_RATING_RO_ROLLUP[],MATCH($B30,MMWR_RATING_RO_ROLLUP[MMWR_RATING_RO_ROLLUP],0),MATCH(F$9,MMWR_RATING_RO_ROLLUP[#Headers],0)),"ERROR"))</f>
        <v>105</v>
      </c>
      <c r="G30" s="145">
        <f>IF($B30=" ","",IFERROR(INDEX(MMWR_RATING_RO_ROLLUP[],MATCH($B30,MMWR_RATING_RO_ROLLUP[MMWR_RATING_RO_ROLLUP],0),MATCH(G$9,MMWR_RATING_RO_ROLLUP[#Headers],0)),"ERROR"))</f>
        <v>721</v>
      </c>
      <c r="H30" s="146">
        <f>IF($B30=" ","",IFERROR(INDEX(MMWR_RATING_RO_ROLLUP[],MATCH($B30,MMWR_RATING_RO_ROLLUP[MMWR_RATING_RO_ROLLUP],0),MATCH(H$9,MMWR_RATING_RO_ROLLUP[#Headers],0)),"ERROR"))</f>
        <v>152.61904761900001</v>
      </c>
      <c r="I30" s="146">
        <f>IF($B30=" ","",IFERROR(INDEX(MMWR_RATING_RO_ROLLUP[],MATCH($B30,MMWR_RATING_RO_ROLLUP[MMWR_RATING_RO_ROLLUP],0),MATCH(I$9,MMWR_RATING_RO_ROLLUP[#Headers],0)),"ERROR"))</f>
        <v>142.8224687933</v>
      </c>
      <c r="J30" s="42"/>
      <c r="K30" s="42"/>
      <c r="L30" s="42"/>
      <c r="M30" s="42"/>
      <c r="N30" s="28"/>
    </row>
    <row r="31" spans="1:14" x14ac:dyDescent="0.2">
      <c r="A31" s="25"/>
      <c r="B31" s="8" t="str">
        <f>VLOOKUP($B$15,DISTRICT_RO[],17,0)</f>
        <v>Winston-Salem VSC</v>
      </c>
      <c r="C31" s="145">
        <f>IF($B31=" ","",IFERROR(INDEX(MMWR_RATING_RO_ROLLUP[],MATCH($B31,MMWR_RATING_RO_ROLLUP[MMWR_RATING_RO_ROLLUP],0),MATCH(C$9,MMWR_RATING_RO_ROLLUP[#Headers],0)),"ERROR"))</f>
        <v>16273</v>
      </c>
      <c r="D31" s="146">
        <f>IF($B31=" ","",IFERROR(INDEX(MMWR_RATING_RO_ROLLUP[],MATCH($B31,MMWR_RATING_RO_ROLLUP[MMWR_RATING_RO_ROLLUP],0),MATCH(D$9,MMWR_RATING_RO_ROLLUP[#Headers],0)),"ERROR"))</f>
        <v>101.1243778037</v>
      </c>
      <c r="E31" s="147">
        <f>IF($B31=" ","",IFERROR(INDEX(MMWR_RATING_RO_ROLLUP[],MATCH($B31,MMWR_RATING_RO_ROLLUP[MMWR_RATING_RO_ROLLUP],0),MATCH(E$9,MMWR_RATING_RO_ROLLUP[#Headers],0))/$C31,"ERROR"))</f>
        <v>0.26049284090210778</v>
      </c>
      <c r="F31" s="145">
        <f>IF($B31=" ","",IFERROR(INDEX(MMWR_RATING_RO_ROLLUP[],MATCH($B31,MMWR_RATING_RO_ROLLUP[MMWR_RATING_RO_ROLLUP],0),MATCH(F$9,MMWR_RATING_RO_ROLLUP[#Headers],0)),"ERROR"))</f>
        <v>2275</v>
      </c>
      <c r="G31" s="145">
        <f>IF($B31=" ","",IFERROR(INDEX(MMWR_RATING_RO_ROLLUP[],MATCH($B31,MMWR_RATING_RO_ROLLUP[MMWR_RATING_RO_ROLLUP],0),MATCH(G$9,MMWR_RATING_RO_ROLLUP[#Headers],0)),"ERROR"))</f>
        <v>15397</v>
      </c>
      <c r="H31" s="146">
        <f>IF($B31=" ","",IFERROR(INDEX(MMWR_RATING_RO_ROLLUP[],MATCH($B31,MMWR_RATING_RO_ROLLUP[MMWR_RATING_RO_ROLLUP],0),MATCH(H$9,MMWR_RATING_RO_ROLLUP[#Headers],0)),"ERROR"))</f>
        <v>146.5024175824</v>
      </c>
      <c r="I31" s="146">
        <f>IF($B31=" ","",IFERROR(INDEX(MMWR_RATING_RO_ROLLUP[],MATCH($B31,MMWR_RATING_RO_ROLLUP[MMWR_RATING_RO_ROLLUP],0),MATCH(I$9,MMWR_RATING_RO_ROLLUP[#Headers],0)),"ERROR"))</f>
        <v>148.93368838090001</v>
      </c>
      <c r="J31" s="42"/>
      <c r="K31" s="42"/>
      <c r="L31" s="42"/>
      <c r="M31" s="42"/>
      <c r="N31" s="28"/>
    </row>
    <row r="32" spans="1:14" x14ac:dyDescent="0.2">
      <c r="A32" s="25"/>
      <c r="B32" s="366" t="s">
        <v>729</v>
      </c>
      <c r="C32" s="367"/>
      <c r="D32" s="367"/>
      <c r="E32" s="367"/>
      <c r="F32" s="367"/>
      <c r="G32" s="367"/>
      <c r="H32" s="367"/>
      <c r="I32" s="367"/>
      <c r="J32" s="367"/>
      <c r="K32" s="367"/>
      <c r="L32" s="367"/>
      <c r="M32" s="417"/>
      <c r="N32" s="28"/>
    </row>
    <row r="33" spans="1:14" x14ac:dyDescent="0.2">
      <c r="A33" s="25"/>
      <c r="B33" s="11" t="s">
        <v>692</v>
      </c>
      <c r="C33" s="145">
        <f>IF($B33=" ","",IFERROR(INDEX(MMWR_RATING_RO_ROLLUP[],MATCH($B33,MMWR_RATING_RO_ROLLUP[MMWR_RATING_RO_ROLLUP],0),MATCH(C$9,MMWR_RATING_RO_ROLLUP[#Headers],0)),"ERROR"))</f>
        <v>26933</v>
      </c>
      <c r="D33" s="146">
        <f>IF($B33=" ","",IFERROR(INDEX(MMWR_RATING_RO_ROLLUP[],MATCH($B33,MMWR_RATING_RO_ROLLUP[MMWR_RATING_RO_ROLLUP],0),MATCH(D$9,MMWR_RATING_RO_ROLLUP[#Headers],0)),"ERROR"))</f>
        <v>69.481602495100006</v>
      </c>
      <c r="E33" s="147">
        <f>IF($B33=" ","",IFERROR(INDEX(MMWR_RATING_RO_ROLLUP[],MATCH($B33,MMWR_RATING_RO_ROLLUP[MMWR_RATING_RO_ROLLUP],0),MATCH(E$9,MMWR_RATING_RO_ROLLUP[#Headers],0))/$C33,"ERROR"))</f>
        <v>0.10514981621059667</v>
      </c>
      <c r="F33" s="145">
        <f>IF($B33=" ","",IFERROR(INDEX(MMWR_RATING_RO_ROLLUP[],MATCH($B33,MMWR_RATING_RO_ROLLUP[MMWR_RATING_RO_ROLLUP],0),MATCH(F$9,MMWR_RATING_RO_ROLLUP[#Headers],0)),"ERROR"))</f>
        <v>5599</v>
      </c>
      <c r="G33" s="145">
        <f>IF($B33=" ","",IFERROR(INDEX(MMWR_RATING_RO_ROLLUP[],MATCH($B33,MMWR_RATING_RO_ROLLUP[MMWR_RATING_RO_ROLLUP],0),MATCH(G$9,MMWR_RATING_RO_ROLLUP[#Headers],0)),"ERROR"))</f>
        <v>41792</v>
      </c>
      <c r="H33" s="146">
        <f>IF($B33=" ","",IFERROR(INDEX(MMWR_RATING_RO_ROLLUP[],MATCH($B33,MMWR_RATING_RO_ROLLUP[MMWR_RATING_RO_ROLLUP],0),MATCH(H$9,MMWR_RATING_RO_ROLLUP[#Headers],0)),"ERROR"))</f>
        <v>79.032505804600007</v>
      </c>
      <c r="I33" s="146">
        <f>IF($B33=" ","",IFERROR(INDEX(MMWR_RATING_RO_ROLLUP[],MATCH($B33,MMWR_RATING_RO_ROLLUP[MMWR_RATING_RO_ROLLUP],0),MATCH(I$9,MMWR_RATING_RO_ROLLUP[#Headers],0)),"ERROR"))</f>
        <v>72.376435681499999</v>
      </c>
      <c r="J33" s="42"/>
      <c r="K33" s="42"/>
      <c r="L33" s="42"/>
      <c r="M33" s="42"/>
      <c r="N33" s="28"/>
    </row>
    <row r="34" spans="1:14" x14ac:dyDescent="0.2">
      <c r="A34" s="25"/>
      <c r="B34" s="12" t="s">
        <v>213</v>
      </c>
      <c r="C34" s="145">
        <f>IF($B34=" ","",IFERROR(INDEX(MMWR_RATING_RO_ROLLUP[],MATCH($B34,MMWR_RATING_RO_ROLLUP[MMWR_RATING_RO_ROLLUP],0),MATCH(C$9,MMWR_RATING_RO_ROLLUP[#Headers],0)),"ERROR"))</f>
        <v>12229</v>
      </c>
      <c r="D34" s="146">
        <f>IF($B34=" ","",IFERROR(INDEX(MMWR_RATING_RO_ROLLUP[],MATCH($B34,MMWR_RATING_RO_ROLLUP[MMWR_RATING_RO_ROLLUP],0),MATCH(D$9,MMWR_RATING_RO_ROLLUP[#Headers],0)),"ERROR"))</f>
        <v>69.276637500999996</v>
      </c>
      <c r="E34" s="147">
        <f>IF($B34=" ","",IFERROR(INDEX(MMWR_RATING_RO_ROLLUP[],MATCH($B34,MMWR_RATING_RO_ROLLUP[MMWR_RATING_RO_ROLLUP],0),MATCH(E$9,MMWR_RATING_RO_ROLLUP[#Headers],0))/$C34,"ERROR"))</f>
        <v>9.3793441818627851E-2</v>
      </c>
      <c r="F34" s="145">
        <f>IF($B34=" ","",IFERROR(INDEX(MMWR_RATING_RO_ROLLUP[],MATCH($B34,MMWR_RATING_RO_ROLLUP[MMWR_RATING_RO_ROLLUP],0),MATCH(F$9,MMWR_RATING_RO_ROLLUP[#Headers],0)),"ERROR"))</f>
        <v>1780</v>
      </c>
      <c r="G34" s="145">
        <f>IF($B34=" ","",IFERROR(INDEX(MMWR_RATING_RO_ROLLUP[],MATCH($B34,MMWR_RATING_RO_ROLLUP[MMWR_RATING_RO_ROLLUP],0),MATCH(G$9,MMWR_RATING_RO_ROLLUP[#Headers],0)),"ERROR"))</f>
        <v>13133</v>
      </c>
      <c r="H34" s="146">
        <f>IF($B34=" ","",IFERROR(INDEX(MMWR_RATING_RO_ROLLUP[],MATCH($B34,MMWR_RATING_RO_ROLLUP[MMWR_RATING_RO_ROLLUP],0),MATCH(H$9,MMWR_RATING_RO_ROLLUP[#Headers],0)),"ERROR"))</f>
        <v>98.208426966299996</v>
      </c>
      <c r="I34" s="146">
        <f>IF($B34=" ","",IFERROR(INDEX(MMWR_RATING_RO_ROLLUP[],MATCH($B34,MMWR_RATING_RO_ROLLUP[MMWR_RATING_RO_ROLLUP],0),MATCH(I$9,MMWR_RATING_RO_ROLLUP[#Headers],0)),"ERROR"))</f>
        <v>85.497068453500006</v>
      </c>
      <c r="J34" s="42"/>
      <c r="K34" s="42"/>
      <c r="L34" s="42"/>
      <c r="M34" s="42"/>
      <c r="N34" s="28"/>
    </row>
    <row r="35" spans="1:14" x14ac:dyDescent="0.2">
      <c r="A35" s="43"/>
      <c r="B35" s="12" t="s">
        <v>212</v>
      </c>
      <c r="C35" s="145">
        <f>IF($B35=" ","",IFERROR(INDEX(MMWR_RATING_RO_ROLLUP[],MATCH($B35,MMWR_RATING_RO_ROLLUP[MMWR_RATING_RO_ROLLUP],0),MATCH(C$9,MMWR_RATING_RO_ROLLUP[#Headers],0)),"ERROR"))</f>
        <v>6664</v>
      </c>
      <c r="D35" s="146">
        <f>IF($B35=" ","",IFERROR(INDEX(MMWR_RATING_RO_ROLLUP[],MATCH($B35,MMWR_RATING_RO_ROLLUP[MMWR_RATING_RO_ROLLUP],0),MATCH(D$9,MMWR_RATING_RO_ROLLUP[#Headers],0)),"ERROR"))</f>
        <v>69.419267707100005</v>
      </c>
      <c r="E35" s="147">
        <f>IF($B35=" ","",IFERROR(INDEX(MMWR_RATING_RO_ROLLUP[],MATCH($B35,MMWR_RATING_RO_ROLLUP[MMWR_RATING_RO_ROLLUP],0),MATCH(E$9,MMWR_RATING_RO_ROLLUP[#Headers],0))/$C35,"ERROR"))</f>
        <v>0.11239495798319328</v>
      </c>
      <c r="F35" s="145">
        <f>IF($B35=" ","",IFERROR(INDEX(MMWR_RATING_RO_ROLLUP[],MATCH($B35,MMWR_RATING_RO_ROLLUP[MMWR_RATING_RO_ROLLUP],0),MATCH(F$9,MMWR_RATING_RO_ROLLUP[#Headers],0)),"ERROR"))</f>
        <v>1541</v>
      </c>
      <c r="G35" s="145">
        <f>IF($B35=" ","",IFERROR(INDEX(MMWR_RATING_RO_ROLLUP[],MATCH($B35,MMWR_RATING_RO_ROLLUP[MMWR_RATING_RO_ROLLUP],0),MATCH(G$9,MMWR_RATING_RO_ROLLUP[#Headers],0)),"ERROR"))</f>
        <v>11579</v>
      </c>
      <c r="H35" s="146">
        <f>IF($B35=" ","",IFERROR(INDEX(MMWR_RATING_RO_ROLLUP[],MATCH($B35,MMWR_RATING_RO_ROLLUP[MMWR_RATING_RO_ROLLUP],0),MATCH(H$9,MMWR_RATING_RO_ROLLUP[#Headers],0)),"ERROR"))</f>
        <v>79.775470473699997</v>
      </c>
      <c r="I35" s="146">
        <f>IF($B35=" ","",IFERROR(INDEX(MMWR_RATING_RO_ROLLUP[],MATCH($B35,MMWR_RATING_RO_ROLLUP[MMWR_RATING_RO_ROLLUP],0),MATCH(I$9,MMWR_RATING_RO_ROLLUP[#Headers],0)),"ERROR"))</f>
        <v>69.760601088200005</v>
      </c>
      <c r="J35" s="42"/>
      <c r="K35" s="42"/>
      <c r="L35" s="42"/>
      <c r="M35" s="42"/>
      <c r="N35" s="28"/>
    </row>
    <row r="36" spans="1:14" x14ac:dyDescent="0.2">
      <c r="A36" s="25"/>
      <c r="B36" s="12" t="s">
        <v>215</v>
      </c>
      <c r="C36" s="145">
        <f>IF($B36=" ","",IFERROR(INDEX(MMWR_RATING_RO_ROLLUP[],MATCH($B36,MMWR_RATING_RO_ROLLUP[MMWR_RATING_RO_ROLLUP],0),MATCH(C$9,MMWR_RATING_RO_ROLLUP[#Headers],0)),"ERROR"))</f>
        <v>7358</v>
      </c>
      <c r="D36" s="146">
        <f>IF($B36=" ","",IFERROR(INDEX(MMWR_RATING_RO_ROLLUP[],MATCH($B36,MMWR_RATING_RO_ROLLUP[MMWR_RATING_RO_ROLLUP],0),MATCH(D$9,MMWR_RATING_RO_ROLLUP[#Headers],0)),"ERROR"))</f>
        <v>60.848736069600001</v>
      </c>
      <c r="E36" s="147">
        <f>IF($B36=" ","",IFERROR(INDEX(MMWR_RATING_RO_ROLLUP[],MATCH($B36,MMWR_RATING_RO_ROLLUP[MMWR_RATING_RO_ROLLUP],0),MATCH(E$9,MMWR_RATING_RO_ROLLUP[#Headers],0))/$C36,"ERROR"))</f>
        <v>8.4397934221255771E-2</v>
      </c>
      <c r="F36" s="145">
        <f>IF($B36=" ","",IFERROR(INDEX(MMWR_RATING_RO_ROLLUP[],MATCH($B36,MMWR_RATING_RO_ROLLUP[MMWR_RATING_RO_ROLLUP],0),MATCH(F$9,MMWR_RATING_RO_ROLLUP[#Headers],0)),"ERROR"))</f>
        <v>2085</v>
      </c>
      <c r="G36" s="145">
        <f>IF($B36=" ","",IFERROR(INDEX(MMWR_RATING_RO_ROLLUP[],MATCH($B36,MMWR_RATING_RO_ROLLUP[MMWR_RATING_RO_ROLLUP],0),MATCH(G$9,MMWR_RATING_RO_ROLLUP[#Headers],0)),"ERROR"))</f>
        <v>15596</v>
      </c>
      <c r="H36" s="146">
        <f>IF($B36=" ","",IFERROR(INDEX(MMWR_RATING_RO_ROLLUP[],MATCH($B36,MMWR_RATING_RO_ROLLUP[MMWR_RATING_RO_ROLLUP],0),MATCH(H$9,MMWR_RATING_RO_ROLLUP[#Headers],0)),"ERROR"))</f>
        <v>63.017745803399997</v>
      </c>
      <c r="I36" s="146">
        <f>IF($B36=" ","",IFERROR(INDEX(MMWR_RATING_RO_ROLLUP[],MATCH($B36,MMWR_RATING_RO_ROLLUP[MMWR_RATING_RO_ROLLUP],0),MATCH(I$9,MMWR_RATING_RO_ROLLUP[#Headers],0)),"ERROR"))</f>
        <v>64.966722236500004</v>
      </c>
      <c r="J36" s="42"/>
      <c r="K36" s="42"/>
      <c r="L36" s="42"/>
      <c r="M36" s="42"/>
      <c r="N36" s="28"/>
    </row>
    <row r="37" spans="1:14" x14ac:dyDescent="0.2">
      <c r="A37" s="25"/>
      <c r="B37" s="13" t="s">
        <v>227</v>
      </c>
      <c r="C37" s="145">
        <f>IF($B37=" ","",IFERROR(INDEX(MMWR_RATING_RO_ROLLUP[],MATCH($B37,MMWR_RATING_RO_ROLLUP[MMWR_RATING_RO_ROLLUP],0),MATCH(C$9,MMWR_RATING_RO_ROLLUP[#Headers],0)),"ERROR"))</f>
        <v>682</v>
      </c>
      <c r="D37" s="146">
        <f>IF($B37=" ","",IFERROR(INDEX(MMWR_RATING_RO_ROLLUP[],MATCH($B37,MMWR_RATING_RO_ROLLUP[MMWR_RATING_RO_ROLLUP],0),MATCH(D$9,MMWR_RATING_RO_ROLLUP[#Headers],0)),"ERROR"))</f>
        <v>166.90469208210001</v>
      </c>
      <c r="E37" s="147">
        <f>IF($B37=" ","",IFERROR(INDEX(MMWR_RATING_RO_ROLLUP[],MATCH($B37,MMWR_RATING_RO_ROLLUP[MMWR_RATING_RO_ROLLUP],0),MATCH(E$9,MMWR_RATING_RO_ROLLUP[#Headers],0))/$C37,"ERROR"))</f>
        <v>0.46187683284457476</v>
      </c>
      <c r="F37" s="145">
        <f>IF($B37=" ","",IFERROR(INDEX(MMWR_RATING_RO_ROLLUP[],MATCH($B37,MMWR_RATING_RO_ROLLUP[MMWR_RATING_RO_ROLLUP],0),MATCH(F$9,MMWR_RATING_RO_ROLLUP[#Headers],0)),"ERROR"))</f>
        <v>193</v>
      </c>
      <c r="G37" s="145">
        <f>IF($B37=" ","",IFERROR(INDEX(MMWR_RATING_RO_ROLLUP[],MATCH($B37,MMWR_RATING_RO_ROLLUP[MMWR_RATING_RO_ROLLUP],0),MATCH(G$9,MMWR_RATING_RO_ROLLUP[#Headers],0)),"ERROR"))</f>
        <v>1484</v>
      </c>
      <c r="H37" s="146">
        <f>IF($B37=" ","",IFERROR(INDEX(MMWR_RATING_RO_ROLLUP[],MATCH($B37,MMWR_RATING_RO_ROLLUP[MMWR_RATING_RO_ROLLUP],0),MATCH(H$9,MMWR_RATING_RO_ROLLUP[#Headers],0)),"ERROR"))</f>
        <v>69.253886010399995</v>
      </c>
      <c r="I37" s="146">
        <f>IF($B37=" ","",IFERROR(INDEX(MMWR_RATING_RO_ROLLUP[],MATCH($B37,MMWR_RATING_RO_ROLLUP[MMWR_RATING_RO_ROLLUP],0),MATCH(I$9,MMWR_RATING_RO_ROLLUP[#Headers],0)),"ERROR"))</f>
        <v>54.544474393500003</v>
      </c>
      <c r="J37" s="42"/>
      <c r="K37" s="42"/>
      <c r="L37" s="42"/>
      <c r="M37" s="42"/>
      <c r="N37" s="28"/>
    </row>
    <row r="38" spans="1:14" x14ac:dyDescent="0.2">
      <c r="A38" s="25"/>
      <c r="B38" s="366" t="s">
        <v>912</v>
      </c>
      <c r="C38" s="367"/>
      <c r="D38" s="367"/>
      <c r="E38" s="367"/>
      <c r="F38" s="367"/>
      <c r="G38" s="367"/>
      <c r="H38" s="367"/>
      <c r="I38" s="367"/>
      <c r="J38" s="367"/>
      <c r="K38" s="367"/>
      <c r="L38" s="367"/>
      <c r="M38" s="417"/>
      <c r="N38" s="28"/>
    </row>
    <row r="39" spans="1:14" x14ac:dyDescent="0.2">
      <c r="A39" s="25"/>
      <c r="B39" s="44" t="s">
        <v>693</v>
      </c>
      <c r="C39" s="145">
        <f>IF($B39=" ","",IFERROR(INDEX(MMWR_RATING_RO_ROLLUP[],MATCH($B39,MMWR_RATING_RO_ROLLUP[MMWR_RATING_RO_ROLLUP],0),MATCH(C$9,MMWR_RATING_RO_ROLLUP[#Headers],0)),"ERROR"))</f>
        <v>10736</v>
      </c>
      <c r="D39" s="146">
        <f>IF($B39=" ","",IFERROR(INDEX(MMWR_RATING_RO_ROLLUP[],MATCH($B39,MMWR_RATING_RO_ROLLUP[MMWR_RATING_RO_ROLLUP],0),MATCH(D$9,MMWR_RATING_RO_ROLLUP[#Headers],0)),"ERROR"))</f>
        <v>88.494970193699999</v>
      </c>
      <c r="E39" s="147">
        <f>IF($B39=" ","",IFERROR(INDEX(MMWR_RATING_RO_ROLLUP[],MATCH($B39,MMWR_RATING_RO_ROLLUP[MMWR_RATING_RO_ROLLUP],0),MATCH(E$9,MMWR_RATING_RO_ROLLUP[#Headers],0))/$C39,"ERROR"))</f>
        <v>0.23379284649776452</v>
      </c>
      <c r="F39" s="145">
        <f>IF($B39=" ","",IFERROR(INDEX(MMWR_RATING_RO_ROLLUP[],MATCH($B39,MMWR_RATING_RO_ROLLUP[MMWR_RATING_RO_ROLLUP],0),MATCH(F$9,MMWR_RATING_RO_ROLLUP[#Headers],0)),"ERROR"))</f>
        <v>823</v>
      </c>
      <c r="G39" s="145">
        <f>IF($B39=" ","",IFERROR(INDEX(MMWR_RATING_RO_ROLLUP[],MATCH($B39,MMWR_RATING_RO_ROLLUP[MMWR_RATING_RO_ROLLUP],0),MATCH(G$9,MMWR_RATING_RO_ROLLUP[#Headers],0)),"ERROR"))</f>
        <v>5559</v>
      </c>
      <c r="H39" s="146">
        <f>IF($B39=" ","",IFERROR(INDEX(MMWR_RATING_RO_ROLLUP[],MATCH($B39,MMWR_RATING_RO_ROLLUP[MMWR_RATING_RO_ROLLUP],0),MATCH(H$9,MMWR_RATING_RO_ROLLUP[#Headers],0)),"ERROR"))</f>
        <v>159.86269744840001</v>
      </c>
      <c r="I39" s="146">
        <f>IF($B39=" ","",IFERROR(INDEX(MMWR_RATING_RO_ROLLUP[],MATCH($B39,MMWR_RATING_RO_ROLLUP[MMWR_RATING_RO_ROLLUP],0),MATCH(I$9,MMWR_RATING_RO_ROLLUP[#Headers],0)),"ERROR"))</f>
        <v>143.17880913830001</v>
      </c>
      <c r="J39" s="42"/>
      <c r="K39" s="42"/>
      <c r="L39" s="42"/>
      <c r="M39" s="42"/>
      <c r="N39" s="28"/>
    </row>
    <row r="40" spans="1:14" x14ac:dyDescent="0.2">
      <c r="A40" s="25"/>
      <c r="B40" s="53" t="s">
        <v>952</v>
      </c>
      <c r="C40" s="145">
        <f>IF($B40=" ","",IFERROR(INDEX(MMWR_RATING_RO_ROLLUP[],MATCH($B40,MMWR_RATING_RO_ROLLUP[MMWR_RATING_RO_ROLLUP],0),MATCH(C$9,MMWR_RATING_RO_ROLLUP[#Headers],0)),"ERROR"))</f>
        <v>1765</v>
      </c>
      <c r="D40" s="146">
        <f>IF($B40=" ","",IFERROR(INDEX(MMWR_RATING_RO_ROLLUP[],MATCH($B40,MMWR_RATING_RO_ROLLUP[MMWR_RATING_RO_ROLLUP],0),MATCH(D$9,MMWR_RATING_RO_ROLLUP[#Headers],0)),"ERROR"))</f>
        <v>86.669688385300006</v>
      </c>
      <c r="E40" s="147">
        <f>IF($B40=" ","",IFERROR(INDEX(MMWR_RATING_RO_ROLLUP[],MATCH($B40,MMWR_RATING_RO_ROLLUP[MMWR_RATING_RO_ROLLUP],0),MATCH(E$9,MMWR_RATING_RO_ROLLUP[#Headers],0))/$C40,"ERROR"))</f>
        <v>0.21926345609065157</v>
      </c>
      <c r="F40" s="145">
        <f>IF($B40=" ","",IFERROR(INDEX(MMWR_RATING_RO_ROLLUP[],MATCH($B40,MMWR_RATING_RO_ROLLUP[MMWR_RATING_RO_ROLLUP],0),MATCH(F$9,MMWR_RATING_RO_ROLLUP[#Headers],0)),"ERROR"))</f>
        <v>146</v>
      </c>
      <c r="G40" s="145">
        <f>IF($B40=" ","",IFERROR(INDEX(MMWR_RATING_RO_ROLLUP[],MATCH($B40,MMWR_RATING_RO_ROLLUP[MMWR_RATING_RO_ROLLUP],0),MATCH(G$9,MMWR_RATING_RO_ROLLUP[#Headers],0)),"ERROR"))</f>
        <v>1213</v>
      </c>
      <c r="H40" s="146">
        <f>IF($B40=" ","",IFERROR(INDEX(MMWR_RATING_RO_ROLLUP[],MATCH($B40,MMWR_RATING_RO_ROLLUP[MMWR_RATING_RO_ROLLUP],0),MATCH(H$9,MMWR_RATING_RO_ROLLUP[#Headers],0)),"ERROR"))</f>
        <v>151.52054794520001</v>
      </c>
      <c r="I40" s="146">
        <f>IF($B40=" ","",IFERROR(INDEX(MMWR_RATING_RO_ROLLUP[],MATCH($B40,MMWR_RATING_RO_ROLLUP[MMWR_RATING_RO_ROLLUP],0),MATCH(I$9,MMWR_RATING_RO_ROLLUP[#Headers],0)),"ERROR"))</f>
        <v>126.6900247321</v>
      </c>
      <c r="J40" s="42"/>
      <c r="K40" s="42"/>
      <c r="L40" s="42"/>
      <c r="M40" s="42"/>
      <c r="N40" s="28"/>
    </row>
    <row r="41" spans="1:14" x14ac:dyDescent="0.2">
      <c r="A41" s="25"/>
      <c r="B41" s="53" t="s">
        <v>953</v>
      </c>
      <c r="C41" s="145">
        <f>IF($B41=" ","",IFERROR(INDEX(MMWR_RATING_RO_ROLLUP[],MATCH($B41,MMWR_RATING_RO_ROLLUP[MMWR_RATING_RO_ROLLUP],0),MATCH(C$9,MMWR_RATING_RO_ROLLUP[#Headers],0)),"ERROR"))</f>
        <v>1725</v>
      </c>
      <c r="D41" s="146">
        <f>IF($B41=" ","",IFERROR(INDEX(MMWR_RATING_RO_ROLLUP[],MATCH($B41,MMWR_RATING_RO_ROLLUP[MMWR_RATING_RO_ROLLUP],0),MATCH(D$9,MMWR_RATING_RO_ROLLUP[#Headers],0)),"ERROR"))</f>
        <v>93.765797101399997</v>
      </c>
      <c r="E41" s="147">
        <f>IF($B41=" ","",IFERROR(INDEX(MMWR_RATING_RO_ROLLUP[],MATCH($B41,MMWR_RATING_RO_ROLLUP[MMWR_RATING_RO_ROLLUP],0),MATCH(E$9,MMWR_RATING_RO_ROLLUP[#Headers],0))/$C41,"ERROR"))</f>
        <v>0.28115942028985508</v>
      </c>
      <c r="F41" s="145">
        <f>IF($B41=" ","",IFERROR(INDEX(MMWR_RATING_RO_ROLLUP[],MATCH($B41,MMWR_RATING_RO_ROLLUP[MMWR_RATING_RO_ROLLUP],0),MATCH(F$9,MMWR_RATING_RO_ROLLUP[#Headers],0)),"ERROR"))</f>
        <v>157</v>
      </c>
      <c r="G41" s="145">
        <f>IF($B41=" ","",IFERROR(INDEX(MMWR_RATING_RO_ROLLUP[],MATCH($B41,MMWR_RATING_RO_ROLLUP[MMWR_RATING_RO_ROLLUP],0),MATCH(G$9,MMWR_RATING_RO_ROLLUP[#Headers],0)),"ERROR"))</f>
        <v>1011</v>
      </c>
      <c r="H41" s="146">
        <f>IF($B41=" ","",IFERROR(INDEX(MMWR_RATING_RO_ROLLUP[],MATCH($B41,MMWR_RATING_RO_ROLLUP[MMWR_RATING_RO_ROLLUP],0),MATCH(H$9,MMWR_RATING_RO_ROLLUP[#Headers],0)),"ERROR"))</f>
        <v>160.15923566879999</v>
      </c>
      <c r="I41" s="146">
        <f>IF($B41=" ","",IFERROR(INDEX(MMWR_RATING_RO_ROLLUP[],MATCH($B41,MMWR_RATING_RO_ROLLUP[MMWR_RATING_RO_ROLLUP],0),MATCH(I$9,MMWR_RATING_RO_ROLLUP[#Headers],0)),"ERROR"))</f>
        <v>153.33728981210001</v>
      </c>
      <c r="J41" s="42"/>
      <c r="K41" s="42"/>
      <c r="L41" s="42"/>
      <c r="M41" s="42"/>
      <c r="N41" s="28"/>
    </row>
    <row r="42" spans="1:14" x14ac:dyDescent="0.2">
      <c r="A42" s="25"/>
      <c r="B42" s="46" t="s">
        <v>305</v>
      </c>
      <c r="C42" s="145">
        <f>IF($B42=" ","",IFERROR(INDEX(MMWR_RATING_RO_ROLLUP[],MATCH($B42,MMWR_RATING_RO_ROLLUP[MMWR_RATING_RO_ROLLUP],0),MATCH(C$9,MMWR_RATING_RO_ROLLUP[#Headers],0)),"ERROR"))</f>
        <v>7246</v>
      </c>
      <c r="D42" s="146">
        <f>IF($B42=" ","",IFERROR(INDEX(MMWR_RATING_RO_ROLLUP[],MATCH($B42,MMWR_RATING_RO_ROLLUP[MMWR_RATING_RO_ROLLUP],0),MATCH(D$9,MMWR_RATING_RO_ROLLUP[#Headers],0)),"ERROR"))</f>
        <v>87.684791609200005</v>
      </c>
      <c r="E42" s="147">
        <f>IF($B42=" ","",IFERROR(INDEX(MMWR_RATING_RO_ROLLUP[],MATCH($B42,MMWR_RATING_RO_ROLLUP[MMWR_RATING_RO_ROLLUP],0),MATCH(E$9,MMWR_RATING_RO_ROLLUP[#Headers],0))/$C42,"ERROR"))</f>
        <v>0.22605575489925475</v>
      </c>
      <c r="F42" s="145">
        <f>IF($B42=" ","",IFERROR(INDEX(MMWR_RATING_RO_ROLLUP[],MATCH($B42,MMWR_RATING_RO_ROLLUP[MMWR_RATING_RO_ROLLUP],0),MATCH(F$9,MMWR_RATING_RO_ROLLUP[#Headers],0)),"ERROR"))</f>
        <v>520</v>
      </c>
      <c r="G42" s="145">
        <f>IF($B42=" ","",IFERROR(INDEX(MMWR_RATING_RO_ROLLUP[],MATCH($B42,MMWR_RATING_RO_ROLLUP[MMWR_RATING_RO_ROLLUP],0),MATCH(G$9,MMWR_RATING_RO_ROLLUP[#Headers],0)),"ERROR"))</f>
        <v>3335</v>
      </c>
      <c r="H42" s="146">
        <f>IF($B42=" ","",IFERROR(INDEX(MMWR_RATING_RO_ROLLUP[],MATCH($B42,MMWR_RATING_RO_ROLLUP[MMWR_RATING_RO_ROLLUP],0),MATCH(H$9,MMWR_RATING_RO_ROLLUP[#Headers],0)),"ERROR"))</f>
        <v>162.11538461539999</v>
      </c>
      <c r="I42" s="146">
        <f>IF($B42=" ","",IFERROR(INDEX(MMWR_RATING_RO_ROLLUP[],MATCH($B42,MMWR_RATING_RO_ROLLUP[MMWR_RATING_RO_ROLLUP],0),MATCH(I$9,MMWR_RATING_RO_ROLLUP[#Headers],0)),"ERROR"))</f>
        <v>146.09655172410001</v>
      </c>
      <c r="J42" s="42"/>
      <c r="K42" s="42"/>
      <c r="L42" s="42"/>
      <c r="M42" s="42"/>
      <c r="N42" s="28"/>
    </row>
    <row r="43" spans="1:14" x14ac:dyDescent="0.2">
      <c r="A43" s="25"/>
      <c r="B43" s="366" t="s">
        <v>730</v>
      </c>
      <c r="C43" s="367"/>
      <c r="D43" s="367"/>
      <c r="E43" s="367"/>
      <c r="F43" s="367"/>
      <c r="G43" s="367"/>
      <c r="H43" s="367"/>
      <c r="I43" s="367"/>
      <c r="J43" s="367"/>
      <c r="K43" s="367"/>
      <c r="L43" s="367"/>
      <c r="M43" s="417"/>
      <c r="N43" s="28"/>
    </row>
    <row r="44" spans="1:14" x14ac:dyDescent="0.2">
      <c r="A44" s="25"/>
      <c r="B44" s="44" t="s">
        <v>691</v>
      </c>
      <c r="C44" s="145">
        <f>IF($B44=" ","",IFERROR(INDEX(MMWR_RATING_RO_ROLLUP[],MATCH($B44,MMWR_RATING_RO_ROLLUP[MMWR_RATING_RO_ROLLUP],0),MATCH(C$9,MMWR_RATING_RO_ROLLUP[#Headers],0)),"ERROR"))</f>
        <v>11382</v>
      </c>
      <c r="D44" s="146">
        <f>IF($B44=" ","",IFERROR(INDEX(MMWR_RATING_RO_ROLLUP[],MATCH($B44,MMWR_RATING_RO_ROLLUP[MMWR_RATING_RO_ROLLUP],0),MATCH(D$9,MMWR_RATING_RO_ROLLUP[#Headers],0)),"ERROR"))</f>
        <v>87.093744508900002</v>
      </c>
      <c r="E44" s="147">
        <f>IF($B44=" ","",IFERROR(INDEX(MMWR_RATING_RO_ROLLUP[],MATCH($B44,MMWR_RATING_RO_ROLLUP[MMWR_RATING_RO_ROLLUP],0),MATCH(E$9,MMWR_RATING_RO_ROLLUP[#Headers],0))/$C44,"ERROR"))</f>
        <v>0.23475663328061852</v>
      </c>
      <c r="F44" s="145">
        <f>IF($B44=" ","",IFERROR(INDEX(MMWR_RATING_RO_ROLLUP[],MATCH($B44,MMWR_RATING_RO_ROLLUP[MMWR_RATING_RO_ROLLUP],0),MATCH(F$9,MMWR_RATING_RO_ROLLUP[#Headers],0)),"ERROR"))</f>
        <v>995</v>
      </c>
      <c r="G44" s="145">
        <f>IF($B44=" ","",IFERROR(INDEX(MMWR_RATING_RO_ROLLUP[],MATCH($B44,MMWR_RATING_RO_ROLLUP[MMWR_RATING_RO_ROLLUP],0),MATCH(G$9,MMWR_RATING_RO_ROLLUP[#Headers],0)),"ERROR"))</f>
        <v>6882</v>
      </c>
      <c r="H44" s="146">
        <f>IF($B44=" ","",IFERROR(INDEX(MMWR_RATING_RO_ROLLUP[],MATCH($B44,MMWR_RATING_RO_ROLLUP[MMWR_RATING_RO_ROLLUP],0),MATCH(H$9,MMWR_RATING_RO_ROLLUP[#Headers],0)),"ERROR"))</f>
        <v>148.26331658289999</v>
      </c>
      <c r="I44" s="146">
        <f>IF($B44=" ","",IFERROR(INDEX(MMWR_RATING_RO_ROLLUP[],MATCH($B44,MMWR_RATING_RO_ROLLUP[MMWR_RATING_RO_ROLLUP],0),MATCH(I$9,MMWR_RATING_RO_ROLLUP[#Headers],0)),"ERROR"))</f>
        <v>135.64399883749999</v>
      </c>
      <c r="J44" s="42"/>
      <c r="K44" s="42"/>
      <c r="L44" s="42"/>
      <c r="M44" s="42"/>
      <c r="N44" s="28"/>
    </row>
    <row r="45" spans="1:14" x14ac:dyDescent="0.2">
      <c r="A45" s="25"/>
      <c r="B45" s="45" t="s">
        <v>214</v>
      </c>
      <c r="C45" s="145">
        <f>IF($B45=" ","",IFERROR(INDEX(MMWR_RATING_RO_ROLLUP[],MATCH($B45,MMWR_RATING_RO_ROLLUP[MMWR_RATING_RO_ROLLUP],0),MATCH(C$9,MMWR_RATING_RO_ROLLUP[#Headers],0)),"ERROR"))</f>
        <v>69</v>
      </c>
      <c r="D45" s="146">
        <f>IF($B45=" ","",IFERROR(INDEX(MMWR_RATING_RO_ROLLUP[],MATCH($B45,MMWR_RATING_RO_ROLLUP[MMWR_RATING_RO_ROLLUP],0),MATCH(D$9,MMWR_RATING_RO_ROLLUP[#Headers],0)),"ERROR"))</f>
        <v>99.637681159400003</v>
      </c>
      <c r="E45" s="147">
        <f>IF($B45=" ","",IFERROR(INDEX(MMWR_RATING_RO_ROLLUP[],MATCH($B45,MMWR_RATING_RO_ROLLUP[MMWR_RATING_RO_ROLLUP],0),MATCH(E$9,MMWR_RATING_RO_ROLLUP[#Headers],0))/$C45,"ERROR"))</f>
        <v>0.28985507246376813</v>
      </c>
      <c r="F45" s="145">
        <f>IF($B45=" ","",IFERROR(INDEX(MMWR_RATING_RO_ROLLUP[],MATCH($B45,MMWR_RATING_RO_ROLLUP[MMWR_RATING_RO_ROLLUP],0),MATCH(F$9,MMWR_RATING_RO_ROLLUP[#Headers],0)),"ERROR"))</f>
        <v>8</v>
      </c>
      <c r="G45" s="145">
        <f>IF($B45=" ","",IFERROR(INDEX(MMWR_RATING_RO_ROLLUP[],MATCH($B45,MMWR_RATING_RO_ROLLUP[MMWR_RATING_RO_ROLLUP],0),MATCH(G$9,MMWR_RATING_RO_ROLLUP[#Headers],0)),"ERROR"))</f>
        <v>46</v>
      </c>
      <c r="H45" s="146">
        <f>IF($B45=" ","",IFERROR(INDEX(MMWR_RATING_RO_ROLLUP[],MATCH($B45,MMWR_RATING_RO_ROLLUP[MMWR_RATING_RO_ROLLUP],0),MATCH(H$9,MMWR_RATING_RO_ROLLUP[#Headers],0)),"ERROR"))</f>
        <v>118.375</v>
      </c>
      <c r="I45" s="146">
        <f>IF($B45=" ","",IFERROR(INDEX(MMWR_RATING_RO_ROLLUP[],MATCH($B45,MMWR_RATING_RO_ROLLUP[MMWR_RATING_RO_ROLLUP],0),MATCH(I$9,MMWR_RATING_RO_ROLLUP[#Headers],0)),"ERROR"))</f>
        <v>144.3913043478</v>
      </c>
      <c r="J45" s="42"/>
      <c r="K45" s="42"/>
      <c r="L45" s="42"/>
      <c r="M45" s="42"/>
      <c r="N45" s="28"/>
    </row>
    <row r="46" spans="1:14" x14ac:dyDescent="0.2">
      <c r="A46" s="25"/>
      <c r="B46" s="45" t="s">
        <v>216</v>
      </c>
      <c r="C46" s="145">
        <f>IF($B46=" ","",IFERROR(INDEX(MMWR_RATING_RO_ROLLUP[],MATCH($B46,MMWR_RATING_RO_ROLLUP[MMWR_RATING_RO_ROLLUP],0),MATCH(C$9,MMWR_RATING_RO_ROLLUP[#Headers],0)),"ERROR"))</f>
        <v>1753</v>
      </c>
      <c r="D46" s="146">
        <f>IF($B46=" ","",IFERROR(INDEX(MMWR_RATING_RO_ROLLUP[],MATCH($B46,MMWR_RATING_RO_ROLLUP[MMWR_RATING_RO_ROLLUP],0),MATCH(D$9,MMWR_RATING_RO_ROLLUP[#Headers],0)),"ERROR"))</f>
        <v>90.396463205900005</v>
      </c>
      <c r="E46" s="147">
        <f>IF($B46=" ","",IFERROR(INDEX(MMWR_RATING_RO_ROLLUP[],MATCH($B46,MMWR_RATING_RO_ROLLUP[MMWR_RATING_RO_ROLLUP],0),MATCH(E$9,MMWR_RATING_RO_ROLLUP[#Headers],0))/$C46,"ERROR"))</f>
        <v>0.29663434112949227</v>
      </c>
      <c r="F46" s="145">
        <f>IF($B46=" ","",IFERROR(INDEX(MMWR_RATING_RO_ROLLUP[],MATCH($B46,MMWR_RATING_RO_ROLLUP[MMWR_RATING_RO_ROLLUP],0),MATCH(F$9,MMWR_RATING_RO_ROLLUP[#Headers],0)),"ERROR"))</f>
        <v>177</v>
      </c>
      <c r="G46" s="145">
        <f>IF($B46=" ","",IFERROR(INDEX(MMWR_RATING_RO_ROLLUP[],MATCH($B46,MMWR_RATING_RO_ROLLUP[MMWR_RATING_RO_ROLLUP],0),MATCH(G$9,MMWR_RATING_RO_ROLLUP[#Headers],0)),"ERROR"))</f>
        <v>1334</v>
      </c>
      <c r="H46" s="146">
        <f>IF($B46=" ","",IFERROR(INDEX(MMWR_RATING_RO_ROLLUP[],MATCH($B46,MMWR_RATING_RO_ROLLUP[MMWR_RATING_RO_ROLLUP],0),MATCH(H$9,MMWR_RATING_RO_ROLLUP[#Headers],0)),"ERROR"))</f>
        <v>152.98305084750001</v>
      </c>
      <c r="I46" s="146">
        <f>IF($B46=" ","",IFERROR(INDEX(MMWR_RATING_RO_ROLLUP[],MATCH($B46,MMWR_RATING_RO_ROLLUP[MMWR_RATING_RO_ROLLUP],0),MATCH(I$9,MMWR_RATING_RO_ROLLUP[#Headers],0)),"ERROR"))</f>
        <v>144.2316341829</v>
      </c>
      <c r="J46" s="42"/>
      <c r="K46" s="42"/>
      <c r="L46" s="42"/>
      <c r="M46" s="42"/>
      <c r="N46" s="28"/>
    </row>
    <row r="47" spans="1:14" x14ac:dyDescent="0.2">
      <c r="A47" s="25"/>
      <c r="B47" s="47" t="s">
        <v>306</v>
      </c>
      <c r="C47" s="145">
        <f>IF($B47=" ","",IFERROR(INDEX(MMWR_RATING_RO_ROLLUP[],MATCH($B47,MMWR_RATING_RO_ROLLUP[MMWR_RATING_RO_ROLLUP],0),MATCH(C$9,MMWR_RATING_RO_ROLLUP[#Headers],0)),"ERROR"))</f>
        <v>9560</v>
      </c>
      <c r="D47" s="146">
        <f>IF($B47=" ","",IFERROR(INDEX(MMWR_RATING_RO_ROLLUP[],MATCH($B47,MMWR_RATING_RO_ROLLUP[MMWR_RATING_RO_ROLLUP],0),MATCH(D$9,MMWR_RATING_RO_ROLLUP[#Headers],0)),"ERROR"))</f>
        <v>86.397594142299994</v>
      </c>
      <c r="E47" s="147">
        <f>IF($B47=" ","",IFERROR(INDEX(MMWR_RATING_RO_ROLLUP[],MATCH($B47,MMWR_RATING_RO_ROLLUP[MMWR_RATING_RO_ROLLUP],0),MATCH(E$9,MMWR_RATING_RO_ROLLUP[#Headers],0))/$C47,"ERROR"))</f>
        <v>0.22301255230125522</v>
      </c>
      <c r="F47" s="145">
        <f>IF($B47=" ","",IFERROR(INDEX(MMWR_RATING_RO_ROLLUP[],MATCH($B47,MMWR_RATING_RO_ROLLUP[MMWR_RATING_RO_ROLLUP],0),MATCH(F$9,MMWR_RATING_RO_ROLLUP[#Headers],0)),"ERROR"))</f>
        <v>810</v>
      </c>
      <c r="G47" s="145">
        <f>IF($B47=" ","",IFERROR(INDEX(MMWR_RATING_RO_ROLLUP[],MATCH($B47,MMWR_RATING_RO_ROLLUP[MMWR_RATING_RO_ROLLUP],0),MATCH(G$9,MMWR_RATING_RO_ROLLUP[#Headers],0)),"ERROR"))</f>
        <v>5502</v>
      </c>
      <c r="H47" s="146">
        <f>IF($B47=" ","",IFERROR(INDEX(MMWR_RATING_RO_ROLLUP[],MATCH($B47,MMWR_RATING_RO_ROLLUP[MMWR_RATING_RO_ROLLUP],0),MATCH(H$9,MMWR_RATING_RO_ROLLUP[#Headers],0)),"ERROR"))</f>
        <v>147.52716049380001</v>
      </c>
      <c r="I47" s="146">
        <f>IF($B47=" ","",IFERROR(INDEX(MMWR_RATING_RO_ROLLUP[],MATCH($B47,MMWR_RATING_RO_ROLLUP[MMWR_RATING_RO_ROLLUP],0),MATCH(I$9,MMWR_RATING_RO_ROLLUP[#Headers],0)),"ERROR"))</f>
        <v>133.48873137039999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27" priority="4">
      <formula>IF(OR(ISERROR(A1048576),A1="ERROR"),TRUE,FALSE)</formula>
    </cfRule>
  </conditionalFormatting>
  <conditionalFormatting sqref="B4">
    <cfRule type="expression" dxfId="426" priority="2">
      <formula>IF(OR(ISERROR(B4),B4="ERROR"),TRUE,FALSE)</formula>
    </cfRule>
  </conditionalFormatting>
  <conditionalFormatting sqref="C5:O5">
    <cfRule type="expression" dxfId="425"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80" t="s">
        <v>974</v>
      </c>
      <c r="D2" s="381"/>
      <c r="E2" s="381"/>
      <c r="F2" s="381"/>
      <c r="G2" s="381"/>
      <c r="H2" s="381"/>
      <c r="I2" s="381"/>
      <c r="J2" s="380" t="s">
        <v>298</v>
      </c>
      <c r="K2" s="381"/>
      <c r="L2" s="381"/>
      <c r="M2" s="382"/>
      <c r="N2" s="28"/>
    </row>
    <row r="3" spans="1:15" ht="24" customHeight="1" thickBot="1" x14ac:dyDescent="0.4">
      <c r="A3" s="25"/>
      <c r="B3" s="29"/>
      <c r="C3" s="383"/>
      <c r="D3" s="384"/>
      <c r="E3" s="384"/>
      <c r="F3" s="384"/>
      <c r="G3" s="384"/>
      <c r="H3" s="384"/>
      <c r="I3" s="384"/>
      <c r="J3" s="383" t="str">
        <f>Transformation!B4</f>
        <v>As of: January 16, 2016</v>
      </c>
      <c r="K3" s="384"/>
      <c r="L3" s="384"/>
      <c r="M3" s="385"/>
      <c r="N3" s="28"/>
    </row>
    <row r="4" spans="1:15" ht="51.75" customHeight="1" thickBot="1" x14ac:dyDescent="0.35">
      <c r="A4" s="30"/>
      <c r="B4" s="218" t="s">
        <v>451</v>
      </c>
      <c r="C4" s="386" t="s">
        <v>427</v>
      </c>
      <c r="D4" s="387"/>
      <c r="E4" s="387"/>
      <c r="F4" s="387"/>
      <c r="G4" s="387"/>
      <c r="H4" s="387"/>
      <c r="I4" s="387"/>
      <c r="J4" s="387"/>
      <c r="K4" s="387"/>
      <c r="L4" s="387"/>
      <c r="M4" s="388"/>
      <c r="N4" s="28"/>
    </row>
    <row r="5" spans="1:15" ht="27" customHeight="1" thickBot="1" x14ac:dyDescent="0.25">
      <c r="A5" s="30"/>
      <c r="B5" s="217" t="s">
        <v>365</v>
      </c>
      <c r="C5" s="389" t="s">
        <v>1038</v>
      </c>
      <c r="D5" s="390"/>
      <c r="E5" s="390"/>
      <c r="F5" s="390"/>
      <c r="G5" s="390"/>
      <c r="H5" s="390"/>
      <c r="I5" s="390"/>
      <c r="J5" s="390"/>
      <c r="K5" s="390"/>
      <c r="L5" s="390"/>
      <c r="M5" s="390"/>
      <c r="N5" s="390"/>
      <c r="O5" s="391"/>
    </row>
    <row r="6" spans="1:15" ht="55.5" customHeight="1" x14ac:dyDescent="0.2">
      <c r="A6" s="30"/>
      <c r="B6" s="31"/>
      <c r="C6" s="32" t="s">
        <v>193</v>
      </c>
      <c r="D6" s="392" t="s">
        <v>16</v>
      </c>
      <c r="E6" s="393"/>
      <c r="F6" s="33" t="s">
        <v>196</v>
      </c>
      <c r="G6" s="392" t="s">
        <v>201</v>
      </c>
      <c r="H6" s="394"/>
      <c r="I6" s="33" t="s">
        <v>199</v>
      </c>
      <c r="J6" s="49" t="s">
        <v>14</v>
      </c>
      <c r="K6" s="33" t="s">
        <v>204</v>
      </c>
      <c r="L6" s="398" t="s">
        <v>88</v>
      </c>
      <c r="M6" s="411"/>
      <c r="N6" s="28"/>
    </row>
    <row r="7" spans="1:15" ht="51.75" customHeight="1" x14ac:dyDescent="0.2">
      <c r="A7" s="30"/>
      <c r="B7" s="34"/>
      <c r="C7" s="35" t="s">
        <v>194</v>
      </c>
      <c r="D7" s="368" t="s">
        <v>0</v>
      </c>
      <c r="E7" s="369"/>
      <c r="F7" s="36" t="s">
        <v>197</v>
      </c>
      <c r="G7" s="370" t="s">
        <v>202</v>
      </c>
      <c r="H7" s="370"/>
      <c r="I7" s="36" t="s">
        <v>200</v>
      </c>
      <c r="J7" s="50" t="s">
        <v>19</v>
      </c>
      <c r="K7" s="36" t="s">
        <v>205</v>
      </c>
      <c r="L7" s="412" t="s">
        <v>90</v>
      </c>
      <c r="M7" s="413"/>
      <c r="N7" s="28"/>
    </row>
    <row r="8" spans="1:15" ht="51.75" customHeight="1" thickBot="1" x14ac:dyDescent="0.25">
      <c r="A8" s="25"/>
      <c r="B8" s="28"/>
      <c r="C8" s="37" t="s">
        <v>195</v>
      </c>
      <c r="D8" s="371" t="s">
        <v>18</v>
      </c>
      <c r="E8" s="372"/>
      <c r="F8" s="38" t="s">
        <v>198</v>
      </c>
      <c r="G8" s="373" t="s">
        <v>17</v>
      </c>
      <c r="H8" s="373"/>
      <c r="I8" s="38" t="s">
        <v>203</v>
      </c>
      <c r="J8" s="51" t="s">
        <v>87</v>
      </c>
      <c r="K8" s="38" t="s">
        <v>206</v>
      </c>
      <c r="L8" s="414" t="s">
        <v>89</v>
      </c>
      <c r="M8" s="415"/>
      <c r="N8" s="28"/>
    </row>
    <row r="9" spans="1:15" x14ac:dyDescent="0.2">
      <c r="A9" s="28"/>
      <c r="B9" s="39"/>
      <c r="C9" s="39" t="s">
        <v>710</v>
      </c>
      <c r="D9" s="39" t="s">
        <v>712</v>
      </c>
      <c r="E9" s="39" t="s">
        <v>711</v>
      </c>
      <c r="F9" s="39" t="s">
        <v>714</v>
      </c>
      <c r="G9" s="39" t="s">
        <v>713</v>
      </c>
      <c r="H9" s="39" t="s">
        <v>716</v>
      </c>
      <c r="I9" s="39" t="s">
        <v>715</v>
      </c>
      <c r="J9" s="39"/>
      <c r="K9" s="39"/>
      <c r="L9" s="39"/>
      <c r="M9" s="39"/>
      <c r="N9" s="39"/>
    </row>
    <row r="10" spans="1:15" ht="15.75" customHeight="1" x14ac:dyDescent="0.2">
      <c r="A10" s="25"/>
      <c r="B10" s="26"/>
      <c r="C10" s="374" t="s">
        <v>291</v>
      </c>
      <c r="D10" s="374"/>
      <c r="E10" s="374"/>
      <c r="F10" s="374"/>
      <c r="G10" s="374"/>
      <c r="H10" s="374"/>
      <c r="I10" s="374"/>
      <c r="J10" s="374"/>
      <c r="K10" s="374"/>
      <c r="L10" s="374"/>
      <c r="M10" s="416"/>
      <c r="N10" s="28"/>
    </row>
    <row r="11" spans="1:15" ht="63.75" customHeight="1" x14ac:dyDescent="0.2">
      <c r="A11" s="25"/>
      <c r="B11" s="26"/>
      <c r="C11" s="52" t="s">
        <v>229</v>
      </c>
      <c r="D11" s="52" t="s">
        <v>137</v>
      </c>
      <c r="E11" s="52" t="s">
        <v>230</v>
      </c>
      <c r="F11" s="52" t="s">
        <v>192</v>
      </c>
      <c r="G11" s="52" t="s">
        <v>207</v>
      </c>
      <c r="H11" s="52" t="s">
        <v>209</v>
      </c>
      <c r="I11" s="52" t="s">
        <v>210</v>
      </c>
      <c r="J11" s="418" t="s">
        <v>968</v>
      </c>
      <c r="K11" s="419"/>
      <c r="L11" s="419"/>
      <c r="M11" s="420"/>
      <c r="N11" s="28"/>
    </row>
    <row r="12" spans="1:15" x14ac:dyDescent="0.2">
      <c r="A12" s="25"/>
      <c r="B12" s="41" t="s">
        <v>725</v>
      </c>
      <c r="C12" s="145">
        <f>IF($B12=" ","",IFERROR(INDEX(MMWR_RATING_STATE_ROLLUP_VSC[],MATCH($B12,MMWR_RATING_STATE_ROLLUP_VSC[MMWR_RATING_STATE_ROLLUP_VSC],0),MATCH(C$9,MMWR_RATING_STATE_ROLLUP_VSC[#Headers],0)),"ERROR"))</f>
        <v>360593</v>
      </c>
      <c r="D12" s="146">
        <f>IF($B12=" ","",IFERROR(INDEX(MMWR_RATING_STATE_ROLLUP_VSC[],MATCH($B12,MMWR_RATING_STATE_ROLLUP_VSC[MMWR_RATING_STATE_ROLLUP_VSC],0),MATCH(D$9,MMWR_RATING_STATE_ROLLUP_VSC[#Headers],0)),"ERROR"))</f>
        <v>92.749781609699994</v>
      </c>
      <c r="E12" s="149">
        <f>IF($B12=" ","",IFERROR(INDEX(MMWR_RATING_STATE_ROLLUP_VSC[],MATCH($B12,MMWR_RATING_STATE_ROLLUP_VSC[MMWR_RATING_STATE_ROLLUP_VSC],0),MATCH(E$9,MMWR_RATING_STATE_ROLLUP_VSC[#Headers],0))/$C12,"ERROR"))</f>
        <v>0.21662372813670813</v>
      </c>
      <c r="F12" s="145">
        <f>IF($B12=" ","",IFERROR(INDEX(MMWR_RATING_STATE_ROLLUP_VSC[],MATCH($B12,MMWR_RATING_STATE_ROLLUP_VSC[MMWR_RATING_STATE_ROLLUP_VSC],0),MATCH(F$9,MMWR_RATING_STATE_ROLLUP_VSC[#Headers],0)),"ERROR"))</f>
        <v>50172</v>
      </c>
      <c r="G12" s="145">
        <f>IF($B12=" ","",IFERROR(INDEX(MMWR_RATING_STATE_ROLLUP_VSC[],MATCH($B12,MMWR_RATING_STATE_ROLLUP_VSC[MMWR_RATING_STATE_ROLLUP_VSC],0),MATCH(G$9,MMWR_RATING_STATE_ROLLUP_VSC[#Headers],0)),"ERROR"))</f>
        <v>357874</v>
      </c>
      <c r="H12" s="146">
        <f>IF($B12=" ","",IFERROR(INDEX(MMWR_RATING_STATE_ROLLUP_VSC[],MATCH($B12,MMWR_RATING_STATE_ROLLUP_VSC[MMWR_RATING_STATE_ROLLUP_VSC],0),MATCH(H$9,MMWR_RATING_STATE_ROLLUP_VSC[#Headers],0)),"ERROR"))</f>
        <v>130.74485768950001</v>
      </c>
      <c r="I12" s="146">
        <f>IF($B12=" ","",IFERROR(INDEX(MMWR_RATING_STATE_ROLLUP_VSC[],MATCH($B12,MMWR_RATING_STATE_ROLLUP_VSC[MMWR_RATING_STATE_ROLLUP_VSC],0),MATCH(I$9,MMWR_RATING_STATE_ROLLUP_VSC[#Headers],0)),"ERROR"))</f>
        <v>128.66425613480001</v>
      </c>
      <c r="J12" s="42"/>
      <c r="K12" s="42"/>
      <c r="L12" s="42"/>
      <c r="M12" s="42"/>
      <c r="N12" s="28"/>
    </row>
    <row r="13" spans="1:15" x14ac:dyDescent="0.2">
      <c r="A13" s="25"/>
      <c r="B13" s="366" t="s">
        <v>954</v>
      </c>
      <c r="C13" s="367"/>
      <c r="D13" s="367"/>
      <c r="E13" s="367"/>
      <c r="F13" s="367"/>
      <c r="G13" s="367"/>
      <c r="H13" s="367"/>
      <c r="I13" s="367"/>
      <c r="J13" s="367"/>
      <c r="K13" s="367"/>
      <c r="L13" s="367"/>
      <c r="M13" s="417"/>
      <c r="N13" s="28"/>
    </row>
    <row r="14" spans="1:15" x14ac:dyDescent="0.2">
      <c r="A14" s="25"/>
      <c r="B14" s="41" t="s">
        <v>1032</v>
      </c>
      <c r="C14" s="145">
        <f>IF($B14=" ","",IFERROR(INDEX(MMWR_RATING_STATE_ROLLUP_VSC[],MATCH($B14,MMWR_RATING_STATE_ROLLUP_VSC[MMWR_RATING_STATE_ROLLUP_VSC],0),MATCH(C$9,MMWR_RATING_STATE_ROLLUP_VSC[#Headers],0)),"ERROR"))</f>
        <v>311542</v>
      </c>
      <c r="D14" s="146">
        <f>IF($B14=" ","",IFERROR(INDEX(MMWR_RATING_STATE_ROLLUP_VSC[],MATCH($B14,MMWR_RATING_STATE_ROLLUP_VSC[MMWR_RATING_STATE_ROLLUP_VSC],0),MATCH(D$9,MMWR_RATING_STATE_ROLLUP_VSC[#Headers],0)),"ERROR"))</f>
        <v>95.114594500899997</v>
      </c>
      <c r="E14" s="147">
        <f>IF($B14=" ","",IFERROR(INDEX(MMWR_RATING_STATE_ROLLUP_VSC[],MATCH($B14,MMWR_RATING_STATE_ROLLUP_VSC[MMWR_RATING_STATE_ROLLUP_VSC],0),MATCH(E$9,MMWR_RATING_STATE_ROLLUP_VSC[#Headers],0))/$C14,"ERROR"))</f>
        <v>0.22500658017217581</v>
      </c>
      <c r="F14" s="145">
        <f>IF($B14=" ","",IFERROR(INDEX(MMWR_RATING_STATE_ROLLUP_VSC[],MATCH($B14,MMWR_RATING_STATE_ROLLUP_VSC[MMWR_RATING_STATE_ROLLUP_VSC],0),MATCH(F$9,MMWR_RATING_STATE_ROLLUP_VSC[#Headers],0)),"ERROR"))</f>
        <v>42755</v>
      </c>
      <c r="G14" s="145">
        <f>IF($B14=" ","",IFERROR(INDEX(MMWR_RATING_STATE_ROLLUP_VSC[],MATCH($B14,MMWR_RATING_STATE_ROLLUP_VSC[MMWR_RATING_STATE_ROLLUP_VSC],0),MATCH(G$9,MMWR_RATING_STATE_ROLLUP_VSC[#Headers],0)),"ERROR"))</f>
        <v>303641</v>
      </c>
      <c r="H14" s="146">
        <f>IF($B14=" ","",IFERROR(INDEX(MMWR_RATING_STATE_ROLLUP_VSC[],MATCH($B14,MMWR_RATING_STATE_ROLLUP_VSC[MMWR_RATING_STATE_ROLLUP_VSC],0),MATCH(H$9,MMWR_RATING_STATE_ROLLUP_VSC[#Headers],0)),"ERROR"))</f>
        <v>136.5486843644</v>
      </c>
      <c r="I14" s="146">
        <f>IF($B14=" ","",IFERROR(INDEX(MMWR_RATING_STATE_ROLLUP_VSC[],MATCH($B14,MMWR_RATING_STATE_ROLLUP_VSC[MMWR_RATING_STATE_ROLLUP_VSC],0),MATCH(I$9,MMWR_RATING_STATE_ROLLUP_VSC[#Headers],0)),"ERROR"))</f>
        <v>135.9875741418</v>
      </c>
      <c r="J14" s="42"/>
      <c r="K14" s="42"/>
      <c r="L14" s="42"/>
      <c r="M14" s="42"/>
      <c r="N14" s="28"/>
    </row>
    <row r="15" spans="1:15" x14ac:dyDescent="0.2">
      <c r="A15" s="25"/>
      <c r="B15" s="220" t="str">
        <f>INDEX(DISTRICT_STATES[],MATCH($B$5,DISTRICT_RO[District],0),1)</f>
        <v>North Atlantic</v>
      </c>
      <c r="C15" s="145">
        <f>IF($B15=" ","",IFERROR(INDEX(MMWR_RATING_STATE_ROLLUP_VSC[],MATCH($B15,MMWR_RATING_STATE_ROLLUP_VSC[MMWR_RATING_STATE_ROLLUP_VSC],0),MATCH(C$9,MMWR_RATING_STATE_ROLLUP_VSC[#Headers],0)),"ERROR"))</f>
        <v>66379</v>
      </c>
      <c r="D15" s="146">
        <f>IF($B15=" ","",IFERROR(INDEX(MMWR_RATING_STATE_ROLLUP_VSC[],MATCH($B15,MMWR_RATING_STATE_ROLLUP_VSC[MMWR_RATING_STATE_ROLLUP_VSC],0),MATCH(D$9,MMWR_RATING_STATE_ROLLUP_VSC[#Headers],0)),"ERROR"))</f>
        <v>97.326518929200006</v>
      </c>
      <c r="E15" s="147">
        <f>IF($B15=" ","",IFERROR(INDEX(MMWR_RATING_STATE_ROLLUP_VSC[],MATCH($B15,MMWR_RATING_STATE_ROLLUP_VSC[MMWR_RATING_STATE_ROLLUP_VSC],0),MATCH(E$9,MMWR_RATING_STATE_ROLLUP_VSC[#Headers],0))/$C15,"ERROR"))</f>
        <v>0.23236264481236535</v>
      </c>
      <c r="F15" s="145">
        <f>IF($B15=" ","",IFERROR(INDEX(MMWR_RATING_STATE_ROLLUP_VSC[],MATCH($B15,MMWR_RATING_STATE_ROLLUP_VSC[MMWR_RATING_STATE_ROLLUP_VSC],0),MATCH(F$9,MMWR_RATING_STATE_ROLLUP_VSC[#Headers],0)),"ERROR"))</f>
        <v>9290</v>
      </c>
      <c r="G15" s="145">
        <f>IF($B15=" ","",IFERROR(INDEX(MMWR_RATING_STATE_ROLLUP_VSC[],MATCH($B15,MMWR_RATING_STATE_ROLLUP_VSC[MMWR_RATING_STATE_ROLLUP_VSC],0),MATCH(G$9,MMWR_RATING_STATE_ROLLUP_VSC[#Headers],0)),"ERROR"))</f>
        <v>63851</v>
      </c>
      <c r="H15" s="146">
        <f>IF($B15=" ","",IFERROR(INDEX(MMWR_RATING_STATE_ROLLUP_VSC[],MATCH($B15,MMWR_RATING_STATE_ROLLUP_VSC[MMWR_RATING_STATE_ROLLUP_VSC],0),MATCH(H$9,MMWR_RATING_STATE_ROLLUP_VSC[#Headers],0)),"ERROR"))</f>
        <v>138.84165769640001</v>
      </c>
      <c r="I15" s="146">
        <f>IF($B15=" ","",IFERROR(INDEX(MMWR_RATING_STATE_ROLLUP_VSC[],MATCH($B15,MMWR_RATING_STATE_ROLLUP_VSC[MMWR_RATING_STATE_ROLLUP_VSC],0),MATCH(I$9,MMWR_RATING_STATE_ROLLUP_VSC[#Headers],0)),"ERROR"))</f>
        <v>138.28510125139999</v>
      </c>
      <c r="J15" s="42"/>
      <c r="K15" s="42"/>
      <c r="L15" s="42"/>
      <c r="M15" s="42"/>
      <c r="N15" s="28"/>
    </row>
    <row r="16" spans="1:15" x14ac:dyDescent="0.2">
      <c r="A16" s="25"/>
      <c r="B16" s="8" t="str">
        <f>VLOOKUP($B$15,DISTRICT_STATES[],2,0)</f>
        <v>Connecticut</v>
      </c>
      <c r="C16" s="145">
        <f>IF($B16=" ","",IFERROR(INDEX(MMWR_RATING_STATE_ROLLUP_VSC[],MATCH($B16,MMWR_RATING_STATE_ROLLUP_VSC[MMWR_RATING_STATE_ROLLUP_VSC],0),MATCH(C$9,MMWR_RATING_STATE_ROLLUP_VSC[#Headers],0)),"ERROR"))</f>
        <v>2057</v>
      </c>
      <c r="D16" s="146">
        <f>IF($B16=" ","",IFERROR(INDEX(MMWR_RATING_STATE_ROLLUP_VSC[],MATCH($B16,MMWR_RATING_STATE_ROLLUP_VSC[MMWR_RATING_STATE_ROLLUP_VSC],0),MATCH(D$9,MMWR_RATING_STATE_ROLLUP_VSC[#Headers],0)),"ERROR"))</f>
        <v>89.499756927600004</v>
      </c>
      <c r="E16" s="147">
        <f>IF($B16=" ","",IFERROR(INDEX(MMWR_RATING_STATE_ROLLUP_VSC[],MATCH($B16,MMWR_RATING_STATE_ROLLUP_VSC[MMWR_RATING_STATE_ROLLUP_VSC],0),MATCH(E$9,MMWR_RATING_STATE_ROLLUP_VSC[#Headers],0))/$C16,"ERROR"))</f>
        <v>0.1750121536217793</v>
      </c>
      <c r="F16" s="145">
        <f>IF($B16=" ","",IFERROR(INDEX(MMWR_RATING_STATE_ROLLUP_VSC[],MATCH($B16,MMWR_RATING_STATE_ROLLUP_VSC[MMWR_RATING_STATE_ROLLUP_VSC],0),MATCH(F$9,MMWR_RATING_STATE_ROLLUP_VSC[#Headers],0)),"ERROR"))</f>
        <v>214</v>
      </c>
      <c r="G16" s="145">
        <f>IF($B16=" ","",IFERROR(INDEX(MMWR_RATING_STATE_ROLLUP_VSC[],MATCH($B16,MMWR_RATING_STATE_ROLLUP_VSC[MMWR_RATING_STATE_ROLLUP_VSC],0),MATCH(G$9,MMWR_RATING_STATE_ROLLUP_VSC[#Headers],0)),"ERROR"))</f>
        <v>1727</v>
      </c>
      <c r="H16" s="146">
        <f>IF($B16=" ","",IFERROR(INDEX(MMWR_RATING_STATE_ROLLUP_VSC[],MATCH($B16,MMWR_RATING_STATE_ROLLUP_VSC[MMWR_RATING_STATE_ROLLUP_VSC],0),MATCH(H$9,MMWR_RATING_STATE_ROLLUP_VSC[#Headers],0)),"ERROR"))</f>
        <v>127.0327102804</v>
      </c>
      <c r="I16" s="146">
        <f>IF($B16=" ","",IFERROR(INDEX(MMWR_RATING_STATE_ROLLUP_VSC[],MATCH($B16,MMWR_RATING_STATE_ROLLUP_VSC[MMWR_RATING_STATE_ROLLUP_VSC],0),MATCH(I$9,MMWR_RATING_STATE_ROLLUP_VSC[#Headers],0)),"ERROR"))</f>
        <v>114.43138390270001</v>
      </c>
      <c r="J16" s="42"/>
      <c r="K16" s="42"/>
      <c r="L16" s="42"/>
      <c r="M16" s="42"/>
      <c r="N16" s="28"/>
    </row>
    <row r="17" spans="1:14" x14ac:dyDescent="0.2">
      <c r="A17" s="25"/>
      <c r="B17" s="8" t="str">
        <f>VLOOKUP($B$15,DISTRICT_STATES[],3,0)</f>
        <v>Delaware</v>
      </c>
      <c r="C17" s="145">
        <f>IF($B17=" ","",IFERROR(INDEX(MMWR_RATING_STATE_ROLLUP_VSC[],MATCH($B17,MMWR_RATING_STATE_ROLLUP_VSC[MMWR_RATING_STATE_ROLLUP_VSC],0),MATCH(C$9,MMWR_RATING_STATE_ROLLUP_VSC[#Headers],0)),"ERROR"))</f>
        <v>859</v>
      </c>
      <c r="D17" s="146">
        <f>IF($B17=" ","",IFERROR(INDEX(MMWR_RATING_STATE_ROLLUP_VSC[],MATCH($B17,MMWR_RATING_STATE_ROLLUP_VSC[MMWR_RATING_STATE_ROLLUP_VSC],0),MATCH(D$9,MMWR_RATING_STATE_ROLLUP_VSC[#Headers],0)),"ERROR"))</f>
        <v>104.8265424913</v>
      </c>
      <c r="E17" s="147">
        <f>IF($B17=" ","",IFERROR(INDEX(MMWR_RATING_STATE_ROLLUP_VSC[],MATCH($B17,MMWR_RATING_STATE_ROLLUP_VSC[MMWR_RATING_STATE_ROLLUP_VSC],0),MATCH(E$9,MMWR_RATING_STATE_ROLLUP_VSC[#Headers],0))/$C17,"ERROR"))</f>
        <v>0.3061699650756694</v>
      </c>
      <c r="F17" s="145">
        <f>IF($B17=" ","",IFERROR(INDEX(MMWR_RATING_STATE_ROLLUP_VSC[],MATCH($B17,MMWR_RATING_STATE_ROLLUP_VSC[MMWR_RATING_STATE_ROLLUP_VSC],0),MATCH(F$9,MMWR_RATING_STATE_ROLLUP_VSC[#Headers],0)),"ERROR"))</f>
        <v>129</v>
      </c>
      <c r="G17" s="145">
        <f>IF($B17=" ","",IFERROR(INDEX(MMWR_RATING_STATE_ROLLUP_VSC[],MATCH($B17,MMWR_RATING_STATE_ROLLUP_VSC[MMWR_RATING_STATE_ROLLUP_VSC],0),MATCH(G$9,MMWR_RATING_STATE_ROLLUP_VSC[#Headers],0)),"ERROR"))</f>
        <v>858</v>
      </c>
      <c r="H17" s="146">
        <f>IF($B17=" ","",IFERROR(INDEX(MMWR_RATING_STATE_ROLLUP_VSC[],MATCH($B17,MMWR_RATING_STATE_ROLLUP_VSC[MMWR_RATING_STATE_ROLLUP_VSC],0),MATCH(H$9,MMWR_RATING_STATE_ROLLUP_VSC[#Headers],0)),"ERROR"))</f>
        <v>161.46511627909999</v>
      </c>
      <c r="I17" s="146">
        <f>IF($B17=" ","",IFERROR(INDEX(MMWR_RATING_STATE_ROLLUP_VSC[],MATCH($B17,MMWR_RATING_STATE_ROLLUP_VSC[MMWR_RATING_STATE_ROLLUP_VSC],0),MATCH(I$9,MMWR_RATING_STATE_ROLLUP_VSC[#Headers],0)),"ERROR"))</f>
        <v>144.81002330999999</v>
      </c>
      <c r="J17" s="42"/>
      <c r="K17" s="42"/>
      <c r="L17" s="42"/>
      <c r="M17" s="42"/>
      <c r="N17" s="28"/>
    </row>
    <row r="18" spans="1:14" x14ac:dyDescent="0.2">
      <c r="A18" s="25"/>
      <c r="B18" s="8" t="str">
        <f>VLOOKUP($B$15,DISTRICT_STATES[],4,0)</f>
        <v>District of Columbia</v>
      </c>
      <c r="C18" s="145">
        <f>IF($B18=" ","",IFERROR(INDEX(MMWR_RATING_STATE_ROLLUP_VSC[],MATCH($B18,MMWR_RATING_STATE_ROLLUP_VSC[MMWR_RATING_STATE_ROLLUP_VSC],0),MATCH(C$9,MMWR_RATING_STATE_ROLLUP_VSC[#Headers],0)),"ERROR"))</f>
        <v>376</v>
      </c>
      <c r="D18" s="146">
        <f>IF($B18=" ","",IFERROR(INDEX(MMWR_RATING_STATE_ROLLUP_VSC[],MATCH($B18,MMWR_RATING_STATE_ROLLUP_VSC[MMWR_RATING_STATE_ROLLUP_VSC],0),MATCH(D$9,MMWR_RATING_STATE_ROLLUP_VSC[#Headers],0)),"ERROR"))</f>
        <v>104.7180851064</v>
      </c>
      <c r="E18" s="147">
        <f>IF($B18=" ","",IFERROR(INDEX(MMWR_RATING_STATE_ROLLUP_VSC[],MATCH($B18,MMWR_RATING_STATE_ROLLUP_VSC[MMWR_RATING_STATE_ROLLUP_VSC],0),MATCH(E$9,MMWR_RATING_STATE_ROLLUP_VSC[#Headers],0))/$C18,"ERROR"))</f>
        <v>0.23936170212765959</v>
      </c>
      <c r="F18" s="145">
        <f>IF($B18=" ","",IFERROR(INDEX(MMWR_RATING_STATE_ROLLUP_VSC[],MATCH($B18,MMWR_RATING_STATE_ROLLUP_VSC[MMWR_RATING_STATE_ROLLUP_VSC],0),MATCH(F$9,MMWR_RATING_STATE_ROLLUP_VSC[#Headers],0)),"ERROR"))</f>
        <v>51</v>
      </c>
      <c r="G18" s="145">
        <f>IF($B18=" ","",IFERROR(INDEX(MMWR_RATING_STATE_ROLLUP_VSC[],MATCH($B18,MMWR_RATING_STATE_ROLLUP_VSC[MMWR_RATING_STATE_ROLLUP_VSC],0),MATCH(G$9,MMWR_RATING_STATE_ROLLUP_VSC[#Headers],0)),"ERROR"))</f>
        <v>373</v>
      </c>
      <c r="H18" s="146">
        <f>IF($B18=" ","",IFERROR(INDEX(MMWR_RATING_STATE_ROLLUP_VSC[],MATCH($B18,MMWR_RATING_STATE_ROLLUP_VSC[MMWR_RATING_STATE_ROLLUP_VSC],0),MATCH(H$9,MMWR_RATING_STATE_ROLLUP_VSC[#Headers],0)),"ERROR"))</f>
        <v>152.5294117647</v>
      </c>
      <c r="I18" s="146">
        <f>IF($B18=" ","",IFERROR(INDEX(MMWR_RATING_STATE_ROLLUP_VSC[],MATCH($B18,MMWR_RATING_STATE_ROLLUP_VSC[MMWR_RATING_STATE_ROLLUP_VSC],0),MATCH(I$9,MMWR_RATING_STATE_ROLLUP_VSC[#Headers],0)),"ERROR"))</f>
        <v>151.35924932980001</v>
      </c>
      <c r="J18" s="42"/>
      <c r="K18" s="42"/>
      <c r="L18" s="42"/>
      <c r="M18" s="42"/>
      <c r="N18" s="28"/>
    </row>
    <row r="19" spans="1:14" x14ac:dyDescent="0.2">
      <c r="A19" s="25"/>
      <c r="B19" s="8" t="str">
        <f>VLOOKUP($B$15,DISTRICT_STATES[],5,0)</f>
        <v>Maine</v>
      </c>
      <c r="C19" s="145">
        <f>IF($B19=" ","",IFERROR(INDEX(MMWR_RATING_STATE_ROLLUP_VSC[],MATCH($B19,MMWR_RATING_STATE_ROLLUP_VSC[MMWR_RATING_STATE_ROLLUP_VSC],0),MATCH(C$9,MMWR_RATING_STATE_ROLLUP_VSC[#Headers],0)),"ERROR"))</f>
        <v>1340</v>
      </c>
      <c r="D19" s="146">
        <f>IF($B19=" ","",IFERROR(INDEX(MMWR_RATING_STATE_ROLLUP_VSC[],MATCH($B19,MMWR_RATING_STATE_ROLLUP_VSC[MMWR_RATING_STATE_ROLLUP_VSC],0),MATCH(D$9,MMWR_RATING_STATE_ROLLUP_VSC[#Headers],0)),"ERROR"))</f>
        <v>77.041791044799993</v>
      </c>
      <c r="E19" s="147">
        <f>IF($B19=" ","",IFERROR(INDEX(MMWR_RATING_STATE_ROLLUP_VSC[],MATCH($B19,MMWR_RATING_STATE_ROLLUP_VSC[MMWR_RATING_STATE_ROLLUP_VSC],0),MATCH(E$9,MMWR_RATING_STATE_ROLLUP_VSC[#Headers],0))/$C19,"ERROR"))</f>
        <v>0.12462686567164179</v>
      </c>
      <c r="F19" s="145">
        <f>IF($B19=" ","",IFERROR(INDEX(MMWR_RATING_STATE_ROLLUP_VSC[],MATCH($B19,MMWR_RATING_STATE_ROLLUP_VSC[MMWR_RATING_STATE_ROLLUP_VSC],0),MATCH(F$9,MMWR_RATING_STATE_ROLLUP_VSC[#Headers],0)),"ERROR"))</f>
        <v>140</v>
      </c>
      <c r="G19" s="145">
        <f>IF($B19=" ","",IFERROR(INDEX(MMWR_RATING_STATE_ROLLUP_VSC[],MATCH($B19,MMWR_RATING_STATE_ROLLUP_VSC[MMWR_RATING_STATE_ROLLUP_VSC],0),MATCH(G$9,MMWR_RATING_STATE_ROLLUP_VSC[#Headers],0)),"ERROR"))</f>
        <v>1387</v>
      </c>
      <c r="H19" s="146">
        <f>IF($B19=" ","",IFERROR(INDEX(MMWR_RATING_STATE_ROLLUP_VSC[],MATCH($B19,MMWR_RATING_STATE_ROLLUP_VSC[MMWR_RATING_STATE_ROLLUP_VSC],0),MATCH(H$9,MMWR_RATING_STATE_ROLLUP_VSC[#Headers],0)),"ERROR"))</f>
        <v>116.5</v>
      </c>
      <c r="I19" s="146">
        <f>IF($B19=" ","",IFERROR(INDEX(MMWR_RATING_STATE_ROLLUP_VSC[],MATCH($B19,MMWR_RATING_STATE_ROLLUP_VSC[MMWR_RATING_STATE_ROLLUP_VSC],0),MATCH(I$9,MMWR_RATING_STATE_ROLLUP_VSC[#Headers],0)),"ERROR"))</f>
        <v>107.086517664</v>
      </c>
      <c r="J19" s="42"/>
      <c r="K19" s="42"/>
      <c r="L19" s="42"/>
      <c r="M19" s="42"/>
      <c r="N19" s="28"/>
    </row>
    <row r="20" spans="1:14" x14ac:dyDescent="0.2">
      <c r="A20" s="25"/>
      <c r="B20" s="8" t="str">
        <f>VLOOKUP($B$15,DISTRICT_STATES[],6,0)</f>
        <v>Maryland</v>
      </c>
      <c r="C20" s="145">
        <f>IF($B20=" ","",IFERROR(INDEX(MMWR_RATING_STATE_ROLLUP_VSC[],MATCH($B20,MMWR_RATING_STATE_ROLLUP_VSC[MMWR_RATING_STATE_ROLLUP_VSC],0),MATCH(C$9,MMWR_RATING_STATE_ROLLUP_VSC[#Headers],0)),"ERROR"))</f>
        <v>5188</v>
      </c>
      <c r="D20" s="146">
        <f>IF($B20=" ","",IFERROR(INDEX(MMWR_RATING_STATE_ROLLUP_VSC[],MATCH($B20,MMWR_RATING_STATE_ROLLUP_VSC[MMWR_RATING_STATE_ROLLUP_VSC],0),MATCH(D$9,MMWR_RATING_STATE_ROLLUP_VSC[#Headers],0)),"ERROR"))</f>
        <v>93.717424826499993</v>
      </c>
      <c r="E20" s="147">
        <f>IF($B20=" ","",IFERROR(INDEX(MMWR_RATING_STATE_ROLLUP_VSC[],MATCH($B20,MMWR_RATING_STATE_ROLLUP_VSC[MMWR_RATING_STATE_ROLLUP_VSC],0),MATCH(E$9,MMWR_RATING_STATE_ROLLUP_VSC[#Headers],0))/$C20,"ERROR"))</f>
        <v>0.20431765612952968</v>
      </c>
      <c r="F20" s="145">
        <f>IF($B20=" ","",IFERROR(INDEX(MMWR_RATING_STATE_ROLLUP_VSC[],MATCH($B20,MMWR_RATING_STATE_ROLLUP_VSC[MMWR_RATING_STATE_ROLLUP_VSC],0),MATCH(F$9,MMWR_RATING_STATE_ROLLUP_VSC[#Headers],0)),"ERROR"))</f>
        <v>649</v>
      </c>
      <c r="G20" s="145">
        <f>IF($B20=" ","",IFERROR(INDEX(MMWR_RATING_STATE_ROLLUP_VSC[],MATCH($B20,MMWR_RATING_STATE_ROLLUP_VSC[MMWR_RATING_STATE_ROLLUP_VSC],0),MATCH(G$9,MMWR_RATING_STATE_ROLLUP_VSC[#Headers],0)),"ERROR"))</f>
        <v>5177</v>
      </c>
      <c r="H20" s="146">
        <f>IF($B20=" ","",IFERROR(INDEX(MMWR_RATING_STATE_ROLLUP_VSC[],MATCH($B20,MMWR_RATING_STATE_ROLLUP_VSC[MMWR_RATING_STATE_ROLLUP_VSC],0),MATCH(H$9,MMWR_RATING_STATE_ROLLUP_VSC[#Headers],0)),"ERROR"))</f>
        <v>144.59938366719999</v>
      </c>
      <c r="I20" s="146">
        <f>IF($B20=" ","",IFERROR(INDEX(MMWR_RATING_STATE_ROLLUP_VSC[],MATCH($B20,MMWR_RATING_STATE_ROLLUP_VSC[MMWR_RATING_STATE_ROLLUP_VSC],0),MATCH(I$9,MMWR_RATING_STATE_ROLLUP_VSC[#Headers],0)),"ERROR"))</f>
        <v>138.1692099672</v>
      </c>
      <c r="J20" s="42"/>
      <c r="K20" s="42"/>
      <c r="L20" s="42"/>
      <c r="M20" s="42"/>
      <c r="N20" s="28"/>
    </row>
    <row r="21" spans="1:14" x14ac:dyDescent="0.2">
      <c r="A21" s="25"/>
      <c r="B21" s="8" t="str">
        <f>VLOOKUP($B$15,DISTRICT_STATES[],7,0)</f>
        <v>Massachusetts</v>
      </c>
      <c r="C21" s="145">
        <f>IF($B21=" ","",IFERROR(INDEX(MMWR_RATING_STATE_ROLLUP_VSC[],MATCH($B21,MMWR_RATING_STATE_ROLLUP_VSC[MMWR_RATING_STATE_ROLLUP_VSC],0),MATCH(C$9,MMWR_RATING_STATE_ROLLUP_VSC[#Headers],0)),"ERROR"))</f>
        <v>4239</v>
      </c>
      <c r="D21" s="146">
        <f>IF($B21=" ","",IFERROR(INDEX(MMWR_RATING_STATE_ROLLUP_VSC[],MATCH($B21,MMWR_RATING_STATE_ROLLUP_VSC[MMWR_RATING_STATE_ROLLUP_VSC],0),MATCH(D$9,MMWR_RATING_STATE_ROLLUP_VSC[#Headers],0)),"ERROR"))</f>
        <v>98.302665723000004</v>
      </c>
      <c r="E21" s="147">
        <f>IF($B21=" ","",IFERROR(INDEX(MMWR_RATING_STATE_ROLLUP_VSC[],MATCH($B21,MMWR_RATING_STATE_ROLLUP_VSC[MMWR_RATING_STATE_ROLLUP_VSC],0),MATCH(E$9,MMWR_RATING_STATE_ROLLUP_VSC[#Headers],0))/$C21,"ERROR"))</f>
        <v>0.25430526067468745</v>
      </c>
      <c r="F21" s="145">
        <f>IF($B21=" ","",IFERROR(INDEX(MMWR_RATING_STATE_ROLLUP_VSC[],MATCH($B21,MMWR_RATING_STATE_ROLLUP_VSC[MMWR_RATING_STATE_ROLLUP_VSC],0),MATCH(F$9,MMWR_RATING_STATE_ROLLUP_VSC[#Headers],0)),"ERROR"))</f>
        <v>499</v>
      </c>
      <c r="G21" s="145">
        <f>IF($B21=" ","",IFERROR(INDEX(MMWR_RATING_STATE_ROLLUP_VSC[],MATCH($B21,MMWR_RATING_STATE_ROLLUP_VSC[MMWR_RATING_STATE_ROLLUP_VSC],0),MATCH(G$9,MMWR_RATING_STATE_ROLLUP_VSC[#Headers],0)),"ERROR"))</f>
        <v>3985</v>
      </c>
      <c r="H21" s="146">
        <f>IF($B21=" ","",IFERROR(INDEX(MMWR_RATING_STATE_ROLLUP_VSC[],MATCH($B21,MMWR_RATING_STATE_ROLLUP_VSC[MMWR_RATING_STATE_ROLLUP_VSC],0),MATCH(H$9,MMWR_RATING_STATE_ROLLUP_VSC[#Headers],0)),"ERROR"))</f>
        <v>145.24849699399999</v>
      </c>
      <c r="I21" s="146">
        <f>IF($B21=" ","",IFERROR(INDEX(MMWR_RATING_STATE_ROLLUP_VSC[],MATCH($B21,MMWR_RATING_STATE_ROLLUP_VSC[MMWR_RATING_STATE_ROLLUP_VSC],0),MATCH(I$9,MMWR_RATING_STATE_ROLLUP_VSC[#Headers],0)),"ERROR"))</f>
        <v>125.9919698871</v>
      </c>
      <c r="J21" s="42"/>
      <c r="K21" s="42"/>
      <c r="L21" s="42"/>
      <c r="M21" s="42"/>
      <c r="N21" s="28"/>
    </row>
    <row r="22" spans="1:14" x14ac:dyDescent="0.2">
      <c r="A22" s="25"/>
      <c r="B22" s="8" t="str">
        <f>VLOOKUP($B$15,DISTRICT_STATES[],8,0)</f>
        <v>New Hampshire</v>
      </c>
      <c r="C22" s="145">
        <f>IF($B22=" ","",IFERROR(INDEX(MMWR_RATING_STATE_ROLLUP_VSC[],MATCH($B22,MMWR_RATING_STATE_ROLLUP_VSC[MMWR_RATING_STATE_ROLLUP_VSC],0),MATCH(C$9,MMWR_RATING_STATE_ROLLUP_VSC[#Headers],0)),"ERROR"))</f>
        <v>1249</v>
      </c>
      <c r="D22" s="146">
        <f>IF($B22=" ","",IFERROR(INDEX(MMWR_RATING_STATE_ROLLUP_VSC[],MATCH($B22,MMWR_RATING_STATE_ROLLUP_VSC[MMWR_RATING_STATE_ROLLUP_VSC],0),MATCH(D$9,MMWR_RATING_STATE_ROLLUP_VSC[#Headers],0)),"ERROR"))</f>
        <v>101.7614091273</v>
      </c>
      <c r="E22" s="147">
        <f>IF($B22=" ","",IFERROR(INDEX(MMWR_RATING_STATE_ROLLUP_VSC[],MATCH($B22,MMWR_RATING_STATE_ROLLUP_VSC[MMWR_RATING_STATE_ROLLUP_VSC],0),MATCH(E$9,MMWR_RATING_STATE_ROLLUP_VSC[#Headers],0))/$C22,"ERROR"))</f>
        <v>0.23859087269815854</v>
      </c>
      <c r="F22" s="145">
        <f>IF($B22=" ","",IFERROR(INDEX(MMWR_RATING_STATE_ROLLUP_VSC[],MATCH($B22,MMWR_RATING_STATE_ROLLUP_VSC[MMWR_RATING_STATE_ROLLUP_VSC],0),MATCH(F$9,MMWR_RATING_STATE_ROLLUP_VSC[#Headers],0)),"ERROR"))</f>
        <v>158</v>
      </c>
      <c r="G22" s="145">
        <f>IF($B22=" ","",IFERROR(INDEX(MMWR_RATING_STATE_ROLLUP_VSC[],MATCH($B22,MMWR_RATING_STATE_ROLLUP_VSC[MMWR_RATING_STATE_ROLLUP_VSC],0),MATCH(G$9,MMWR_RATING_STATE_ROLLUP_VSC[#Headers],0)),"ERROR"))</f>
        <v>1180</v>
      </c>
      <c r="H22" s="146">
        <f>IF($B22=" ","",IFERROR(INDEX(MMWR_RATING_STATE_ROLLUP_VSC[],MATCH($B22,MMWR_RATING_STATE_ROLLUP_VSC[MMWR_RATING_STATE_ROLLUP_VSC],0),MATCH(H$9,MMWR_RATING_STATE_ROLLUP_VSC[#Headers],0)),"ERROR"))</f>
        <v>133.38607594940001</v>
      </c>
      <c r="I22" s="146">
        <f>IF($B22=" ","",IFERROR(INDEX(MMWR_RATING_STATE_ROLLUP_VSC[],MATCH($B22,MMWR_RATING_STATE_ROLLUP_VSC[MMWR_RATING_STATE_ROLLUP_VSC],0),MATCH(I$9,MMWR_RATING_STATE_ROLLUP_VSC[#Headers],0)),"ERROR"))</f>
        <v>129.64661016950001</v>
      </c>
      <c r="J22" s="42"/>
      <c r="K22" s="42"/>
      <c r="L22" s="42"/>
      <c r="M22" s="42"/>
      <c r="N22" s="28"/>
    </row>
    <row r="23" spans="1:14" x14ac:dyDescent="0.2">
      <c r="A23" s="25"/>
      <c r="B23" s="8" t="str">
        <f>VLOOKUP($B$15,DISTRICT_STATES[],9,0)</f>
        <v>New Jersey</v>
      </c>
      <c r="C23" s="145">
        <f>IF($B23=" ","",IFERROR(INDEX(MMWR_RATING_STATE_ROLLUP_VSC[],MATCH($B23,MMWR_RATING_STATE_ROLLUP_VSC[MMWR_RATING_STATE_ROLLUP_VSC],0),MATCH(C$9,MMWR_RATING_STATE_ROLLUP_VSC[#Headers],0)),"ERROR"))</f>
        <v>3933</v>
      </c>
      <c r="D23" s="146">
        <f>IF($B23=" ","",IFERROR(INDEX(MMWR_RATING_STATE_ROLLUP_VSC[],MATCH($B23,MMWR_RATING_STATE_ROLLUP_VSC[MMWR_RATING_STATE_ROLLUP_VSC],0),MATCH(D$9,MMWR_RATING_STATE_ROLLUP_VSC[#Headers],0)),"ERROR"))</f>
        <v>96.9527078566</v>
      </c>
      <c r="E23" s="147">
        <f>IF($B23=" ","",IFERROR(INDEX(MMWR_RATING_STATE_ROLLUP_VSC[],MATCH($B23,MMWR_RATING_STATE_ROLLUP_VSC[MMWR_RATING_STATE_ROLLUP_VSC],0),MATCH(E$9,MMWR_RATING_STATE_ROLLUP_VSC[#Headers],0))/$C23,"ERROR"))</f>
        <v>0.2288329519450801</v>
      </c>
      <c r="F23" s="145">
        <f>IF($B23=" ","",IFERROR(INDEX(MMWR_RATING_STATE_ROLLUP_VSC[],MATCH($B23,MMWR_RATING_STATE_ROLLUP_VSC[MMWR_RATING_STATE_ROLLUP_VSC],0),MATCH(F$9,MMWR_RATING_STATE_ROLLUP_VSC[#Headers],0)),"ERROR"))</f>
        <v>580</v>
      </c>
      <c r="G23" s="145">
        <f>IF($B23=" ","",IFERROR(INDEX(MMWR_RATING_STATE_ROLLUP_VSC[],MATCH($B23,MMWR_RATING_STATE_ROLLUP_VSC[MMWR_RATING_STATE_ROLLUP_VSC],0),MATCH(G$9,MMWR_RATING_STATE_ROLLUP_VSC[#Headers],0)),"ERROR"))</f>
        <v>3752</v>
      </c>
      <c r="H23" s="146">
        <f>IF($B23=" ","",IFERROR(INDEX(MMWR_RATING_STATE_ROLLUP_VSC[],MATCH($B23,MMWR_RATING_STATE_ROLLUP_VSC[MMWR_RATING_STATE_ROLLUP_VSC],0),MATCH(H$9,MMWR_RATING_STATE_ROLLUP_VSC[#Headers],0)),"ERROR"))</f>
        <v>137.7327586207</v>
      </c>
      <c r="I23" s="146">
        <f>IF($B23=" ","",IFERROR(INDEX(MMWR_RATING_STATE_ROLLUP_VSC[],MATCH($B23,MMWR_RATING_STATE_ROLLUP_VSC[MMWR_RATING_STATE_ROLLUP_VSC],0),MATCH(I$9,MMWR_RATING_STATE_ROLLUP_VSC[#Headers],0)),"ERROR"))</f>
        <v>142.9693496802</v>
      </c>
      <c r="J23" s="42"/>
      <c r="K23" s="42"/>
      <c r="L23" s="42"/>
      <c r="M23" s="42"/>
      <c r="N23" s="28"/>
    </row>
    <row r="24" spans="1:14" x14ac:dyDescent="0.2">
      <c r="A24" s="25"/>
      <c r="B24" s="8" t="str">
        <f>VLOOKUP($B$15,DISTRICT_STATES[],10,0)</f>
        <v>New York</v>
      </c>
      <c r="C24" s="145">
        <f>IF($B24=" ","",IFERROR(INDEX(MMWR_RATING_STATE_ROLLUP_VSC[],MATCH($B24,MMWR_RATING_STATE_ROLLUP_VSC[MMWR_RATING_STATE_ROLLUP_VSC],0),MATCH(C$9,MMWR_RATING_STATE_ROLLUP_VSC[#Headers],0)),"ERROR"))</f>
        <v>8812</v>
      </c>
      <c r="D24" s="146">
        <f>IF($B24=" ","",IFERROR(INDEX(MMWR_RATING_STATE_ROLLUP_VSC[],MATCH($B24,MMWR_RATING_STATE_ROLLUP_VSC[MMWR_RATING_STATE_ROLLUP_VSC],0),MATCH(D$9,MMWR_RATING_STATE_ROLLUP_VSC[#Headers],0)),"ERROR"))</f>
        <v>92.436904221500001</v>
      </c>
      <c r="E24" s="147">
        <f>IF($B24=" ","",IFERROR(INDEX(MMWR_RATING_STATE_ROLLUP_VSC[],MATCH($B24,MMWR_RATING_STATE_ROLLUP_VSC[MMWR_RATING_STATE_ROLLUP_VSC],0),MATCH(E$9,MMWR_RATING_STATE_ROLLUP_VSC[#Headers],0))/$C24,"ERROR"))</f>
        <v>0.2029051293690422</v>
      </c>
      <c r="F24" s="145">
        <f>IF($B24=" ","",IFERROR(INDEX(MMWR_RATING_STATE_ROLLUP_VSC[],MATCH($B24,MMWR_RATING_STATE_ROLLUP_VSC[MMWR_RATING_STATE_ROLLUP_VSC],0),MATCH(F$9,MMWR_RATING_STATE_ROLLUP_VSC[#Headers],0)),"ERROR"))</f>
        <v>1179</v>
      </c>
      <c r="G24" s="145">
        <f>IF($B24=" ","",IFERROR(INDEX(MMWR_RATING_STATE_ROLLUP_VSC[],MATCH($B24,MMWR_RATING_STATE_ROLLUP_VSC[MMWR_RATING_STATE_ROLLUP_VSC],0),MATCH(G$9,MMWR_RATING_STATE_ROLLUP_VSC[#Headers],0)),"ERROR"))</f>
        <v>8004</v>
      </c>
      <c r="H24" s="146">
        <f>IF($B24=" ","",IFERROR(INDEX(MMWR_RATING_STATE_ROLLUP_VSC[],MATCH($B24,MMWR_RATING_STATE_ROLLUP_VSC[MMWR_RATING_STATE_ROLLUP_VSC],0),MATCH(H$9,MMWR_RATING_STATE_ROLLUP_VSC[#Headers],0)),"ERROR"))</f>
        <v>142.7260390161</v>
      </c>
      <c r="I24" s="146">
        <f>IF($B24=" ","",IFERROR(INDEX(MMWR_RATING_STATE_ROLLUP_VSC[],MATCH($B24,MMWR_RATING_STATE_ROLLUP_VSC[MMWR_RATING_STATE_ROLLUP_VSC],0),MATCH(I$9,MMWR_RATING_STATE_ROLLUP_VSC[#Headers],0)),"ERROR"))</f>
        <v>139.3674412794</v>
      </c>
      <c r="J24" s="42"/>
      <c r="K24" s="42"/>
      <c r="L24" s="42"/>
      <c r="M24" s="42"/>
      <c r="N24" s="28"/>
    </row>
    <row r="25" spans="1:14" x14ac:dyDescent="0.2">
      <c r="A25" s="25"/>
      <c r="B25" s="8" t="str">
        <f>VLOOKUP($B$15,DISTRICT_STATES[],11,0)</f>
        <v>North Carolina</v>
      </c>
      <c r="C25" s="145">
        <f>IF($B25=" ","",IFERROR(INDEX(MMWR_RATING_STATE_ROLLUP_VSC[],MATCH($B25,MMWR_RATING_STATE_ROLLUP_VSC[MMWR_RATING_STATE_ROLLUP_VSC],0),MATCH(C$9,MMWR_RATING_STATE_ROLLUP_VSC[#Headers],0)),"ERROR"))</f>
        <v>15502</v>
      </c>
      <c r="D25" s="146">
        <f>IF($B25=" ","",IFERROR(INDEX(MMWR_RATING_STATE_ROLLUP_VSC[],MATCH($B25,MMWR_RATING_STATE_ROLLUP_VSC[MMWR_RATING_STATE_ROLLUP_VSC],0),MATCH(D$9,MMWR_RATING_STATE_ROLLUP_VSC[#Headers],0)),"ERROR"))</f>
        <v>101.8722745452</v>
      </c>
      <c r="E25" s="147">
        <f>IF($B25=" ","",IFERROR(INDEX(MMWR_RATING_STATE_ROLLUP_VSC[],MATCH($B25,MMWR_RATING_STATE_ROLLUP_VSC[MMWR_RATING_STATE_ROLLUP_VSC],0),MATCH(E$9,MMWR_RATING_STATE_ROLLUP_VSC[#Headers],0))/$C25,"ERROR"))</f>
        <v>0.26480454134950326</v>
      </c>
      <c r="F25" s="145">
        <f>IF($B25=" ","",IFERROR(INDEX(MMWR_RATING_STATE_ROLLUP_VSC[],MATCH($B25,MMWR_RATING_STATE_ROLLUP_VSC[MMWR_RATING_STATE_ROLLUP_VSC],0),MATCH(F$9,MMWR_RATING_STATE_ROLLUP_VSC[#Headers],0)),"ERROR"))</f>
        <v>2227</v>
      </c>
      <c r="G25" s="145">
        <f>IF($B25=" ","",IFERROR(INDEX(MMWR_RATING_STATE_ROLLUP_VSC[],MATCH($B25,MMWR_RATING_STATE_ROLLUP_VSC[MMWR_RATING_STATE_ROLLUP_VSC],0),MATCH(G$9,MMWR_RATING_STATE_ROLLUP_VSC[#Headers],0)),"ERROR"))</f>
        <v>15160</v>
      </c>
      <c r="H25" s="146">
        <f>IF($B25=" ","",IFERROR(INDEX(MMWR_RATING_STATE_ROLLUP_VSC[],MATCH($B25,MMWR_RATING_STATE_ROLLUP_VSC[MMWR_RATING_STATE_ROLLUP_VSC],0),MATCH(H$9,MMWR_RATING_STATE_ROLLUP_VSC[#Headers],0)),"ERROR"))</f>
        <v>141.66187696450001</v>
      </c>
      <c r="I25" s="146">
        <f>IF($B25=" ","",IFERROR(INDEX(MMWR_RATING_STATE_ROLLUP_VSC[],MATCH($B25,MMWR_RATING_STATE_ROLLUP_VSC[MMWR_RATING_STATE_ROLLUP_VSC],0),MATCH(I$9,MMWR_RATING_STATE_ROLLUP_VSC[#Headers],0)),"ERROR"))</f>
        <v>143.0944591029</v>
      </c>
      <c r="J25" s="42"/>
      <c r="K25" s="42"/>
      <c r="L25" s="42"/>
      <c r="M25" s="42"/>
      <c r="N25" s="28"/>
    </row>
    <row r="26" spans="1:14" x14ac:dyDescent="0.2">
      <c r="A26" s="25"/>
      <c r="B26" s="8" t="str">
        <f>VLOOKUP($B$15,DISTRICT_STATES[],12,0)</f>
        <v>Pennsylvania</v>
      </c>
      <c r="C26" s="145">
        <f>IF($B26=" ","",IFERROR(INDEX(MMWR_RATING_STATE_ROLLUP_VSC[],MATCH($B26,MMWR_RATING_STATE_ROLLUP_VSC[MMWR_RATING_STATE_ROLLUP_VSC],0),MATCH(C$9,MMWR_RATING_STATE_ROLLUP_VSC[#Headers],0)),"ERROR"))</f>
        <v>8575</v>
      </c>
      <c r="D26" s="146">
        <f>IF($B26=" ","",IFERROR(INDEX(MMWR_RATING_STATE_ROLLUP_VSC[],MATCH($B26,MMWR_RATING_STATE_ROLLUP_VSC[MMWR_RATING_STATE_ROLLUP_VSC],0),MATCH(D$9,MMWR_RATING_STATE_ROLLUP_VSC[#Headers],0)),"ERROR"))</f>
        <v>106.9988338192</v>
      </c>
      <c r="E26" s="147">
        <f>IF($B26=" ","",IFERROR(INDEX(MMWR_RATING_STATE_ROLLUP_VSC[],MATCH($B26,MMWR_RATING_STATE_ROLLUP_VSC[MMWR_RATING_STATE_ROLLUP_VSC],0),MATCH(E$9,MMWR_RATING_STATE_ROLLUP_VSC[#Headers],0))/$C26,"ERROR"))</f>
        <v>0.27871720116618076</v>
      </c>
      <c r="F26" s="145">
        <f>IF($B26=" ","",IFERROR(INDEX(MMWR_RATING_STATE_ROLLUP_VSC[],MATCH($B26,MMWR_RATING_STATE_ROLLUP_VSC[MMWR_RATING_STATE_ROLLUP_VSC],0),MATCH(F$9,MMWR_RATING_STATE_ROLLUP_VSC[#Headers],0)),"ERROR"))</f>
        <v>1312</v>
      </c>
      <c r="G26" s="145">
        <f>IF($B26=" ","",IFERROR(INDEX(MMWR_RATING_STATE_ROLLUP_VSC[],MATCH($B26,MMWR_RATING_STATE_ROLLUP_VSC[MMWR_RATING_STATE_ROLLUP_VSC],0),MATCH(G$9,MMWR_RATING_STATE_ROLLUP_VSC[#Headers],0)),"ERROR"))</f>
        <v>8807</v>
      </c>
      <c r="H26" s="146">
        <f>IF($B26=" ","",IFERROR(INDEX(MMWR_RATING_STATE_ROLLUP_VSC[],MATCH($B26,MMWR_RATING_STATE_ROLLUP_VSC[MMWR_RATING_STATE_ROLLUP_VSC],0),MATCH(H$9,MMWR_RATING_STATE_ROLLUP_VSC[#Headers],0)),"ERROR"))</f>
        <v>140.51524390239999</v>
      </c>
      <c r="I26" s="146">
        <f>IF($B26=" ","",IFERROR(INDEX(MMWR_RATING_STATE_ROLLUP_VSC[],MATCH($B26,MMWR_RATING_STATE_ROLLUP_VSC[MMWR_RATING_STATE_ROLLUP_VSC],0),MATCH(I$9,MMWR_RATING_STATE_ROLLUP_VSC[#Headers],0)),"ERROR"))</f>
        <v>147.95083456340001</v>
      </c>
      <c r="J26" s="42"/>
      <c r="K26" s="42"/>
      <c r="L26" s="42"/>
      <c r="M26" s="42"/>
      <c r="N26" s="28"/>
    </row>
    <row r="27" spans="1:14" x14ac:dyDescent="0.2">
      <c r="A27" s="25"/>
      <c r="B27" s="8" t="str">
        <f>VLOOKUP($B$15,DISTRICT_STATES[],13,0)</f>
        <v>Rhode Island</v>
      </c>
      <c r="C27" s="145">
        <f>IF($B27=" ","",IFERROR(INDEX(MMWR_RATING_STATE_ROLLUP_VSC[],MATCH($B27,MMWR_RATING_STATE_ROLLUP_VSC[MMWR_RATING_STATE_ROLLUP_VSC],0),MATCH(C$9,MMWR_RATING_STATE_ROLLUP_VSC[#Headers],0)),"ERROR"))</f>
        <v>895</v>
      </c>
      <c r="D27" s="146">
        <f>IF($B27=" ","",IFERROR(INDEX(MMWR_RATING_STATE_ROLLUP_VSC[],MATCH($B27,MMWR_RATING_STATE_ROLLUP_VSC[MMWR_RATING_STATE_ROLLUP_VSC],0),MATCH(D$9,MMWR_RATING_STATE_ROLLUP_VSC[#Headers],0)),"ERROR"))</f>
        <v>90.662569832399996</v>
      </c>
      <c r="E27" s="147">
        <f>IF($B27=" ","",IFERROR(INDEX(MMWR_RATING_STATE_ROLLUP_VSC[],MATCH($B27,MMWR_RATING_STATE_ROLLUP_VSC[MMWR_RATING_STATE_ROLLUP_VSC],0),MATCH(E$9,MMWR_RATING_STATE_ROLLUP_VSC[#Headers],0))/$C27,"ERROR"))</f>
        <v>0.19329608938547485</v>
      </c>
      <c r="F27" s="145">
        <f>IF($B27=" ","",IFERROR(INDEX(MMWR_RATING_STATE_ROLLUP_VSC[],MATCH($B27,MMWR_RATING_STATE_ROLLUP_VSC[MMWR_RATING_STATE_ROLLUP_VSC],0),MATCH(F$9,MMWR_RATING_STATE_ROLLUP_VSC[#Headers],0)),"ERROR"))</f>
        <v>120</v>
      </c>
      <c r="G27" s="145">
        <f>IF($B27=" ","",IFERROR(INDEX(MMWR_RATING_STATE_ROLLUP_VSC[],MATCH($B27,MMWR_RATING_STATE_ROLLUP_VSC[MMWR_RATING_STATE_ROLLUP_VSC],0),MATCH(G$9,MMWR_RATING_STATE_ROLLUP_VSC[#Headers],0)),"ERROR"))</f>
        <v>906</v>
      </c>
      <c r="H27" s="146">
        <f>IF($B27=" ","",IFERROR(INDEX(MMWR_RATING_STATE_ROLLUP_VSC[],MATCH($B27,MMWR_RATING_STATE_ROLLUP_VSC[MMWR_RATING_STATE_ROLLUP_VSC],0),MATCH(H$9,MMWR_RATING_STATE_ROLLUP_VSC[#Headers],0)),"ERROR"))</f>
        <v>141.6833333333</v>
      </c>
      <c r="I27" s="146">
        <f>IF($B27=" ","",IFERROR(INDEX(MMWR_RATING_STATE_ROLLUP_VSC[],MATCH($B27,MMWR_RATING_STATE_ROLLUP_VSC[MMWR_RATING_STATE_ROLLUP_VSC],0),MATCH(I$9,MMWR_RATING_STATE_ROLLUP_VSC[#Headers],0)),"ERROR"))</f>
        <v>117.1556291391</v>
      </c>
      <c r="J27" s="42"/>
      <c r="K27" s="42"/>
      <c r="L27" s="42"/>
      <c r="M27" s="42"/>
      <c r="N27" s="28"/>
    </row>
    <row r="28" spans="1:14" x14ac:dyDescent="0.2">
      <c r="A28" s="25"/>
      <c r="B28" s="8" t="str">
        <f>VLOOKUP($B$15,DISTRICT_STATES[],14,0)</f>
        <v>Vermont</v>
      </c>
      <c r="C28" s="145">
        <f>IF($B28=" ","",IFERROR(INDEX(MMWR_RATING_STATE_ROLLUP_VSC[],MATCH($B28,MMWR_RATING_STATE_ROLLUP_VSC[MMWR_RATING_STATE_ROLLUP_VSC],0),MATCH(C$9,MMWR_RATING_STATE_ROLLUP_VSC[#Headers],0)),"ERROR"))</f>
        <v>508</v>
      </c>
      <c r="D28" s="146">
        <f>IF($B28=" ","",IFERROR(INDEX(MMWR_RATING_STATE_ROLLUP_VSC[],MATCH($B28,MMWR_RATING_STATE_ROLLUP_VSC[MMWR_RATING_STATE_ROLLUP_VSC],0),MATCH(D$9,MMWR_RATING_STATE_ROLLUP_VSC[#Headers],0)),"ERROR"))</f>
        <v>96.456692913400005</v>
      </c>
      <c r="E28" s="147">
        <f>IF($B28=" ","",IFERROR(INDEX(MMWR_RATING_STATE_ROLLUP_VSC[],MATCH($B28,MMWR_RATING_STATE_ROLLUP_VSC[MMWR_RATING_STATE_ROLLUP_VSC],0),MATCH(E$9,MMWR_RATING_STATE_ROLLUP_VSC[#Headers],0))/$C28,"ERROR"))</f>
        <v>0.24409448818897639</v>
      </c>
      <c r="F28" s="145">
        <f>IF($B28=" ","",IFERROR(INDEX(MMWR_RATING_STATE_ROLLUP_VSC[],MATCH($B28,MMWR_RATING_STATE_ROLLUP_VSC[MMWR_RATING_STATE_ROLLUP_VSC],0),MATCH(F$9,MMWR_RATING_STATE_ROLLUP_VSC[#Headers],0)),"ERROR"))</f>
        <v>72</v>
      </c>
      <c r="G28" s="145">
        <f>IF($B28=" ","",IFERROR(INDEX(MMWR_RATING_STATE_ROLLUP_VSC[],MATCH($B28,MMWR_RATING_STATE_ROLLUP_VSC[MMWR_RATING_STATE_ROLLUP_VSC],0),MATCH(G$9,MMWR_RATING_STATE_ROLLUP_VSC[#Headers],0)),"ERROR"))</f>
        <v>358</v>
      </c>
      <c r="H28" s="146">
        <f>IF($B28=" ","",IFERROR(INDEX(MMWR_RATING_STATE_ROLLUP_VSC[],MATCH($B28,MMWR_RATING_STATE_ROLLUP_VSC[MMWR_RATING_STATE_ROLLUP_VSC],0),MATCH(H$9,MMWR_RATING_STATE_ROLLUP_VSC[#Headers],0)),"ERROR"))</f>
        <v>130.7916666667</v>
      </c>
      <c r="I28" s="146">
        <f>IF($B28=" ","",IFERROR(INDEX(MMWR_RATING_STATE_ROLLUP_VSC[],MATCH($B28,MMWR_RATING_STATE_ROLLUP_VSC[MMWR_RATING_STATE_ROLLUP_VSC],0),MATCH(I$9,MMWR_RATING_STATE_ROLLUP_VSC[#Headers],0)),"ERROR"))</f>
        <v>139.47486033519999</v>
      </c>
      <c r="J28" s="42"/>
      <c r="K28" s="42"/>
      <c r="L28" s="42"/>
      <c r="M28" s="42"/>
      <c r="N28" s="28"/>
    </row>
    <row r="29" spans="1:14" x14ac:dyDescent="0.2">
      <c r="A29" s="25"/>
      <c r="B29" s="8" t="str">
        <f>VLOOKUP($B$15,DISTRICT_STATES[],15,0)</f>
        <v>Virginia</v>
      </c>
      <c r="C29" s="145">
        <f>IF($B29=" ","",IFERROR(INDEX(MMWR_RATING_STATE_ROLLUP_VSC[],MATCH($B29,MMWR_RATING_STATE_ROLLUP_VSC[MMWR_RATING_STATE_ROLLUP_VSC],0),MATCH(C$9,MMWR_RATING_STATE_ROLLUP_VSC[#Headers],0)),"ERROR"))</f>
        <v>10287</v>
      </c>
      <c r="D29" s="146">
        <f>IF($B29=" ","",IFERROR(INDEX(MMWR_RATING_STATE_ROLLUP_VSC[],MATCH($B29,MMWR_RATING_STATE_ROLLUP_VSC[MMWR_RATING_STATE_ROLLUP_VSC],0),MATCH(D$9,MMWR_RATING_STATE_ROLLUP_VSC[#Headers],0)),"ERROR"))</f>
        <v>94.250121512600003</v>
      </c>
      <c r="E29" s="147">
        <f>IF($B29=" ","",IFERROR(INDEX(MMWR_RATING_STATE_ROLLUP_VSC[],MATCH($B29,MMWR_RATING_STATE_ROLLUP_VSC[MMWR_RATING_STATE_ROLLUP_VSC],0),MATCH(E$9,MMWR_RATING_STATE_ROLLUP_VSC[#Headers],0))/$C29,"ERROR"))</f>
        <v>0.21483425682900747</v>
      </c>
      <c r="F29" s="145">
        <f>IF($B29=" ","",IFERROR(INDEX(MMWR_RATING_STATE_ROLLUP_VSC[],MATCH($B29,MMWR_RATING_STATE_ROLLUP_VSC[MMWR_RATING_STATE_ROLLUP_VSC],0),MATCH(F$9,MMWR_RATING_STATE_ROLLUP_VSC[#Headers],0)),"ERROR"))</f>
        <v>1595</v>
      </c>
      <c r="G29" s="145">
        <f>IF($B29=" ","",IFERROR(INDEX(MMWR_RATING_STATE_ROLLUP_VSC[],MATCH($B29,MMWR_RATING_STATE_ROLLUP_VSC[MMWR_RATING_STATE_ROLLUP_VSC],0),MATCH(G$9,MMWR_RATING_STATE_ROLLUP_VSC[#Headers],0)),"ERROR"))</f>
        <v>9682</v>
      </c>
      <c r="H29" s="146">
        <f>IF($B29=" ","",IFERROR(INDEX(MMWR_RATING_STATE_ROLLUP_VSC[],MATCH($B29,MMWR_RATING_STATE_ROLLUP_VSC[MMWR_RATING_STATE_ROLLUP_VSC],0),MATCH(H$9,MMWR_RATING_STATE_ROLLUP_VSC[#Headers],0)),"ERROR"))</f>
        <v>132.8457680251</v>
      </c>
      <c r="I29" s="146">
        <f>IF($B29=" ","",IFERROR(INDEX(MMWR_RATING_STATE_ROLLUP_VSC[],MATCH($B29,MMWR_RATING_STATE_ROLLUP_VSC[MMWR_RATING_STATE_ROLLUP_VSC],0),MATCH(I$9,MMWR_RATING_STATE_ROLLUP_VSC[#Headers],0)),"ERROR"))</f>
        <v>139.54286304479999</v>
      </c>
      <c r="J29" s="42"/>
      <c r="K29" s="42"/>
      <c r="L29" s="42"/>
      <c r="M29" s="42"/>
      <c r="N29" s="28"/>
    </row>
    <row r="30" spans="1:14" x14ac:dyDescent="0.2">
      <c r="A30" s="25"/>
      <c r="B30" s="8" t="str">
        <f>VLOOKUP($B$15,DISTRICT_STATES[],16,0)</f>
        <v>West Virginia</v>
      </c>
      <c r="C30" s="145">
        <f>IF($B30=" ","",IFERROR(INDEX(MMWR_RATING_STATE_ROLLUP_VSC[],MATCH($B30,MMWR_RATING_STATE_ROLLUP_VSC[MMWR_RATING_STATE_ROLLUP_VSC],0),MATCH(C$9,MMWR_RATING_STATE_ROLLUP_VSC[#Headers],0)),"ERROR"))</f>
        <v>2559</v>
      </c>
      <c r="D30" s="146">
        <f>IF($B30=" ","",IFERROR(INDEX(MMWR_RATING_STATE_ROLLUP_VSC[],MATCH($B30,MMWR_RATING_STATE_ROLLUP_VSC[MMWR_RATING_STATE_ROLLUP_VSC],0),MATCH(D$9,MMWR_RATING_STATE_ROLLUP_VSC[#Headers],0)),"ERROR"))</f>
        <v>86.505275498200007</v>
      </c>
      <c r="E30" s="147">
        <f>IF($B30=" ","",IFERROR(INDEX(MMWR_RATING_STATE_ROLLUP_VSC[],MATCH($B30,MMWR_RATING_STATE_ROLLUP_VSC[MMWR_RATING_STATE_ROLLUP_VSC],0),MATCH(E$9,MMWR_RATING_STATE_ROLLUP_VSC[#Headers],0))/$C30,"ERROR"))</f>
        <v>0.16334505666275889</v>
      </c>
      <c r="F30" s="145">
        <f>IF($B30=" ","",IFERROR(INDEX(MMWR_RATING_STATE_ROLLUP_VSC[],MATCH($B30,MMWR_RATING_STATE_ROLLUP_VSC[MMWR_RATING_STATE_ROLLUP_VSC],0),MATCH(F$9,MMWR_RATING_STATE_ROLLUP_VSC[#Headers],0)),"ERROR"))</f>
        <v>365</v>
      </c>
      <c r="G30" s="145">
        <f>IF($B30=" ","",IFERROR(INDEX(MMWR_RATING_STATE_ROLLUP_VSC[],MATCH($B30,MMWR_RATING_STATE_ROLLUP_VSC[MMWR_RATING_STATE_ROLLUP_VSC],0),MATCH(G$9,MMWR_RATING_STATE_ROLLUP_VSC[#Headers],0)),"ERROR"))</f>
        <v>2495</v>
      </c>
      <c r="H30" s="146">
        <f>IF($B30=" ","",IFERROR(INDEX(MMWR_RATING_STATE_ROLLUP_VSC[],MATCH($B30,MMWR_RATING_STATE_ROLLUP_VSC[MMWR_RATING_STATE_ROLLUP_VSC],0),MATCH(H$9,MMWR_RATING_STATE_ROLLUP_VSC[#Headers],0)),"ERROR"))</f>
        <v>120.63835616439999</v>
      </c>
      <c r="I30" s="146">
        <f>IF($B30=" ","",IFERROR(INDEX(MMWR_RATING_STATE_ROLLUP_VSC[],MATCH($B30,MMWR_RATING_STATE_ROLLUP_VSC[MMWR_RATING_STATE_ROLLUP_VSC],0),MATCH(I$9,MMWR_RATING_STATE_ROLLUP_VSC[#Headers],0)),"ERROR"))</f>
        <v>120.6657314629</v>
      </c>
      <c r="J30" s="42"/>
      <c r="K30" s="42"/>
      <c r="L30" s="42"/>
      <c r="M30" s="42"/>
      <c r="N30" s="28"/>
    </row>
    <row r="31" spans="1:14" x14ac:dyDescent="0.2">
      <c r="A31" s="25"/>
      <c r="B31" s="366" t="s">
        <v>955</v>
      </c>
      <c r="C31" s="367"/>
      <c r="D31" s="367"/>
      <c r="E31" s="367"/>
      <c r="F31" s="367"/>
      <c r="G31" s="367"/>
      <c r="H31" s="367"/>
      <c r="I31" s="367"/>
      <c r="J31" s="367"/>
      <c r="K31" s="367"/>
      <c r="L31" s="367"/>
      <c r="M31" s="417"/>
      <c r="N31" s="28"/>
    </row>
    <row r="32" spans="1:14" x14ac:dyDescent="0.2">
      <c r="A32" s="25"/>
      <c r="B32" s="41" t="s">
        <v>1034</v>
      </c>
      <c r="C32" s="145">
        <f>IF($B32=" ","",IFERROR(INDEX(MMWR_RATING_STATE_ROLLUP_PMC[],MATCH($B32,MMWR_RATING_STATE_ROLLUP_PMC[MMWR_RATING_STATE_ROLLUP_PMC],0),MATCH(C$9,MMWR_RATING_STATE_ROLLUP_PMC[#Headers],0)),"ERROR"))</f>
        <v>26933</v>
      </c>
      <c r="D32" s="146">
        <f>IF($B32=" ","",IFERROR(INDEX(MMWR_RATING_STATE_ROLLUP_PMC[],MATCH($B32,MMWR_RATING_STATE_ROLLUP_PMC[MMWR_RATING_STATE_ROLLUP_PMC],0),MATCH(D$9,MMWR_RATING_STATE_ROLLUP_PMC[#Headers],0)),"ERROR"))</f>
        <v>69.481602495100006</v>
      </c>
      <c r="E32" s="147">
        <f>IF($B32=" ","",IFERROR(INDEX(MMWR_RATING_STATE_ROLLUP_PMC[],MATCH($B32,MMWR_RATING_STATE_ROLLUP_PMC[MMWR_RATING_STATE_ROLLUP_PMC],0),MATCH(E$9,MMWR_RATING_STATE_ROLLUP_PMC[#Headers],0))/$C32,"ERROR"))</f>
        <v>0.10514981621059667</v>
      </c>
      <c r="F32" s="145">
        <f>IF($B32=" ","",IFERROR(INDEX(MMWR_RATING_STATE_ROLLUP_PMC[],MATCH($B32,MMWR_RATING_STATE_ROLLUP_PMC[MMWR_RATING_STATE_ROLLUP_PMC],0),MATCH(F$9,MMWR_RATING_STATE_ROLLUP_PMC[#Headers],0)),"ERROR"))</f>
        <v>5599</v>
      </c>
      <c r="G32" s="145">
        <f>IF($B32=" ","",IFERROR(INDEX(MMWR_RATING_STATE_ROLLUP_PMC[],MATCH($B32,MMWR_RATING_STATE_ROLLUP_PMC[MMWR_RATING_STATE_ROLLUP_PMC],0),MATCH(G$9,MMWR_RATING_STATE_ROLLUP_PMC[#Headers],0)),"ERROR"))</f>
        <v>41792</v>
      </c>
      <c r="H32" s="146">
        <f>IF($B32=" ","",IFERROR(INDEX(MMWR_RATING_STATE_ROLLUP_PMC[],MATCH($B32,MMWR_RATING_STATE_ROLLUP_PMC[MMWR_RATING_STATE_ROLLUP_PMC],0),MATCH(H$9,MMWR_RATING_STATE_ROLLUP_PMC[#Headers],0)),"ERROR"))</f>
        <v>79.032505804600007</v>
      </c>
      <c r="I32" s="146">
        <f>IF($B32=" ","",IFERROR(INDEX(MMWR_RATING_STATE_ROLLUP_PMC[],MATCH($B32,MMWR_RATING_STATE_ROLLUP_PMC[MMWR_RATING_STATE_ROLLUP_PMC],0),MATCH(I$9,MMWR_RATING_STATE_ROLLUP_PMC[#Headers],0)),"ERROR"))</f>
        <v>72.376435681499999</v>
      </c>
      <c r="J32" s="42"/>
      <c r="K32" s="42"/>
      <c r="L32" s="42"/>
      <c r="M32" s="42"/>
      <c r="N32" s="28"/>
    </row>
    <row r="33" spans="1:14" x14ac:dyDescent="0.2">
      <c r="A33" s="25"/>
      <c r="B33" s="220" t="str">
        <f>INDEX(DISTRICT_STATES[],MATCH($B$5,DISTRICT_RO[District],0),1)</f>
        <v>North Atlantic</v>
      </c>
      <c r="C33" s="145">
        <f>IF($B33=" ","",IFERROR(INDEX(MMWR_RATING_STATE_ROLLUP_PMC[],MATCH($B33,MMWR_RATING_STATE_ROLLUP_PMC[MMWR_RATING_STATE_ROLLUP_PMC],0),MATCH(C$9,MMWR_RATING_STATE_ROLLUP_PMC[#Headers],0)),"ERROR"))</f>
        <v>7349</v>
      </c>
      <c r="D33" s="146">
        <f>IF($B33=" ","",IFERROR(INDEX(MMWR_RATING_STATE_ROLLUP_PMC[],MATCH($B33,MMWR_RATING_STATE_ROLLUP_PMC[MMWR_RATING_STATE_ROLLUP_PMC],0),MATCH(D$9,MMWR_RATING_STATE_ROLLUP_PMC[#Headers],0)),"ERROR"))</f>
        <v>73.095659273400003</v>
      </c>
      <c r="E33" s="147">
        <f>IF($B33=" ","",IFERROR(INDEX(MMWR_RATING_STATE_ROLLUP_PMC[],MATCH($B33,MMWR_RATING_STATE_ROLLUP_PMC[MMWR_RATING_STATE_ROLLUP_PMC],0),MATCH(E$9,MMWR_RATING_STATE_ROLLUP_PMC[#Headers],0))/$C33,"ERROR"))</f>
        <v>0.1079058375289155</v>
      </c>
      <c r="F33" s="145">
        <f>IF($B33=" ","",IFERROR(INDEX(MMWR_RATING_STATE_ROLLUP_PMC[],MATCH($B33,MMWR_RATING_STATE_ROLLUP_PMC[MMWR_RATING_STATE_ROLLUP_PMC],0),MATCH(F$9,MMWR_RATING_STATE_ROLLUP_PMC[#Headers],0)),"ERROR"))</f>
        <v>1095</v>
      </c>
      <c r="G33" s="145">
        <f>IF($B33=" ","",IFERROR(INDEX(MMWR_RATING_STATE_ROLLUP_PMC[],MATCH($B33,MMWR_RATING_STATE_ROLLUP_PMC[MMWR_RATING_STATE_ROLLUP_PMC],0),MATCH(G$9,MMWR_RATING_STATE_ROLLUP_PMC[#Headers],0)),"ERROR"))</f>
        <v>8212</v>
      </c>
      <c r="H33" s="146">
        <f>IF($B33=" ","",IFERROR(INDEX(MMWR_RATING_STATE_ROLLUP_PMC[],MATCH($B33,MMWR_RATING_STATE_ROLLUP_PMC[MMWR_RATING_STATE_ROLLUP_PMC],0),MATCH(H$9,MMWR_RATING_STATE_ROLLUP_PMC[#Headers],0)),"ERROR"))</f>
        <v>98.155251141600004</v>
      </c>
      <c r="I33" s="146">
        <f>IF($B33=" ","",IFERROR(INDEX(MMWR_RATING_STATE_ROLLUP_PMC[],MATCH($B33,MMWR_RATING_STATE_ROLLUP_PMC[MMWR_RATING_STATE_ROLLUP_PMC],0),MATCH(I$9,MMWR_RATING_STATE_ROLLUP_PMC[#Headers],0)),"ERROR"))</f>
        <v>85.117754505600004</v>
      </c>
      <c r="J33" s="42"/>
      <c r="K33" s="42"/>
      <c r="L33" s="42"/>
      <c r="M33" s="42"/>
      <c r="N33" s="28"/>
    </row>
    <row r="34" spans="1:14" x14ac:dyDescent="0.2">
      <c r="A34" s="25"/>
      <c r="B34" s="8" t="str">
        <f>VLOOKUP($B$15,DISTRICT_STATES[],2,0)</f>
        <v>Connecticut</v>
      </c>
      <c r="C34" s="145">
        <f>IF($B34=" ","",IFERROR(INDEX(MMWR_RATING_STATE_ROLLUP_PMC[],MATCH($B34,MMWR_RATING_STATE_ROLLUP_PMC[MMWR_RATING_STATE_ROLLUP_PMC],0),MATCH(C$9,MMWR_RATING_STATE_ROLLUP_PMC[#Headers],0)),"ERROR"))</f>
        <v>229</v>
      </c>
      <c r="D34" s="146">
        <f>IF($B34=" ","",IFERROR(INDEX(MMWR_RATING_STATE_ROLLUP_PMC[],MATCH($B34,MMWR_RATING_STATE_ROLLUP_PMC[MMWR_RATING_STATE_ROLLUP_PMC],0),MATCH(D$9,MMWR_RATING_STATE_ROLLUP_PMC[#Headers],0)),"ERROR"))</f>
        <v>75.580786026200002</v>
      </c>
      <c r="E34" s="147">
        <f>IF($B34=" ","",IFERROR(INDEX(MMWR_RATING_STATE_ROLLUP_PMC[],MATCH($B34,MMWR_RATING_STATE_ROLLUP_PMC[MMWR_RATING_STATE_ROLLUP_PMC],0),MATCH(E$9,MMWR_RATING_STATE_ROLLUP_PMC[#Headers],0))/$C34,"ERROR"))</f>
        <v>0.11790393013100436</v>
      </c>
      <c r="F34" s="145">
        <f>IF($B34=" ","",IFERROR(INDEX(MMWR_RATING_STATE_ROLLUP_PMC[],MATCH($B34,MMWR_RATING_STATE_ROLLUP_PMC[MMWR_RATING_STATE_ROLLUP_PMC],0),MATCH(F$9,MMWR_RATING_STATE_ROLLUP_PMC[#Headers],0)),"ERROR"))</f>
        <v>33</v>
      </c>
      <c r="G34" s="145">
        <f>IF($B34=" ","",IFERROR(INDEX(MMWR_RATING_STATE_ROLLUP_PMC[],MATCH($B34,MMWR_RATING_STATE_ROLLUP_PMC[MMWR_RATING_STATE_ROLLUP_PMC],0),MATCH(G$9,MMWR_RATING_STATE_ROLLUP_PMC[#Headers],0)),"ERROR"))</f>
        <v>238</v>
      </c>
      <c r="H34" s="146">
        <f>IF($B34=" ","",IFERROR(INDEX(MMWR_RATING_STATE_ROLLUP_PMC[],MATCH($B34,MMWR_RATING_STATE_ROLLUP_PMC[MMWR_RATING_STATE_ROLLUP_PMC],0),MATCH(H$9,MMWR_RATING_STATE_ROLLUP_PMC[#Headers],0)),"ERROR"))</f>
        <v>103.24242424240001</v>
      </c>
      <c r="I34" s="146">
        <f>IF($B34=" ","",IFERROR(INDEX(MMWR_RATING_STATE_ROLLUP_PMC[],MATCH($B34,MMWR_RATING_STATE_ROLLUP_PMC[MMWR_RATING_STATE_ROLLUP_PMC],0),MATCH(I$9,MMWR_RATING_STATE_ROLLUP_PMC[#Headers],0)),"ERROR"))</f>
        <v>83.264705882399994</v>
      </c>
      <c r="J34" s="42"/>
      <c r="K34" s="42"/>
      <c r="L34" s="42"/>
      <c r="M34" s="42"/>
      <c r="N34" s="28"/>
    </row>
    <row r="35" spans="1:14" x14ac:dyDescent="0.2">
      <c r="A35" s="25"/>
      <c r="B35" s="8" t="str">
        <f>VLOOKUP($B$15,DISTRICT_STATES[],3,0)</f>
        <v>Delaware</v>
      </c>
      <c r="C35" s="145">
        <f>IF($B35=" ","",IFERROR(INDEX(MMWR_RATING_STATE_ROLLUP_PMC[],MATCH($B35,MMWR_RATING_STATE_ROLLUP_PMC[MMWR_RATING_STATE_ROLLUP_PMC],0),MATCH(C$9,MMWR_RATING_STATE_ROLLUP_PMC[#Headers],0)),"ERROR"))</f>
        <v>76</v>
      </c>
      <c r="D35" s="146">
        <f>IF($B35=" ","",IFERROR(INDEX(MMWR_RATING_STATE_ROLLUP_PMC[],MATCH($B35,MMWR_RATING_STATE_ROLLUP_PMC[MMWR_RATING_STATE_ROLLUP_PMC],0),MATCH(D$9,MMWR_RATING_STATE_ROLLUP_PMC[#Headers],0)),"ERROR"))</f>
        <v>79.855263157899998</v>
      </c>
      <c r="E35" s="147">
        <f>IF($B35=" ","",IFERROR(INDEX(MMWR_RATING_STATE_ROLLUP_PMC[],MATCH($B35,MMWR_RATING_STATE_ROLLUP_PMC[MMWR_RATING_STATE_ROLLUP_PMC],0),MATCH(E$9,MMWR_RATING_STATE_ROLLUP_PMC[#Headers],0))/$C35,"ERROR"))</f>
        <v>0.11842105263157894</v>
      </c>
      <c r="F35" s="145">
        <f>IF($B35=" ","",IFERROR(INDEX(MMWR_RATING_STATE_ROLLUP_PMC[],MATCH($B35,MMWR_RATING_STATE_ROLLUP_PMC[MMWR_RATING_STATE_ROLLUP_PMC],0),MATCH(F$9,MMWR_RATING_STATE_ROLLUP_PMC[#Headers],0)),"ERROR"))</f>
        <v>11</v>
      </c>
      <c r="G35" s="145">
        <f>IF($B35=" ","",IFERROR(INDEX(MMWR_RATING_STATE_ROLLUP_PMC[],MATCH($B35,MMWR_RATING_STATE_ROLLUP_PMC[MMWR_RATING_STATE_ROLLUP_PMC],0),MATCH(G$9,MMWR_RATING_STATE_ROLLUP_PMC[#Headers],0)),"ERROR"))</f>
        <v>78</v>
      </c>
      <c r="H35" s="146">
        <f>IF($B35=" ","",IFERROR(INDEX(MMWR_RATING_STATE_ROLLUP_PMC[],MATCH($B35,MMWR_RATING_STATE_ROLLUP_PMC[MMWR_RATING_STATE_ROLLUP_PMC],0),MATCH(H$9,MMWR_RATING_STATE_ROLLUP_PMC[#Headers],0)),"ERROR"))</f>
        <v>131.7272727273</v>
      </c>
      <c r="I35" s="146">
        <f>IF($B35=" ","",IFERROR(INDEX(MMWR_RATING_STATE_ROLLUP_PMC[],MATCH($B35,MMWR_RATING_STATE_ROLLUP_PMC[MMWR_RATING_STATE_ROLLUP_PMC],0),MATCH(I$9,MMWR_RATING_STATE_ROLLUP_PMC[#Headers],0)),"ERROR"))</f>
        <v>89.012820512800005</v>
      </c>
      <c r="J35" s="42"/>
      <c r="K35" s="42"/>
      <c r="L35" s="42"/>
      <c r="M35" s="42"/>
      <c r="N35" s="28"/>
    </row>
    <row r="36" spans="1:14" x14ac:dyDescent="0.2">
      <c r="A36" s="25"/>
      <c r="B36" s="8" t="str">
        <f>VLOOKUP($B$15,DISTRICT_STATES[],4,0)</f>
        <v>District of Columbia</v>
      </c>
      <c r="C36" s="145">
        <f>IF($B36=" ","",IFERROR(INDEX(MMWR_RATING_STATE_ROLLUP_PMC[],MATCH($B36,MMWR_RATING_STATE_ROLLUP_PMC[MMWR_RATING_STATE_ROLLUP_PMC],0),MATCH(C$9,MMWR_RATING_STATE_ROLLUP_PMC[#Headers],0)),"ERROR"))</f>
        <v>70</v>
      </c>
      <c r="D36" s="146">
        <f>IF($B36=" ","",IFERROR(INDEX(MMWR_RATING_STATE_ROLLUP_PMC[],MATCH($B36,MMWR_RATING_STATE_ROLLUP_PMC[MMWR_RATING_STATE_ROLLUP_PMC],0),MATCH(D$9,MMWR_RATING_STATE_ROLLUP_PMC[#Headers],0)),"ERROR"))</f>
        <v>83.814285714299999</v>
      </c>
      <c r="E36" s="147">
        <f>IF($B36=" ","",IFERROR(INDEX(MMWR_RATING_STATE_ROLLUP_PMC[],MATCH($B36,MMWR_RATING_STATE_ROLLUP_PMC[MMWR_RATING_STATE_ROLLUP_PMC],0),MATCH(E$9,MMWR_RATING_STATE_ROLLUP_PMC[#Headers],0))/$C36,"ERROR"))</f>
        <v>0.17142857142857143</v>
      </c>
      <c r="F36" s="145">
        <f>IF($B36=" ","",IFERROR(INDEX(MMWR_RATING_STATE_ROLLUP_PMC[],MATCH($B36,MMWR_RATING_STATE_ROLLUP_PMC[MMWR_RATING_STATE_ROLLUP_PMC],0),MATCH(F$9,MMWR_RATING_STATE_ROLLUP_PMC[#Headers],0)),"ERROR"))</f>
        <v>5</v>
      </c>
      <c r="G36" s="145">
        <f>IF($B36=" ","",IFERROR(INDEX(MMWR_RATING_STATE_ROLLUP_PMC[],MATCH($B36,MMWR_RATING_STATE_ROLLUP_PMC[MMWR_RATING_STATE_ROLLUP_PMC],0),MATCH(G$9,MMWR_RATING_STATE_ROLLUP_PMC[#Headers],0)),"ERROR"))</f>
        <v>78</v>
      </c>
      <c r="H36" s="146">
        <f>IF($B36=" ","",IFERROR(INDEX(MMWR_RATING_STATE_ROLLUP_PMC[],MATCH($B36,MMWR_RATING_STATE_ROLLUP_PMC[MMWR_RATING_STATE_ROLLUP_PMC],0),MATCH(H$9,MMWR_RATING_STATE_ROLLUP_PMC[#Headers],0)),"ERROR"))</f>
        <v>145</v>
      </c>
      <c r="I36" s="146">
        <f>IF($B36=" ","",IFERROR(INDEX(MMWR_RATING_STATE_ROLLUP_PMC[],MATCH($B36,MMWR_RATING_STATE_ROLLUP_PMC[MMWR_RATING_STATE_ROLLUP_PMC],0),MATCH(I$9,MMWR_RATING_STATE_ROLLUP_PMC[#Headers],0)),"ERROR"))</f>
        <v>89.923076923099998</v>
      </c>
      <c r="J36" s="42"/>
      <c r="K36" s="42"/>
      <c r="L36" s="42"/>
      <c r="M36" s="42"/>
      <c r="N36" s="28"/>
    </row>
    <row r="37" spans="1:14" x14ac:dyDescent="0.2">
      <c r="A37" s="25"/>
      <c r="B37" s="8" t="str">
        <f>VLOOKUP($B$15,DISTRICT_STATES[],5,0)</f>
        <v>Maine</v>
      </c>
      <c r="C37" s="145">
        <f>IF($B37=" ","",IFERROR(INDEX(MMWR_RATING_STATE_ROLLUP_PMC[],MATCH($B37,MMWR_RATING_STATE_ROLLUP_PMC[MMWR_RATING_STATE_ROLLUP_PMC],0),MATCH(C$9,MMWR_RATING_STATE_ROLLUP_PMC[#Headers],0)),"ERROR"))</f>
        <v>117</v>
      </c>
      <c r="D37" s="146">
        <f>IF($B37=" ","",IFERROR(INDEX(MMWR_RATING_STATE_ROLLUP_PMC[],MATCH($B37,MMWR_RATING_STATE_ROLLUP_PMC[MMWR_RATING_STATE_ROLLUP_PMC],0),MATCH(D$9,MMWR_RATING_STATE_ROLLUP_PMC[#Headers],0)),"ERROR"))</f>
        <v>63.820512820499999</v>
      </c>
      <c r="E37" s="147">
        <f>IF($B37=" ","",IFERROR(INDEX(MMWR_RATING_STATE_ROLLUP_PMC[],MATCH($B37,MMWR_RATING_STATE_ROLLUP_PMC[MMWR_RATING_STATE_ROLLUP_PMC],0),MATCH(E$9,MMWR_RATING_STATE_ROLLUP_PMC[#Headers],0))/$C37,"ERROR"))</f>
        <v>5.128205128205128E-2</v>
      </c>
      <c r="F37" s="145">
        <f>IF($B37=" ","",IFERROR(INDEX(MMWR_RATING_STATE_ROLLUP_PMC[],MATCH($B37,MMWR_RATING_STATE_ROLLUP_PMC[MMWR_RATING_STATE_ROLLUP_PMC],0),MATCH(F$9,MMWR_RATING_STATE_ROLLUP_PMC[#Headers],0)),"ERROR"))</f>
        <v>18</v>
      </c>
      <c r="G37" s="145">
        <f>IF($B37=" ","",IFERROR(INDEX(MMWR_RATING_STATE_ROLLUP_PMC[],MATCH($B37,MMWR_RATING_STATE_ROLLUP_PMC[MMWR_RATING_STATE_ROLLUP_PMC],0),MATCH(G$9,MMWR_RATING_STATE_ROLLUP_PMC[#Headers],0)),"ERROR"))</f>
        <v>162</v>
      </c>
      <c r="H37" s="146">
        <f>IF($B37=" ","",IFERROR(INDEX(MMWR_RATING_STATE_ROLLUP_PMC[],MATCH($B37,MMWR_RATING_STATE_ROLLUP_PMC[MMWR_RATING_STATE_ROLLUP_PMC],0),MATCH(H$9,MMWR_RATING_STATE_ROLLUP_PMC[#Headers],0)),"ERROR"))</f>
        <v>92.055555555599994</v>
      </c>
      <c r="I37" s="146">
        <f>IF($B37=" ","",IFERROR(INDEX(MMWR_RATING_STATE_ROLLUP_PMC[],MATCH($B37,MMWR_RATING_STATE_ROLLUP_PMC[MMWR_RATING_STATE_ROLLUP_PMC],0),MATCH(I$9,MMWR_RATING_STATE_ROLLUP_PMC[#Headers],0)),"ERROR"))</f>
        <v>82.814814814800002</v>
      </c>
      <c r="J37" s="42"/>
      <c r="K37" s="42"/>
      <c r="L37" s="42"/>
      <c r="M37" s="42"/>
      <c r="N37" s="28"/>
    </row>
    <row r="38" spans="1:14" x14ac:dyDescent="0.2">
      <c r="A38" s="25"/>
      <c r="B38" s="8" t="str">
        <f>VLOOKUP($B$15,DISTRICT_STATES[],6,0)</f>
        <v>Maryland</v>
      </c>
      <c r="C38" s="145">
        <f>IF($B38=" ","",IFERROR(INDEX(MMWR_RATING_STATE_ROLLUP_PMC[],MATCH($B38,MMWR_RATING_STATE_ROLLUP_PMC[MMWR_RATING_STATE_ROLLUP_PMC],0),MATCH(C$9,MMWR_RATING_STATE_ROLLUP_PMC[#Headers],0)),"ERROR"))</f>
        <v>484</v>
      </c>
      <c r="D38" s="146">
        <f>IF($B38=" ","",IFERROR(INDEX(MMWR_RATING_STATE_ROLLUP_PMC[],MATCH($B38,MMWR_RATING_STATE_ROLLUP_PMC[MMWR_RATING_STATE_ROLLUP_PMC],0),MATCH(D$9,MMWR_RATING_STATE_ROLLUP_PMC[#Headers],0)),"ERROR"))</f>
        <v>73.636363636400006</v>
      </c>
      <c r="E38" s="147">
        <f>IF($B38=" ","",IFERROR(INDEX(MMWR_RATING_STATE_ROLLUP_PMC[],MATCH($B38,MMWR_RATING_STATE_ROLLUP_PMC[MMWR_RATING_STATE_ROLLUP_PMC],0),MATCH(E$9,MMWR_RATING_STATE_ROLLUP_PMC[#Headers],0))/$C38,"ERROR"))</f>
        <v>9.7107438016528921E-2</v>
      </c>
      <c r="F38" s="145">
        <f>IF($B38=" ","",IFERROR(INDEX(MMWR_RATING_STATE_ROLLUP_PMC[],MATCH($B38,MMWR_RATING_STATE_ROLLUP_PMC[MMWR_RATING_STATE_ROLLUP_PMC],0),MATCH(F$9,MMWR_RATING_STATE_ROLLUP_PMC[#Headers],0)),"ERROR"))</f>
        <v>85</v>
      </c>
      <c r="G38" s="145">
        <f>IF($B38=" ","",IFERROR(INDEX(MMWR_RATING_STATE_ROLLUP_PMC[],MATCH($B38,MMWR_RATING_STATE_ROLLUP_PMC[MMWR_RATING_STATE_ROLLUP_PMC],0),MATCH(G$9,MMWR_RATING_STATE_ROLLUP_PMC[#Headers],0)),"ERROR"))</f>
        <v>544</v>
      </c>
      <c r="H38" s="146">
        <f>IF($B38=" ","",IFERROR(INDEX(MMWR_RATING_STATE_ROLLUP_PMC[],MATCH($B38,MMWR_RATING_STATE_ROLLUP_PMC[MMWR_RATING_STATE_ROLLUP_PMC],0),MATCH(H$9,MMWR_RATING_STATE_ROLLUP_PMC[#Headers],0)),"ERROR"))</f>
        <v>97.870588235300005</v>
      </c>
      <c r="I38" s="146">
        <f>IF($B38=" ","",IFERROR(INDEX(MMWR_RATING_STATE_ROLLUP_PMC[],MATCH($B38,MMWR_RATING_STATE_ROLLUP_PMC[MMWR_RATING_STATE_ROLLUP_PMC],0),MATCH(I$9,MMWR_RATING_STATE_ROLLUP_PMC[#Headers],0)),"ERROR"))</f>
        <v>84.426470588200004</v>
      </c>
      <c r="J38" s="42"/>
      <c r="K38" s="42"/>
      <c r="L38" s="42"/>
      <c r="M38" s="42"/>
      <c r="N38" s="28"/>
    </row>
    <row r="39" spans="1:14" x14ac:dyDescent="0.2">
      <c r="A39" s="25"/>
      <c r="B39" s="8" t="str">
        <f>VLOOKUP($B$15,DISTRICT_STATES[],7,0)</f>
        <v>Massachusetts</v>
      </c>
      <c r="C39" s="145">
        <f>IF($B39=" ","",IFERROR(INDEX(MMWR_RATING_STATE_ROLLUP_PMC[],MATCH($B39,MMWR_RATING_STATE_ROLLUP_PMC[MMWR_RATING_STATE_ROLLUP_PMC],0),MATCH(C$9,MMWR_RATING_STATE_ROLLUP_PMC[#Headers],0)),"ERROR"))</f>
        <v>449</v>
      </c>
      <c r="D39" s="146">
        <f>IF($B39=" ","",IFERROR(INDEX(MMWR_RATING_STATE_ROLLUP_PMC[],MATCH($B39,MMWR_RATING_STATE_ROLLUP_PMC[MMWR_RATING_STATE_ROLLUP_PMC],0),MATCH(D$9,MMWR_RATING_STATE_ROLLUP_PMC[#Headers],0)),"ERROR"))</f>
        <v>71.857461024499997</v>
      </c>
      <c r="E39" s="147">
        <f>IF($B39=" ","",IFERROR(INDEX(MMWR_RATING_STATE_ROLLUP_PMC[],MATCH($B39,MMWR_RATING_STATE_ROLLUP_PMC[MMWR_RATING_STATE_ROLLUP_PMC],0),MATCH(E$9,MMWR_RATING_STATE_ROLLUP_PMC[#Headers],0))/$C39,"ERROR"))</f>
        <v>0.11581291759465479</v>
      </c>
      <c r="F39" s="145">
        <f>IF($B39=" ","",IFERROR(INDEX(MMWR_RATING_STATE_ROLLUP_PMC[],MATCH($B39,MMWR_RATING_STATE_ROLLUP_PMC[MMWR_RATING_STATE_ROLLUP_PMC],0),MATCH(F$9,MMWR_RATING_STATE_ROLLUP_PMC[#Headers],0)),"ERROR"))</f>
        <v>76</v>
      </c>
      <c r="G39" s="145">
        <f>IF($B39=" ","",IFERROR(INDEX(MMWR_RATING_STATE_ROLLUP_PMC[],MATCH($B39,MMWR_RATING_STATE_ROLLUP_PMC[MMWR_RATING_STATE_ROLLUP_PMC],0),MATCH(G$9,MMWR_RATING_STATE_ROLLUP_PMC[#Headers],0)),"ERROR"))</f>
        <v>533</v>
      </c>
      <c r="H39" s="146">
        <f>IF($B39=" ","",IFERROR(INDEX(MMWR_RATING_STATE_ROLLUP_PMC[],MATCH($B39,MMWR_RATING_STATE_ROLLUP_PMC[MMWR_RATING_STATE_ROLLUP_PMC],0),MATCH(H$9,MMWR_RATING_STATE_ROLLUP_PMC[#Headers],0)),"ERROR"))</f>
        <v>79.434210526300006</v>
      </c>
      <c r="I39" s="146">
        <f>IF($B39=" ","",IFERROR(INDEX(MMWR_RATING_STATE_ROLLUP_PMC[],MATCH($B39,MMWR_RATING_STATE_ROLLUP_PMC[MMWR_RATING_STATE_ROLLUP_PMC],0),MATCH(I$9,MMWR_RATING_STATE_ROLLUP_PMC[#Headers],0)),"ERROR"))</f>
        <v>80.373358349</v>
      </c>
      <c r="J39" s="42"/>
      <c r="K39" s="42"/>
      <c r="L39" s="42"/>
      <c r="M39" s="42"/>
      <c r="N39" s="28"/>
    </row>
    <row r="40" spans="1:14" x14ac:dyDescent="0.2">
      <c r="A40" s="25"/>
      <c r="B40" s="8" t="str">
        <f>VLOOKUP($B$15,DISTRICT_STATES[],8,0)</f>
        <v>New Hampshire</v>
      </c>
      <c r="C40" s="145">
        <f>IF($B40=" ","",IFERROR(INDEX(MMWR_RATING_STATE_ROLLUP_PMC[],MATCH($B40,MMWR_RATING_STATE_ROLLUP_PMC[MMWR_RATING_STATE_ROLLUP_PMC],0),MATCH(C$9,MMWR_RATING_STATE_ROLLUP_PMC[#Headers],0)),"ERROR"))</f>
        <v>107</v>
      </c>
      <c r="D40" s="146">
        <f>IF($B40=" ","",IFERROR(INDEX(MMWR_RATING_STATE_ROLLUP_PMC[],MATCH($B40,MMWR_RATING_STATE_ROLLUP_PMC[MMWR_RATING_STATE_ROLLUP_PMC],0),MATCH(D$9,MMWR_RATING_STATE_ROLLUP_PMC[#Headers],0)),"ERROR"))</f>
        <v>68.700934579399998</v>
      </c>
      <c r="E40" s="147">
        <f>IF($B40=" ","",IFERROR(INDEX(MMWR_RATING_STATE_ROLLUP_PMC[],MATCH($B40,MMWR_RATING_STATE_ROLLUP_PMC[MMWR_RATING_STATE_ROLLUP_PMC],0),MATCH(E$9,MMWR_RATING_STATE_ROLLUP_PMC[#Headers],0))/$C40,"ERROR"))</f>
        <v>0.10280373831775701</v>
      </c>
      <c r="F40" s="145">
        <f>IF($B40=" ","",IFERROR(INDEX(MMWR_RATING_STATE_ROLLUP_PMC[],MATCH($B40,MMWR_RATING_STATE_ROLLUP_PMC[MMWR_RATING_STATE_ROLLUP_PMC],0),MATCH(F$9,MMWR_RATING_STATE_ROLLUP_PMC[#Headers],0)),"ERROR"))</f>
        <v>16</v>
      </c>
      <c r="G40" s="145">
        <f>IF($B40=" ","",IFERROR(INDEX(MMWR_RATING_STATE_ROLLUP_PMC[],MATCH($B40,MMWR_RATING_STATE_ROLLUP_PMC[MMWR_RATING_STATE_ROLLUP_PMC],0),MATCH(G$9,MMWR_RATING_STATE_ROLLUP_PMC[#Headers],0)),"ERROR"))</f>
        <v>119</v>
      </c>
      <c r="H40" s="146">
        <f>IF($B40=" ","",IFERROR(INDEX(MMWR_RATING_STATE_ROLLUP_PMC[],MATCH($B40,MMWR_RATING_STATE_ROLLUP_PMC[MMWR_RATING_STATE_ROLLUP_PMC],0),MATCH(H$9,MMWR_RATING_STATE_ROLLUP_PMC[#Headers],0)),"ERROR"))</f>
        <v>104.75</v>
      </c>
      <c r="I40" s="146">
        <f>IF($B40=" ","",IFERROR(INDEX(MMWR_RATING_STATE_ROLLUP_PMC[],MATCH($B40,MMWR_RATING_STATE_ROLLUP_PMC[MMWR_RATING_STATE_ROLLUP_PMC],0),MATCH(I$9,MMWR_RATING_STATE_ROLLUP_PMC[#Headers],0)),"ERROR"))</f>
        <v>88.630252100800007</v>
      </c>
      <c r="J40" s="42"/>
      <c r="K40" s="42"/>
      <c r="L40" s="42"/>
      <c r="M40" s="42"/>
      <c r="N40" s="28"/>
    </row>
    <row r="41" spans="1:14" x14ac:dyDescent="0.2">
      <c r="A41" s="25"/>
      <c r="B41" s="8" t="str">
        <f>VLOOKUP($B$15,DISTRICT_STATES[],9,0)</f>
        <v>New Jersey</v>
      </c>
      <c r="C41" s="145">
        <f>IF($B41=" ","",IFERROR(INDEX(MMWR_RATING_STATE_ROLLUP_PMC[],MATCH($B41,MMWR_RATING_STATE_ROLLUP_PMC[MMWR_RATING_STATE_ROLLUP_PMC],0),MATCH(C$9,MMWR_RATING_STATE_ROLLUP_PMC[#Headers],0)),"ERROR"))</f>
        <v>511</v>
      </c>
      <c r="D41" s="146">
        <f>IF($B41=" ","",IFERROR(INDEX(MMWR_RATING_STATE_ROLLUP_PMC[],MATCH($B41,MMWR_RATING_STATE_ROLLUP_PMC[MMWR_RATING_STATE_ROLLUP_PMC],0),MATCH(D$9,MMWR_RATING_STATE_ROLLUP_PMC[#Headers],0)),"ERROR"))</f>
        <v>71.614481409000007</v>
      </c>
      <c r="E41" s="147">
        <f>IF($B41=" ","",IFERROR(INDEX(MMWR_RATING_STATE_ROLLUP_PMC[],MATCH($B41,MMWR_RATING_STATE_ROLLUP_PMC[MMWR_RATING_STATE_ROLLUP_PMC],0),MATCH(E$9,MMWR_RATING_STATE_ROLLUP_PMC[#Headers],0))/$C41,"ERROR"))</f>
        <v>0.13502935420743639</v>
      </c>
      <c r="F41" s="145">
        <f>IF($B41=" ","",IFERROR(INDEX(MMWR_RATING_STATE_ROLLUP_PMC[],MATCH($B41,MMWR_RATING_STATE_ROLLUP_PMC[MMWR_RATING_STATE_ROLLUP_PMC],0),MATCH(F$9,MMWR_RATING_STATE_ROLLUP_PMC[#Headers],0)),"ERROR"))</f>
        <v>72</v>
      </c>
      <c r="G41" s="145">
        <f>IF($B41=" ","",IFERROR(INDEX(MMWR_RATING_STATE_ROLLUP_PMC[],MATCH($B41,MMWR_RATING_STATE_ROLLUP_PMC[MMWR_RATING_STATE_ROLLUP_PMC],0),MATCH(G$9,MMWR_RATING_STATE_ROLLUP_PMC[#Headers],0)),"ERROR"))</f>
        <v>566</v>
      </c>
      <c r="H41" s="146">
        <f>IF($B41=" ","",IFERROR(INDEX(MMWR_RATING_STATE_ROLLUP_PMC[],MATCH($B41,MMWR_RATING_STATE_ROLLUP_PMC[MMWR_RATING_STATE_ROLLUP_PMC],0),MATCH(H$9,MMWR_RATING_STATE_ROLLUP_PMC[#Headers],0)),"ERROR"))</f>
        <v>112.375</v>
      </c>
      <c r="I41" s="146">
        <f>IF($B41=" ","",IFERROR(INDEX(MMWR_RATING_STATE_ROLLUP_PMC[],MATCH($B41,MMWR_RATING_STATE_ROLLUP_PMC[MMWR_RATING_STATE_ROLLUP_PMC],0),MATCH(I$9,MMWR_RATING_STATE_ROLLUP_PMC[#Headers],0)),"ERROR"))</f>
        <v>82.657243816299996</v>
      </c>
      <c r="J41" s="42"/>
      <c r="K41" s="42"/>
      <c r="L41" s="42"/>
      <c r="M41" s="42"/>
      <c r="N41" s="28"/>
    </row>
    <row r="42" spans="1:14" x14ac:dyDescent="0.2">
      <c r="A42" s="25"/>
      <c r="B42" s="8" t="str">
        <f>VLOOKUP($B$15,DISTRICT_STATES[],10,0)</f>
        <v>New York</v>
      </c>
      <c r="C42" s="145">
        <f>IF($B42=" ","",IFERROR(INDEX(MMWR_RATING_STATE_ROLLUP_PMC[],MATCH($B42,MMWR_RATING_STATE_ROLLUP_PMC[MMWR_RATING_STATE_ROLLUP_PMC],0),MATCH(C$9,MMWR_RATING_STATE_ROLLUP_PMC[#Headers],0)),"ERROR"))</f>
        <v>1306</v>
      </c>
      <c r="D42" s="146">
        <f>IF($B42=" ","",IFERROR(INDEX(MMWR_RATING_STATE_ROLLUP_PMC[],MATCH($B42,MMWR_RATING_STATE_ROLLUP_PMC[MMWR_RATING_STATE_ROLLUP_PMC],0),MATCH(D$9,MMWR_RATING_STATE_ROLLUP_PMC[#Headers],0)),"ERROR"))</f>
        <v>74.034456355299994</v>
      </c>
      <c r="E42" s="147">
        <f>IF($B42=" ","",IFERROR(INDEX(MMWR_RATING_STATE_ROLLUP_PMC[],MATCH($B42,MMWR_RATING_STATE_ROLLUP_PMC[MMWR_RATING_STATE_ROLLUP_PMC],0),MATCH(E$9,MMWR_RATING_STATE_ROLLUP_PMC[#Headers],0))/$C42,"ERROR"))</f>
        <v>8.0398162327718223E-2</v>
      </c>
      <c r="F42" s="145">
        <f>IF($B42=" ","",IFERROR(INDEX(MMWR_RATING_STATE_ROLLUP_PMC[],MATCH($B42,MMWR_RATING_STATE_ROLLUP_PMC[MMWR_RATING_STATE_ROLLUP_PMC],0),MATCH(F$9,MMWR_RATING_STATE_ROLLUP_PMC[#Headers],0)),"ERROR"))</f>
        <v>180</v>
      </c>
      <c r="G42" s="145">
        <f>IF($B42=" ","",IFERROR(INDEX(MMWR_RATING_STATE_ROLLUP_PMC[],MATCH($B42,MMWR_RATING_STATE_ROLLUP_PMC[MMWR_RATING_STATE_ROLLUP_PMC],0),MATCH(G$9,MMWR_RATING_STATE_ROLLUP_PMC[#Headers],0)),"ERROR"))</f>
        <v>1409</v>
      </c>
      <c r="H42" s="146">
        <f>IF($B42=" ","",IFERROR(INDEX(MMWR_RATING_STATE_ROLLUP_PMC[],MATCH($B42,MMWR_RATING_STATE_ROLLUP_PMC[MMWR_RATING_STATE_ROLLUP_PMC],0),MATCH(H$9,MMWR_RATING_STATE_ROLLUP_PMC[#Headers],0)),"ERROR"))</f>
        <v>104.5833333333</v>
      </c>
      <c r="I42" s="146">
        <f>IF($B42=" ","",IFERROR(INDEX(MMWR_RATING_STATE_ROLLUP_PMC[],MATCH($B42,MMWR_RATING_STATE_ROLLUP_PMC[MMWR_RATING_STATE_ROLLUP_PMC],0),MATCH(I$9,MMWR_RATING_STATE_ROLLUP_PMC[#Headers],0)),"ERROR"))</f>
        <v>86.312987934700004</v>
      </c>
      <c r="J42" s="42"/>
      <c r="K42" s="42"/>
      <c r="L42" s="42"/>
      <c r="M42" s="42"/>
      <c r="N42" s="28"/>
    </row>
    <row r="43" spans="1:14" x14ac:dyDescent="0.2">
      <c r="A43" s="25"/>
      <c r="B43" s="8" t="str">
        <f>VLOOKUP($B$15,DISTRICT_STATES[],11,0)</f>
        <v>North Carolina</v>
      </c>
      <c r="C43" s="145">
        <f>IF($B43=" ","",IFERROR(INDEX(MMWR_RATING_STATE_ROLLUP_PMC[],MATCH($B43,MMWR_RATING_STATE_ROLLUP_PMC[MMWR_RATING_STATE_ROLLUP_PMC],0),MATCH(C$9,MMWR_RATING_STATE_ROLLUP_PMC[#Headers],0)),"ERROR"))</f>
        <v>1258</v>
      </c>
      <c r="D43" s="146">
        <f>IF($B43=" ","",IFERROR(INDEX(MMWR_RATING_STATE_ROLLUP_PMC[],MATCH($B43,MMWR_RATING_STATE_ROLLUP_PMC[MMWR_RATING_STATE_ROLLUP_PMC],0),MATCH(D$9,MMWR_RATING_STATE_ROLLUP_PMC[#Headers],0)),"ERROR"))</f>
        <v>72.321144674099997</v>
      </c>
      <c r="E43" s="147">
        <f>IF($B43=" ","",IFERROR(INDEX(MMWR_RATING_STATE_ROLLUP_PMC[],MATCH($B43,MMWR_RATING_STATE_ROLLUP_PMC[MMWR_RATING_STATE_ROLLUP_PMC],0),MATCH(E$9,MMWR_RATING_STATE_ROLLUP_PMC[#Headers],0))/$C43,"ERROR"))</f>
        <v>0.11685214626391097</v>
      </c>
      <c r="F43" s="145">
        <f>IF($B43=" ","",IFERROR(INDEX(MMWR_RATING_STATE_ROLLUP_PMC[],MATCH($B43,MMWR_RATING_STATE_ROLLUP_PMC[MMWR_RATING_STATE_ROLLUP_PMC],0),MATCH(F$9,MMWR_RATING_STATE_ROLLUP_PMC[#Headers],0)),"ERROR"))</f>
        <v>197</v>
      </c>
      <c r="G43" s="145">
        <f>IF($B43=" ","",IFERROR(INDEX(MMWR_RATING_STATE_ROLLUP_PMC[],MATCH($B43,MMWR_RATING_STATE_ROLLUP_PMC[MMWR_RATING_STATE_ROLLUP_PMC],0),MATCH(G$9,MMWR_RATING_STATE_ROLLUP_PMC[#Headers],0)),"ERROR"))</f>
        <v>1394</v>
      </c>
      <c r="H43" s="146">
        <f>IF($B43=" ","",IFERROR(INDEX(MMWR_RATING_STATE_ROLLUP_PMC[],MATCH($B43,MMWR_RATING_STATE_ROLLUP_PMC[MMWR_RATING_STATE_ROLLUP_PMC],0),MATCH(H$9,MMWR_RATING_STATE_ROLLUP_PMC[#Headers],0)),"ERROR"))</f>
        <v>92.654822335000006</v>
      </c>
      <c r="I43" s="146">
        <f>IF($B43=" ","",IFERROR(INDEX(MMWR_RATING_STATE_ROLLUP_PMC[],MATCH($B43,MMWR_RATING_STATE_ROLLUP_PMC[MMWR_RATING_STATE_ROLLUP_PMC],0),MATCH(I$9,MMWR_RATING_STATE_ROLLUP_PMC[#Headers],0)),"ERROR"))</f>
        <v>83.630559540899995</v>
      </c>
      <c r="J43" s="42"/>
      <c r="K43" s="42"/>
      <c r="L43" s="42"/>
      <c r="M43" s="42"/>
      <c r="N43" s="28"/>
    </row>
    <row r="44" spans="1:14" x14ac:dyDescent="0.2">
      <c r="A44" s="25"/>
      <c r="B44" s="8" t="str">
        <f>VLOOKUP($B$15,DISTRICT_STATES[],12,0)</f>
        <v>Pennsylvania</v>
      </c>
      <c r="C44" s="145">
        <f>IF($B44=" ","",IFERROR(INDEX(MMWR_RATING_STATE_ROLLUP_PMC[],MATCH($B44,MMWR_RATING_STATE_ROLLUP_PMC[MMWR_RATING_STATE_ROLLUP_PMC],0),MATCH(C$9,MMWR_RATING_STATE_ROLLUP_PMC[#Headers],0)),"ERROR"))</f>
        <v>1527</v>
      </c>
      <c r="D44" s="146">
        <f>IF($B44=" ","",IFERROR(INDEX(MMWR_RATING_STATE_ROLLUP_PMC[],MATCH($B44,MMWR_RATING_STATE_ROLLUP_PMC[MMWR_RATING_STATE_ROLLUP_PMC],0),MATCH(D$9,MMWR_RATING_STATE_ROLLUP_PMC[#Headers],0)),"ERROR"))</f>
        <v>72.434184675799997</v>
      </c>
      <c r="E44" s="147">
        <f>IF($B44=" ","",IFERROR(INDEX(MMWR_RATING_STATE_ROLLUP_PMC[],MATCH($B44,MMWR_RATING_STATE_ROLLUP_PMC[MMWR_RATING_STATE_ROLLUP_PMC],0),MATCH(E$9,MMWR_RATING_STATE_ROLLUP_PMC[#Headers],0))/$C44,"ERROR"))</f>
        <v>0.10478061558611657</v>
      </c>
      <c r="F44" s="145">
        <f>IF($B44=" ","",IFERROR(INDEX(MMWR_RATING_STATE_ROLLUP_PMC[],MATCH($B44,MMWR_RATING_STATE_ROLLUP_PMC[MMWR_RATING_STATE_ROLLUP_PMC],0),MATCH(F$9,MMWR_RATING_STATE_ROLLUP_PMC[#Headers],0)),"ERROR"))</f>
        <v>217</v>
      </c>
      <c r="G44" s="145">
        <f>IF($B44=" ","",IFERROR(INDEX(MMWR_RATING_STATE_ROLLUP_PMC[],MATCH($B44,MMWR_RATING_STATE_ROLLUP_PMC[MMWR_RATING_STATE_ROLLUP_PMC],0),MATCH(G$9,MMWR_RATING_STATE_ROLLUP_PMC[#Headers],0)),"ERROR"))</f>
        <v>1688</v>
      </c>
      <c r="H44" s="146">
        <f>IF($B44=" ","",IFERROR(INDEX(MMWR_RATING_STATE_ROLLUP_PMC[],MATCH($B44,MMWR_RATING_STATE_ROLLUP_PMC[MMWR_RATING_STATE_ROLLUP_PMC],0),MATCH(H$9,MMWR_RATING_STATE_ROLLUP_PMC[#Headers],0)),"ERROR"))</f>
        <v>92.700460829500003</v>
      </c>
      <c r="I44" s="146">
        <f>IF($B44=" ","",IFERROR(INDEX(MMWR_RATING_STATE_ROLLUP_PMC[],MATCH($B44,MMWR_RATING_STATE_ROLLUP_PMC[MMWR_RATING_STATE_ROLLUP_PMC],0),MATCH(I$9,MMWR_RATING_STATE_ROLLUP_PMC[#Headers],0)),"ERROR"))</f>
        <v>82.893957345999993</v>
      </c>
      <c r="J44" s="42"/>
      <c r="K44" s="42"/>
      <c r="L44" s="42"/>
      <c r="M44" s="42"/>
      <c r="N44" s="28"/>
    </row>
    <row r="45" spans="1:14" x14ac:dyDescent="0.2">
      <c r="A45" s="25"/>
      <c r="B45" s="8" t="str">
        <f>VLOOKUP($B$15,DISTRICT_STATES[],13,0)</f>
        <v>Rhode Island</v>
      </c>
      <c r="C45" s="145">
        <f>IF($B45=" ","",IFERROR(INDEX(MMWR_RATING_STATE_ROLLUP_PMC[],MATCH($B45,MMWR_RATING_STATE_ROLLUP_PMC[MMWR_RATING_STATE_ROLLUP_PMC],0),MATCH(C$9,MMWR_RATING_STATE_ROLLUP_PMC[#Headers],0)),"ERROR"))</f>
        <v>101</v>
      </c>
      <c r="D45" s="146">
        <f>IF($B45=" ","",IFERROR(INDEX(MMWR_RATING_STATE_ROLLUP_PMC[],MATCH($B45,MMWR_RATING_STATE_ROLLUP_PMC[MMWR_RATING_STATE_ROLLUP_PMC],0),MATCH(D$9,MMWR_RATING_STATE_ROLLUP_PMC[#Headers],0)),"ERROR"))</f>
        <v>72.990099009900007</v>
      </c>
      <c r="E45" s="147">
        <f>IF($B45=" ","",IFERROR(INDEX(MMWR_RATING_STATE_ROLLUP_PMC[],MATCH($B45,MMWR_RATING_STATE_ROLLUP_PMC[MMWR_RATING_STATE_ROLLUP_PMC],0),MATCH(E$9,MMWR_RATING_STATE_ROLLUP_PMC[#Headers],0))/$C45,"ERROR"))</f>
        <v>9.9009900990099015E-2</v>
      </c>
      <c r="F45" s="145">
        <f>IF($B45=" ","",IFERROR(INDEX(MMWR_RATING_STATE_ROLLUP_PMC[],MATCH($B45,MMWR_RATING_STATE_ROLLUP_PMC[MMWR_RATING_STATE_ROLLUP_PMC],0),MATCH(F$9,MMWR_RATING_STATE_ROLLUP_PMC[#Headers],0)),"ERROR"))</f>
        <v>23</v>
      </c>
      <c r="G45" s="145">
        <f>IF($B45=" ","",IFERROR(INDEX(MMWR_RATING_STATE_ROLLUP_PMC[],MATCH($B45,MMWR_RATING_STATE_ROLLUP_PMC[MMWR_RATING_STATE_ROLLUP_PMC],0),MATCH(G$9,MMWR_RATING_STATE_ROLLUP_PMC[#Headers],0)),"ERROR"))</f>
        <v>150</v>
      </c>
      <c r="H45" s="146">
        <f>IF($B45=" ","",IFERROR(INDEX(MMWR_RATING_STATE_ROLLUP_PMC[],MATCH($B45,MMWR_RATING_STATE_ROLLUP_PMC[MMWR_RATING_STATE_ROLLUP_PMC],0),MATCH(H$9,MMWR_RATING_STATE_ROLLUP_PMC[#Headers],0)),"ERROR"))</f>
        <v>100.17391304349999</v>
      </c>
      <c r="I45" s="146">
        <f>IF($B45=" ","",IFERROR(INDEX(MMWR_RATING_STATE_ROLLUP_PMC[],MATCH($B45,MMWR_RATING_STATE_ROLLUP_PMC[MMWR_RATING_STATE_ROLLUP_PMC],0),MATCH(I$9,MMWR_RATING_STATE_ROLLUP_PMC[#Headers],0)),"ERROR"))</f>
        <v>90.946666666699997</v>
      </c>
      <c r="J45" s="42"/>
      <c r="K45" s="42"/>
      <c r="L45" s="42"/>
      <c r="M45" s="42"/>
      <c r="N45" s="28"/>
    </row>
    <row r="46" spans="1:14" x14ac:dyDescent="0.2">
      <c r="A46" s="25"/>
      <c r="B46" s="8" t="str">
        <f>VLOOKUP($B$15,DISTRICT_STATES[],14,0)</f>
        <v>Vermont</v>
      </c>
      <c r="C46" s="145">
        <f>IF($B46=" ","",IFERROR(INDEX(MMWR_RATING_STATE_ROLLUP_PMC[],MATCH($B46,MMWR_RATING_STATE_ROLLUP_PMC[MMWR_RATING_STATE_ROLLUP_PMC],0),MATCH(C$9,MMWR_RATING_STATE_ROLLUP_PMC[#Headers],0)),"ERROR"))</f>
        <v>53</v>
      </c>
      <c r="D46" s="146">
        <f>IF($B46=" ","",IFERROR(INDEX(MMWR_RATING_STATE_ROLLUP_PMC[],MATCH($B46,MMWR_RATING_STATE_ROLLUP_PMC[MMWR_RATING_STATE_ROLLUP_PMC],0),MATCH(D$9,MMWR_RATING_STATE_ROLLUP_PMC[#Headers],0)),"ERROR"))</f>
        <v>65.849056603799994</v>
      </c>
      <c r="E46" s="147">
        <f>IF($B46=" ","",IFERROR(INDEX(MMWR_RATING_STATE_ROLLUP_PMC[],MATCH($B46,MMWR_RATING_STATE_ROLLUP_PMC[MMWR_RATING_STATE_ROLLUP_PMC],0),MATCH(E$9,MMWR_RATING_STATE_ROLLUP_PMC[#Headers],0))/$C46,"ERROR"))</f>
        <v>9.4339622641509441E-2</v>
      </c>
      <c r="F46" s="145">
        <f>IF($B46=" ","",IFERROR(INDEX(MMWR_RATING_STATE_ROLLUP_PMC[],MATCH($B46,MMWR_RATING_STATE_ROLLUP_PMC[MMWR_RATING_STATE_ROLLUP_PMC],0),MATCH(F$9,MMWR_RATING_STATE_ROLLUP_PMC[#Headers],0)),"ERROR"))</f>
        <v>10</v>
      </c>
      <c r="G46" s="145">
        <f>IF($B46=" ","",IFERROR(INDEX(MMWR_RATING_STATE_ROLLUP_PMC[],MATCH($B46,MMWR_RATING_STATE_ROLLUP_PMC[MMWR_RATING_STATE_ROLLUP_PMC],0),MATCH(G$9,MMWR_RATING_STATE_ROLLUP_PMC[#Headers],0)),"ERROR"))</f>
        <v>37</v>
      </c>
      <c r="H46" s="146">
        <f>IF($B46=" ","",IFERROR(INDEX(MMWR_RATING_STATE_ROLLUP_PMC[],MATCH($B46,MMWR_RATING_STATE_ROLLUP_PMC[MMWR_RATING_STATE_ROLLUP_PMC],0),MATCH(H$9,MMWR_RATING_STATE_ROLLUP_PMC[#Headers],0)),"ERROR"))</f>
        <v>91.3</v>
      </c>
      <c r="I46" s="146">
        <f>IF($B46=" ","",IFERROR(INDEX(MMWR_RATING_STATE_ROLLUP_PMC[],MATCH($B46,MMWR_RATING_STATE_ROLLUP_PMC[MMWR_RATING_STATE_ROLLUP_PMC],0),MATCH(I$9,MMWR_RATING_STATE_ROLLUP_PMC[#Headers],0)),"ERROR"))</f>
        <v>91.054054054100007</v>
      </c>
      <c r="J46" s="42"/>
      <c r="K46" s="42"/>
      <c r="L46" s="42"/>
      <c r="M46" s="42"/>
      <c r="N46" s="28"/>
    </row>
    <row r="47" spans="1:14" x14ac:dyDescent="0.2">
      <c r="A47" s="25"/>
      <c r="B47" s="8" t="str">
        <f>VLOOKUP($B$15,DISTRICT_STATES[],15,0)</f>
        <v>Virginia</v>
      </c>
      <c r="C47" s="145">
        <f>IF($B47=" ","",IFERROR(INDEX(MMWR_RATING_STATE_ROLLUP_PMC[],MATCH($B47,MMWR_RATING_STATE_ROLLUP_PMC[MMWR_RATING_STATE_ROLLUP_PMC],0),MATCH(C$9,MMWR_RATING_STATE_ROLLUP_PMC[#Headers],0)),"ERROR"))</f>
        <v>813</v>
      </c>
      <c r="D47" s="146">
        <f>IF($B47=" ","",IFERROR(INDEX(MMWR_RATING_STATE_ROLLUP_PMC[],MATCH($B47,MMWR_RATING_STATE_ROLLUP_PMC[MMWR_RATING_STATE_ROLLUP_PMC],0),MATCH(D$9,MMWR_RATING_STATE_ROLLUP_PMC[#Headers],0)),"ERROR"))</f>
        <v>75.314883148800007</v>
      </c>
      <c r="E47" s="147">
        <f>IF($B47=" ","",IFERROR(INDEX(MMWR_RATING_STATE_ROLLUP_PMC[],MATCH($B47,MMWR_RATING_STATE_ROLLUP_PMC[MMWR_RATING_STATE_ROLLUP_PMC],0),MATCH(E$9,MMWR_RATING_STATE_ROLLUP_PMC[#Headers],0))/$C47,"ERROR"))</f>
        <v>0.12546125461254612</v>
      </c>
      <c r="F47" s="145">
        <f>IF($B47=" ","",IFERROR(INDEX(MMWR_RATING_STATE_ROLLUP_PMC[],MATCH($B47,MMWR_RATING_STATE_ROLLUP_PMC[MMWR_RATING_STATE_ROLLUP_PMC],0),MATCH(F$9,MMWR_RATING_STATE_ROLLUP_PMC[#Headers],0)),"ERROR"))</f>
        <v>110</v>
      </c>
      <c r="G47" s="145">
        <f>IF($B47=" ","",IFERROR(INDEX(MMWR_RATING_STATE_ROLLUP_PMC[],MATCH($B47,MMWR_RATING_STATE_ROLLUP_PMC[MMWR_RATING_STATE_ROLLUP_PMC],0),MATCH(G$9,MMWR_RATING_STATE_ROLLUP_PMC[#Headers],0)),"ERROR"))</f>
        <v>902</v>
      </c>
      <c r="H47" s="146">
        <f>IF($B47=" ","",IFERROR(INDEX(MMWR_RATING_STATE_ROLLUP_PMC[],MATCH($B47,MMWR_RATING_STATE_ROLLUP_PMC[MMWR_RATING_STATE_ROLLUP_PMC],0),MATCH(H$9,MMWR_RATING_STATE_ROLLUP_PMC[#Headers],0)),"ERROR"))</f>
        <v>105.1</v>
      </c>
      <c r="I47" s="146">
        <f>IF($B47=" ","",IFERROR(INDEX(MMWR_RATING_STATE_ROLLUP_PMC[],MATCH($B47,MMWR_RATING_STATE_ROLLUP_PMC[MMWR_RATING_STATE_ROLLUP_PMC],0),MATCH(I$9,MMWR_RATING_STATE_ROLLUP_PMC[#Headers],0)),"ERROR"))</f>
        <v>91.522172948999994</v>
      </c>
      <c r="J47" s="42"/>
      <c r="K47" s="42"/>
      <c r="L47" s="42"/>
      <c r="M47" s="42"/>
      <c r="N47" s="28"/>
    </row>
    <row r="48" spans="1:14" x14ac:dyDescent="0.2">
      <c r="A48" s="25"/>
      <c r="B48" s="8" t="str">
        <f>VLOOKUP($B$15,DISTRICT_STATES[],16,0)</f>
        <v>West Virginia</v>
      </c>
      <c r="C48" s="145">
        <f>IF($B48=" ","",IFERROR(INDEX(MMWR_RATING_STATE_ROLLUP_PMC[],MATCH($B48,MMWR_RATING_STATE_ROLLUP_PMC[MMWR_RATING_STATE_ROLLUP_PMC],0),MATCH(C$9,MMWR_RATING_STATE_ROLLUP_PMC[#Headers],0)),"ERROR"))</f>
        <v>248</v>
      </c>
      <c r="D48" s="146">
        <f>IF($B48=" ","",IFERROR(INDEX(MMWR_RATING_STATE_ROLLUP_PMC[],MATCH($B48,MMWR_RATING_STATE_ROLLUP_PMC[MMWR_RATING_STATE_ROLLUP_PMC],0),MATCH(D$9,MMWR_RATING_STATE_ROLLUP_PMC[#Headers],0)),"ERROR"))</f>
        <v>73.588709677400004</v>
      </c>
      <c r="E48" s="147">
        <f>IF($B48=" ","",IFERROR(INDEX(MMWR_RATING_STATE_ROLLUP_PMC[],MATCH($B48,MMWR_RATING_STATE_ROLLUP_PMC[MMWR_RATING_STATE_ROLLUP_PMC],0),MATCH(E$9,MMWR_RATING_STATE_ROLLUP_PMC[#Headers],0))/$C48,"ERROR"))</f>
        <v>0.125</v>
      </c>
      <c r="F48" s="145">
        <f>IF($B48=" ","",IFERROR(INDEX(MMWR_RATING_STATE_ROLLUP_PMC[],MATCH($B48,MMWR_RATING_STATE_ROLLUP_PMC[MMWR_RATING_STATE_ROLLUP_PMC],0),MATCH(F$9,MMWR_RATING_STATE_ROLLUP_PMC[#Headers],0)),"ERROR"))</f>
        <v>42</v>
      </c>
      <c r="G48" s="145">
        <f>IF($B48=" ","",IFERROR(INDEX(MMWR_RATING_STATE_ROLLUP_PMC[],MATCH($B48,MMWR_RATING_STATE_ROLLUP_PMC[MMWR_RATING_STATE_ROLLUP_PMC],0),MATCH(G$9,MMWR_RATING_STATE_ROLLUP_PMC[#Headers],0)),"ERROR"))</f>
        <v>314</v>
      </c>
      <c r="H48" s="146">
        <f>IF($B48=" ","",IFERROR(INDEX(MMWR_RATING_STATE_ROLLUP_PMC[],MATCH($B48,MMWR_RATING_STATE_ROLLUP_PMC[MMWR_RATING_STATE_ROLLUP_PMC],0),MATCH(H$9,MMWR_RATING_STATE_ROLLUP_PMC[#Headers],0)),"ERROR"))</f>
        <v>98.738095238100001</v>
      </c>
      <c r="I48" s="146">
        <f>IF($B48=" ","",IFERROR(INDEX(MMWR_RATING_STATE_ROLLUP_PMC[],MATCH($B48,MMWR_RATING_STATE_ROLLUP_PMC[MMWR_RATING_STATE_ROLLUP_PMC],0),MATCH(I$9,MMWR_RATING_STATE_ROLLUP_PMC[#Headers],0)),"ERROR"))</f>
        <v>89.216560509600001</v>
      </c>
      <c r="J48" s="42"/>
      <c r="K48" s="42"/>
      <c r="L48" s="42"/>
      <c r="M48" s="42"/>
      <c r="N48" s="28"/>
    </row>
    <row r="49" spans="1:14" x14ac:dyDescent="0.2">
      <c r="A49" s="25"/>
      <c r="B49" s="366" t="s">
        <v>1036</v>
      </c>
      <c r="C49" s="367"/>
      <c r="D49" s="367"/>
      <c r="E49" s="367"/>
      <c r="F49" s="367"/>
      <c r="G49" s="367"/>
      <c r="H49" s="367"/>
      <c r="I49" s="367"/>
      <c r="J49" s="367"/>
      <c r="K49" s="367"/>
      <c r="L49" s="367"/>
      <c r="M49" s="417"/>
      <c r="N49" s="28"/>
    </row>
    <row r="50" spans="1:14" x14ac:dyDescent="0.2">
      <c r="A50" s="25"/>
      <c r="B50" s="41" t="s">
        <v>1035</v>
      </c>
      <c r="C50" s="145">
        <f>IF($B50=" ","",IFERROR(INDEX(MMWR_RATING_STATE_ROLLUP_QST[],MATCH($B50,MMWR_RATING_STATE_ROLLUP_QST[MMWR_RATING_STATE_ROLLUP_QST],0),MATCH(C$9,MMWR_RATING_STATE_ROLLUP_QST[#Headers],0)),"ERROR"))</f>
        <v>10736</v>
      </c>
      <c r="D50" s="146">
        <f>IF($B50=" ","",IFERROR(INDEX(MMWR_RATING_STATE_ROLLUP_QST[],MATCH($B50,MMWR_RATING_STATE_ROLLUP_QST[MMWR_RATING_STATE_ROLLUP_QST],0),MATCH(D$9,MMWR_RATING_STATE_ROLLUP_QST[#Headers],0)),"ERROR"))</f>
        <v>88.494970193699999</v>
      </c>
      <c r="E50" s="147">
        <f>IF($B50=" ","",IFERROR(INDEX(MMWR_RATING_STATE_ROLLUP_QST[],MATCH($B50,MMWR_RATING_STATE_ROLLUP_QST[MMWR_RATING_STATE_ROLLUP_QST],0),MATCH(E$9,MMWR_RATING_STATE_ROLLUP_QST[#Headers],0))/$C50,"ERROR"))</f>
        <v>0.23379284649776452</v>
      </c>
      <c r="F50" s="145">
        <f>IF($B50=" ","",IFERROR(INDEX(MMWR_RATING_STATE_ROLLUP_QST[],MATCH($B50,MMWR_RATING_STATE_ROLLUP_QST[MMWR_RATING_STATE_ROLLUP_QST],0),MATCH(F$9,MMWR_RATING_STATE_ROLLUP_QST[#Headers],0)),"ERROR"))</f>
        <v>823</v>
      </c>
      <c r="G50" s="145">
        <f>IF($B50=" ","",IFERROR(INDEX(MMWR_RATING_STATE_ROLLUP_QST[],MATCH($B50,MMWR_RATING_STATE_ROLLUP_QST[MMWR_RATING_STATE_ROLLUP_QST],0),MATCH(G$9,MMWR_RATING_STATE_ROLLUP_QST[#Headers],0)),"ERROR"))</f>
        <v>5559</v>
      </c>
      <c r="H50" s="146">
        <f>IF($B50=" ","",IFERROR(INDEX(MMWR_RATING_STATE_ROLLUP_QST[],MATCH($B50,MMWR_RATING_STATE_ROLLUP_QST[MMWR_RATING_STATE_ROLLUP_QST],0),MATCH(H$9,MMWR_RATING_STATE_ROLLUP_QST[#Headers],0)),"ERROR"))</f>
        <v>159.86269744840001</v>
      </c>
      <c r="I50" s="146">
        <f>IF($B50=" ","",IFERROR(INDEX(MMWR_RATING_STATE_ROLLUP_QST[],MATCH($B50,MMWR_RATING_STATE_ROLLUP_QST[MMWR_RATING_STATE_ROLLUP_QST],0),MATCH(I$9,MMWR_RATING_STATE_ROLLUP_QST[#Headers],0)),"ERROR"))</f>
        <v>143.17880913830001</v>
      </c>
      <c r="J50" s="42"/>
      <c r="K50" s="42"/>
      <c r="L50" s="42"/>
      <c r="M50" s="42"/>
      <c r="N50" s="28"/>
    </row>
    <row r="51" spans="1:14" x14ac:dyDescent="0.2">
      <c r="A51" s="25"/>
      <c r="B51" s="220" t="str">
        <f>INDEX(DISTRICT_STATES[],MATCH($B$5,DISTRICT_RO[District],0),1)</f>
        <v>North Atlantic</v>
      </c>
      <c r="C51" s="145">
        <f>IF($B51=" ","",IFERROR(INDEX(MMWR_RATING_STATE_ROLLUP_QST[],MATCH($B51,MMWR_RATING_STATE_ROLLUP_QST[MMWR_RATING_STATE_ROLLUP_QST],0),MATCH(C$9,MMWR_RATING_STATE_ROLLUP_QST[#Headers],0)),"ERROR"))</f>
        <v>2469</v>
      </c>
      <c r="D51" s="146">
        <f>IF($B51=" ","",IFERROR(INDEX(MMWR_RATING_STATE_ROLLUP_QST[],MATCH($B51,MMWR_RATING_STATE_ROLLUP_QST[MMWR_RATING_STATE_ROLLUP_QST],0),MATCH(D$9,MMWR_RATING_STATE_ROLLUP_QST[#Headers],0)),"ERROR"))</f>
        <v>91.696233292800002</v>
      </c>
      <c r="E51" s="147">
        <f>IF($B51=" ","",IFERROR(INDEX(MMWR_RATING_STATE_ROLLUP_QST[],MATCH($B51,MMWR_RATING_STATE_ROLLUP_QST[MMWR_RATING_STATE_ROLLUP_QST],0),MATCH(E$9,MMWR_RATING_STATE_ROLLUP_QST[#Headers],0))/$C51,"ERROR"))</f>
        <v>0.27298501417577969</v>
      </c>
      <c r="F51" s="145">
        <f>IF($B51=" ","",IFERROR(INDEX(MMWR_RATING_STATE_ROLLUP_QST[],MATCH($B51,MMWR_RATING_STATE_ROLLUP_QST[MMWR_RATING_STATE_ROLLUP_QST],0),MATCH(F$9,MMWR_RATING_STATE_ROLLUP_QST[#Headers],0)),"ERROR"))</f>
        <v>208</v>
      </c>
      <c r="G51" s="145">
        <f>IF($B51=" ","",IFERROR(INDEX(MMWR_RATING_STATE_ROLLUP_QST[],MATCH($B51,MMWR_RATING_STATE_ROLLUP_QST[MMWR_RATING_STATE_ROLLUP_QST],0),MATCH(G$9,MMWR_RATING_STATE_ROLLUP_QST[#Headers],0)),"ERROR"))</f>
        <v>1292</v>
      </c>
      <c r="H51" s="146">
        <f>IF($B51=" ","",IFERROR(INDEX(MMWR_RATING_STATE_ROLLUP_QST[],MATCH($B51,MMWR_RATING_STATE_ROLLUP_QST[MMWR_RATING_STATE_ROLLUP_QST],0),MATCH(H$9,MMWR_RATING_STATE_ROLLUP_QST[#Headers],0)),"ERROR"))</f>
        <v>164.50480769230001</v>
      </c>
      <c r="I51" s="146">
        <f>IF($B51=" ","",IFERROR(INDEX(MMWR_RATING_STATE_ROLLUP_QST[],MATCH($B51,MMWR_RATING_STATE_ROLLUP_QST[MMWR_RATING_STATE_ROLLUP_QST],0),MATCH(I$9,MMWR_RATING_STATE_ROLLUP_QST[#Headers],0)),"ERROR"))</f>
        <v>149.52089783279999</v>
      </c>
      <c r="J51" s="42"/>
      <c r="K51" s="42"/>
      <c r="L51" s="42"/>
      <c r="M51" s="42"/>
      <c r="N51" s="28"/>
    </row>
    <row r="52" spans="1:14" x14ac:dyDescent="0.2">
      <c r="A52" s="25"/>
      <c r="B52" s="8" t="str">
        <f>VLOOKUP($B$15,DISTRICT_STATES[],2,0)</f>
        <v>Connecticut</v>
      </c>
      <c r="C52" s="145">
        <f>IF($B52=" ","",IFERROR(INDEX(MMWR_RATING_STATE_ROLLUP_QST[],MATCH($B52,MMWR_RATING_STATE_ROLLUP_QST[MMWR_RATING_STATE_ROLLUP_QST],0),MATCH(C$9,MMWR_RATING_STATE_ROLLUP_QST[#Headers],0)),"ERROR"))</f>
        <v>51</v>
      </c>
      <c r="D52" s="146">
        <f>IF($B52=" ","",IFERROR(INDEX(MMWR_RATING_STATE_ROLLUP_QST[],MATCH($B52,MMWR_RATING_STATE_ROLLUP_QST[MMWR_RATING_STATE_ROLLUP_QST],0),MATCH(D$9,MMWR_RATING_STATE_ROLLUP_QST[#Headers],0)),"ERROR"))</f>
        <v>98</v>
      </c>
      <c r="E52" s="147">
        <f>IF($B52=" ","",IFERROR(INDEX(MMWR_RATING_STATE_ROLLUP_QST[],MATCH($B52,MMWR_RATING_STATE_ROLLUP_QST[MMWR_RATING_STATE_ROLLUP_QST],0),MATCH(E$9,MMWR_RATING_STATE_ROLLUP_QST[#Headers],0))/$C52,"ERROR"))</f>
        <v>0.25490196078431371</v>
      </c>
      <c r="F52" s="145">
        <f>IF($B52=" ","",IFERROR(INDEX(MMWR_RATING_STATE_ROLLUP_QST[],MATCH($B52,MMWR_RATING_STATE_ROLLUP_QST[MMWR_RATING_STATE_ROLLUP_QST],0),MATCH(F$9,MMWR_RATING_STATE_ROLLUP_QST[#Headers],0)),"ERROR"))</f>
        <v>4</v>
      </c>
      <c r="G52" s="145">
        <f>IF($B52=" ","",IFERROR(INDEX(MMWR_RATING_STATE_ROLLUP_QST[],MATCH($B52,MMWR_RATING_STATE_ROLLUP_QST[MMWR_RATING_STATE_ROLLUP_QST],0),MATCH(G$9,MMWR_RATING_STATE_ROLLUP_QST[#Headers],0)),"ERROR"))</f>
        <v>34</v>
      </c>
      <c r="H52" s="146">
        <f>IF($B52=" ","",IFERROR(INDEX(MMWR_RATING_STATE_ROLLUP_QST[],MATCH($B52,MMWR_RATING_STATE_ROLLUP_QST[MMWR_RATING_STATE_ROLLUP_QST],0),MATCH(H$9,MMWR_RATING_STATE_ROLLUP_QST[#Headers],0)),"ERROR"))</f>
        <v>158.25</v>
      </c>
      <c r="I52" s="146">
        <f>IF($B52=" ","",IFERROR(INDEX(MMWR_RATING_STATE_ROLLUP_QST[],MATCH($B52,MMWR_RATING_STATE_ROLLUP_QST[MMWR_RATING_STATE_ROLLUP_QST],0),MATCH(I$9,MMWR_RATING_STATE_ROLLUP_QST[#Headers],0)),"ERROR"))</f>
        <v>130.4705882353</v>
      </c>
      <c r="J52" s="42"/>
      <c r="K52" s="42"/>
      <c r="L52" s="42"/>
      <c r="M52" s="42"/>
      <c r="N52" s="28"/>
    </row>
    <row r="53" spans="1:14" x14ac:dyDescent="0.2">
      <c r="A53" s="25"/>
      <c r="B53" s="8" t="str">
        <f>VLOOKUP($B$15,DISTRICT_STATES[],3,0)</f>
        <v>Delaware</v>
      </c>
      <c r="C53" s="145">
        <f>IF($B53=" ","",IFERROR(INDEX(MMWR_RATING_STATE_ROLLUP_QST[],MATCH($B53,MMWR_RATING_STATE_ROLLUP_QST[MMWR_RATING_STATE_ROLLUP_QST],0),MATCH(C$9,MMWR_RATING_STATE_ROLLUP_QST[#Headers],0)),"ERROR"))</f>
        <v>18</v>
      </c>
      <c r="D53" s="146">
        <f>IF($B53=" ","",IFERROR(INDEX(MMWR_RATING_STATE_ROLLUP_QST[],MATCH($B53,MMWR_RATING_STATE_ROLLUP_QST[MMWR_RATING_STATE_ROLLUP_QST],0),MATCH(D$9,MMWR_RATING_STATE_ROLLUP_QST[#Headers],0)),"ERROR"))</f>
        <v>91.666666666699996</v>
      </c>
      <c r="E53" s="147">
        <f>IF($B53=" ","",IFERROR(INDEX(MMWR_RATING_STATE_ROLLUP_QST[],MATCH($B53,MMWR_RATING_STATE_ROLLUP_QST[MMWR_RATING_STATE_ROLLUP_QST],0),MATCH(E$9,MMWR_RATING_STATE_ROLLUP_QST[#Headers],0))/$C53,"ERROR"))</f>
        <v>0.22222222222222221</v>
      </c>
      <c r="F53" s="145">
        <f>IF($B53=" ","",IFERROR(INDEX(MMWR_RATING_STATE_ROLLUP_QST[],MATCH($B53,MMWR_RATING_STATE_ROLLUP_QST[MMWR_RATING_STATE_ROLLUP_QST],0),MATCH(F$9,MMWR_RATING_STATE_ROLLUP_QST[#Headers],0)),"ERROR"))</f>
        <v>2</v>
      </c>
      <c r="G53" s="145">
        <f>IF($B53=" ","",IFERROR(INDEX(MMWR_RATING_STATE_ROLLUP_QST[],MATCH($B53,MMWR_RATING_STATE_ROLLUP_QST[MMWR_RATING_STATE_ROLLUP_QST],0),MATCH(G$9,MMWR_RATING_STATE_ROLLUP_QST[#Headers],0)),"ERROR"))</f>
        <v>14</v>
      </c>
      <c r="H53" s="146">
        <f>IF($B53=" ","",IFERROR(INDEX(MMWR_RATING_STATE_ROLLUP_QST[],MATCH($B53,MMWR_RATING_STATE_ROLLUP_QST[MMWR_RATING_STATE_ROLLUP_QST],0),MATCH(H$9,MMWR_RATING_STATE_ROLLUP_QST[#Headers],0)),"ERROR"))</f>
        <v>151</v>
      </c>
      <c r="I53" s="146">
        <f>IF($B53=" ","",IFERROR(INDEX(MMWR_RATING_STATE_ROLLUP_QST[],MATCH($B53,MMWR_RATING_STATE_ROLLUP_QST[MMWR_RATING_STATE_ROLLUP_QST],0),MATCH(I$9,MMWR_RATING_STATE_ROLLUP_QST[#Headers],0)),"ERROR"))</f>
        <v>142.8571428571</v>
      </c>
      <c r="J53" s="42"/>
      <c r="K53" s="42"/>
      <c r="L53" s="42"/>
      <c r="M53" s="42"/>
      <c r="N53" s="28"/>
    </row>
    <row r="54" spans="1:14" x14ac:dyDescent="0.2">
      <c r="A54" s="25"/>
      <c r="B54" s="8" t="str">
        <f>VLOOKUP($B$15,DISTRICT_STATES[],4,0)</f>
        <v>District of Columbia</v>
      </c>
      <c r="C54" s="145">
        <f>IF($B54=" ","",IFERROR(INDEX(MMWR_RATING_STATE_ROLLUP_QST[],MATCH($B54,MMWR_RATING_STATE_ROLLUP_QST[MMWR_RATING_STATE_ROLLUP_QST],0),MATCH(C$9,MMWR_RATING_STATE_ROLLUP_QST[#Headers],0)),"ERROR"))</f>
        <v>28</v>
      </c>
      <c r="D54" s="146">
        <f>IF($B54=" ","",IFERROR(INDEX(MMWR_RATING_STATE_ROLLUP_QST[],MATCH($B54,MMWR_RATING_STATE_ROLLUP_QST[MMWR_RATING_STATE_ROLLUP_QST],0),MATCH(D$9,MMWR_RATING_STATE_ROLLUP_QST[#Headers],0)),"ERROR"))</f>
        <v>82.857142857100001</v>
      </c>
      <c r="E54" s="147">
        <f>IF($B54=" ","",IFERROR(INDEX(MMWR_RATING_STATE_ROLLUP_QST[],MATCH($B54,MMWR_RATING_STATE_ROLLUP_QST[MMWR_RATING_STATE_ROLLUP_QST],0),MATCH(E$9,MMWR_RATING_STATE_ROLLUP_QST[#Headers],0))/$C54,"ERROR"))</f>
        <v>0.21428571428571427</v>
      </c>
      <c r="F54" s="145">
        <f>IF($B54=" ","",IFERROR(INDEX(MMWR_RATING_STATE_ROLLUP_QST[],MATCH($B54,MMWR_RATING_STATE_ROLLUP_QST[MMWR_RATING_STATE_ROLLUP_QST],0),MATCH(F$9,MMWR_RATING_STATE_ROLLUP_QST[#Headers],0)),"ERROR"))</f>
        <v>1</v>
      </c>
      <c r="G54" s="145">
        <f>IF($B54=" ","",IFERROR(INDEX(MMWR_RATING_STATE_ROLLUP_QST[],MATCH($B54,MMWR_RATING_STATE_ROLLUP_QST[MMWR_RATING_STATE_ROLLUP_QST],0),MATCH(G$9,MMWR_RATING_STATE_ROLLUP_QST[#Headers],0)),"ERROR"))</f>
        <v>8</v>
      </c>
      <c r="H54" s="146">
        <f>IF($B54=" ","",IFERROR(INDEX(MMWR_RATING_STATE_ROLLUP_QST[],MATCH($B54,MMWR_RATING_STATE_ROLLUP_QST[MMWR_RATING_STATE_ROLLUP_QST],0),MATCH(H$9,MMWR_RATING_STATE_ROLLUP_QST[#Headers],0)),"ERROR"))</f>
        <v>199</v>
      </c>
      <c r="I54" s="146">
        <f>IF($B54=" ","",IFERROR(INDEX(MMWR_RATING_STATE_ROLLUP_QST[],MATCH($B54,MMWR_RATING_STATE_ROLLUP_QST[MMWR_RATING_STATE_ROLLUP_QST],0),MATCH(I$9,MMWR_RATING_STATE_ROLLUP_QST[#Headers],0)),"ERROR"))</f>
        <v>152</v>
      </c>
      <c r="J54" s="42"/>
      <c r="K54" s="42"/>
      <c r="L54" s="42"/>
      <c r="M54" s="42"/>
      <c r="N54" s="28"/>
    </row>
    <row r="55" spans="1:14" x14ac:dyDescent="0.2">
      <c r="A55" s="25"/>
      <c r="B55" s="8" t="str">
        <f>VLOOKUP($B$15,DISTRICT_STATES[],5,0)</f>
        <v>Maine</v>
      </c>
      <c r="C55" s="145">
        <f>IF($B55=" ","",IFERROR(INDEX(MMWR_RATING_STATE_ROLLUP_QST[],MATCH($B55,MMWR_RATING_STATE_ROLLUP_QST[MMWR_RATING_STATE_ROLLUP_QST],0),MATCH(C$9,MMWR_RATING_STATE_ROLLUP_QST[#Headers],0)),"ERROR"))</f>
        <v>31</v>
      </c>
      <c r="D55" s="146">
        <f>IF($B55=" ","",IFERROR(INDEX(MMWR_RATING_STATE_ROLLUP_QST[],MATCH($B55,MMWR_RATING_STATE_ROLLUP_QST[MMWR_RATING_STATE_ROLLUP_QST],0),MATCH(D$9,MMWR_RATING_STATE_ROLLUP_QST[#Headers],0)),"ERROR"))</f>
        <v>92.129032258099997</v>
      </c>
      <c r="E55" s="147">
        <f>IF($B55=" ","",IFERROR(INDEX(MMWR_RATING_STATE_ROLLUP_QST[],MATCH($B55,MMWR_RATING_STATE_ROLLUP_QST[MMWR_RATING_STATE_ROLLUP_QST],0),MATCH(E$9,MMWR_RATING_STATE_ROLLUP_QST[#Headers],0))/$C55,"ERROR"))</f>
        <v>0.22580645161290322</v>
      </c>
      <c r="F55" s="145">
        <f>IF($B55=" ","",IFERROR(INDEX(MMWR_RATING_STATE_ROLLUP_QST[],MATCH($B55,MMWR_RATING_STATE_ROLLUP_QST[MMWR_RATING_STATE_ROLLUP_QST],0),MATCH(F$9,MMWR_RATING_STATE_ROLLUP_QST[#Headers],0)),"ERROR"))</f>
        <v>1</v>
      </c>
      <c r="G55" s="145">
        <f>IF($B55=" ","",IFERROR(INDEX(MMWR_RATING_STATE_ROLLUP_QST[],MATCH($B55,MMWR_RATING_STATE_ROLLUP_QST[MMWR_RATING_STATE_ROLLUP_QST],0),MATCH(G$9,MMWR_RATING_STATE_ROLLUP_QST[#Headers],0)),"ERROR"))</f>
        <v>10</v>
      </c>
      <c r="H55" s="146">
        <f>IF($B55=" ","",IFERROR(INDEX(MMWR_RATING_STATE_ROLLUP_QST[],MATCH($B55,MMWR_RATING_STATE_ROLLUP_QST[MMWR_RATING_STATE_ROLLUP_QST],0),MATCH(H$9,MMWR_RATING_STATE_ROLLUP_QST[#Headers],0)),"ERROR"))</f>
        <v>185</v>
      </c>
      <c r="I55" s="146">
        <f>IF($B55=" ","",IFERROR(INDEX(MMWR_RATING_STATE_ROLLUP_QST[],MATCH($B55,MMWR_RATING_STATE_ROLLUP_QST[MMWR_RATING_STATE_ROLLUP_QST],0),MATCH(I$9,MMWR_RATING_STATE_ROLLUP_QST[#Headers],0)),"ERROR"))</f>
        <v>161.19999999999999</v>
      </c>
      <c r="J55" s="42"/>
      <c r="K55" s="42"/>
      <c r="L55" s="42"/>
      <c r="M55" s="42"/>
      <c r="N55" s="28"/>
    </row>
    <row r="56" spans="1:14" x14ac:dyDescent="0.2">
      <c r="A56" s="25"/>
      <c r="B56" s="8" t="str">
        <f>VLOOKUP($B$15,DISTRICT_STATES[],6,0)</f>
        <v>Maryland</v>
      </c>
      <c r="C56" s="145">
        <f>IF($B56=" ","",IFERROR(INDEX(MMWR_RATING_STATE_ROLLUP_QST[],MATCH($B56,MMWR_RATING_STATE_ROLLUP_QST[MMWR_RATING_STATE_ROLLUP_QST],0),MATCH(C$9,MMWR_RATING_STATE_ROLLUP_QST[#Headers],0)),"ERROR"))</f>
        <v>248</v>
      </c>
      <c r="D56" s="146">
        <f>IF($B56=" ","",IFERROR(INDEX(MMWR_RATING_STATE_ROLLUP_QST[],MATCH($B56,MMWR_RATING_STATE_ROLLUP_QST[MMWR_RATING_STATE_ROLLUP_QST],0),MATCH(D$9,MMWR_RATING_STATE_ROLLUP_QST[#Headers],0)),"ERROR"))</f>
        <v>96.741935483899994</v>
      </c>
      <c r="E56" s="147">
        <f>IF($B56=" ","",IFERROR(INDEX(MMWR_RATING_STATE_ROLLUP_QST[],MATCH($B56,MMWR_RATING_STATE_ROLLUP_QST[MMWR_RATING_STATE_ROLLUP_QST],0),MATCH(E$9,MMWR_RATING_STATE_ROLLUP_QST[#Headers],0))/$C56,"ERROR"))</f>
        <v>0.31451612903225806</v>
      </c>
      <c r="F56" s="145">
        <f>IF($B56=" ","",IFERROR(INDEX(MMWR_RATING_STATE_ROLLUP_QST[],MATCH($B56,MMWR_RATING_STATE_ROLLUP_QST[MMWR_RATING_STATE_ROLLUP_QST],0),MATCH(F$9,MMWR_RATING_STATE_ROLLUP_QST[#Headers],0)),"ERROR"))</f>
        <v>25</v>
      </c>
      <c r="G56" s="145">
        <f>IF($B56=" ","",IFERROR(INDEX(MMWR_RATING_STATE_ROLLUP_QST[],MATCH($B56,MMWR_RATING_STATE_ROLLUP_QST[MMWR_RATING_STATE_ROLLUP_QST],0),MATCH(G$9,MMWR_RATING_STATE_ROLLUP_QST[#Headers],0)),"ERROR"))</f>
        <v>147</v>
      </c>
      <c r="H56" s="146">
        <f>IF($B56=" ","",IFERROR(INDEX(MMWR_RATING_STATE_ROLLUP_QST[],MATCH($B56,MMWR_RATING_STATE_ROLLUP_QST[MMWR_RATING_STATE_ROLLUP_QST],0),MATCH(H$9,MMWR_RATING_STATE_ROLLUP_QST[#Headers],0)),"ERROR"))</f>
        <v>166</v>
      </c>
      <c r="I56" s="146">
        <f>IF($B56=" ","",IFERROR(INDEX(MMWR_RATING_STATE_ROLLUP_QST[],MATCH($B56,MMWR_RATING_STATE_ROLLUP_QST[MMWR_RATING_STATE_ROLLUP_QST],0),MATCH(I$9,MMWR_RATING_STATE_ROLLUP_QST[#Headers],0)),"ERROR"))</f>
        <v>147.3265306122</v>
      </c>
      <c r="J56" s="42"/>
      <c r="K56" s="42"/>
      <c r="L56" s="42"/>
      <c r="M56" s="42"/>
      <c r="N56" s="28"/>
    </row>
    <row r="57" spans="1:14" x14ac:dyDescent="0.2">
      <c r="A57" s="25"/>
      <c r="B57" s="8" t="str">
        <f>VLOOKUP($B$15,DISTRICT_STATES[],7,0)</f>
        <v>Massachusetts</v>
      </c>
      <c r="C57" s="145">
        <f>IF($B57=" ","",IFERROR(INDEX(MMWR_RATING_STATE_ROLLUP_QST[],MATCH($B57,MMWR_RATING_STATE_ROLLUP_QST[MMWR_RATING_STATE_ROLLUP_QST],0),MATCH(C$9,MMWR_RATING_STATE_ROLLUP_QST[#Headers],0)),"ERROR"))</f>
        <v>95</v>
      </c>
      <c r="D57" s="146">
        <f>IF($B57=" ","",IFERROR(INDEX(MMWR_RATING_STATE_ROLLUP_QST[],MATCH($B57,MMWR_RATING_STATE_ROLLUP_QST[MMWR_RATING_STATE_ROLLUP_QST],0),MATCH(D$9,MMWR_RATING_STATE_ROLLUP_QST[#Headers],0)),"ERROR"))</f>
        <v>94.842105263199997</v>
      </c>
      <c r="E57" s="147">
        <f>IF($B57=" ","",IFERROR(INDEX(MMWR_RATING_STATE_ROLLUP_QST[],MATCH($B57,MMWR_RATING_STATE_ROLLUP_QST[MMWR_RATING_STATE_ROLLUP_QST],0),MATCH(E$9,MMWR_RATING_STATE_ROLLUP_QST[#Headers],0))/$C57,"ERROR"))</f>
        <v>0.29473684210526313</v>
      </c>
      <c r="F57" s="145">
        <f>IF($B57=" ","",IFERROR(INDEX(MMWR_RATING_STATE_ROLLUP_QST[],MATCH($B57,MMWR_RATING_STATE_ROLLUP_QST[MMWR_RATING_STATE_ROLLUP_QST],0),MATCH(F$9,MMWR_RATING_STATE_ROLLUP_QST[#Headers],0)),"ERROR"))</f>
        <v>5</v>
      </c>
      <c r="G57" s="145">
        <f>IF($B57=" ","",IFERROR(INDEX(MMWR_RATING_STATE_ROLLUP_QST[],MATCH($B57,MMWR_RATING_STATE_ROLLUP_QST[MMWR_RATING_STATE_ROLLUP_QST],0),MATCH(G$9,MMWR_RATING_STATE_ROLLUP_QST[#Headers],0)),"ERROR"))</f>
        <v>62</v>
      </c>
      <c r="H57" s="146">
        <f>IF($B57=" ","",IFERROR(INDEX(MMWR_RATING_STATE_ROLLUP_QST[],MATCH($B57,MMWR_RATING_STATE_ROLLUP_QST[MMWR_RATING_STATE_ROLLUP_QST],0),MATCH(H$9,MMWR_RATING_STATE_ROLLUP_QST[#Headers],0)),"ERROR"))</f>
        <v>166.8</v>
      </c>
      <c r="I57" s="146">
        <f>IF($B57=" ","",IFERROR(INDEX(MMWR_RATING_STATE_ROLLUP_QST[],MATCH($B57,MMWR_RATING_STATE_ROLLUP_QST[MMWR_RATING_STATE_ROLLUP_QST],0),MATCH(I$9,MMWR_RATING_STATE_ROLLUP_QST[#Headers],0)),"ERROR"))</f>
        <v>136</v>
      </c>
      <c r="J57" s="42"/>
      <c r="K57" s="42"/>
      <c r="L57" s="42"/>
      <c r="M57" s="42"/>
      <c r="N57" s="28"/>
    </row>
    <row r="58" spans="1:14" x14ac:dyDescent="0.2">
      <c r="A58" s="25"/>
      <c r="B58" s="8" t="str">
        <f>VLOOKUP($B$15,DISTRICT_STATES[],8,0)</f>
        <v>New Hampshire</v>
      </c>
      <c r="C58" s="145">
        <f>IF($B58=" ","",IFERROR(INDEX(MMWR_RATING_STATE_ROLLUP_QST[],MATCH($B58,MMWR_RATING_STATE_ROLLUP_QST[MMWR_RATING_STATE_ROLLUP_QST],0),MATCH(C$9,MMWR_RATING_STATE_ROLLUP_QST[#Headers],0)),"ERROR"))</f>
        <v>29</v>
      </c>
      <c r="D58" s="146">
        <f>IF($B58=" ","",IFERROR(INDEX(MMWR_RATING_STATE_ROLLUP_QST[],MATCH($B58,MMWR_RATING_STATE_ROLLUP_QST[MMWR_RATING_STATE_ROLLUP_QST],0),MATCH(D$9,MMWR_RATING_STATE_ROLLUP_QST[#Headers],0)),"ERROR"))</f>
        <v>91.758620689699995</v>
      </c>
      <c r="E58" s="147">
        <f>IF($B58=" ","",IFERROR(INDEX(MMWR_RATING_STATE_ROLLUP_QST[],MATCH($B58,MMWR_RATING_STATE_ROLLUP_QST[MMWR_RATING_STATE_ROLLUP_QST],0),MATCH(E$9,MMWR_RATING_STATE_ROLLUP_QST[#Headers],0))/$C58,"ERROR"))</f>
        <v>0.27586206896551724</v>
      </c>
      <c r="F58" s="145">
        <f>IF($B58=" ","",IFERROR(INDEX(MMWR_RATING_STATE_ROLLUP_QST[],MATCH($B58,MMWR_RATING_STATE_ROLLUP_QST[MMWR_RATING_STATE_ROLLUP_QST],0),MATCH(F$9,MMWR_RATING_STATE_ROLLUP_QST[#Headers],0)),"ERROR"))</f>
        <v>2</v>
      </c>
      <c r="G58" s="145">
        <f>IF($B58=" ","",IFERROR(INDEX(MMWR_RATING_STATE_ROLLUP_QST[],MATCH($B58,MMWR_RATING_STATE_ROLLUP_QST[MMWR_RATING_STATE_ROLLUP_QST],0),MATCH(G$9,MMWR_RATING_STATE_ROLLUP_QST[#Headers],0)),"ERROR"))</f>
        <v>10</v>
      </c>
      <c r="H58" s="146">
        <f>IF($B58=" ","",IFERROR(INDEX(MMWR_RATING_STATE_ROLLUP_QST[],MATCH($B58,MMWR_RATING_STATE_ROLLUP_QST[MMWR_RATING_STATE_ROLLUP_QST],0),MATCH(H$9,MMWR_RATING_STATE_ROLLUP_QST[#Headers],0)),"ERROR"))</f>
        <v>152</v>
      </c>
      <c r="I58" s="146">
        <f>IF($B58=" ","",IFERROR(INDEX(MMWR_RATING_STATE_ROLLUP_QST[],MATCH($B58,MMWR_RATING_STATE_ROLLUP_QST[MMWR_RATING_STATE_ROLLUP_QST],0),MATCH(I$9,MMWR_RATING_STATE_ROLLUP_QST[#Headers],0)),"ERROR"))</f>
        <v>140.4</v>
      </c>
      <c r="J58" s="42"/>
      <c r="K58" s="42"/>
      <c r="L58" s="42"/>
      <c r="M58" s="42"/>
      <c r="N58" s="28"/>
    </row>
    <row r="59" spans="1:14" x14ac:dyDescent="0.2">
      <c r="A59" s="25"/>
      <c r="B59" s="8" t="str">
        <f>VLOOKUP($B$15,DISTRICT_STATES[],9,0)</f>
        <v>New Jersey</v>
      </c>
      <c r="C59" s="145">
        <f>IF($B59=" ","",IFERROR(INDEX(MMWR_RATING_STATE_ROLLUP_QST[],MATCH($B59,MMWR_RATING_STATE_ROLLUP_QST[MMWR_RATING_STATE_ROLLUP_QST],0),MATCH(C$9,MMWR_RATING_STATE_ROLLUP_QST[#Headers],0)),"ERROR"))</f>
        <v>123</v>
      </c>
      <c r="D59" s="146">
        <f>IF($B59=" ","",IFERROR(INDEX(MMWR_RATING_STATE_ROLLUP_QST[],MATCH($B59,MMWR_RATING_STATE_ROLLUP_QST[MMWR_RATING_STATE_ROLLUP_QST],0),MATCH(D$9,MMWR_RATING_STATE_ROLLUP_QST[#Headers],0)),"ERROR"))</f>
        <v>87.723577235799993</v>
      </c>
      <c r="E59" s="147">
        <f>IF($B59=" ","",IFERROR(INDEX(MMWR_RATING_STATE_ROLLUP_QST[],MATCH($B59,MMWR_RATING_STATE_ROLLUP_QST[MMWR_RATING_STATE_ROLLUP_QST],0),MATCH(E$9,MMWR_RATING_STATE_ROLLUP_QST[#Headers],0))/$C59,"ERROR"))</f>
        <v>0.22764227642276422</v>
      </c>
      <c r="F59" s="145">
        <f>IF($B59=" ","",IFERROR(INDEX(MMWR_RATING_STATE_ROLLUP_QST[],MATCH($B59,MMWR_RATING_STATE_ROLLUP_QST[MMWR_RATING_STATE_ROLLUP_QST],0),MATCH(F$9,MMWR_RATING_STATE_ROLLUP_QST[#Headers],0)),"ERROR"))</f>
        <v>9</v>
      </c>
      <c r="G59" s="145">
        <f>IF($B59=" ","",IFERROR(INDEX(MMWR_RATING_STATE_ROLLUP_QST[],MATCH($B59,MMWR_RATING_STATE_ROLLUP_QST[MMWR_RATING_STATE_ROLLUP_QST],0),MATCH(G$9,MMWR_RATING_STATE_ROLLUP_QST[#Headers],0)),"ERROR"))</f>
        <v>49</v>
      </c>
      <c r="H59" s="146">
        <f>IF($B59=" ","",IFERROR(INDEX(MMWR_RATING_STATE_ROLLUP_QST[],MATCH($B59,MMWR_RATING_STATE_ROLLUP_QST[MMWR_RATING_STATE_ROLLUP_QST],0),MATCH(H$9,MMWR_RATING_STATE_ROLLUP_QST[#Headers],0)),"ERROR"))</f>
        <v>151.7777777778</v>
      </c>
      <c r="I59" s="146">
        <f>IF($B59=" ","",IFERROR(INDEX(MMWR_RATING_STATE_ROLLUP_QST[],MATCH($B59,MMWR_RATING_STATE_ROLLUP_QST[MMWR_RATING_STATE_ROLLUP_QST],0),MATCH(I$9,MMWR_RATING_STATE_ROLLUP_QST[#Headers],0)),"ERROR"))</f>
        <v>145.34693877550001</v>
      </c>
      <c r="J59" s="42"/>
      <c r="K59" s="42"/>
      <c r="L59" s="42"/>
      <c r="M59" s="42"/>
      <c r="N59" s="28"/>
    </row>
    <row r="60" spans="1:14" x14ac:dyDescent="0.2">
      <c r="A60" s="25"/>
      <c r="B60" s="8" t="str">
        <f>VLOOKUP($B$15,DISTRICT_STATES[],10,0)</f>
        <v>New York</v>
      </c>
      <c r="C60" s="145">
        <f>IF($B60=" ","",IFERROR(INDEX(MMWR_RATING_STATE_ROLLUP_QST[],MATCH($B60,MMWR_RATING_STATE_ROLLUP_QST[MMWR_RATING_STATE_ROLLUP_QST],0),MATCH(C$9,MMWR_RATING_STATE_ROLLUP_QST[#Headers],0)),"ERROR"))</f>
        <v>265</v>
      </c>
      <c r="D60" s="146">
        <f>IF($B60=" ","",IFERROR(INDEX(MMWR_RATING_STATE_ROLLUP_QST[],MATCH($B60,MMWR_RATING_STATE_ROLLUP_QST[MMWR_RATING_STATE_ROLLUP_QST],0),MATCH(D$9,MMWR_RATING_STATE_ROLLUP_QST[#Headers],0)),"ERROR"))</f>
        <v>83.8377358491</v>
      </c>
      <c r="E60" s="147">
        <f>IF($B60=" ","",IFERROR(INDEX(MMWR_RATING_STATE_ROLLUP_QST[],MATCH($B60,MMWR_RATING_STATE_ROLLUP_QST[MMWR_RATING_STATE_ROLLUP_QST],0),MATCH(E$9,MMWR_RATING_STATE_ROLLUP_QST[#Headers],0))/$C60,"ERROR"))</f>
        <v>0.20377358490566039</v>
      </c>
      <c r="F60" s="145">
        <f>IF($B60=" ","",IFERROR(INDEX(MMWR_RATING_STATE_ROLLUP_QST[],MATCH($B60,MMWR_RATING_STATE_ROLLUP_QST[MMWR_RATING_STATE_ROLLUP_QST],0),MATCH(F$9,MMWR_RATING_STATE_ROLLUP_QST[#Headers],0)),"ERROR"))</f>
        <v>21</v>
      </c>
      <c r="G60" s="145">
        <f>IF($B60=" ","",IFERROR(INDEX(MMWR_RATING_STATE_ROLLUP_QST[],MATCH($B60,MMWR_RATING_STATE_ROLLUP_QST[MMWR_RATING_STATE_ROLLUP_QST],0),MATCH(G$9,MMWR_RATING_STATE_ROLLUP_QST[#Headers],0)),"ERROR"))</f>
        <v>139</v>
      </c>
      <c r="H60" s="146">
        <f>IF($B60=" ","",IFERROR(INDEX(MMWR_RATING_STATE_ROLLUP_QST[],MATCH($B60,MMWR_RATING_STATE_ROLLUP_QST[MMWR_RATING_STATE_ROLLUP_QST],0),MATCH(H$9,MMWR_RATING_STATE_ROLLUP_QST[#Headers],0)),"ERROR"))</f>
        <v>172.3333333333</v>
      </c>
      <c r="I60" s="146">
        <f>IF($B60=" ","",IFERROR(INDEX(MMWR_RATING_STATE_ROLLUP_QST[],MATCH($B60,MMWR_RATING_STATE_ROLLUP_QST[MMWR_RATING_STATE_ROLLUP_QST],0),MATCH(I$9,MMWR_RATING_STATE_ROLLUP_QST[#Headers],0)),"ERROR"))</f>
        <v>131.2230215827</v>
      </c>
      <c r="J60" s="42"/>
      <c r="K60" s="42"/>
      <c r="L60" s="42"/>
      <c r="M60" s="42"/>
      <c r="N60" s="28"/>
    </row>
    <row r="61" spans="1:14" x14ac:dyDescent="0.2">
      <c r="A61" s="25"/>
      <c r="B61" s="8" t="str">
        <f>VLOOKUP($B$15,DISTRICT_STATES[],11,0)</f>
        <v>North Carolina</v>
      </c>
      <c r="C61" s="145">
        <f>IF($B61=" ","",IFERROR(INDEX(MMWR_RATING_STATE_ROLLUP_QST[],MATCH($B61,MMWR_RATING_STATE_ROLLUP_QST[MMWR_RATING_STATE_ROLLUP_QST],0),MATCH(C$9,MMWR_RATING_STATE_ROLLUP_QST[#Headers],0)),"ERROR"))</f>
        <v>630</v>
      </c>
      <c r="D61" s="146">
        <f>IF($B61=" ","",IFERROR(INDEX(MMWR_RATING_STATE_ROLLUP_QST[],MATCH($B61,MMWR_RATING_STATE_ROLLUP_QST[MMWR_RATING_STATE_ROLLUP_QST],0),MATCH(D$9,MMWR_RATING_STATE_ROLLUP_QST[#Headers],0)),"ERROR"))</f>
        <v>92.771428571399994</v>
      </c>
      <c r="E61" s="147">
        <f>IF($B61=" ","",IFERROR(INDEX(MMWR_RATING_STATE_ROLLUP_QST[],MATCH($B61,MMWR_RATING_STATE_ROLLUP_QST[MMWR_RATING_STATE_ROLLUP_QST],0),MATCH(E$9,MMWR_RATING_STATE_ROLLUP_QST[#Headers],0))/$C61,"ERROR"))</f>
        <v>0.29523809523809524</v>
      </c>
      <c r="F61" s="145">
        <f>IF($B61=" ","",IFERROR(INDEX(MMWR_RATING_STATE_ROLLUP_QST[],MATCH($B61,MMWR_RATING_STATE_ROLLUP_QST[MMWR_RATING_STATE_ROLLUP_QST],0),MATCH(F$9,MMWR_RATING_STATE_ROLLUP_QST[#Headers],0)),"ERROR"))</f>
        <v>57</v>
      </c>
      <c r="G61" s="145">
        <f>IF($B61=" ","",IFERROR(INDEX(MMWR_RATING_STATE_ROLLUP_QST[],MATCH($B61,MMWR_RATING_STATE_ROLLUP_QST[MMWR_RATING_STATE_ROLLUP_QST],0),MATCH(G$9,MMWR_RATING_STATE_ROLLUP_QST[#Headers],0)),"ERROR"))</f>
        <v>328</v>
      </c>
      <c r="H61" s="146">
        <f>IF($B61=" ","",IFERROR(INDEX(MMWR_RATING_STATE_ROLLUP_QST[],MATCH($B61,MMWR_RATING_STATE_ROLLUP_QST[MMWR_RATING_STATE_ROLLUP_QST],0),MATCH(H$9,MMWR_RATING_STATE_ROLLUP_QST[#Headers],0)),"ERROR"))</f>
        <v>162.350877193</v>
      </c>
      <c r="I61" s="146">
        <f>IF($B61=" ","",IFERROR(INDEX(MMWR_RATING_STATE_ROLLUP_QST[],MATCH($B61,MMWR_RATING_STATE_ROLLUP_QST[MMWR_RATING_STATE_ROLLUP_QST],0),MATCH(I$9,MMWR_RATING_STATE_ROLLUP_QST[#Headers],0)),"ERROR"))</f>
        <v>150.19512195120001</v>
      </c>
      <c r="J61" s="42"/>
      <c r="K61" s="42"/>
      <c r="L61" s="42"/>
      <c r="M61" s="42"/>
      <c r="N61" s="28"/>
    </row>
    <row r="62" spans="1:14" x14ac:dyDescent="0.2">
      <c r="A62" s="25"/>
      <c r="B62" s="8" t="str">
        <f>VLOOKUP($B$15,DISTRICT_STATES[],12,0)</f>
        <v>Pennsylvania</v>
      </c>
      <c r="C62" s="145">
        <f>IF($B62=" ","",IFERROR(INDEX(MMWR_RATING_STATE_ROLLUP_QST[],MATCH($B62,MMWR_RATING_STATE_ROLLUP_QST[MMWR_RATING_STATE_ROLLUP_QST],0),MATCH(C$9,MMWR_RATING_STATE_ROLLUP_QST[#Headers],0)),"ERROR"))</f>
        <v>209</v>
      </c>
      <c r="D62" s="146">
        <f>IF($B62=" ","",IFERROR(INDEX(MMWR_RATING_STATE_ROLLUP_QST[],MATCH($B62,MMWR_RATING_STATE_ROLLUP_QST[MMWR_RATING_STATE_ROLLUP_QST],0),MATCH(D$9,MMWR_RATING_STATE_ROLLUP_QST[#Headers],0)),"ERROR"))</f>
        <v>86.574162679400004</v>
      </c>
      <c r="E62" s="147">
        <f>IF($B62=" ","",IFERROR(INDEX(MMWR_RATING_STATE_ROLLUP_QST[],MATCH($B62,MMWR_RATING_STATE_ROLLUP_QST[MMWR_RATING_STATE_ROLLUP_QST],0),MATCH(E$9,MMWR_RATING_STATE_ROLLUP_QST[#Headers],0))/$C62,"ERROR"))</f>
        <v>0.23923444976076555</v>
      </c>
      <c r="F62" s="145">
        <f>IF($B62=" ","",IFERROR(INDEX(MMWR_RATING_STATE_ROLLUP_QST[],MATCH($B62,MMWR_RATING_STATE_ROLLUP_QST[MMWR_RATING_STATE_ROLLUP_QST],0),MATCH(F$9,MMWR_RATING_STATE_ROLLUP_QST[#Headers],0)),"ERROR"))</f>
        <v>13</v>
      </c>
      <c r="G62" s="145">
        <f>IF($B62=" ","",IFERROR(INDEX(MMWR_RATING_STATE_ROLLUP_QST[],MATCH($B62,MMWR_RATING_STATE_ROLLUP_QST[MMWR_RATING_STATE_ROLLUP_QST],0),MATCH(G$9,MMWR_RATING_STATE_ROLLUP_QST[#Headers],0)),"ERROR"))</f>
        <v>121</v>
      </c>
      <c r="H62" s="146">
        <f>IF($B62=" ","",IFERROR(INDEX(MMWR_RATING_STATE_ROLLUP_QST[],MATCH($B62,MMWR_RATING_STATE_ROLLUP_QST[MMWR_RATING_STATE_ROLLUP_QST],0),MATCH(H$9,MMWR_RATING_STATE_ROLLUP_QST[#Headers],0)),"ERROR"))</f>
        <v>155.23076923080001</v>
      </c>
      <c r="I62" s="146">
        <f>IF($B62=" ","",IFERROR(INDEX(MMWR_RATING_STATE_ROLLUP_QST[],MATCH($B62,MMWR_RATING_STATE_ROLLUP_QST[MMWR_RATING_STATE_ROLLUP_QST],0),MATCH(I$9,MMWR_RATING_STATE_ROLLUP_QST[#Headers],0)),"ERROR"))</f>
        <v>139.50413223140001</v>
      </c>
      <c r="J62" s="42"/>
      <c r="K62" s="42"/>
      <c r="L62" s="42"/>
      <c r="M62" s="42"/>
      <c r="N62" s="28"/>
    </row>
    <row r="63" spans="1:14" x14ac:dyDescent="0.2">
      <c r="A63" s="25"/>
      <c r="B63" s="8" t="str">
        <f>VLOOKUP($B$15,DISTRICT_STATES[],13,0)</f>
        <v>Rhode Island</v>
      </c>
      <c r="C63" s="145">
        <f>IF($B63=" ","",IFERROR(INDEX(MMWR_RATING_STATE_ROLLUP_QST[],MATCH($B63,MMWR_RATING_STATE_ROLLUP_QST[MMWR_RATING_STATE_ROLLUP_QST],0),MATCH(C$9,MMWR_RATING_STATE_ROLLUP_QST[#Headers],0)),"ERROR"))</f>
        <v>11</v>
      </c>
      <c r="D63" s="146">
        <f>IF($B63=" ","",IFERROR(INDEX(MMWR_RATING_STATE_ROLLUP_QST[],MATCH($B63,MMWR_RATING_STATE_ROLLUP_QST[MMWR_RATING_STATE_ROLLUP_QST],0),MATCH(D$9,MMWR_RATING_STATE_ROLLUP_QST[#Headers],0)),"ERROR"))</f>
        <v>119.2727272727</v>
      </c>
      <c r="E63" s="147">
        <f>IF($B63=" ","",IFERROR(INDEX(MMWR_RATING_STATE_ROLLUP_QST[],MATCH($B63,MMWR_RATING_STATE_ROLLUP_QST[MMWR_RATING_STATE_ROLLUP_QST],0),MATCH(E$9,MMWR_RATING_STATE_ROLLUP_QST[#Headers],0))/$C63,"ERROR"))</f>
        <v>0.45454545454545453</v>
      </c>
      <c r="F63" s="145">
        <f>IF($B63=" ","",IFERROR(INDEX(MMWR_RATING_STATE_ROLLUP_QST[],MATCH($B63,MMWR_RATING_STATE_ROLLUP_QST[MMWR_RATING_STATE_ROLLUP_QST],0),MATCH(F$9,MMWR_RATING_STATE_ROLLUP_QST[#Headers],0)),"ERROR"))</f>
        <v>0</v>
      </c>
      <c r="G63" s="145">
        <f>IF($B63=" ","",IFERROR(INDEX(MMWR_RATING_STATE_ROLLUP_QST[],MATCH($B63,MMWR_RATING_STATE_ROLLUP_QST[MMWR_RATING_STATE_ROLLUP_QST],0),MATCH(G$9,MMWR_RATING_STATE_ROLLUP_QST[#Headers],0)),"ERROR"))</f>
        <v>8</v>
      </c>
      <c r="H63" s="146">
        <f>IF($B63=" ","",IFERROR(INDEX(MMWR_RATING_STATE_ROLLUP_QST[],MATCH($B63,MMWR_RATING_STATE_ROLLUP_QST[MMWR_RATING_STATE_ROLLUP_QST],0),MATCH(H$9,MMWR_RATING_STATE_ROLLUP_QST[#Headers],0)),"ERROR"))</f>
        <v>0</v>
      </c>
      <c r="I63" s="146">
        <f>IF($B63=" ","",IFERROR(INDEX(MMWR_RATING_STATE_ROLLUP_QST[],MATCH($B63,MMWR_RATING_STATE_ROLLUP_QST[MMWR_RATING_STATE_ROLLUP_QST],0),MATCH(I$9,MMWR_RATING_STATE_ROLLUP_QST[#Headers],0)),"ERROR"))</f>
        <v>157.625</v>
      </c>
      <c r="J63" s="42"/>
      <c r="K63" s="42"/>
      <c r="L63" s="42"/>
      <c r="M63" s="42"/>
      <c r="N63" s="28"/>
    </row>
    <row r="64" spans="1:14" x14ac:dyDescent="0.2">
      <c r="A64" s="25"/>
      <c r="B64" s="8" t="str">
        <f>VLOOKUP($B$15,DISTRICT_STATES[],14,0)</f>
        <v>Vermont</v>
      </c>
      <c r="C64" s="145">
        <f>IF($B64=" ","",IFERROR(INDEX(MMWR_RATING_STATE_ROLLUP_QST[],MATCH($B64,MMWR_RATING_STATE_ROLLUP_QST[MMWR_RATING_STATE_ROLLUP_QST],0),MATCH(C$9,MMWR_RATING_STATE_ROLLUP_QST[#Headers],0)),"ERROR"))</f>
        <v>5</v>
      </c>
      <c r="D64" s="146">
        <f>IF($B64=" ","",IFERROR(INDEX(MMWR_RATING_STATE_ROLLUP_QST[],MATCH($B64,MMWR_RATING_STATE_ROLLUP_QST[MMWR_RATING_STATE_ROLLUP_QST],0),MATCH(D$9,MMWR_RATING_STATE_ROLLUP_QST[#Headers],0)),"ERROR"))</f>
        <v>107</v>
      </c>
      <c r="E64" s="147">
        <f>IF($B64=" ","",IFERROR(INDEX(MMWR_RATING_STATE_ROLLUP_QST[],MATCH($B64,MMWR_RATING_STATE_ROLLUP_QST[MMWR_RATING_STATE_ROLLUP_QST],0),MATCH(E$9,MMWR_RATING_STATE_ROLLUP_QST[#Headers],0))/$C64,"ERROR"))</f>
        <v>0.4</v>
      </c>
      <c r="F64" s="145">
        <f>IF($B64=" ","",IFERROR(INDEX(MMWR_RATING_STATE_ROLLUP_QST[],MATCH($B64,MMWR_RATING_STATE_ROLLUP_QST[MMWR_RATING_STATE_ROLLUP_QST],0),MATCH(F$9,MMWR_RATING_STATE_ROLLUP_QST[#Headers],0)),"ERROR"))</f>
        <v>0</v>
      </c>
      <c r="G64" s="145">
        <f>IF($B64=" ","",IFERROR(INDEX(MMWR_RATING_STATE_ROLLUP_QST[],MATCH($B64,MMWR_RATING_STATE_ROLLUP_QST[MMWR_RATING_STATE_ROLLUP_QST],0),MATCH(G$9,MMWR_RATING_STATE_ROLLUP_QST[#Headers],0)),"ERROR"))</f>
        <v>3</v>
      </c>
      <c r="H64" s="146">
        <f>IF($B64=" ","",IFERROR(INDEX(MMWR_RATING_STATE_ROLLUP_QST[],MATCH($B64,MMWR_RATING_STATE_ROLLUP_QST[MMWR_RATING_STATE_ROLLUP_QST],0),MATCH(H$9,MMWR_RATING_STATE_ROLLUP_QST[#Headers],0)),"ERROR"))</f>
        <v>0</v>
      </c>
      <c r="I64" s="146">
        <f>IF($B64=" ","",IFERROR(INDEX(MMWR_RATING_STATE_ROLLUP_QST[],MATCH($B64,MMWR_RATING_STATE_ROLLUP_QST[MMWR_RATING_STATE_ROLLUP_QST],0),MATCH(I$9,MMWR_RATING_STATE_ROLLUP_QST[#Headers],0)),"ERROR"))</f>
        <v>108</v>
      </c>
      <c r="J64" s="42"/>
      <c r="K64" s="42"/>
      <c r="L64" s="42"/>
      <c r="M64" s="42"/>
      <c r="N64" s="28"/>
    </row>
    <row r="65" spans="1:14" x14ac:dyDescent="0.2">
      <c r="A65" s="25"/>
      <c r="B65" s="8" t="str">
        <f>VLOOKUP($B$15,DISTRICT_STATES[],15,0)</f>
        <v>Virginia</v>
      </c>
      <c r="C65" s="145">
        <f>IF($B65=" ","",IFERROR(INDEX(MMWR_RATING_STATE_ROLLUP_QST[],MATCH($B65,MMWR_RATING_STATE_ROLLUP_QST[MMWR_RATING_STATE_ROLLUP_QST],0),MATCH(C$9,MMWR_RATING_STATE_ROLLUP_QST[#Headers],0)),"ERROR"))</f>
        <v>706</v>
      </c>
      <c r="D65" s="146">
        <f>IF($B65=" ","",IFERROR(INDEX(MMWR_RATING_STATE_ROLLUP_QST[],MATCH($B65,MMWR_RATING_STATE_ROLLUP_QST[MMWR_RATING_STATE_ROLLUP_QST],0),MATCH(D$9,MMWR_RATING_STATE_ROLLUP_QST[#Headers],0)),"ERROR"))</f>
        <v>93.1501416431</v>
      </c>
      <c r="E65" s="147">
        <f>IF($B65=" ","",IFERROR(INDEX(MMWR_RATING_STATE_ROLLUP_QST[],MATCH($B65,MMWR_RATING_STATE_ROLLUP_QST[MMWR_RATING_STATE_ROLLUP_QST],0),MATCH(E$9,MMWR_RATING_STATE_ROLLUP_QST[#Headers],0))/$C65,"ERROR"))</f>
        <v>0.2818696883852691</v>
      </c>
      <c r="F65" s="145">
        <f>IF($B65=" ","",IFERROR(INDEX(MMWR_RATING_STATE_ROLLUP_QST[],MATCH($B65,MMWR_RATING_STATE_ROLLUP_QST[MMWR_RATING_STATE_ROLLUP_QST],0),MATCH(F$9,MMWR_RATING_STATE_ROLLUP_QST[#Headers],0)),"ERROR"))</f>
        <v>65</v>
      </c>
      <c r="G65" s="145">
        <f>IF($B65=" ","",IFERROR(INDEX(MMWR_RATING_STATE_ROLLUP_QST[],MATCH($B65,MMWR_RATING_STATE_ROLLUP_QST[MMWR_RATING_STATE_ROLLUP_QST],0),MATCH(G$9,MMWR_RATING_STATE_ROLLUP_QST[#Headers],0)),"ERROR"))</f>
        <v>346</v>
      </c>
      <c r="H65" s="146">
        <f>IF($B65=" ","",IFERROR(INDEX(MMWR_RATING_STATE_ROLLUP_QST[],MATCH($B65,MMWR_RATING_STATE_ROLLUP_QST[MMWR_RATING_STATE_ROLLUP_QST],0),MATCH(H$9,MMWR_RATING_STATE_ROLLUP_QST[#Headers],0)),"ERROR"))</f>
        <v>168</v>
      </c>
      <c r="I65" s="146">
        <f>IF($B65=" ","",IFERROR(INDEX(MMWR_RATING_STATE_ROLLUP_QST[],MATCH($B65,MMWR_RATING_STATE_ROLLUP_QST[MMWR_RATING_STATE_ROLLUP_QST],0),MATCH(I$9,MMWR_RATING_STATE_ROLLUP_QST[#Headers],0)),"ERROR"))</f>
        <v>165.99132947979999</v>
      </c>
      <c r="J65" s="42"/>
      <c r="K65" s="42"/>
      <c r="L65" s="42"/>
      <c r="M65" s="42"/>
      <c r="N65" s="28"/>
    </row>
    <row r="66" spans="1:14" x14ac:dyDescent="0.2">
      <c r="A66" s="25"/>
      <c r="B66" s="8" t="str">
        <f>VLOOKUP($B$15,DISTRICT_STATES[],16,0)</f>
        <v>West Virginia</v>
      </c>
      <c r="C66" s="145">
        <f>IF($B66=" ","",IFERROR(INDEX(MMWR_RATING_STATE_ROLLUP_QST[],MATCH($B66,MMWR_RATING_STATE_ROLLUP_QST[MMWR_RATING_STATE_ROLLUP_QST],0),MATCH(C$9,MMWR_RATING_STATE_ROLLUP_QST[#Headers],0)),"ERROR"))</f>
        <v>20</v>
      </c>
      <c r="D66" s="146">
        <f>IF($B66=" ","",IFERROR(INDEX(MMWR_RATING_STATE_ROLLUP_QST[],MATCH($B66,MMWR_RATING_STATE_ROLLUP_QST[MMWR_RATING_STATE_ROLLUP_QST],0),MATCH(D$9,MMWR_RATING_STATE_ROLLUP_QST[#Headers],0)),"ERROR"))</f>
        <v>87.65</v>
      </c>
      <c r="E66" s="147">
        <f>IF($B66=" ","",IFERROR(INDEX(MMWR_RATING_STATE_ROLLUP_QST[],MATCH($B66,MMWR_RATING_STATE_ROLLUP_QST[MMWR_RATING_STATE_ROLLUP_QST],0),MATCH(E$9,MMWR_RATING_STATE_ROLLUP_QST[#Headers],0))/$C66,"ERROR"))</f>
        <v>0.3</v>
      </c>
      <c r="F66" s="145">
        <f>IF($B66=" ","",IFERROR(INDEX(MMWR_RATING_STATE_ROLLUP_QST[],MATCH($B66,MMWR_RATING_STATE_ROLLUP_QST[MMWR_RATING_STATE_ROLLUP_QST],0),MATCH(F$9,MMWR_RATING_STATE_ROLLUP_QST[#Headers],0)),"ERROR"))</f>
        <v>3</v>
      </c>
      <c r="G66" s="145">
        <f>IF($B66=" ","",IFERROR(INDEX(MMWR_RATING_STATE_ROLLUP_QST[],MATCH($B66,MMWR_RATING_STATE_ROLLUP_QST[MMWR_RATING_STATE_ROLLUP_QST],0),MATCH(G$9,MMWR_RATING_STATE_ROLLUP_QST[#Headers],0)),"ERROR"))</f>
        <v>13</v>
      </c>
      <c r="H66" s="146">
        <f>IF($B66=" ","",IFERROR(INDEX(MMWR_RATING_STATE_ROLLUP_QST[],MATCH($B66,MMWR_RATING_STATE_ROLLUP_QST[MMWR_RATING_STATE_ROLLUP_QST],0),MATCH(H$9,MMWR_RATING_STATE_ROLLUP_QST[#Headers],0)),"ERROR"))</f>
        <v>144.3333333333</v>
      </c>
      <c r="I66" s="146">
        <f>IF($B66=" ","",IFERROR(INDEX(MMWR_RATING_STATE_ROLLUP_QST[],MATCH($B66,MMWR_RATING_STATE_ROLLUP_QST[MMWR_RATING_STATE_ROLLUP_QST],0),MATCH(I$9,MMWR_RATING_STATE_ROLLUP_QST[#Headers],0)),"ERROR"))</f>
        <v>146.1538461538</v>
      </c>
      <c r="J66" s="42"/>
      <c r="K66" s="42"/>
      <c r="L66" s="42"/>
      <c r="M66" s="42"/>
      <c r="N66" s="28"/>
    </row>
    <row r="67" spans="1:14" x14ac:dyDescent="0.2">
      <c r="A67" s="25"/>
      <c r="B67" s="366" t="s">
        <v>1037</v>
      </c>
      <c r="C67" s="367"/>
      <c r="D67" s="367"/>
      <c r="E67" s="367"/>
      <c r="F67" s="367"/>
      <c r="G67" s="367"/>
      <c r="H67" s="367"/>
      <c r="I67" s="367"/>
      <c r="J67" s="367"/>
      <c r="K67" s="367"/>
      <c r="L67" s="367"/>
      <c r="M67" s="417"/>
      <c r="N67" s="28"/>
    </row>
    <row r="68" spans="1:14" ht="25.5" x14ac:dyDescent="0.2">
      <c r="A68" s="25"/>
      <c r="B68" s="222" t="s">
        <v>1033</v>
      </c>
      <c r="C68" s="145">
        <f>IF($B68=" ","",IFERROR(INDEX(MMWR_RATING_STATE_ROLLUP_BDD[],MATCH($B68,MMWR_RATING_STATE_ROLLUP_BDD[MMWR_RATING_STATE_ROLLUP_BDD],0),MATCH(C$9,MMWR_RATING_STATE_ROLLUP_BDD[#Headers],0)),"ERROR"))</f>
        <v>11382</v>
      </c>
      <c r="D68" s="146">
        <f>IF($B68=" ","",IFERROR(INDEX(MMWR_RATING_STATE_ROLLUP_BDD[],MATCH($B68,MMWR_RATING_STATE_ROLLUP_BDD[MMWR_RATING_STATE_ROLLUP_BDD],0),MATCH(D$9,MMWR_RATING_STATE_ROLLUP_BDD[#Headers],0)),"ERROR"))</f>
        <v>87.093744508900002</v>
      </c>
      <c r="E68" s="147">
        <f>IF($B68=" ","",IFERROR(INDEX(MMWR_RATING_STATE_ROLLUP_BDD[],MATCH($B68,MMWR_RATING_STATE_ROLLUP_BDD[MMWR_RATING_STATE_ROLLUP_BDD],0),MATCH(E$9,MMWR_RATING_STATE_ROLLUP_BDD[#Headers],0))/$C68,"ERROR"))</f>
        <v>0.23475663328061852</v>
      </c>
      <c r="F68" s="145">
        <f>IF($B68=" ","",IFERROR(INDEX(MMWR_RATING_STATE_ROLLUP_BDD[],MATCH($B68,MMWR_RATING_STATE_ROLLUP_BDD[MMWR_RATING_STATE_ROLLUP_BDD],0),MATCH(F$9,MMWR_RATING_STATE_ROLLUP_BDD[#Headers],0)),"ERROR"))</f>
        <v>995</v>
      </c>
      <c r="G68" s="145">
        <f>IF($B68=" ","",IFERROR(INDEX(MMWR_RATING_STATE_ROLLUP_BDD[],MATCH($B68,MMWR_RATING_STATE_ROLLUP_BDD[MMWR_RATING_STATE_ROLLUP_BDD],0),MATCH(G$9,MMWR_RATING_STATE_ROLLUP_BDD[#Headers],0)),"ERROR"))</f>
        <v>6882</v>
      </c>
      <c r="H68" s="146">
        <f>IF($B68=" ","",IFERROR(INDEX(MMWR_RATING_STATE_ROLLUP_BDD[],MATCH($B68,MMWR_RATING_STATE_ROLLUP_BDD[MMWR_RATING_STATE_ROLLUP_BDD],0),MATCH(H$9,MMWR_RATING_STATE_ROLLUP_BDD[#Headers],0)),"ERROR"))</f>
        <v>148.26331658289999</v>
      </c>
      <c r="I68" s="146">
        <f>IF($B68=" ","",IFERROR(INDEX(MMWR_RATING_STATE_ROLLUP_BDD[],MATCH($B68,MMWR_RATING_STATE_ROLLUP_BDD[MMWR_RATING_STATE_ROLLUP_BDD],0),MATCH(I$9,MMWR_RATING_STATE_ROLLUP_BDD[#Headers],0)),"ERROR"))</f>
        <v>135.64399883749999</v>
      </c>
      <c r="J68" s="42"/>
      <c r="K68" s="42"/>
      <c r="L68" s="42"/>
      <c r="M68" s="42"/>
      <c r="N68" s="28"/>
    </row>
    <row r="69" spans="1:14" x14ac:dyDescent="0.2">
      <c r="A69" s="25"/>
      <c r="B69" s="220" t="str">
        <f>INDEX(DISTRICT_STATES[],MATCH($B$5,DISTRICT_RO[District],0),1)</f>
        <v>North Atlantic</v>
      </c>
      <c r="C69" s="145">
        <f>IF($B69=" ","",IFERROR(INDEX(MMWR_RATING_STATE_ROLLUP_BDD[],MATCH($B69,MMWR_RATING_STATE_ROLLUP_BDD[MMWR_RATING_STATE_ROLLUP_BDD],0),MATCH(C$9,MMWR_RATING_STATE_ROLLUP_BDD[#Headers],0)),"ERROR"))</f>
        <v>3386</v>
      </c>
      <c r="D69" s="146">
        <f>IF($B69=" ","",IFERROR(INDEX(MMWR_RATING_STATE_ROLLUP_BDD[],MATCH($B69,MMWR_RATING_STATE_ROLLUP_BDD[MMWR_RATING_STATE_ROLLUP_BDD],0),MATCH(D$9,MMWR_RATING_STATE_ROLLUP_BDD[#Headers],0)),"ERROR"))</f>
        <v>90.938865918499999</v>
      </c>
      <c r="E69" s="147">
        <f>IF($B69=" ","",IFERROR(INDEX(MMWR_RATING_STATE_ROLLUP_BDD[],MATCH($B69,MMWR_RATING_STATE_ROLLUP_BDD[MMWR_RATING_STATE_ROLLUP_BDD],0),MATCH(E$9,MMWR_RATING_STATE_ROLLUP_BDD[#Headers],0))/$C69,"ERROR"))</f>
        <v>0.27997637330183106</v>
      </c>
      <c r="F69" s="145">
        <f>IF($B69=" ","",IFERROR(INDEX(MMWR_RATING_STATE_ROLLUP_BDD[],MATCH($B69,MMWR_RATING_STATE_ROLLUP_BDD[MMWR_RATING_STATE_ROLLUP_BDD],0),MATCH(F$9,MMWR_RATING_STATE_ROLLUP_BDD[#Headers],0)),"ERROR"))</f>
        <v>304</v>
      </c>
      <c r="G69" s="145">
        <f>IF($B69=" ","",IFERROR(INDEX(MMWR_RATING_STATE_ROLLUP_BDD[],MATCH($B69,MMWR_RATING_STATE_ROLLUP_BDD[MMWR_RATING_STATE_ROLLUP_BDD],0),MATCH(G$9,MMWR_RATING_STATE_ROLLUP_BDD[#Headers],0)),"ERROR"))</f>
        <v>1800</v>
      </c>
      <c r="H69" s="146">
        <f>IF($B69=" ","",IFERROR(INDEX(MMWR_RATING_STATE_ROLLUP_BDD[],MATCH($B69,MMWR_RATING_STATE_ROLLUP_BDD[MMWR_RATING_STATE_ROLLUP_BDD],0),MATCH(H$9,MMWR_RATING_STATE_ROLLUP_BDD[#Headers],0)),"ERROR"))</f>
        <v>154.3322368421</v>
      </c>
      <c r="I69" s="146">
        <f>IF($B69=" ","",IFERROR(INDEX(MMWR_RATING_STATE_ROLLUP_BDD[],MATCH($B69,MMWR_RATING_STATE_ROLLUP_BDD[MMWR_RATING_STATE_ROLLUP_BDD],0),MATCH(I$9,MMWR_RATING_STATE_ROLLUP_BDD[#Headers],0)),"ERROR"))</f>
        <v>145.00055555559999</v>
      </c>
      <c r="J69" s="42"/>
      <c r="K69" s="42"/>
      <c r="L69" s="42"/>
      <c r="M69" s="42"/>
      <c r="N69" s="28"/>
    </row>
    <row r="70" spans="1:14" x14ac:dyDescent="0.2">
      <c r="A70" s="25"/>
      <c r="B70" s="8" t="str">
        <f>VLOOKUP($B$15,DISTRICT_STATES[],2,0)</f>
        <v>Connecticut</v>
      </c>
      <c r="C70" s="145">
        <f>IF($B70=" ","",IFERROR(INDEX(MMWR_RATING_STATE_ROLLUP_BDD[],MATCH($B70,MMWR_RATING_STATE_ROLLUP_BDD[MMWR_RATING_STATE_ROLLUP_BDD],0),MATCH(C$9,MMWR_RATING_STATE_ROLLUP_BDD[#Headers],0)),"ERROR"))</f>
        <v>51</v>
      </c>
      <c r="D70" s="146">
        <f>IF($B70=" ","",IFERROR(INDEX(MMWR_RATING_STATE_ROLLUP_BDD[],MATCH($B70,MMWR_RATING_STATE_ROLLUP_BDD[MMWR_RATING_STATE_ROLLUP_BDD],0),MATCH(D$9,MMWR_RATING_STATE_ROLLUP_BDD[#Headers],0)),"ERROR"))</f>
        <v>98.078431372500006</v>
      </c>
      <c r="E70" s="147">
        <f>IF($B70=" ","",IFERROR(INDEX(MMWR_RATING_STATE_ROLLUP_BDD[],MATCH($B70,MMWR_RATING_STATE_ROLLUP_BDD[MMWR_RATING_STATE_ROLLUP_BDD],0),MATCH(E$9,MMWR_RATING_STATE_ROLLUP_BDD[#Headers],0))/$C70,"ERROR"))</f>
        <v>0.29411764705882354</v>
      </c>
      <c r="F70" s="145">
        <f>IF($B70=" ","",IFERROR(INDEX(MMWR_RATING_STATE_ROLLUP_BDD[],MATCH($B70,MMWR_RATING_STATE_ROLLUP_BDD[MMWR_RATING_STATE_ROLLUP_BDD],0),MATCH(F$9,MMWR_RATING_STATE_ROLLUP_BDD[#Headers],0)),"ERROR"))</f>
        <v>6</v>
      </c>
      <c r="G70" s="145">
        <f>IF($B70=" ","",IFERROR(INDEX(MMWR_RATING_STATE_ROLLUP_BDD[],MATCH($B70,MMWR_RATING_STATE_ROLLUP_BDD[MMWR_RATING_STATE_ROLLUP_BDD],0),MATCH(G$9,MMWR_RATING_STATE_ROLLUP_BDD[#Headers],0)),"ERROR"))</f>
        <v>41</v>
      </c>
      <c r="H70" s="146">
        <f>IF($B70=" ","",IFERROR(INDEX(MMWR_RATING_STATE_ROLLUP_BDD[],MATCH($B70,MMWR_RATING_STATE_ROLLUP_BDD[MMWR_RATING_STATE_ROLLUP_BDD],0),MATCH(H$9,MMWR_RATING_STATE_ROLLUP_BDD[#Headers],0)),"ERROR"))</f>
        <v>158.3333333333</v>
      </c>
      <c r="I70" s="146">
        <f>IF($B70=" ","",IFERROR(INDEX(MMWR_RATING_STATE_ROLLUP_BDD[],MATCH($B70,MMWR_RATING_STATE_ROLLUP_BDD[MMWR_RATING_STATE_ROLLUP_BDD],0),MATCH(I$9,MMWR_RATING_STATE_ROLLUP_BDD[#Headers],0)),"ERROR"))</f>
        <v>139.14634146340001</v>
      </c>
      <c r="J70" s="42"/>
      <c r="K70" s="42"/>
      <c r="L70" s="42"/>
      <c r="M70" s="42"/>
      <c r="N70" s="28"/>
    </row>
    <row r="71" spans="1:14" x14ac:dyDescent="0.2">
      <c r="A71" s="25"/>
      <c r="B71" s="8" t="str">
        <f>VLOOKUP($B$15,DISTRICT_STATES[],3,0)</f>
        <v>Delaware</v>
      </c>
      <c r="C71" s="145">
        <f>IF($B71=" ","",IFERROR(INDEX(MMWR_RATING_STATE_ROLLUP_BDD[],MATCH($B71,MMWR_RATING_STATE_ROLLUP_BDD[MMWR_RATING_STATE_ROLLUP_BDD],0),MATCH(C$9,MMWR_RATING_STATE_ROLLUP_BDD[#Headers],0)),"ERROR"))</f>
        <v>26</v>
      </c>
      <c r="D71" s="146">
        <f>IF($B71=" ","",IFERROR(INDEX(MMWR_RATING_STATE_ROLLUP_BDD[],MATCH($B71,MMWR_RATING_STATE_ROLLUP_BDD[MMWR_RATING_STATE_ROLLUP_BDD],0),MATCH(D$9,MMWR_RATING_STATE_ROLLUP_BDD[#Headers],0)),"ERROR"))</f>
        <v>109.6153846154</v>
      </c>
      <c r="E71" s="147">
        <f>IF($B71=" ","",IFERROR(INDEX(MMWR_RATING_STATE_ROLLUP_BDD[],MATCH($B71,MMWR_RATING_STATE_ROLLUP_BDD[MMWR_RATING_STATE_ROLLUP_BDD],0),MATCH(E$9,MMWR_RATING_STATE_ROLLUP_BDD[#Headers],0))/$C71,"ERROR"))</f>
        <v>0.34615384615384615</v>
      </c>
      <c r="F71" s="145">
        <f>IF($B71=" ","",IFERROR(INDEX(MMWR_RATING_STATE_ROLLUP_BDD[],MATCH($B71,MMWR_RATING_STATE_ROLLUP_BDD[MMWR_RATING_STATE_ROLLUP_BDD],0),MATCH(F$9,MMWR_RATING_STATE_ROLLUP_BDD[#Headers],0)),"ERROR"))</f>
        <v>3</v>
      </c>
      <c r="G71" s="145">
        <f>IF($B71=" ","",IFERROR(INDEX(MMWR_RATING_STATE_ROLLUP_BDD[],MATCH($B71,MMWR_RATING_STATE_ROLLUP_BDD[MMWR_RATING_STATE_ROLLUP_BDD],0),MATCH(G$9,MMWR_RATING_STATE_ROLLUP_BDD[#Headers],0)),"ERROR"))</f>
        <v>11</v>
      </c>
      <c r="H71" s="146">
        <f>IF($B71=" ","",IFERROR(INDEX(MMWR_RATING_STATE_ROLLUP_BDD[],MATCH($B71,MMWR_RATING_STATE_ROLLUP_BDD[MMWR_RATING_STATE_ROLLUP_BDD],0),MATCH(H$9,MMWR_RATING_STATE_ROLLUP_BDD[#Headers],0)),"ERROR"))</f>
        <v>89.333333333300004</v>
      </c>
      <c r="I71" s="146">
        <f>IF($B71=" ","",IFERROR(INDEX(MMWR_RATING_STATE_ROLLUP_BDD[],MATCH($B71,MMWR_RATING_STATE_ROLLUP_BDD[MMWR_RATING_STATE_ROLLUP_BDD],0),MATCH(I$9,MMWR_RATING_STATE_ROLLUP_BDD[#Headers],0)),"ERROR"))</f>
        <v>148.8181818182</v>
      </c>
      <c r="J71" s="42"/>
      <c r="K71" s="42"/>
      <c r="L71" s="42"/>
      <c r="M71" s="42"/>
      <c r="N71" s="28"/>
    </row>
    <row r="72" spans="1:14" x14ac:dyDescent="0.2">
      <c r="A72" s="25"/>
      <c r="B72" s="8" t="str">
        <f>VLOOKUP($B$15,DISTRICT_STATES[],4,0)</f>
        <v>District of Columbia</v>
      </c>
      <c r="C72" s="145">
        <f>IF($B72=" ","",IFERROR(INDEX(MMWR_RATING_STATE_ROLLUP_BDD[],MATCH($B72,MMWR_RATING_STATE_ROLLUP_BDD[MMWR_RATING_STATE_ROLLUP_BDD],0),MATCH(C$9,MMWR_RATING_STATE_ROLLUP_BDD[#Headers],0)),"ERROR"))</f>
        <v>28</v>
      </c>
      <c r="D72" s="146">
        <f>IF($B72=" ","",IFERROR(INDEX(MMWR_RATING_STATE_ROLLUP_BDD[],MATCH($B72,MMWR_RATING_STATE_ROLLUP_BDD[MMWR_RATING_STATE_ROLLUP_BDD],0),MATCH(D$9,MMWR_RATING_STATE_ROLLUP_BDD[#Headers],0)),"ERROR"))</f>
        <v>80.928571428599994</v>
      </c>
      <c r="E72" s="147">
        <f>IF($B72=" ","",IFERROR(INDEX(MMWR_RATING_STATE_ROLLUP_BDD[],MATCH($B72,MMWR_RATING_STATE_ROLLUP_BDD[MMWR_RATING_STATE_ROLLUP_BDD],0),MATCH(E$9,MMWR_RATING_STATE_ROLLUP_BDD[#Headers],0))/$C72,"ERROR"))</f>
        <v>0.21428571428571427</v>
      </c>
      <c r="F72" s="145">
        <f>IF($B72=" ","",IFERROR(INDEX(MMWR_RATING_STATE_ROLLUP_BDD[],MATCH($B72,MMWR_RATING_STATE_ROLLUP_BDD[MMWR_RATING_STATE_ROLLUP_BDD],0),MATCH(F$9,MMWR_RATING_STATE_ROLLUP_BDD[#Headers],0)),"ERROR"))</f>
        <v>3</v>
      </c>
      <c r="G72" s="145">
        <f>IF($B72=" ","",IFERROR(INDEX(MMWR_RATING_STATE_ROLLUP_BDD[],MATCH($B72,MMWR_RATING_STATE_ROLLUP_BDD[MMWR_RATING_STATE_ROLLUP_BDD],0),MATCH(G$9,MMWR_RATING_STATE_ROLLUP_BDD[#Headers],0)),"ERROR"))</f>
        <v>17</v>
      </c>
      <c r="H72" s="146">
        <f>IF($B72=" ","",IFERROR(INDEX(MMWR_RATING_STATE_ROLLUP_BDD[],MATCH($B72,MMWR_RATING_STATE_ROLLUP_BDD[MMWR_RATING_STATE_ROLLUP_BDD],0),MATCH(H$9,MMWR_RATING_STATE_ROLLUP_BDD[#Headers],0)),"ERROR"))</f>
        <v>153.3333333333</v>
      </c>
      <c r="I72" s="146">
        <f>IF($B72=" ","",IFERROR(INDEX(MMWR_RATING_STATE_ROLLUP_BDD[],MATCH($B72,MMWR_RATING_STATE_ROLLUP_BDD[MMWR_RATING_STATE_ROLLUP_BDD],0),MATCH(I$9,MMWR_RATING_STATE_ROLLUP_BDD[#Headers],0)),"ERROR"))</f>
        <v>139.8235294118</v>
      </c>
      <c r="J72" s="42"/>
      <c r="K72" s="42"/>
      <c r="L72" s="42"/>
      <c r="M72" s="42"/>
      <c r="N72" s="28"/>
    </row>
    <row r="73" spans="1:14" x14ac:dyDescent="0.2">
      <c r="A73" s="25"/>
      <c r="B73" s="8" t="str">
        <f>VLOOKUP($B$15,DISTRICT_STATES[],5,0)</f>
        <v>Maine</v>
      </c>
      <c r="C73" s="145">
        <f>IF($B73=" ","",IFERROR(INDEX(MMWR_RATING_STATE_ROLLUP_BDD[],MATCH($B73,MMWR_RATING_STATE_ROLLUP_BDD[MMWR_RATING_STATE_ROLLUP_BDD],0),MATCH(C$9,MMWR_RATING_STATE_ROLLUP_BDD[#Headers],0)),"ERROR"))</f>
        <v>18</v>
      </c>
      <c r="D73" s="146">
        <f>IF($B73=" ","",IFERROR(INDEX(MMWR_RATING_STATE_ROLLUP_BDD[],MATCH($B73,MMWR_RATING_STATE_ROLLUP_BDD[MMWR_RATING_STATE_ROLLUP_BDD],0),MATCH(D$9,MMWR_RATING_STATE_ROLLUP_BDD[#Headers],0)),"ERROR"))</f>
        <v>105.2777777778</v>
      </c>
      <c r="E73" s="147">
        <f>IF($B73=" ","",IFERROR(INDEX(MMWR_RATING_STATE_ROLLUP_BDD[],MATCH($B73,MMWR_RATING_STATE_ROLLUP_BDD[MMWR_RATING_STATE_ROLLUP_BDD],0),MATCH(E$9,MMWR_RATING_STATE_ROLLUP_BDD[#Headers],0))/$C73,"ERROR"))</f>
        <v>0.33333333333333331</v>
      </c>
      <c r="F73" s="145">
        <f>IF($B73=" ","",IFERROR(INDEX(MMWR_RATING_STATE_ROLLUP_BDD[],MATCH($B73,MMWR_RATING_STATE_ROLLUP_BDD[MMWR_RATING_STATE_ROLLUP_BDD],0),MATCH(F$9,MMWR_RATING_STATE_ROLLUP_BDD[#Headers],0)),"ERROR"))</f>
        <v>2</v>
      </c>
      <c r="G73" s="145">
        <f>IF($B73=" ","",IFERROR(INDEX(MMWR_RATING_STATE_ROLLUP_BDD[],MATCH($B73,MMWR_RATING_STATE_ROLLUP_BDD[MMWR_RATING_STATE_ROLLUP_BDD],0),MATCH(G$9,MMWR_RATING_STATE_ROLLUP_BDD[#Headers],0)),"ERROR"))</f>
        <v>16</v>
      </c>
      <c r="H73" s="146">
        <f>IF($B73=" ","",IFERROR(INDEX(MMWR_RATING_STATE_ROLLUP_BDD[],MATCH($B73,MMWR_RATING_STATE_ROLLUP_BDD[MMWR_RATING_STATE_ROLLUP_BDD],0),MATCH(H$9,MMWR_RATING_STATE_ROLLUP_BDD[#Headers],0)),"ERROR"))</f>
        <v>144.5</v>
      </c>
      <c r="I73" s="146">
        <f>IF($B73=" ","",IFERROR(INDEX(MMWR_RATING_STATE_ROLLUP_BDD[],MATCH($B73,MMWR_RATING_STATE_ROLLUP_BDD[MMWR_RATING_STATE_ROLLUP_BDD],0),MATCH(I$9,MMWR_RATING_STATE_ROLLUP_BDD[#Headers],0)),"ERROR"))</f>
        <v>158.9375</v>
      </c>
      <c r="J73" s="42"/>
      <c r="K73" s="42"/>
      <c r="L73" s="42"/>
      <c r="M73" s="42"/>
      <c r="N73" s="28"/>
    </row>
    <row r="74" spans="1:14" x14ac:dyDescent="0.2">
      <c r="A74" s="25"/>
      <c r="B74" s="8" t="str">
        <f>VLOOKUP($B$15,DISTRICT_STATES[],6,0)</f>
        <v>Maryland</v>
      </c>
      <c r="C74" s="145">
        <f>IF($B74=" ","",IFERROR(INDEX(MMWR_RATING_STATE_ROLLUP_BDD[],MATCH($B74,MMWR_RATING_STATE_ROLLUP_BDD[MMWR_RATING_STATE_ROLLUP_BDD],0),MATCH(C$9,MMWR_RATING_STATE_ROLLUP_BDD[#Headers],0)),"ERROR"))</f>
        <v>348</v>
      </c>
      <c r="D74" s="146">
        <f>IF($B74=" ","",IFERROR(INDEX(MMWR_RATING_STATE_ROLLUP_BDD[],MATCH($B74,MMWR_RATING_STATE_ROLLUP_BDD[MMWR_RATING_STATE_ROLLUP_BDD],0),MATCH(D$9,MMWR_RATING_STATE_ROLLUP_BDD[#Headers],0)),"ERROR"))</f>
        <v>88.974137931000001</v>
      </c>
      <c r="E74" s="147">
        <f>IF($B74=" ","",IFERROR(INDEX(MMWR_RATING_STATE_ROLLUP_BDD[],MATCH($B74,MMWR_RATING_STATE_ROLLUP_BDD[MMWR_RATING_STATE_ROLLUP_BDD],0),MATCH(E$9,MMWR_RATING_STATE_ROLLUP_BDD[#Headers],0))/$C74,"ERROR"))</f>
        <v>0.25287356321839083</v>
      </c>
      <c r="F74" s="145">
        <f>IF($B74=" ","",IFERROR(INDEX(MMWR_RATING_STATE_ROLLUP_BDD[],MATCH($B74,MMWR_RATING_STATE_ROLLUP_BDD[MMWR_RATING_STATE_ROLLUP_BDD],0),MATCH(F$9,MMWR_RATING_STATE_ROLLUP_BDD[#Headers],0)),"ERROR"))</f>
        <v>36</v>
      </c>
      <c r="G74" s="145">
        <f>IF($B74=" ","",IFERROR(INDEX(MMWR_RATING_STATE_ROLLUP_BDD[],MATCH($B74,MMWR_RATING_STATE_ROLLUP_BDD[MMWR_RATING_STATE_ROLLUP_BDD],0),MATCH(G$9,MMWR_RATING_STATE_ROLLUP_BDD[#Headers],0)),"ERROR"))</f>
        <v>187</v>
      </c>
      <c r="H74" s="146">
        <f>IF($B74=" ","",IFERROR(INDEX(MMWR_RATING_STATE_ROLLUP_BDD[],MATCH($B74,MMWR_RATING_STATE_ROLLUP_BDD[MMWR_RATING_STATE_ROLLUP_BDD],0),MATCH(H$9,MMWR_RATING_STATE_ROLLUP_BDD[#Headers],0)),"ERROR"))</f>
        <v>167.2777777778</v>
      </c>
      <c r="I74" s="146">
        <f>IF($B74=" ","",IFERROR(INDEX(MMWR_RATING_STATE_ROLLUP_BDD[],MATCH($B74,MMWR_RATING_STATE_ROLLUP_BDD[MMWR_RATING_STATE_ROLLUP_BDD],0),MATCH(I$9,MMWR_RATING_STATE_ROLLUP_BDD[#Headers],0)),"ERROR"))</f>
        <v>149.53475935829999</v>
      </c>
      <c r="J74" s="42"/>
      <c r="K74" s="42"/>
      <c r="L74" s="42"/>
      <c r="M74" s="42"/>
      <c r="N74" s="28"/>
    </row>
    <row r="75" spans="1:14" x14ac:dyDescent="0.2">
      <c r="A75" s="25"/>
      <c r="B75" s="8" t="str">
        <f>VLOOKUP($B$15,DISTRICT_STATES[],7,0)</f>
        <v>Massachusetts</v>
      </c>
      <c r="C75" s="145">
        <f>IF($B75=" ","",IFERROR(INDEX(MMWR_RATING_STATE_ROLLUP_BDD[],MATCH($B75,MMWR_RATING_STATE_ROLLUP_BDD[MMWR_RATING_STATE_ROLLUP_BDD],0),MATCH(C$9,MMWR_RATING_STATE_ROLLUP_BDD[#Headers],0)),"ERROR"))</f>
        <v>52</v>
      </c>
      <c r="D75" s="146">
        <f>IF($B75=" ","",IFERROR(INDEX(MMWR_RATING_STATE_ROLLUP_BDD[],MATCH($B75,MMWR_RATING_STATE_ROLLUP_BDD[MMWR_RATING_STATE_ROLLUP_BDD],0),MATCH(D$9,MMWR_RATING_STATE_ROLLUP_BDD[#Headers],0)),"ERROR"))</f>
        <v>105.48076923079999</v>
      </c>
      <c r="E75" s="147">
        <f>IF($B75=" ","",IFERROR(INDEX(MMWR_RATING_STATE_ROLLUP_BDD[],MATCH($B75,MMWR_RATING_STATE_ROLLUP_BDD[MMWR_RATING_STATE_ROLLUP_BDD],0),MATCH(E$9,MMWR_RATING_STATE_ROLLUP_BDD[#Headers],0))/$C75,"ERROR"))</f>
        <v>0.30769230769230771</v>
      </c>
      <c r="F75" s="145">
        <f>IF($B75=" ","",IFERROR(INDEX(MMWR_RATING_STATE_ROLLUP_BDD[],MATCH($B75,MMWR_RATING_STATE_ROLLUP_BDD[MMWR_RATING_STATE_ROLLUP_BDD],0),MATCH(F$9,MMWR_RATING_STATE_ROLLUP_BDD[#Headers],0)),"ERROR"))</f>
        <v>4</v>
      </c>
      <c r="G75" s="145">
        <f>IF($B75=" ","",IFERROR(INDEX(MMWR_RATING_STATE_ROLLUP_BDD[],MATCH($B75,MMWR_RATING_STATE_ROLLUP_BDD[MMWR_RATING_STATE_ROLLUP_BDD],0),MATCH(G$9,MMWR_RATING_STATE_ROLLUP_BDD[#Headers],0)),"ERROR"))</f>
        <v>32</v>
      </c>
      <c r="H75" s="146">
        <f>IF($B75=" ","",IFERROR(INDEX(MMWR_RATING_STATE_ROLLUP_BDD[],MATCH($B75,MMWR_RATING_STATE_ROLLUP_BDD[MMWR_RATING_STATE_ROLLUP_BDD],0),MATCH(H$9,MMWR_RATING_STATE_ROLLUP_BDD[#Headers],0)),"ERROR"))</f>
        <v>186</v>
      </c>
      <c r="I75" s="146">
        <f>IF($B75=" ","",IFERROR(INDEX(MMWR_RATING_STATE_ROLLUP_BDD[],MATCH($B75,MMWR_RATING_STATE_ROLLUP_BDD[MMWR_RATING_STATE_ROLLUP_BDD],0),MATCH(I$9,MMWR_RATING_STATE_ROLLUP_BDD[#Headers],0)),"ERROR"))</f>
        <v>118.53125</v>
      </c>
      <c r="J75" s="42"/>
      <c r="K75" s="42"/>
      <c r="L75" s="42"/>
      <c r="M75" s="42"/>
      <c r="N75" s="28"/>
    </row>
    <row r="76" spans="1:14" x14ac:dyDescent="0.2">
      <c r="A76" s="25"/>
      <c r="B76" s="8" t="str">
        <f>VLOOKUP($B$15,DISTRICT_STATES[],8,0)</f>
        <v>New Hampshire</v>
      </c>
      <c r="C76" s="145">
        <f>IF($B76=" ","",IFERROR(INDEX(MMWR_RATING_STATE_ROLLUP_BDD[],MATCH($B76,MMWR_RATING_STATE_ROLLUP_BDD[MMWR_RATING_STATE_ROLLUP_BDD],0),MATCH(C$9,MMWR_RATING_STATE_ROLLUP_BDD[#Headers],0)),"ERROR"))</f>
        <v>19</v>
      </c>
      <c r="D76" s="146">
        <f>IF($B76=" ","",IFERROR(INDEX(MMWR_RATING_STATE_ROLLUP_BDD[],MATCH($B76,MMWR_RATING_STATE_ROLLUP_BDD[MMWR_RATING_STATE_ROLLUP_BDD],0),MATCH(D$9,MMWR_RATING_STATE_ROLLUP_BDD[#Headers],0)),"ERROR"))</f>
        <v>93.473684210499997</v>
      </c>
      <c r="E76" s="147">
        <f>IF($B76=" ","",IFERROR(INDEX(MMWR_RATING_STATE_ROLLUP_BDD[],MATCH($B76,MMWR_RATING_STATE_ROLLUP_BDD[MMWR_RATING_STATE_ROLLUP_BDD],0),MATCH(E$9,MMWR_RATING_STATE_ROLLUP_BDD[#Headers],0))/$C76,"ERROR"))</f>
        <v>0.21052631578947367</v>
      </c>
      <c r="F76" s="145">
        <f>IF($B76=" ","",IFERROR(INDEX(MMWR_RATING_STATE_ROLLUP_BDD[],MATCH($B76,MMWR_RATING_STATE_ROLLUP_BDD[MMWR_RATING_STATE_ROLLUP_BDD],0),MATCH(F$9,MMWR_RATING_STATE_ROLLUP_BDD[#Headers],0)),"ERROR"))</f>
        <v>1</v>
      </c>
      <c r="G76" s="145">
        <f>IF($B76=" ","",IFERROR(INDEX(MMWR_RATING_STATE_ROLLUP_BDD[],MATCH($B76,MMWR_RATING_STATE_ROLLUP_BDD[MMWR_RATING_STATE_ROLLUP_BDD],0),MATCH(G$9,MMWR_RATING_STATE_ROLLUP_BDD[#Headers],0)),"ERROR"))</f>
        <v>16</v>
      </c>
      <c r="H76" s="146">
        <f>IF($B76=" ","",IFERROR(INDEX(MMWR_RATING_STATE_ROLLUP_BDD[],MATCH($B76,MMWR_RATING_STATE_ROLLUP_BDD[MMWR_RATING_STATE_ROLLUP_BDD],0),MATCH(H$9,MMWR_RATING_STATE_ROLLUP_BDD[#Headers],0)),"ERROR"))</f>
        <v>115</v>
      </c>
      <c r="I76" s="146">
        <f>IF($B76=" ","",IFERROR(INDEX(MMWR_RATING_STATE_ROLLUP_BDD[],MATCH($B76,MMWR_RATING_STATE_ROLLUP_BDD[MMWR_RATING_STATE_ROLLUP_BDD],0),MATCH(I$9,MMWR_RATING_STATE_ROLLUP_BDD[#Headers],0)),"ERROR"))</f>
        <v>133.625</v>
      </c>
      <c r="J76" s="42"/>
      <c r="K76" s="42"/>
      <c r="L76" s="42"/>
      <c r="M76" s="42"/>
      <c r="N76" s="28"/>
    </row>
    <row r="77" spans="1:14" x14ac:dyDescent="0.2">
      <c r="A77" s="25"/>
      <c r="B77" s="8" t="str">
        <f>VLOOKUP($B$15,DISTRICT_STATES[],9,0)</f>
        <v>New Jersey</v>
      </c>
      <c r="C77" s="145">
        <f>IF($B77=" ","",IFERROR(INDEX(MMWR_RATING_STATE_ROLLUP_BDD[],MATCH($B77,MMWR_RATING_STATE_ROLLUP_BDD[MMWR_RATING_STATE_ROLLUP_BDD],0),MATCH(C$9,MMWR_RATING_STATE_ROLLUP_BDD[#Headers],0)),"ERROR"))</f>
        <v>82</v>
      </c>
      <c r="D77" s="146">
        <f>IF($B77=" ","",IFERROR(INDEX(MMWR_RATING_STATE_ROLLUP_BDD[],MATCH($B77,MMWR_RATING_STATE_ROLLUP_BDD[MMWR_RATING_STATE_ROLLUP_BDD],0),MATCH(D$9,MMWR_RATING_STATE_ROLLUP_BDD[#Headers],0)),"ERROR"))</f>
        <v>92.939024390200004</v>
      </c>
      <c r="E77" s="147">
        <f>IF($B77=" ","",IFERROR(INDEX(MMWR_RATING_STATE_ROLLUP_BDD[],MATCH($B77,MMWR_RATING_STATE_ROLLUP_BDD[MMWR_RATING_STATE_ROLLUP_BDD],0),MATCH(E$9,MMWR_RATING_STATE_ROLLUP_BDD[#Headers],0))/$C77,"ERROR"))</f>
        <v>0.23170731707317074</v>
      </c>
      <c r="F77" s="145">
        <f>IF($B77=" ","",IFERROR(INDEX(MMWR_RATING_STATE_ROLLUP_BDD[],MATCH($B77,MMWR_RATING_STATE_ROLLUP_BDD[MMWR_RATING_STATE_ROLLUP_BDD],0),MATCH(F$9,MMWR_RATING_STATE_ROLLUP_BDD[#Headers],0)),"ERROR"))</f>
        <v>13</v>
      </c>
      <c r="G77" s="145">
        <f>IF($B77=" ","",IFERROR(INDEX(MMWR_RATING_STATE_ROLLUP_BDD[],MATCH($B77,MMWR_RATING_STATE_ROLLUP_BDD[MMWR_RATING_STATE_ROLLUP_BDD],0),MATCH(G$9,MMWR_RATING_STATE_ROLLUP_BDD[#Headers],0)),"ERROR"))</f>
        <v>65</v>
      </c>
      <c r="H77" s="146">
        <f>IF($B77=" ","",IFERROR(INDEX(MMWR_RATING_STATE_ROLLUP_BDD[],MATCH($B77,MMWR_RATING_STATE_ROLLUP_BDD[MMWR_RATING_STATE_ROLLUP_BDD],0),MATCH(H$9,MMWR_RATING_STATE_ROLLUP_BDD[#Headers],0)),"ERROR"))</f>
        <v>140.8461538462</v>
      </c>
      <c r="I77" s="146">
        <f>IF($B77=" ","",IFERROR(INDEX(MMWR_RATING_STATE_ROLLUP_BDD[],MATCH($B77,MMWR_RATING_STATE_ROLLUP_BDD[MMWR_RATING_STATE_ROLLUP_BDD],0),MATCH(I$9,MMWR_RATING_STATE_ROLLUP_BDD[#Headers],0)),"ERROR"))</f>
        <v>134.0153846154</v>
      </c>
      <c r="J77" s="42"/>
      <c r="K77" s="42"/>
      <c r="L77" s="42"/>
      <c r="M77" s="42"/>
      <c r="N77" s="28"/>
    </row>
    <row r="78" spans="1:14" x14ac:dyDescent="0.2">
      <c r="A78" s="25"/>
      <c r="B78" s="8" t="str">
        <f>VLOOKUP($B$15,DISTRICT_STATES[],10,0)</f>
        <v>New York</v>
      </c>
      <c r="C78" s="145">
        <f>IF($B78=" ","",IFERROR(INDEX(MMWR_RATING_STATE_ROLLUP_BDD[],MATCH($B78,MMWR_RATING_STATE_ROLLUP_BDD[MMWR_RATING_STATE_ROLLUP_BDD],0),MATCH(C$9,MMWR_RATING_STATE_ROLLUP_BDD[#Headers],0)),"ERROR"))</f>
        <v>152</v>
      </c>
      <c r="D78" s="146">
        <f>IF($B78=" ","",IFERROR(INDEX(MMWR_RATING_STATE_ROLLUP_BDD[],MATCH($B78,MMWR_RATING_STATE_ROLLUP_BDD[MMWR_RATING_STATE_ROLLUP_BDD],0),MATCH(D$9,MMWR_RATING_STATE_ROLLUP_BDD[#Headers],0)),"ERROR"))</f>
        <v>85.881578947400001</v>
      </c>
      <c r="E78" s="147">
        <f>IF($B78=" ","",IFERROR(INDEX(MMWR_RATING_STATE_ROLLUP_BDD[],MATCH($B78,MMWR_RATING_STATE_ROLLUP_BDD[MMWR_RATING_STATE_ROLLUP_BDD],0),MATCH(E$9,MMWR_RATING_STATE_ROLLUP_BDD[#Headers],0))/$C78,"ERROR"))</f>
        <v>0.23026315789473684</v>
      </c>
      <c r="F78" s="145">
        <f>IF($B78=" ","",IFERROR(INDEX(MMWR_RATING_STATE_ROLLUP_BDD[],MATCH($B78,MMWR_RATING_STATE_ROLLUP_BDD[MMWR_RATING_STATE_ROLLUP_BDD],0),MATCH(F$9,MMWR_RATING_STATE_ROLLUP_BDD[#Headers],0)),"ERROR"))</f>
        <v>16</v>
      </c>
      <c r="G78" s="145">
        <f>IF($B78=" ","",IFERROR(INDEX(MMWR_RATING_STATE_ROLLUP_BDD[],MATCH($B78,MMWR_RATING_STATE_ROLLUP_BDD[MMWR_RATING_STATE_ROLLUP_BDD],0),MATCH(G$9,MMWR_RATING_STATE_ROLLUP_BDD[#Headers],0)),"ERROR"))</f>
        <v>108</v>
      </c>
      <c r="H78" s="146">
        <f>IF($B78=" ","",IFERROR(INDEX(MMWR_RATING_STATE_ROLLUP_BDD[],MATCH($B78,MMWR_RATING_STATE_ROLLUP_BDD[MMWR_RATING_STATE_ROLLUP_BDD],0),MATCH(H$9,MMWR_RATING_STATE_ROLLUP_BDD[#Headers],0)),"ERROR"))</f>
        <v>158.75</v>
      </c>
      <c r="I78" s="146">
        <f>IF($B78=" ","",IFERROR(INDEX(MMWR_RATING_STATE_ROLLUP_BDD[],MATCH($B78,MMWR_RATING_STATE_ROLLUP_BDD[MMWR_RATING_STATE_ROLLUP_BDD],0),MATCH(I$9,MMWR_RATING_STATE_ROLLUP_BDD[#Headers],0)),"ERROR"))</f>
        <v>142.75925925929999</v>
      </c>
      <c r="J78" s="42"/>
      <c r="K78" s="42"/>
      <c r="L78" s="42"/>
      <c r="M78" s="42"/>
      <c r="N78" s="28"/>
    </row>
    <row r="79" spans="1:14" x14ac:dyDescent="0.2">
      <c r="A79" s="25"/>
      <c r="B79" s="8" t="str">
        <f>VLOOKUP($B$15,DISTRICT_STATES[],11,0)</f>
        <v>North Carolina</v>
      </c>
      <c r="C79" s="145">
        <f>IF($B79=" ","",IFERROR(INDEX(MMWR_RATING_STATE_ROLLUP_BDD[],MATCH($B79,MMWR_RATING_STATE_ROLLUP_BDD[MMWR_RATING_STATE_ROLLUP_BDD],0),MATCH(C$9,MMWR_RATING_STATE_ROLLUP_BDD[#Headers],0)),"ERROR"))</f>
        <v>1219</v>
      </c>
      <c r="D79" s="146">
        <f>IF($B79=" ","",IFERROR(INDEX(MMWR_RATING_STATE_ROLLUP_BDD[],MATCH($B79,MMWR_RATING_STATE_ROLLUP_BDD[MMWR_RATING_STATE_ROLLUP_BDD],0),MATCH(D$9,MMWR_RATING_STATE_ROLLUP_BDD[#Headers],0)),"ERROR"))</f>
        <v>86.847415914699994</v>
      </c>
      <c r="E79" s="147">
        <f>IF($B79=" ","",IFERROR(INDEX(MMWR_RATING_STATE_ROLLUP_BDD[],MATCH($B79,MMWR_RATING_STATE_ROLLUP_BDD[MMWR_RATING_STATE_ROLLUP_BDD],0),MATCH(E$9,MMWR_RATING_STATE_ROLLUP_BDD[#Headers],0))/$C79,"ERROR"))</f>
        <v>0.26497128794093522</v>
      </c>
      <c r="F79" s="145">
        <f>IF($B79=" ","",IFERROR(INDEX(MMWR_RATING_STATE_ROLLUP_BDD[],MATCH($B79,MMWR_RATING_STATE_ROLLUP_BDD[MMWR_RATING_STATE_ROLLUP_BDD],0),MATCH(F$9,MMWR_RATING_STATE_ROLLUP_BDD[#Headers],0)),"ERROR"))</f>
        <v>78</v>
      </c>
      <c r="G79" s="145">
        <f>IF($B79=" ","",IFERROR(INDEX(MMWR_RATING_STATE_ROLLUP_BDD[],MATCH($B79,MMWR_RATING_STATE_ROLLUP_BDD[MMWR_RATING_STATE_ROLLUP_BDD],0),MATCH(G$9,MMWR_RATING_STATE_ROLLUP_BDD[#Headers],0)),"ERROR"))</f>
        <v>578</v>
      </c>
      <c r="H79" s="146">
        <f>IF($B79=" ","",IFERROR(INDEX(MMWR_RATING_STATE_ROLLUP_BDD[],MATCH($B79,MMWR_RATING_STATE_ROLLUP_BDD[MMWR_RATING_STATE_ROLLUP_BDD],0),MATCH(H$9,MMWR_RATING_STATE_ROLLUP_BDD[#Headers],0)),"ERROR"))</f>
        <v>151.0128205128</v>
      </c>
      <c r="I79" s="146">
        <f>IF($B79=" ","",IFERROR(INDEX(MMWR_RATING_STATE_ROLLUP_BDD[],MATCH($B79,MMWR_RATING_STATE_ROLLUP_BDD[MMWR_RATING_STATE_ROLLUP_BDD],0),MATCH(I$9,MMWR_RATING_STATE_ROLLUP_BDD[#Headers],0)),"ERROR"))</f>
        <v>143.91003460210001</v>
      </c>
      <c r="J79" s="42"/>
      <c r="K79" s="42"/>
      <c r="L79" s="42"/>
      <c r="M79" s="42"/>
      <c r="N79" s="28"/>
    </row>
    <row r="80" spans="1:14" x14ac:dyDescent="0.2">
      <c r="A80" s="25"/>
      <c r="B80" s="8" t="str">
        <f>VLOOKUP($B$15,DISTRICT_STATES[],12,0)</f>
        <v>Pennsylvania</v>
      </c>
      <c r="C80" s="145">
        <f>IF($B80=" ","",IFERROR(INDEX(MMWR_RATING_STATE_ROLLUP_BDD[],MATCH($B80,MMWR_RATING_STATE_ROLLUP_BDD[MMWR_RATING_STATE_ROLLUP_BDD],0),MATCH(C$9,MMWR_RATING_STATE_ROLLUP_BDD[#Headers],0)),"ERROR"))</f>
        <v>128</v>
      </c>
      <c r="D80" s="146">
        <f>IF($B80=" ","",IFERROR(INDEX(MMWR_RATING_STATE_ROLLUP_BDD[],MATCH($B80,MMWR_RATING_STATE_ROLLUP_BDD[MMWR_RATING_STATE_ROLLUP_BDD],0),MATCH(D$9,MMWR_RATING_STATE_ROLLUP_BDD[#Headers],0)),"ERROR"))</f>
        <v>83.2734375</v>
      </c>
      <c r="E80" s="147">
        <f>IF($B80=" ","",IFERROR(INDEX(MMWR_RATING_STATE_ROLLUP_BDD[],MATCH($B80,MMWR_RATING_STATE_ROLLUP_BDD[MMWR_RATING_STATE_ROLLUP_BDD],0),MATCH(E$9,MMWR_RATING_STATE_ROLLUP_BDD[#Headers],0))/$C80,"ERROR"))</f>
        <v>0.25</v>
      </c>
      <c r="F80" s="145">
        <f>IF($B80=" ","",IFERROR(INDEX(MMWR_RATING_STATE_ROLLUP_BDD[],MATCH($B80,MMWR_RATING_STATE_ROLLUP_BDD[MMWR_RATING_STATE_ROLLUP_BDD],0),MATCH(F$9,MMWR_RATING_STATE_ROLLUP_BDD[#Headers],0)),"ERROR"))</f>
        <v>23</v>
      </c>
      <c r="G80" s="145">
        <f>IF($B80=" ","",IFERROR(INDEX(MMWR_RATING_STATE_ROLLUP_BDD[],MATCH($B80,MMWR_RATING_STATE_ROLLUP_BDD[MMWR_RATING_STATE_ROLLUP_BDD],0),MATCH(G$9,MMWR_RATING_STATE_ROLLUP_BDD[#Headers],0)),"ERROR"))</f>
        <v>123</v>
      </c>
      <c r="H80" s="146">
        <f>IF($B80=" ","",IFERROR(INDEX(MMWR_RATING_STATE_ROLLUP_BDD[],MATCH($B80,MMWR_RATING_STATE_ROLLUP_BDD[MMWR_RATING_STATE_ROLLUP_BDD],0),MATCH(H$9,MMWR_RATING_STATE_ROLLUP_BDD[#Headers],0)),"ERROR"))</f>
        <v>134.9565217391</v>
      </c>
      <c r="I80" s="146">
        <f>IF($B80=" ","",IFERROR(INDEX(MMWR_RATING_STATE_ROLLUP_BDD[],MATCH($B80,MMWR_RATING_STATE_ROLLUP_BDD[MMWR_RATING_STATE_ROLLUP_BDD],0),MATCH(I$9,MMWR_RATING_STATE_ROLLUP_BDD[#Headers],0)),"ERROR"))</f>
        <v>130.79674796750001</v>
      </c>
      <c r="J80" s="42"/>
      <c r="K80" s="42"/>
      <c r="L80" s="42"/>
      <c r="M80" s="42"/>
      <c r="N80" s="28"/>
    </row>
    <row r="81" spans="1:14" x14ac:dyDescent="0.2">
      <c r="A81" s="25"/>
      <c r="B81" s="8" t="str">
        <f>VLOOKUP($B$15,DISTRICT_STATES[],13,0)</f>
        <v>Rhode Island</v>
      </c>
      <c r="C81" s="145">
        <f>IF($B81=" ","",IFERROR(INDEX(MMWR_RATING_STATE_ROLLUP_BDD[],MATCH($B81,MMWR_RATING_STATE_ROLLUP_BDD[MMWR_RATING_STATE_ROLLUP_BDD],0),MATCH(C$9,MMWR_RATING_STATE_ROLLUP_BDD[#Headers],0)),"ERROR"))</f>
        <v>10</v>
      </c>
      <c r="D81" s="146">
        <f>IF($B81=" ","",IFERROR(INDEX(MMWR_RATING_STATE_ROLLUP_BDD[],MATCH($B81,MMWR_RATING_STATE_ROLLUP_BDD[MMWR_RATING_STATE_ROLLUP_BDD],0),MATCH(D$9,MMWR_RATING_STATE_ROLLUP_BDD[#Headers],0)),"ERROR"))</f>
        <v>110</v>
      </c>
      <c r="E81" s="147">
        <f>IF($B81=" ","",IFERROR(INDEX(MMWR_RATING_STATE_ROLLUP_BDD[],MATCH($B81,MMWR_RATING_STATE_ROLLUP_BDD[MMWR_RATING_STATE_ROLLUP_BDD],0),MATCH(E$9,MMWR_RATING_STATE_ROLLUP_BDD[#Headers],0))/$C81,"ERROR"))</f>
        <v>0.4</v>
      </c>
      <c r="F81" s="145">
        <f>IF($B81=" ","",IFERROR(INDEX(MMWR_RATING_STATE_ROLLUP_BDD[],MATCH($B81,MMWR_RATING_STATE_ROLLUP_BDD[MMWR_RATING_STATE_ROLLUP_BDD],0),MATCH(F$9,MMWR_RATING_STATE_ROLLUP_BDD[#Headers],0)),"ERROR"))</f>
        <v>0</v>
      </c>
      <c r="G81" s="145">
        <f>IF($B81=" ","",IFERROR(INDEX(MMWR_RATING_STATE_ROLLUP_BDD[],MATCH($B81,MMWR_RATING_STATE_ROLLUP_BDD[MMWR_RATING_STATE_ROLLUP_BDD],0),MATCH(G$9,MMWR_RATING_STATE_ROLLUP_BDD[#Headers],0)),"ERROR"))</f>
        <v>9</v>
      </c>
      <c r="H81" s="146">
        <f>IF($B81=" ","",IFERROR(INDEX(MMWR_RATING_STATE_ROLLUP_BDD[],MATCH($B81,MMWR_RATING_STATE_ROLLUP_BDD[MMWR_RATING_STATE_ROLLUP_BDD],0),MATCH(H$9,MMWR_RATING_STATE_ROLLUP_BDD[#Headers],0)),"ERROR"))</f>
        <v>0</v>
      </c>
      <c r="I81" s="146">
        <f>IF($B81=" ","",IFERROR(INDEX(MMWR_RATING_STATE_ROLLUP_BDD[],MATCH($B81,MMWR_RATING_STATE_ROLLUP_BDD[MMWR_RATING_STATE_ROLLUP_BDD],0),MATCH(I$9,MMWR_RATING_STATE_ROLLUP_BDD[#Headers],0)),"ERROR"))</f>
        <v>121</v>
      </c>
      <c r="J81" s="42"/>
      <c r="K81" s="42"/>
      <c r="L81" s="42"/>
      <c r="M81" s="42"/>
      <c r="N81" s="28"/>
    </row>
    <row r="82" spans="1:14" x14ac:dyDescent="0.2">
      <c r="A82" s="25"/>
      <c r="B82" s="8" t="str">
        <f>VLOOKUP($B$15,DISTRICT_STATES[],14,0)</f>
        <v>Vermont</v>
      </c>
      <c r="C82" s="145">
        <f>IF($B82=" ","",IFERROR(INDEX(MMWR_RATING_STATE_ROLLUP_BDD[],MATCH($B82,MMWR_RATING_STATE_ROLLUP_BDD[MMWR_RATING_STATE_ROLLUP_BDD],0),MATCH(C$9,MMWR_RATING_STATE_ROLLUP_BDD[#Headers],0)),"ERROR"))</f>
        <v>3</v>
      </c>
      <c r="D82" s="146">
        <f>IF($B82=" ","",IFERROR(INDEX(MMWR_RATING_STATE_ROLLUP_BDD[],MATCH($B82,MMWR_RATING_STATE_ROLLUP_BDD[MMWR_RATING_STATE_ROLLUP_BDD],0),MATCH(D$9,MMWR_RATING_STATE_ROLLUP_BDD[#Headers],0)),"ERROR"))</f>
        <v>46</v>
      </c>
      <c r="E82" s="147">
        <f>IF($B82=" ","",IFERROR(INDEX(MMWR_RATING_STATE_ROLLUP_BDD[],MATCH($B82,MMWR_RATING_STATE_ROLLUP_BDD[MMWR_RATING_STATE_ROLLUP_BDD],0),MATCH(E$9,MMWR_RATING_STATE_ROLLUP_BDD[#Headers],0))/$C82,"ERROR"))</f>
        <v>0</v>
      </c>
      <c r="F82" s="145">
        <f>IF($B82=" ","",IFERROR(INDEX(MMWR_RATING_STATE_ROLLUP_BDD[],MATCH($B82,MMWR_RATING_STATE_ROLLUP_BDD[MMWR_RATING_STATE_ROLLUP_BDD],0),MATCH(F$9,MMWR_RATING_STATE_ROLLUP_BDD[#Headers],0)),"ERROR"))</f>
        <v>1</v>
      </c>
      <c r="G82" s="145">
        <f>IF($B82=" ","",IFERROR(INDEX(MMWR_RATING_STATE_ROLLUP_BDD[],MATCH($B82,MMWR_RATING_STATE_ROLLUP_BDD[MMWR_RATING_STATE_ROLLUP_BDD],0),MATCH(G$9,MMWR_RATING_STATE_ROLLUP_BDD[#Headers],0)),"ERROR"))</f>
        <v>6</v>
      </c>
      <c r="H82" s="146">
        <f>IF($B82=" ","",IFERROR(INDEX(MMWR_RATING_STATE_ROLLUP_BDD[],MATCH($B82,MMWR_RATING_STATE_ROLLUP_BDD[MMWR_RATING_STATE_ROLLUP_BDD],0),MATCH(H$9,MMWR_RATING_STATE_ROLLUP_BDD[#Headers],0)),"ERROR"))</f>
        <v>170</v>
      </c>
      <c r="I82" s="146">
        <f>IF($B82=" ","",IFERROR(INDEX(MMWR_RATING_STATE_ROLLUP_BDD[],MATCH($B82,MMWR_RATING_STATE_ROLLUP_BDD[MMWR_RATING_STATE_ROLLUP_BDD],0),MATCH(I$9,MMWR_RATING_STATE_ROLLUP_BDD[#Headers],0)),"ERROR"))</f>
        <v>106</v>
      </c>
      <c r="J82" s="42"/>
      <c r="K82" s="42"/>
      <c r="L82" s="42"/>
      <c r="M82" s="42"/>
      <c r="N82" s="28"/>
    </row>
    <row r="83" spans="1:14" x14ac:dyDescent="0.2">
      <c r="A83" s="25"/>
      <c r="B83" s="8" t="str">
        <f>VLOOKUP($B$15,DISTRICT_STATES[],15,0)</f>
        <v>Virginia</v>
      </c>
      <c r="C83" s="145">
        <f>IF($B83=" ","",IFERROR(INDEX(MMWR_RATING_STATE_ROLLUP_BDD[],MATCH($B83,MMWR_RATING_STATE_ROLLUP_BDD[MMWR_RATING_STATE_ROLLUP_BDD],0),MATCH(C$9,MMWR_RATING_STATE_ROLLUP_BDD[#Headers],0)),"ERROR"))</f>
        <v>1221</v>
      </c>
      <c r="D83" s="146">
        <f>IF($B83=" ","",IFERROR(INDEX(MMWR_RATING_STATE_ROLLUP_BDD[],MATCH($B83,MMWR_RATING_STATE_ROLLUP_BDD[MMWR_RATING_STATE_ROLLUP_BDD],0),MATCH(D$9,MMWR_RATING_STATE_ROLLUP_BDD[#Headers],0)),"ERROR"))</f>
        <v>95.204750204800007</v>
      </c>
      <c r="E83" s="147">
        <f>IF($B83=" ","",IFERROR(INDEX(MMWR_RATING_STATE_ROLLUP_BDD[],MATCH($B83,MMWR_RATING_STATE_ROLLUP_BDD[MMWR_RATING_STATE_ROLLUP_BDD],0),MATCH(E$9,MMWR_RATING_STATE_ROLLUP_BDD[#Headers],0))/$C83,"ERROR"))</f>
        <v>0.31203931203931207</v>
      </c>
      <c r="F83" s="145">
        <f>IF($B83=" ","",IFERROR(INDEX(MMWR_RATING_STATE_ROLLUP_BDD[],MATCH($B83,MMWR_RATING_STATE_ROLLUP_BDD[MMWR_RATING_STATE_ROLLUP_BDD],0),MATCH(F$9,MMWR_RATING_STATE_ROLLUP_BDD[#Headers],0)),"ERROR"))</f>
        <v>113</v>
      </c>
      <c r="G83" s="145">
        <f>IF($B83=" ","",IFERROR(INDEX(MMWR_RATING_STATE_ROLLUP_BDD[],MATCH($B83,MMWR_RATING_STATE_ROLLUP_BDD[MMWR_RATING_STATE_ROLLUP_BDD],0),MATCH(G$9,MMWR_RATING_STATE_ROLLUP_BDD[#Headers],0)),"ERROR"))</f>
        <v>572</v>
      </c>
      <c r="H83" s="146">
        <f>IF($B83=" ","",IFERROR(INDEX(MMWR_RATING_STATE_ROLLUP_BDD[],MATCH($B83,MMWR_RATING_STATE_ROLLUP_BDD[MMWR_RATING_STATE_ROLLUP_BDD],0),MATCH(H$9,MMWR_RATING_STATE_ROLLUP_BDD[#Headers],0)),"ERROR"))</f>
        <v>156.80530973450001</v>
      </c>
      <c r="I83" s="146">
        <f>IF($B83=" ","",IFERROR(INDEX(MMWR_RATING_STATE_ROLLUP_BDD[],MATCH($B83,MMWR_RATING_STATE_ROLLUP_BDD[MMWR_RATING_STATE_ROLLUP_BDD],0),MATCH(I$9,MMWR_RATING_STATE_ROLLUP_BDD[#Headers],0)),"ERROR"))</f>
        <v>152.27097902099999</v>
      </c>
      <c r="J83" s="42"/>
      <c r="K83" s="42"/>
      <c r="L83" s="42"/>
      <c r="M83" s="42"/>
      <c r="N83" s="28"/>
    </row>
    <row r="84" spans="1:14" x14ac:dyDescent="0.2">
      <c r="A84" s="25"/>
      <c r="B84" s="221" t="str">
        <f>VLOOKUP($B$15,DISTRICT_STATES[],16,0)</f>
        <v>West Virginia</v>
      </c>
      <c r="C84" s="145">
        <f>IF($B84=" ","",IFERROR(INDEX(MMWR_RATING_STATE_ROLLUP_BDD[],MATCH($B84,MMWR_RATING_STATE_ROLLUP_BDD[MMWR_RATING_STATE_ROLLUP_BDD],0),MATCH(C$9,MMWR_RATING_STATE_ROLLUP_BDD[#Headers],0)),"ERROR"))</f>
        <v>29</v>
      </c>
      <c r="D84" s="146">
        <f>IF($B84=" ","",IFERROR(INDEX(MMWR_RATING_STATE_ROLLUP_BDD[],MATCH($B84,MMWR_RATING_STATE_ROLLUP_BDD[MMWR_RATING_STATE_ROLLUP_BDD],0),MATCH(D$9,MMWR_RATING_STATE_ROLLUP_BDD[#Headers],0)),"ERROR"))</f>
        <v>103.3793103448</v>
      </c>
      <c r="E84" s="147">
        <f>IF($B84=" ","",IFERROR(INDEX(MMWR_RATING_STATE_ROLLUP_BDD[],MATCH($B84,MMWR_RATING_STATE_ROLLUP_BDD[MMWR_RATING_STATE_ROLLUP_BDD],0),MATCH(E$9,MMWR_RATING_STATE_ROLLUP_BDD[#Headers],0))/$C84,"ERROR"))</f>
        <v>0.34482758620689657</v>
      </c>
      <c r="F84" s="145">
        <f>IF($B84=" ","",IFERROR(INDEX(MMWR_RATING_STATE_ROLLUP_BDD[],MATCH($B84,MMWR_RATING_STATE_ROLLUP_BDD[MMWR_RATING_STATE_ROLLUP_BDD],0),MATCH(F$9,MMWR_RATING_STATE_ROLLUP_BDD[#Headers],0)),"ERROR"))</f>
        <v>5</v>
      </c>
      <c r="G84" s="145">
        <f>IF($B84=" ","",IFERROR(INDEX(MMWR_RATING_STATE_ROLLUP_BDD[],MATCH($B84,MMWR_RATING_STATE_ROLLUP_BDD[MMWR_RATING_STATE_ROLLUP_BDD],0),MATCH(G$9,MMWR_RATING_STATE_ROLLUP_BDD[#Headers],0)),"ERROR"))</f>
        <v>19</v>
      </c>
      <c r="H84" s="146">
        <f>IF($B84=" ","",IFERROR(INDEX(MMWR_RATING_STATE_ROLLUP_BDD[],MATCH($B84,MMWR_RATING_STATE_ROLLUP_BDD[MMWR_RATING_STATE_ROLLUP_BDD],0),MATCH(H$9,MMWR_RATING_STATE_ROLLUP_BDD[#Headers],0)),"ERROR"))</f>
        <v>185.2</v>
      </c>
      <c r="I84" s="146">
        <f>IF($B84=" ","",IFERROR(INDEX(MMWR_RATING_STATE_ROLLUP_BDD[],MATCH($B84,MMWR_RATING_STATE_ROLLUP_BDD[MMWR_RATING_STATE_ROLLUP_BDD],0),MATCH(I$9,MMWR_RATING_STATE_ROLLUP_BDD[#Headers],0)),"ERROR"))</f>
        <v>138.1052631579</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24" priority="18">
      <formula>IF(OR(ISERROR(A1),A1="ERROR"),TRUE,FALSE)</formula>
    </cfRule>
  </conditionalFormatting>
  <conditionalFormatting sqref="A30 J30:N30">
    <cfRule type="expression" dxfId="423" priority="17">
      <formula>IF(OR(ISERROR(A30),A30="ERROR"),TRUE,FALSE)</formula>
    </cfRule>
  </conditionalFormatting>
  <conditionalFormatting sqref="B4">
    <cfRule type="expression" dxfId="422" priority="16">
      <formula>IF(OR(ISERROR(B4),B4="ERROR"),TRUE,FALSE)</formula>
    </cfRule>
  </conditionalFormatting>
  <conditionalFormatting sqref="B33:B48">
    <cfRule type="expression" dxfId="421" priority="14">
      <formula>IF(OR(ISERROR(B33),B33="ERROR"),TRUE,FALSE)</formula>
    </cfRule>
  </conditionalFormatting>
  <conditionalFormatting sqref="B51:B66">
    <cfRule type="expression" dxfId="420" priority="13">
      <formula>IF(OR(ISERROR(B51),B51="ERROR"),TRUE,FALSE)</formula>
    </cfRule>
  </conditionalFormatting>
  <conditionalFormatting sqref="B69:B84">
    <cfRule type="expression" dxfId="419" priority="12">
      <formula>IF(OR(ISERROR(B69),B69="ERROR"),TRUE,FALSE)</formula>
    </cfRule>
  </conditionalFormatting>
  <conditionalFormatting sqref="B14:I14">
    <cfRule type="expression" dxfId="418" priority="8">
      <formula>IF(OR(ISERROR(B13),B14="ERROR"),TRUE,FALSE)</formula>
    </cfRule>
  </conditionalFormatting>
  <conditionalFormatting sqref="C33:I48">
    <cfRule type="expression" dxfId="417" priority="7">
      <formula>IF(OR(ISERROR(C33),C33="ERROR"),TRUE,FALSE)</formula>
    </cfRule>
  </conditionalFormatting>
  <conditionalFormatting sqref="C32:I32">
    <cfRule type="expression" dxfId="416" priority="6">
      <formula>IF(OR(ISERROR(C31),C32="ERROR"),TRUE,FALSE)</formula>
    </cfRule>
  </conditionalFormatting>
  <conditionalFormatting sqref="C51:I66">
    <cfRule type="expression" dxfId="415" priority="5">
      <formula>IF(OR(ISERROR(C51),C51="ERROR"),TRUE,FALSE)</formula>
    </cfRule>
  </conditionalFormatting>
  <conditionalFormatting sqref="C50:I50">
    <cfRule type="expression" dxfId="414" priority="4">
      <formula>IF(OR(ISERROR(C49),C50="ERROR"),TRUE,FALSE)</formula>
    </cfRule>
  </conditionalFormatting>
  <conditionalFormatting sqref="C69:I84">
    <cfRule type="expression" dxfId="413" priority="3">
      <formula>IF(OR(ISERROR(C69),C69="ERROR"),TRUE,FALSE)</formula>
    </cfRule>
  </conditionalFormatting>
  <conditionalFormatting sqref="C68:I68">
    <cfRule type="expression" dxfId="412" priority="2">
      <formula>IF(OR(ISERROR(C67),C68="ERROR"),TRUE,FALSE)</formula>
    </cfRule>
  </conditionalFormatting>
  <conditionalFormatting sqref="C5:O5">
    <cfRule type="expression" dxfId="411"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8"/>
  <sheetViews>
    <sheetView zoomScale="60" zoomScaleNormal="60" zoomScaleSheetLayoutView="55" workbookViewId="0"/>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45.7109375" customWidth="1"/>
    <col min="8" max="10" width="15.42578125" customWidth="1"/>
    <col min="11" max="11" width="5.7109375" customWidth="1"/>
    <col min="12" max="12" width="45.7109375" customWidth="1"/>
    <col min="13" max="13" width="15.42578125" customWidth="1"/>
    <col min="14" max="14" width="45.7109375" customWidth="1"/>
    <col min="15" max="15" width="15.42578125" customWidth="1"/>
    <col min="16" max="16" width="3" customWidth="1"/>
    <col min="17" max="22" width="0" hidden="1" customWidth="1"/>
    <col min="23" max="16384" width="9.140625" hidden="1"/>
  </cols>
  <sheetData>
    <row r="1" spans="1:16" s="21" customFormat="1" ht="14.25" customHeight="1" thickBot="1" x14ac:dyDescent="0.25">
      <c r="A1" s="25"/>
      <c r="B1" s="26"/>
      <c r="C1" s="54"/>
      <c r="D1" s="54"/>
      <c r="E1" s="54"/>
      <c r="F1" s="54"/>
      <c r="G1" s="54"/>
      <c r="H1" s="54"/>
      <c r="I1" s="54"/>
      <c r="J1" s="54"/>
      <c r="K1" s="54"/>
      <c r="L1" s="54"/>
      <c r="M1" s="54"/>
      <c r="N1" s="54"/>
      <c r="O1" s="54"/>
      <c r="P1" s="25"/>
    </row>
    <row r="2" spans="1:16" s="1" customFormat="1" ht="27" thickBot="1" x14ac:dyDescent="0.45">
      <c r="A2" s="25"/>
      <c r="B2" s="433" t="s">
        <v>294</v>
      </c>
      <c r="C2" s="434"/>
      <c r="D2" s="434"/>
      <c r="E2" s="434"/>
      <c r="F2" s="434"/>
      <c r="G2" s="434"/>
      <c r="H2" s="434"/>
      <c r="I2" s="434"/>
      <c r="J2" s="434"/>
      <c r="K2" s="434"/>
      <c r="L2" s="434"/>
      <c r="M2" s="434"/>
      <c r="N2" s="434"/>
      <c r="O2" s="435"/>
      <c r="P2" s="25"/>
    </row>
    <row r="3" spans="1:16" s="1" customFormat="1" ht="63" customHeight="1" thickBot="1" x14ac:dyDescent="0.25">
      <c r="A3" s="25"/>
      <c r="B3" s="439" t="s">
        <v>1055</v>
      </c>
      <c r="C3" s="440"/>
      <c r="D3" s="440"/>
      <c r="E3" s="440"/>
      <c r="F3" s="440"/>
      <c r="G3" s="440"/>
      <c r="H3" s="440"/>
      <c r="I3" s="440"/>
      <c r="J3" s="440"/>
      <c r="K3" s="440"/>
      <c r="L3" s="440"/>
      <c r="M3" s="440"/>
      <c r="N3" s="440"/>
      <c r="O3" s="441"/>
      <c r="P3" s="25"/>
    </row>
    <row r="4" spans="1:16" s="1" customFormat="1" ht="32.25" customHeight="1" thickBot="1" x14ac:dyDescent="0.25">
      <c r="A4" s="25"/>
      <c r="B4" s="436" t="str">
        <f>Transformation!B4</f>
        <v>As of: January 16, 2016</v>
      </c>
      <c r="C4" s="437"/>
      <c r="D4" s="437"/>
      <c r="E4" s="437"/>
      <c r="F4" s="437"/>
      <c r="G4" s="437"/>
      <c r="H4" s="437"/>
      <c r="I4" s="437"/>
      <c r="J4" s="437"/>
      <c r="K4" s="437"/>
      <c r="L4" s="437"/>
      <c r="M4" s="437"/>
      <c r="N4" s="437"/>
      <c r="O4" s="438"/>
      <c r="P4" s="25"/>
    </row>
    <row r="5" spans="1:16" s="1" customFormat="1" ht="27" customHeight="1" thickBot="1" x14ac:dyDescent="0.45">
      <c r="A5" s="25"/>
      <c r="B5" s="442" t="s">
        <v>242</v>
      </c>
      <c r="C5" s="443"/>
      <c r="D5" s="443"/>
      <c r="E5" s="444"/>
      <c r="F5" s="55"/>
      <c r="G5" s="442" t="s">
        <v>239</v>
      </c>
      <c r="H5" s="443"/>
      <c r="I5" s="443"/>
      <c r="J5" s="444"/>
      <c r="K5" s="56"/>
      <c r="L5" s="421" t="s">
        <v>11</v>
      </c>
      <c r="M5" s="422"/>
      <c r="N5" s="422"/>
      <c r="O5" s="423"/>
      <c r="P5" s="25"/>
    </row>
    <row r="6" spans="1:16" s="1" customFormat="1" ht="65.25" customHeight="1" thickBot="1" x14ac:dyDescent="0.3">
      <c r="A6" s="25"/>
      <c r="B6" s="256" t="s">
        <v>1060</v>
      </c>
      <c r="C6" s="253" t="s">
        <v>12</v>
      </c>
      <c r="D6" s="254" t="s">
        <v>3</v>
      </c>
      <c r="E6" s="255" t="s">
        <v>4</v>
      </c>
      <c r="F6" s="25"/>
      <c r="G6" s="258" t="s">
        <v>1060</v>
      </c>
      <c r="H6" s="262" t="s">
        <v>12</v>
      </c>
      <c r="I6" s="263" t="s">
        <v>3</v>
      </c>
      <c r="J6" s="264" t="s">
        <v>4</v>
      </c>
      <c r="K6" s="57"/>
      <c r="L6" s="259" t="s">
        <v>1060</v>
      </c>
      <c r="M6" s="260" t="s">
        <v>1061</v>
      </c>
      <c r="N6" s="259" t="s">
        <v>1060</v>
      </c>
      <c r="O6" s="261" t="s">
        <v>1062</v>
      </c>
      <c r="P6" s="25"/>
    </row>
    <row r="7" spans="1:16" s="1" customFormat="1" ht="32.25" customHeight="1" thickBot="1" x14ac:dyDescent="0.3">
      <c r="A7" s="25"/>
      <c r="B7" s="257" t="s">
        <v>296</v>
      </c>
      <c r="C7" s="275">
        <f>SUM(C8:C10)</f>
        <v>120238</v>
      </c>
      <c r="D7" s="282">
        <f>SUM(D8:D10)</f>
        <v>33467</v>
      </c>
      <c r="E7" s="289">
        <f t="shared" ref="E7:E44" si="0">IF(D7="--", 0, D7/C7)</f>
        <v>0.27833962640762488</v>
      </c>
      <c r="F7" s="25"/>
      <c r="G7" s="257" t="s">
        <v>267</v>
      </c>
      <c r="H7" s="282">
        <f>SUM(H8:H10)</f>
        <v>33010</v>
      </c>
      <c r="I7" s="282">
        <f>SUM(I8:I10)</f>
        <v>5196</v>
      </c>
      <c r="J7" s="283">
        <f>IF(I7="--", 0, I7/H7)</f>
        <v>0.15740684641017874</v>
      </c>
      <c r="K7" s="58"/>
      <c r="L7" s="242" t="s">
        <v>962</v>
      </c>
      <c r="M7" s="284">
        <f>M8+M9+M10+M11+M12</f>
        <v>326000</v>
      </c>
      <c r="N7" s="243"/>
      <c r="O7" s="237"/>
      <c r="P7" s="25"/>
    </row>
    <row r="8" spans="1:16" s="1" customFormat="1" ht="33" customHeight="1" x14ac:dyDescent="0.2">
      <c r="A8" s="25"/>
      <c r="B8" s="244" t="s">
        <v>252</v>
      </c>
      <c r="C8" s="267">
        <f>IFERROR(VLOOKUP(MID(B8,4,3),MMWR_TRAD_AGG_NATIONAL[],2,0),"--")</f>
        <v>262</v>
      </c>
      <c r="D8" s="268">
        <f>IFERROR(VLOOKUP(MID(B8,4,3),MMWR_TRAD_AGG_NATIONAL[],3,0),"--")</f>
        <v>162</v>
      </c>
      <c r="E8" s="269">
        <f t="shared" si="0"/>
        <v>0.61832061068702293</v>
      </c>
      <c r="F8" s="25"/>
      <c r="G8" s="250" t="s">
        <v>269</v>
      </c>
      <c r="H8" s="273">
        <f>IFERROR(VLOOKUP(MID(G8,4,3),MMWR_TRAD_AGG_NATIONAL[],2,0),"--")</f>
        <v>8629</v>
      </c>
      <c r="I8" s="271">
        <f>IFERROR(VLOOKUP(MID(G8,4,3),MMWR_TRAD_AGG_NATIONAL[],3,0),"--")</f>
        <v>567</v>
      </c>
      <c r="J8" s="272">
        <f>IF(I8="--", 0, I8/H8)</f>
        <v>6.5708656854791977E-2</v>
      </c>
      <c r="K8" s="59"/>
      <c r="L8" s="251" t="s">
        <v>243</v>
      </c>
      <c r="M8" s="285">
        <f>VLOOKUP(L8,MMWR_APP_NATIONAL[],2,0)</f>
        <v>235070</v>
      </c>
      <c r="N8" s="241" t="s">
        <v>232</v>
      </c>
      <c r="O8" s="287">
        <f>VLOOKUP(L8,MMWR_APP_NATIONAL[],3,0)</f>
        <v>401.90459375979998</v>
      </c>
      <c r="P8" s="25"/>
    </row>
    <row r="9" spans="1:16" s="1" customFormat="1" ht="33" customHeight="1" x14ac:dyDescent="0.2">
      <c r="A9" s="25"/>
      <c r="B9" s="245" t="s">
        <v>250</v>
      </c>
      <c r="C9" s="270">
        <f>IFERROR(VLOOKUP(MID(B9,4,3),MMWR_TRAD_AGG_NATIONAL[],2,0),"--")</f>
        <v>40521</v>
      </c>
      <c r="D9" s="271">
        <f>IFERROR(VLOOKUP(MID(B9,4,3),MMWR_TRAD_AGG_NATIONAL[],3,0),"--")</f>
        <v>13176</v>
      </c>
      <c r="E9" s="272">
        <f t="shared" si="0"/>
        <v>0.32516472939957058</v>
      </c>
      <c r="F9" s="59"/>
      <c r="G9" s="245" t="s">
        <v>268</v>
      </c>
      <c r="H9" s="270">
        <f>IFERROR(VLOOKUP(MID(G9,4,3),MMWR_TRAD_AGG_NATIONAL[],2,0),"--")</f>
        <v>8137</v>
      </c>
      <c r="I9" s="271">
        <f>IFERROR(VLOOKUP(MID(G9,4,3),MMWR_TRAD_AGG_NATIONAL[],3,0),"--")</f>
        <v>431</v>
      </c>
      <c r="J9" s="272">
        <f>IF(I9="--", 0, I9/H9)</f>
        <v>5.2967924296423746E-2</v>
      </c>
      <c r="K9" s="59"/>
      <c r="L9" s="252" t="s">
        <v>244</v>
      </c>
      <c r="M9" s="286">
        <f>VLOOKUP(L9,MMWR_APP_NATIONAL[],2,0)</f>
        <v>54558</v>
      </c>
      <c r="N9" s="239" t="s">
        <v>233</v>
      </c>
      <c r="O9" s="288">
        <f>VLOOKUP(L9,MMWR_APP_NATIONAL[],3,0)</f>
        <v>609.73655559220003</v>
      </c>
      <c r="P9" s="25"/>
    </row>
    <row r="10" spans="1:16" s="1" customFormat="1" ht="33" customHeight="1" thickBot="1" x14ac:dyDescent="0.25">
      <c r="A10" s="25"/>
      <c r="B10" s="245" t="s">
        <v>251</v>
      </c>
      <c r="C10" s="270">
        <f>IFERROR(VLOOKUP(MID(B10,4,3),MMWR_TRAD_AGG_NATIONAL[],2,0),"--")</f>
        <v>79455</v>
      </c>
      <c r="D10" s="271">
        <f>IFERROR(VLOOKUP(MID(B10,4,3),MMWR_TRAD_AGG_NATIONAL[],3,0),"--")</f>
        <v>20129</v>
      </c>
      <c r="E10" s="272">
        <f t="shared" si="0"/>
        <v>0.25333836762947581</v>
      </c>
      <c r="F10" s="59"/>
      <c r="G10" s="248" t="s">
        <v>270</v>
      </c>
      <c r="H10" s="274">
        <f>IFERROR(VLOOKUP(MID(G10,4,3),MMWR_TRAD_AGG_NATIONAL[],2,0),"--")</f>
        <v>16244</v>
      </c>
      <c r="I10" s="268">
        <f>IFERROR(VLOOKUP(MID(G10,4,3),MMWR_TRAD_AGG_NATIONAL[],3,0),"--")</f>
        <v>4198</v>
      </c>
      <c r="J10" s="269">
        <f>IF(I10="--", 0, I10/H10)</f>
        <v>0.25843388327998029</v>
      </c>
      <c r="K10" s="60"/>
      <c r="L10" s="252" t="s">
        <v>245</v>
      </c>
      <c r="M10" s="286">
        <f>VLOOKUP(L10,MMWR_APP_NATIONAL[],2,0)</f>
        <v>25133</v>
      </c>
      <c r="N10" s="239" t="s">
        <v>234</v>
      </c>
      <c r="O10" s="288">
        <f>VLOOKUP(L10,MMWR_APP_NATIONAL[],3,0)</f>
        <v>522.74917426080003</v>
      </c>
      <c r="P10" s="25"/>
    </row>
    <row r="11" spans="1:16" s="1" customFormat="1" ht="33" customHeight="1" thickBot="1" x14ac:dyDescent="0.3">
      <c r="A11" s="25"/>
      <c r="B11" s="257" t="s">
        <v>297</v>
      </c>
      <c r="C11" s="275">
        <f>SUM(C12:C13)</f>
        <v>9440</v>
      </c>
      <c r="D11" s="282">
        <f>SUM(D12:D13)</f>
        <v>2189</v>
      </c>
      <c r="E11" s="289">
        <f t="shared" si="0"/>
        <v>0.23188559322033897</v>
      </c>
      <c r="F11" s="25"/>
      <c r="G11" s="257" t="s">
        <v>240</v>
      </c>
      <c r="H11" s="275">
        <f>SUM(H12:H17)</f>
        <v>28577</v>
      </c>
      <c r="I11" s="275">
        <f>SUM(I12:I17)</f>
        <v>6943</v>
      </c>
      <c r="J11" s="276">
        <f>IF(I11="--", 0, I11/H11)</f>
        <v>0.24295762326346362</v>
      </c>
      <c r="K11" s="60"/>
      <c r="L11" s="252" t="s">
        <v>963</v>
      </c>
      <c r="M11" s="286">
        <f>VLOOKUP(L11,MMWR_APP_NATIONAL[],2,0)</f>
        <v>10770</v>
      </c>
      <c r="N11" s="239" t="s">
        <v>235</v>
      </c>
      <c r="O11" s="288">
        <f>VLOOKUP(L11,MMWR_APP_NATIONAL[],3,0)</f>
        <v>181.81136806910001</v>
      </c>
      <c r="P11" s="25"/>
    </row>
    <row r="12" spans="1:16" s="1" customFormat="1" ht="33" customHeight="1" thickBot="1" x14ac:dyDescent="0.25">
      <c r="A12" s="25"/>
      <c r="B12" s="245" t="s">
        <v>272</v>
      </c>
      <c r="C12" s="270">
        <f>IFERROR(VLOOKUP(MID(B12,4,3),MMWR_TRAD_AGG_NATIONAL[],2,0),"--")</f>
        <v>8370</v>
      </c>
      <c r="D12" s="271">
        <f>IFERROR(VLOOKUP(MID(B12,4,3),MMWR_TRAD_AGG_NATIONAL[],3,0),"--")</f>
        <v>1509</v>
      </c>
      <c r="E12" s="272">
        <f t="shared" si="0"/>
        <v>0.18028673835125447</v>
      </c>
      <c r="F12" s="59"/>
      <c r="G12" s="238" t="s">
        <v>262</v>
      </c>
      <c r="H12" s="267">
        <f>IFERROR(VLOOKUP(MID(G12,4,3)&amp;"p",MMWR_TRAD_AGG_NATIONAL[],2,0),"--")</f>
        <v>1347</v>
      </c>
      <c r="I12" s="268">
        <f>IFERROR(VLOOKUP(MID(G12,4,3)&amp;"p",MMWR_TRAD_AGG_NATIONAL[],3,0),"--")</f>
        <v>288</v>
      </c>
      <c r="J12" s="269">
        <f t="shared" ref="J12:J17" si="1">IF(H12="--", 0,I12/H12)</f>
        <v>0.21380846325167038</v>
      </c>
      <c r="K12" s="60"/>
      <c r="L12" s="252" t="s">
        <v>944</v>
      </c>
      <c r="M12" s="286">
        <f>VLOOKUP(L12,MMWR_APP_NATIONAL[],2,0)</f>
        <v>469</v>
      </c>
      <c r="N12" s="249" t="s">
        <v>961</v>
      </c>
      <c r="O12" s="288">
        <f>VLOOKUP(L12,MMWR_APP_NATIONAL[],3,0)</f>
        <v>472.06823027719997</v>
      </c>
      <c r="P12" s="25"/>
    </row>
    <row r="13" spans="1:16" s="1" customFormat="1" ht="33" customHeight="1" thickBot="1" x14ac:dyDescent="0.25">
      <c r="A13" s="25"/>
      <c r="B13" s="246" t="s">
        <v>1054</v>
      </c>
      <c r="C13" s="267">
        <f>IFERROR(VLOOKUP(MID(B13,4,3),MMWR_TRAD_AGG_NATIONAL[],2,0),"--")</f>
        <v>1070</v>
      </c>
      <c r="D13" s="268">
        <f>IFERROR(VLOOKUP(MID(B13,4,3),MMWR_TRAD_AGG_NATIONAL[],3,0),"--")</f>
        <v>680</v>
      </c>
      <c r="E13" s="269">
        <f t="shared" si="0"/>
        <v>0.63551401869158874</v>
      </c>
      <c r="F13" s="25"/>
      <c r="G13" s="238" t="s">
        <v>271</v>
      </c>
      <c r="H13" s="267">
        <f>IFERROR(VLOOKUP(MID(G13,4,3),MMWR_TRAD_AGG_NATIONAL[],2,0),"--")</f>
        <v>4476</v>
      </c>
      <c r="I13" s="268">
        <f>IFERROR(VLOOKUP(MID(G13,4,3),MMWR_TRAD_AGG_NATIONAL[],3,0),"--")</f>
        <v>882</v>
      </c>
      <c r="J13" s="269">
        <f t="shared" si="1"/>
        <v>0.1970509383378016</v>
      </c>
      <c r="K13" s="60"/>
      <c r="L13" s="424" t="s">
        <v>973</v>
      </c>
      <c r="M13" s="425"/>
      <c r="N13" s="426">
        <f>VLOOKUP(L13,MMWR_APP_NATIONAL[],2,0)</f>
        <v>21639</v>
      </c>
      <c r="O13" s="427"/>
      <c r="P13" s="25"/>
    </row>
    <row r="14" spans="1:16" s="1" customFormat="1" ht="33" customHeight="1" thickBot="1" x14ac:dyDescent="0.3">
      <c r="A14" s="25"/>
      <c r="B14" s="257" t="s">
        <v>1</v>
      </c>
      <c r="C14" s="275">
        <f>SUM(C15:C21)</f>
        <v>199269</v>
      </c>
      <c r="D14" s="282">
        <f>SUM(D15:D21)</f>
        <v>40343</v>
      </c>
      <c r="E14" s="289">
        <f t="shared" si="0"/>
        <v>0.2024549729260447</v>
      </c>
      <c r="F14" s="25"/>
      <c r="G14" s="238" t="s">
        <v>273</v>
      </c>
      <c r="H14" s="267">
        <f>IFERROR(VLOOKUP(MID(G14,4,3),MMWR_TRAD_AGG_NATIONAL[],2,0),"--")</f>
        <v>12743</v>
      </c>
      <c r="I14" s="268">
        <f>IFERROR(VLOOKUP(MID(G14,4,3),MMWR_TRAD_AGG_NATIONAL[],3,0),"--")</f>
        <v>2861</v>
      </c>
      <c r="J14" s="269">
        <f t="shared" si="1"/>
        <v>0.22451542023071491</v>
      </c>
      <c r="K14" s="60"/>
      <c r="L14" s="21"/>
      <c r="M14" s="21"/>
      <c r="N14" s="28"/>
      <c r="O14" s="61"/>
      <c r="P14" s="25"/>
    </row>
    <row r="15" spans="1:16" s="1" customFormat="1" ht="33" customHeight="1" thickBot="1" x14ac:dyDescent="0.25">
      <c r="A15" s="25"/>
      <c r="B15" s="245" t="s">
        <v>253</v>
      </c>
      <c r="C15" s="270">
        <f>IFERROR(VLOOKUP(MID(B15,4,3),MMWR_TRAD_AGG_NATIONAL[],2,0),"--")</f>
        <v>197591</v>
      </c>
      <c r="D15" s="271">
        <f>IFERROR(VLOOKUP(MID(B15,4,3),MMWR_TRAD_AGG_NATIONAL[],3,0),"--")</f>
        <v>39380</v>
      </c>
      <c r="E15" s="272">
        <f t="shared" si="0"/>
        <v>0.19930057543106722</v>
      </c>
      <c r="F15" s="59"/>
      <c r="G15" s="238" t="s">
        <v>274</v>
      </c>
      <c r="H15" s="267">
        <f>IFERROR(VLOOKUP(MID(G15,4,3),MMWR_TRAD_AGG_NATIONAL[],2,0),"--")</f>
        <v>1</v>
      </c>
      <c r="I15" s="268">
        <f>IFERROR(VLOOKUP(MID(G15,4,3),MMWR_TRAD_AGG_NATIONAL[],3,0),"--")</f>
        <v>1</v>
      </c>
      <c r="J15" s="269">
        <f t="shared" si="1"/>
        <v>1</v>
      </c>
      <c r="K15" s="60"/>
      <c r="L15" s="25"/>
      <c r="M15" s="25"/>
      <c r="N15" s="25"/>
      <c r="O15" s="62"/>
      <c r="P15" s="25"/>
    </row>
    <row r="16" spans="1:16" s="1" customFormat="1" ht="33" customHeight="1" thickBot="1" x14ac:dyDescent="0.25">
      <c r="A16" s="25"/>
      <c r="B16" s="245" t="s">
        <v>254</v>
      </c>
      <c r="C16" s="270">
        <f>IFERROR(VLOOKUP(MID(B16,4,3),MMWR_TRAD_AGG_NATIONAL[],2,0),"--")</f>
        <v>1447</v>
      </c>
      <c r="D16" s="271">
        <f>IFERROR(VLOOKUP(MID(B16,4,3),MMWR_TRAD_AGG_NATIONAL[],3,0),"--")</f>
        <v>792</v>
      </c>
      <c r="E16" s="272">
        <f t="shared" si="0"/>
        <v>0.54733932273669661</v>
      </c>
      <c r="F16" s="59"/>
      <c r="G16" s="238" t="s">
        <v>275</v>
      </c>
      <c r="H16" s="267">
        <f>IFERROR(VLOOKUP(MID(G16,4,3),MMWR_TRAD_AGG_NATIONAL[],2,0),"--")</f>
        <v>3430</v>
      </c>
      <c r="I16" s="268">
        <f>IFERROR(VLOOKUP(MID(G16,4,3),MMWR_TRAD_AGG_NATIONAL[],3,0),"--")</f>
        <v>968</v>
      </c>
      <c r="J16" s="269">
        <f t="shared" si="1"/>
        <v>0.28221574344023326</v>
      </c>
      <c r="K16" s="60"/>
      <c r="L16" s="421" t="s">
        <v>945</v>
      </c>
      <c r="M16" s="422"/>
      <c r="N16" s="422"/>
      <c r="O16" s="423"/>
      <c r="P16" s="25"/>
    </row>
    <row r="17" spans="1:16" s="1" customFormat="1" ht="33" customHeight="1" thickBot="1" x14ac:dyDescent="0.3">
      <c r="A17" s="25"/>
      <c r="B17" s="238" t="s">
        <v>255</v>
      </c>
      <c r="C17" s="267">
        <f>IFERROR(VLOOKUP(MID(B17,4,3),MMWR_TRAD_AGG_NATIONAL[],2,0),"--")</f>
        <v>200</v>
      </c>
      <c r="D17" s="268">
        <f>IFERROR(VLOOKUP(MID(B17,4,3),MMWR_TRAD_AGG_NATIONAL[],3,0),"--")</f>
        <v>169</v>
      </c>
      <c r="E17" s="269">
        <f t="shared" si="0"/>
        <v>0.84499999999999997</v>
      </c>
      <c r="F17" s="25"/>
      <c r="G17" s="238" t="s">
        <v>276</v>
      </c>
      <c r="H17" s="267">
        <f>IFERROR(VLOOKUP(MID(G17,4,3),MMWR_TRAD_AGG_NATIONAL[],2,0),"--")</f>
        <v>6580</v>
      </c>
      <c r="I17" s="268">
        <f>IFERROR(VLOOKUP(MID(G17,4,3),MMWR_TRAD_AGG_NATIONAL[],3,0),"--")</f>
        <v>1943</v>
      </c>
      <c r="J17" s="269">
        <f t="shared" si="1"/>
        <v>0.29528875379939212</v>
      </c>
      <c r="K17" s="63"/>
      <c r="L17" s="428" t="s">
        <v>248</v>
      </c>
      <c r="M17" s="429"/>
      <c r="N17" s="265">
        <f>IFERROR(VLOOKUP("160",MMWR_TRAD_AGG_NATIONAL[],2,0),"--")</f>
        <v>28985</v>
      </c>
      <c r="O17" s="62"/>
      <c r="P17" s="25"/>
    </row>
    <row r="18" spans="1:16" s="1" customFormat="1" ht="33" customHeight="1" thickBot="1" x14ac:dyDescent="0.3">
      <c r="A18" s="25"/>
      <c r="B18" s="245" t="s">
        <v>256</v>
      </c>
      <c r="C18" s="270">
        <f>IFERROR(VLOOKUP(MID(B18,4,3),MMWR_TRAD_AGG_NATIONAL[],2,0),"--")</f>
        <v>26</v>
      </c>
      <c r="D18" s="271">
        <f>IFERROR(VLOOKUP(MID(B18,4,3),MMWR_TRAD_AGG_NATIONAL[],3,0),"--")</f>
        <v>2</v>
      </c>
      <c r="E18" s="272">
        <f t="shared" si="0"/>
        <v>7.6923076923076927E-2</v>
      </c>
      <c r="F18" s="59"/>
      <c r="G18" s="257" t="s">
        <v>15</v>
      </c>
      <c r="H18" s="275">
        <f>SUM(H19:H21)</f>
        <v>607</v>
      </c>
      <c r="I18" s="275">
        <f>SUM(I19:I21)</f>
        <v>579</v>
      </c>
      <c r="J18" s="276">
        <f t="shared" ref="J18:J26" si="2">IF(I18="--", 0, I18/H18)</f>
        <v>0.95387149917627678</v>
      </c>
      <c r="K18" s="64"/>
      <c r="L18" s="430" t="s">
        <v>249</v>
      </c>
      <c r="M18" s="431"/>
      <c r="N18" s="266">
        <f>IFERROR(VLOOKUP("165",MMWR_TRAD_AGG_NATIONAL[],2,0),"--")</f>
        <v>10021</v>
      </c>
      <c r="O18" s="62"/>
      <c r="P18" s="25"/>
    </row>
    <row r="19" spans="1:16" s="1" customFormat="1" ht="33" customHeight="1" x14ac:dyDescent="0.4">
      <c r="A19" s="25"/>
      <c r="B19" s="245" t="s">
        <v>257</v>
      </c>
      <c r="C19" s="270">
        <f>IFERROR(VLOOKUP(MID(B19,4,3),MMWR_TRAD_AGG_NATIONAL[],2,0),"--")</f>
        <v>2</v>
      </c>
      <c r="D19" s="271">
        <f>IFERROR(VLOOKUP(MID(B19,4,3),MMWR_TRAD_AGG_NATIONAL[],3,0),"--")</f>
        <v>0</v>
      </c>
      <c r="E19" s="272">
        <f t="shared" si="0"/>
        <v>0</v>
      </c>
      <c r="F19" s="59"/>
      <c r="G19" s="238" t="s">
        <v>277</v>
      </c>
      <c r="H19" s="267">
        <f>IFERROR(VLOOKUP(MID(G19,4,3),MMWR_TRAD_AGG_NATIONAL[],2,0),"--")</f>
        <v>516</v>
      </c>
      <c r="I19" s="268">
        <f>IFERROR(VLOOKUP(MID(G19,4,3),MMWR_TRAD_AGG_NATIONAL[],3,0),"--")</f>
        <v>513</v>
      </c>
      <c r="J19" s="269">
        <f t="shared" si="2"/>
        <v>0.9941860465116279</v>
      </c>
      <c r="K19" s="56"/>
      <c r="L19" s="25"/>
      <c r="M19" s="25"/>
      <c r="N19" s="25"/>
      <c r="O19" s="62"/>
      <c r="P19" s="25"/>
    </row>
    <row r="20" spans="1:16" s="1" customFormat="1" ht="33" customHeight="1" x14ac:dyDescent="0.4">
      <c r="A20" s="25"/>
      <c r="B20" s="245" t="s">
        <v>258</v>
      </c>
      <c r="C20" s="270">
        <f>IFERROR(VLOOKUP(MID(B20,4,3),MMWR_TRAD_AGG_NATIONAL[],2,0),"--")</f>
        <v>2</v>
      </c>
      <c r="D20" s="271">
        <f>IFERROR(VLOOKUP(MID(B20,4,3),MMWR_TRAD_AGG_NATIONAL[],3,0),"--")</f>
        <v>0</v>
      </c>
      <c r="E20" s="272">
        <f t="shared" si="0"/>
        <v>0</v>
      </c>
      <c r="F20" s="59"/>
      <c r="G20" s="238" t="s">
        <v>295</v>
      </c>
      <c r="H20" s="267">
        <f>IFERROR(VLOOKUP(MID(G20,4,3),MMWR_TRAD_AGG_NATIONAL[],2,0),"--")</f>
        <v>69</v>
      </c>
      <c r="I20" s="268">
        <f>IFERROR(VLOOKUP(MID(G20,4,3),MMWR_TRAD_AGG_NATIONAL[],3,0),"--")</f>
        <v>52</v>
      </c>
      <c r="J20" s="269">
        <f t="shared" si="2"/>
        <v>0.75362318840579712</v>
      </c>
      <c r="K20" s="56"/>
      <c r="L20" s="56"/>
      <c r="M20" s="56"/>
      <c r="N20" s="56"/>
      <c r="O20" s="65"/>
      <c r="P20" s="25"/>
    </row>
    <row r="21" spans="1:16" s="1" customFormat="1" ht="33" customHeight="1" thickBot="1" x14ac:dyDescent="0.45">
      <c r="A21" s="25"/>
      <c r="B21" s="247" t="s">
        <v>259</v>
      </c>
      <c r="C21" s="270">
        <f>IFERROR(VLOOKUP(MID(B21,4,3),MMWR_TRAD_AGG_NATIONAL[],2,0),"--")</f>
        <v>1</v>
      </c>
      <c r="D21" s="271">
        <f>IFERROR(VLOOKUP(MID(B21,4,3),MMWR_TRAD_AGG_NATIONAL[],3,0),"--")</f>
        <v>0</v>
      </c>
      <c r="E21" s="272">
        <f t="shared" si="0"/>
        <v>0</v>
      </c>
      <c r="F21" s="59"/>
      <c r="G21" s="238" t="s">
        <v>278</v>
      </c>
      <c r="H21" s="267">
        <f>IFERROR(VLOOKUP(MID(G21,4,3),MMWR_TRAD_AGG_NATIONAL[],2,0),"--")</f>
        <v>22</v>
      </c>
      <c r="I21" s="268">
        <f>IFERROR(VLOOKUP(MID(G21,4,3),MMWR_TRAD_AGG_NATIONAL[],3,0),"--")</f>
        <v>14</v>
      </c>
      <c r="J21" s="269">
        <f t="shared" si="2"/>
        <v>0.63636363636363635</v>
      </c>
      <c r="K21" s="56"/>
      <c r="L21" s="56"/>
      <c r="M21" s="56"/>
      <c r="N21" s="56"/>
      <c r="O21" s="65"/>
      <c r="P21" s="25"/>
    </row>
    <row r="22" spans="1:16" s="1" customFormat="1" ht="33" customHeight="1" thickBot="1" x14ac:dyDescent="0.45">
      <c r="A22" s="25"/>
      <c r="B22" s="257" t="s">
        <v>13</v>
      </c>
      <c r="C22" s="275">
        <f>SUM(C23:C29)</f>
        <v>461190</v>
      </c>
      <c r="D22" s="282">
        <f>SUM(D23:D29)</f>
        <v>304176</v>
      </c>
      <c r="E22" s="289">
        <f t="shared" si="0"/>
        <v>0.65954595719768427</v>
      </c>
      <c r="F22" s="25"/>
      <c r="G22" s="257" t="s">
        <v>227</v>
      </c>
      <c r="H22" s="275">
        <f>SUM(H23:H26)</f>
        <v>1601</v>
      </c>
      <c r="I22" s="275">
        <f>SUM(I23:I26)</f>
        <v>561</v>
      </c>
      <c r="J22" s="276">
        <f t="shared" si="2"/>
        <v>0.35040599625234231</v>
      </c>
      <c r="K22" s="56"/>
      <c r="L22" s="25"/>
      <c r="M22" s="25"/>
      <c r="N22" s="25"/>
      <c r="O22" s="65"/>
      <c r="P22" s="25"/>
    </row>
    <row r="23" spans="1:16" s="1" customFormat="1" ht="33" customHeight="1" x14ac:dyDescent="0.4">
      <c r="A23" s="25"/>
      <c r="B23" s="246" t="s">
        <v>260</v>
      </c>
      <c r="C23" s="267">
        <f>IFERROR(VLOOKUP(MID(B23,4,3),MMWR_TRAD_AGG_NATIONAL[],2,0),"--")</f>
        <v>213862</v>
      </c>
      <c r="D23" s="268">
        <f>IFERROR(VLOOKUP(MID(B23,4,3),MMWR_TRAD_AGG_NATIONAL[],3,0),"--")</f>
        <v>151436</v>
      </c>
      <c r="E23" s="269">
        <f t="shared" si="0"/>
        <v>0.7081014860049939</v>
      </c>
      <c r="F23" s="25"/>
      <c r="G23" s="240" t="s">
        <v>281</v>
      </c>
      <c r="H23" s="277">
        <f>IFERROR(VLOOKUP(MID(G23,4,3),MMWR_TRAD_AGG_NATIONAL[],2,0),"--")</f>
        <v>192</v>
      </c>
      <c r="I23" s="278">
        <f>IFERROR(VLOOKUP(MID(G23,4,3),MMWR_TRAD_AGG_NATIONAL[],3,0),"--")</f>
        <v>95</v>
      </c>
      <c r="J23" s="279">
        <f t="shared" si="2"/>
        <v>0.49479166666666669</v>
      </c>
      <c r="K23" s="56"/>
      <c r="L23" s="25"/>
      <c r="M23" s="25"/>
      <c r="N23" s="25"/>
      <c r="O23" s="65"/>
      <c r="P23" s="25"/>
    </row>
    <row r="24" spans="1:16" s="1" customFormat="1" ht="33" customHeight="1" x14ac:dyDescent="0.4">
      <c r="A24" s="25"/>
      <c r="B24" s="246" t="s">
        <v>261</v>
      </c>
      <c r="C24" s="267">
        <f>IFERROR(VLOOKUP(MID(B24,4,3),MMWR_TRAD_AGG_NATIONAL[],2,0),"--")</f>
        <v>218</v>
      </c>
      <c r="D24" s="268">
        <f>IFERROR(VLOOKUP(MID(B24,4,3),MMWR_TRAD_AGG_NATIONAL[],3,0),"--")</f>
        <v>149</v>
      </c>
      <c r="E24" s="269">
        <f t="shared" si="0"/>
        <v>0.6834862385321101</v>
      </c>
      <c r="F24" s="25"/>
      <c r="G24" s="238" t="s">
        <v>280</v>
      </c>
      <c r="H24" s="267">
        <f>IFERROR(VLOOKUP(MID(G24,4,3),MMWR_TRAD_AGG_NATIONAL[],2,0),"--")</f>
        <v>622</v>
      </c>
      <c r="I24" s="268">
        <f>IFERROR(VLOOKUP(MID(G24,4,3),MMWR_TRAD_AGG_NATIONAL[],3,0),"--")</f>
        <v>22</v>
      </c>
      <c r="J24" s="269">
        <f t="shared" si="2"/>
        <v>3.5369774919614148E-2</v>
      </c>
      <c r="K24" s="56"/>
      <c r="L24" s="25"/>
      <c r="M24" s="25"/>
      <c r="N24" s="25"/>
      <c r="O24" s="65"/>
      <c r="P24" s="25"/>
    </row>
    <row r="25" spans="1:16" s="1" customFormat="1" ht="33" customHeight="1" x14ac:dyDescent="0.4">
      <c r="A25" s="25"/>
      <c r="B25" s="246" t="s">
        <v>262</v>
      </c>
      <c r="C25" s="267">
        <f>IFERROR(VLOOKUP(MID(B25,4,3),MMWR_TRAD_AGG_NATIONAL[],2,0),"--")</f>
        <v>302</v>
      </c>
      <c r="D25" s="268">
        <f>IFERROR(VLOOKUP(MID(B25,4,3),MMWR_TRAD_AGG_NATIONAL[],3,0),"--")</f>
        <v>215</v>
      </c>
      <c r="E25" s="269">
        <f t="shared" si="0"/>
        <v>0.71192052980132448</v>
      </c>
      <c r="F25" s="25"/>
      <c r="G25" s="238" t="s">
        <v>279</v>
      </c>
      <c r="H25" s="267">
        <f>IFERROR(VLOOKUP(MID(G25,4,3),MMWR_TRAD_AGG_NATIONAL[],2,0),"--")</f>
        <v>746</v>
      </c>
      <c r="I25" s="268">
        <f>IFERROR(VLOOKUP(MID(G25,4,3),MMWR_TRAD_AGG_NATIONAL[],3,0),"--")</f>
        <v>412</v>
      </c>
      <c r="J25" s="269">
        <f t="shared" si="2"/>
        <v>0.55227882037533516</v>
      </c>
      <c r="K25" s="56"/>
      <c r="L25" s="56"/>
      <c r="M25" s="56"/>
      <c r="N25" s="56"/>
      <c r="O25" s="65"/>
      <c r="P25" s="25"/>
    </row>
    <row r="26" spans="1:16" s="1" customFormat="1" ht="33" customHeight="1" thickBot="1" x14ac:dyDescent="0.45">
      <c r="A26" s="25"/>
      <c r="B26" s="246" t="s">
        <v>263</v>
      </c>
      <c r="C26" s="267">
        <f>IFERROR(VLOOKUP(MID(B26,4,3),MMWR_TRAD_AGG_NATIONAL[],2,0),"--")</f>
        <v>103714</v>
      </c>
      <c r="D26" s="268">
        <f>IFERROR(VLOOKUP(MID(B26,4,3),MMWR_TRAD_AGG_NATIONAL[],3,0),"--")</f>
        <v>82383</v>
      </c>
      <c r="E26" s="269">
        <f t="shared" si="0"/>
        <v>0.7943286345141447</v>
      </c>
      <c r="F26" s="56"/>
      <c r="G26" s="248" t="s">
        <v>308</v>
      </c>
      <c r="H26" s="274">
        <f>IFERROR(VLOOKUP(MID(G26,4,3),MMWR_TRAD_AGG_NATIONAL[],2,0),"--")</f>
        <v>41</v>
      </c>
      <c r="I26" s="280">
        <f>IFERROR(VLOOKUP(MID(G26,4,3),MMWR_TRAD_AGG_NATIONAL[],3,0),"--")</f>
        <v>32</v>
      </c>
      <c r="J26" s="281">
        <f t="shared" si="2"/>
        <v>0.78048780487804881</v>
      </c>
      <c r="K26" s="56"/>
      <c r="L26" s="56"/>
      <c r="M26" s="56"/>
      <c r="N26" s="56"/>
      <c r="O26" s="65"/>
      <c r="P26" s="25"/>
    </row>
    <row r="27" spans="1:16" s="1" customFormat="1" ht="33" customHeight="1" x14ac:dyDescent="0.4">
      <c r="A27" s="25"/>
      <c r="B27" s="246" t="s">
        <v>264</v>
      </c>
      <c r="C27" s="267">
        <f>IFERROR(VLOOKUP(MID(B27,4,3),MMWR_TRAD_AGG_NATIONAL[],2,0),"--")</f>
        <v>362</v>
      </c>
      <c r="D27" s="268">
        <f>IFERROR(VLOOKUP(MID(B27,4,3),MMWR_TRAD_AGG_NATIONAL[],3,0),"--")</f>
        <v>64</v>
      </c>
      <c r="E27" s="269">
        <f t="shared" si="0"/>
        <v>0.17679558011049723</v>
      </c>
      <c r="F27" s="56"/>
      <c r="G27" s="56"/>
      <c r="H27" s="56"/>
      <c r="I27" s="56"/>
      <c r="J27" s="56"/>
      <c r="K27" s="56"/>
      <c r="L27" s="56"/>
      <c r="M27" s="56"/>
      <c r="N27" s="56"/>
      <c r="O27" s="65"/>
      <c r="P27" s="25"/>
    </row>
    <row r="28" spans="1:16" s="1" customFormat="1" ht="33" customHeight="1" x14ac:dyDescent="0.4">
      <c r="A28" s="25"/>
      <c r="B28" s="245" t="s">
        <v>265</v>
      </c>
      <c r="C28" s="270">
        <f>IFERROR(VLOOKUP(MID(B28,4,3),MMWR_TRAD_AGG_NATIONAL[],2,0),"--")</f>
        <v>16412</v>
      </c>
      <c r="D28" s="271">
        <f>IFERROR(VLOOKUP(MID(B28,4,3),MMWR_TRAD_AGG_NATIONAL[],3,0),"--")</f>
        <v>2127</v>
      </c>
      <c r="E28" s="272">
        <f t="shared" si="0"/>
        <v>0.12960029246892518</v>
      </c>
      <c r="F28" s="59"/>
      <c r="G28" s="445"/>
      <c r="H28" s="445"/>
      <c r="I28" s="445"/>
      <c r="J28" s="445"/>
      <c r="K28" s="432"/>
      <c r="L28" s="66"/>
      <c r="M28" s="56"/>
      <c r="N28" s="56"/>
      <c r="O28" s="65"/>
      <c r="P28" s="25"/>
    </row>
    <row r="29" spans="1:16" s="1" customFormat="1" ht="33" customHeight="1" thickBot="1" x14ac:dyDescent="0.45">
      <c r="A29" s="25"/>
      <c r="B29" s="246" t="s">
        <v>266</v>
      </c>
      <c r="C29" s="267">
        <f>IFERROR(VLOOKUP(MID(B29,4,3),MMWR_TRAD_AGG_NATIONAL[],2,0),"--")</f>
        <v>126320</v>
      </c>
      <c r="D29" s="268">
        <f>IFERROR(VLOOKUP(MID(B29,4,3),MMWR_TRAD_AGG_NATIONAL[],3,0),"--")</f>
        <v>67802</v>
      </c>
      <c r="E29" s="269">
        <f t="shared" si="0"/>
        <v>0.53674794173527551</v>
      </c>
      <c r="F29" s="56"/>
      <c r="G29" s="445"/>
      <c r="H29" s="445"/>
      <c r="I29" s="445"/>
      <c r="J29" s="445"/>
      <c r="K29" s="432"/>
      <c r="L29" s="67"/>
      <c r="M29" s="56"/>
      <c r="N29" s="56"/>
      <c r="O29" s="65"/>
      <c r="P29" s="25"/>
    </row>
    <row r="30" spans="1:16" s="1" customFormat="1" ht="33" customHeight="1" thickBot="1" x14ac:dyDescent="0.45">
      <c r="A30" s="25"/>
      <c r="B30" s="257" t="s">
        <v>32</v>
      </c>
      <c r="C30" s="282">
        <f>SUM(C31:C35)</f>
        <v>125081</v>
      </c>
      <c r="D30" s="282">
        <f>SUM(D31:D35)</f>
        <v>84315</v>
      </c>
      <c r="E30" s="276">
        <f t="shared" si="0"/>
        <v>0.67408319409022954</v>
      </c>
      <c r="F30" s="56"/>
      <c r="G30" s="28"/>
      <c r="H30" s="28"/>
      <c r="I30" s="28"/>
      <c r="J30" s="28"/>
      <c r="K30" s="28"/>
      <c r="L30" s="56"/>
      <c r="M30" s="56"/>
      <c r="N30" s="56"/>
      <c r="O30" s="65"/>
      <c r="P30" s="25"/>
    </row>
    <row r="31" spans="1:16" s="1" customFormat="1" ht="33" customHeight="1" x14ac:dyDescent="0.4">
      <c r="A31" s="25"/>
      <c r="B31" s="238" t="s">
        <v>282</v>
      </c>
      <c r="C31" s="267">
        <f>IFERROR(VLOOKUP(MID(B31,4,3),MMWR_TRAD_AGG_NATIONAL[],2,0),"--")</f>
        <v>47</v>
      </c>
      <c r="D31" s="268">
        <f>IFERROR(VLOOKUP(MID(B31,4,3),MMWR_TRAD_AGG_NATIONAL[],3,0),"--")</f>
        <v>38</v>
      </c>
      <c r="E31" s="269">
        <f t="shared" si="0"/>
        <v>0.80851063829787229</v>
      </c>
      <c r="F31" s="56"/>
      <c r="G31" s="56"/>
      <c r="H31" s="56"/>
      <c r="I31" s="56"/>
      <c r="J31" s="56"/>
      <c r="K31" s="56"/>
      <c r="L31" s="56"/>
      <c r="M31" s="56"/>
      <c r="N31" s="56"/>
      <c r="O31" s="65"/>
      <c r="P31" s="25"/>
    </row>
    <row r="32" spans="1:16" s="1" customFormat="1" ht="33" customHeight="1" x14ac:dyDescent="0.4">
      <c r="A32" s="25"/>
      <c r="B32" s="238" t="s">
        <v>1056</v>
      </c>
      <c r="C32" s="267">
        <f>IFERROR(VLOOKUP(MID(B32,4,3),MMWR_TRAD_AGG_NATIONAL[],2,0),"--")</f>
        <v>3919</v>
      </c>
      <c r="D32" s="268">
        <f>IFERROR(VLOOKUP(MID(B32,4,3),MMWR_TRAD_AGG_NATIONAL[],3,0),"--")</f>
        <v>3763</v>
      </c>
      <c r="E32" s="269">
        <f t="shared" si="0"/>
        <v>0.96019392702219952</v>
      </c>
      <c r="F32" s="56"/>
      <c r="G32" s="56"/>
      <c r="H32" s="56"/>
      <c r="I32" s="56"/>
      <c r="J32" s="56"/>
      <c r="K32" s="56"/>
      <c r="L32" s="56"/>
      <c r="M32" s="56"/>
      <c r="N32" s="56"/>
      <c r="O32" s="65"/>
      <c r="P32" s="25"/>
    </row>
    <row r="33" spans="1:16" s="1" customFormat="1" ht="33" customHeight="1" x14ac:dyDescent="0.4">
      <c r="A33" s="25"/>
      <c r="B33" s="238" t="s">
        <v>1057</v>
      </c>
      <c r="C33" s="267">
        <f>IFERROR(VLOOKUP(MID(B33,4,3),MMWR_TRAD_AGG_NATIONAL[],2,0),"--")</f>
        <v>40243</v>
      </c>
      <c r="D33" s="268">
        <f>IFERROR(VLOOKUP(MID(B33,4,3),MMWR_TRAD_AGG_NATIONAL[],3,0),"--")</f>
        <v>10928</v>
      </c>
      <c r="E33" s="269">
        <f t="shared" si="0"/>
        <v>0.2715503317347116</v>
      </c>
      <c r="F33" s="56"/>
      <c r="G33" s="56"/>
      <c r="H33" s="28"/>
      <c r="I33" s="28"/>
      <c r="J33" s="28"/>
      <c r="K33" s="28"/>
      <c r="L33" s="28"/>
      <c r="M33" s="56"/>
      <c r="N33" s="56"/>
      <c r="O33" s="65"/>
      <c r="P33" s="25"/>
    </row>
    <row r="34" spans="1:16" s="1" customFormat="1" ht="33" customHeight="1" x14ac:dyDescent="0.4">
      <c r="A34" s="25"/>
      <c r="B34" s="238" t="s">
        <v>283</v>
      </c>
      <c r="C34" s="267">
        <f>IFERROR(VLOOKUP(MID(B34,4,3),MMWR_TRAD_AGG_NATIONAL[],2,0),"--")</f>
        <v>20092</v>
      </c>
      <c r="D34" s="268">
        <f>IFERROR(VLOOKUP(MID(B34,4,3),MMWR_TRAD_AGG_NATIONAL[],3,0),"--")</f>
        <v>14656</v>
      </c>
      <c r="E34" s="269">
        <f t="shared" si="0"/>
        <v>0.72944455504678474</v>
      </c>
      <c r="F34" s="56"/>
      <c r="G34" s="56"/>
      <c r="H34" s="28"/>
      <c r="I34" s="28"/>
      <c r="J34" s="28"/>
      <c r="K34" s="28"/>
      <c r="L34" s="28"/>
      <c r="M34" s="56"/>
      <c r="N34" s="56"/>
      <c r="O34" s="65"/>
      <c r="P34" s="25"/>
    </row>
    <row r="35" spans="1:16" s="1" customFormat="1" ht="33" customHeight="1" thickBot="1" x14ac:dyDescent="0.45">
      <c r="A35" s="25"/>
      <c r="B35" s="238" t="s">
        <v>284</v>
      </c>
      <c r="C35" s="267">
        <f>IFERROR(VLOOKUP(MID(B35,4,3)&amp;"G",MMWR_TRAD_AGG_NATIONAL[],2,0),"--")</f>
        <v>60780</v>
      </c>
      <c r="D35" s="268">
        <f>IFERROR(VLOOKUP(MID(B35,4,3)&amp;"G",MMWR_TRAD_AGG_NATIONAL[],3,0),"--")</f>
        <v>54930</v>
      </c>
      <c r="E35" s="269">
        <f t="shared" si="0"/>
        <v>0.90375123395853896</v>
      </c>
      <c r="F35" s="56"/>
      <c r="G35" s="56"/>
      <c r="H35" s="56"/>
      <c r="I35" s="56"/>
      <c r="J35" s="56"/>
      <c r="K35" s="56"/>
      <c r="L35" s="56"/>
      <c r="M35" s="56"/>
      <c r="N35" s="56"/>
      <c r="O35" s="65"/>
      <c r="P35" s="25"/>
    </row>
    <row r="36" spans="1:16" s="1" customFormat="1" ht="33" customHeight="1" thickBot="1" x14ac:dyDescent="0.45">
      <c r="A36" s="25"/>
      <c r="B36" s="257" t="s">
        <v>241</v>
      </c>
      <c r="C36" s="275">
        <f>SUM(C37:C44)</f>
        <v>164500</v>
      </c>
      <c r="D36" s="282">
        <f>SUM(D37:D44)</f>
        <v>102510</v>
      </c>
      <c r="E36" s="289">
        <f t="shared" si="0"/>
        <v>0.62316109422492405</v>
      </c>
      <c r="F36" s="56"/>
      <c r="G36" s="56"/>
      <c r="H36" s="56"/>
      <c r="I36" s="56"/>
      <c r="J36" s="56"/>
      <c r="K36" s="56"/>
      <c r="L36" s="56"/>
      <c r="M36" s="56"/>
      <c r="N36" s="56"/>
      <c r="O36" s="65"/>
      <c r="P36" s="25"/>
    </row>
    <row r="37" spans="1:16" s="1" customFormat="1" ht="33" customHeight="1" x14ac:dyDescent="0.4">
      <c r="A37" s="25"/>
      <c r="B37" s="240" t="s">
        <v>285</v>
      </c>
      <c r="C37" s="277">
        <f>IFERROR(VLOOKUP(MID(B37,4,3),MMWR_TRAD_AGG_NATIONAL[],2,0),"--")</f>
        <v>7314</v>
      </c>
      <c r="D37" s="278">
        <f>IFERROR(VLOOKUP(MID(B37,4,3),MMWR_TRAD_AGG_NATIONAL[],3,0),"--")</f>
        <v>5831</v>
      </c>
      <c r="E37" s="279">
        <f t="shared" si="0"/>
        <v>0.79723817336614711</v>
      </c>
      <c r="F37" s="56"/>
      <c r="G37" s="56"/>
      <c r="H37" s="56"/>
      <c r="I37" s="56"/>
      <c r="J37" s="56"/>
      <c r="K37" s="56"/>
      <c r="L37" s="56"/>
      <c r="M37" s="56"/>
      <c r="N37" s="56"/>
      <c r="O37" s="65"/>
      <c r="P37" s="25"/>
    </row>
    <row r="38" spans="1:16" s="1" customFormat="1" ht="33" customHeight="1" x14ac:dyDescent="0.4">
      <c r="A38" s="25"/>
      <c r="B38" s="238" t="s">
        <v>1058</v>
      </c>
      <c r="C38" s="267"/>
      <c r="D38" s="268"/>
      <c r="E38" s="269"/>
      <c r="F38" s="56"/>
      <c r="G38" s="56"/>
      <c r="H38" s="66"/>
      <c r="I38" s="66"/>
      <c r="J38" s="66"/>
      <c r="K38" s="66"/>
      <c r="L38" s="56"/>
      <c r="M38" s="56"/>
      <c r="N38" s="56"/>
      <c r="O38" s="65"/>
      <c r="P38" s="25"/>
    </row>
    <row r="39" spans="1:16" s="1" customFormat="1" ht="33" customHeight="1" x14ac:dyDescent="0.4">
      <c r="A39" s="25"/>
      <c r="B39" s="238" t="s">
        <v>1059</v>
      </c>
      <c r="C39" s="267"/>
      <c r="D39" s="268"/>
      <c r="E39" s="269"/>
      <c r="F39" s="56"/>
      <c r="G39" s="56"/>
      <c r="H39" s="66"/>
      <c r="I39" s="66"/>
      <c r="J39" s="66"/>
      <c r="K39" s="66"/>
      <c r="L39" s="56"/>
      <c r="M39" s="56"/>
      <c r="N39" s="56"/>
      <c r="O39" s="65"/>
      <c r="P39" s="25"/>
    </row>
    <row r="40" spans="1:16" s="1" customFormat="1" ht="33" customHeight="1" x14ac:dyDescent="0.4">
      <c r="A40" s="25"/>
      <c r="B40" s="238" t="s">
        <v>286</v>
      </c>
      <c r="C40" s="267">
        <f>IFERROR(VLOOKUP(MID(B40,4,3),MMWR_TRAD_AGG_NATIONAL[],2,0),"--")</f>
        <v>75901</v>
      </c>
      <c r="D40" s="268">
        <f>IFERROR(VLOOKUP(MID(B40,4,3),MMWR_TRAD_AGG_NATIONAL[],3,0),"--")</f>
        <v>56608</v>
      </c>
      <c r="E40" s="269">
        <f t="shared" si="0"/>
        <v>0.74581362564393094</v>
      </c>
      <c r="F40" s="56"/>
      <c r="G40" s="56"/>
      <c r="H40" s="56"/>
      <c r="I40" s="56"/>
      <c r="J40" s="56"/>
      <c r="K40" s="56"/>
      <c r="L40" s="56"/>
      <c r="M40" s="56"/>
      <c r="N40" s="56"/>
      <c r="O40" s="65"/>
      <c r="P40" s="25"/>
    </row>
    <row r="41" spans="1:16" s="1" customFormat="1" ht="33" customHeight="1" x14ac:dyDescent="0.4">
      <c r="A41" s="25"/>
      <c r="B41" s="238" t="s">
        <v>287</v>
      </c>
      <c r="C41" s="267">
        <f>IFERROR(VLOOKUP(MID(B41,4,3),MMWR_TRAD_AGG_NATIONAL[],2,0),"--")</f>
        <v>1600</v>
      </c>
      <c r="D41" s="268">
        <f>IFERROR(VLOOKUP(MID(B41,4,3),MMWR_TRAD_AGG_NATIONAL[],3,0),"--")</f>
        <v>625</v>
      </c>
      <c r="E41" s="269">
        <f t="shared" si="0"/>
        <v>0.390625</v>
      </c>
      <c r="F41" s="56"/>
      <c r="G41" s="56"/>
      <c r="H41" s="56"/>
      <c r="I41" s="56"/>
      <c r="J41" s="56"/>
      <c r="K41" s="56"/>
      <c r="L41" s="56"/>
      <c r="M41" s="56"/>
      <c r="N41" s="56"/>
      <c r="O41" s="65"/>
      <c r="P41" s="25"/>
    </row>
    <row r="42" spans="1:16" s="1" customFormat="1" ht="33" customHeight="1" x14ac:dyDescent="0.4">
      <c r="A42" s="25"/>
      <c r="B42" s="238" t="s">
        <v>288</v>
      </c>
      <c r="C42" s="267">
        <f>IFERROR(VLOOKUP(MID(B42,4,3),MMWR_TRAD_AGG_NATIONAL[],2,0),"--")</f>
        <v>56766</v>
      </c>
      <c r="D42" s="268">
        <f>IFERROR(VLOOKUP(MID(B42,4,3),MMWR_TRAD_AGG_NATIONAL[],3,0),"--")</f>
        <v>27377</v>
      </c>
      <c r="E42" s="269">
        <f t="shared" si="0"/>
        <v>0.48227812422929217</v>
      </c>
      <c r="F42" s="56"/>
      <c r="G42" s="56"/>
      <c r="H42" s="56"/>
      <c r="I42" s="56"/>
      <c r="J42" s="56"/>
      <c r="K42" s="56"/>
      <c r="L42" s="56"/>
      <c r="M42" s="56"/>
      <c r="N42" s="56"/>
      <c r="O42" s="65"/>
      <c r="P42" s="25"/>
    </row>
    <row r="43" spans="1:16" s="1" customFormat="1" ht="33" customHeight="1" x14ac:dyDescent="0.4">
      <c r="A43" s="25"/>
      <c r="B43" s="238" t="s">
        <v>289</v>
      </c>
      <c r="C43" s="267">
        <f>IFERROR(VLOOKUP(MID(B43,4,3),MMWR_TRAD_AGG_NATIONAL[],2,0),"--")</f>
        <v>22394</v>
      </c>
      <c r="D43" s="268">
        <f>IFERROR(VLOOKUP(MID(B43,4,3),MMWR_TRAD_AGG_NATIONAL[],3,0),"--")</f>
        <v>11633</v>
      </c>
      <c r="E43" s="269">
        <f t="shared" si="0"/>
        <v>0.5194695007591319</v>
      </c>
      <c r="F43" s="56"/>
      <c r="G43" s="56"/>
      <c r="H43" s="56"/>
      <c r="I43" s="56"/>
      <c r="J43" s="56"/>
      <c r="K43" s="56"/>
      <c r="L43" s="56"/>
      <c r="M43" s="56"/>
      <c r="N43" s="56"/>
      <c r="O43" s="65"/>
      <c r="P43" s="25"/>
    </row>
    <row r="44" spans="1:16" s="1" customFormat="1" ht="33" customHeight="1" thickBot="1" x14ac:dyDescent="0.45">
      <c r="A44" s="25"/>
      <c r="B44" s="248" t="s">
        <v>290</v>
      </c>
      <c r="C44" s="274">
        <f>IFERROR(VLOOKUP(MID(B44,4,3),MMWR_TRAD_AGG_NATIONAL[],2,0),"--")</f>
        <v>525</v>
      </c>
      <c r="D44" s="280">
        <f>IFERROR(VLOOKUP(MID(B44,4,3),MMWR_TRAD_AGG_NATIONAL[],3,0),"--")</f>
        <v>436</v>
      </c>
      <c r="E44" s="281">
        <f t="shared" si="0"/>
        <v>0.83047619047619048</v>
      </c>
      <c r="F44" s="68"/>
      <c r="G44" s="68"/>
      <c r="H44" s="68"/>
      <c r="I44" s="68"/>
      <c r="J44" s="68"/>
      <c r="K44" s="68"/>
      <c r="L44" s="68"/>
      <c r="M44" s="68"/>
      <c r="N44" s="68"/>
      <c r="O44" s="69"/>
      <c r="P44" s="25"/>
    </row>
    <row r="45" spans="1:16" s="1" customFormat="1" ht="15" customHeight="1" x14ac:dyDescent="0.2">
      <c r="A45" s="28"/>
      <c r="B45" s="28"/>
      <c r="C45" s="28"/>
      <c r="D45" s="28"/>
      <c r="E45" s="28"/>
      <c r="F45" s="28"/>
      <c r="G45" s="28"/>
      <c r="H45" s="28"/>
      <c r="I45" s="28"/>
      <c r="J45" s="28"/>
      <c r="K45" s="28"/>
      <c r="L45" s="28"/>
      <c r="M45" s="28"/>
      <c r="N45" s="28"/>
      <c r="O45" s="28"/>
      <c r="P45" s="28"/>
    </row>
    <row r="46" spans="1:16" hidden="1" x14ac:dyDescent="0.2"/>
    <row r="47" spans="1:16" hidden="1" x14ac:dyDescent="0.2"/>
    <row r="48" spans="1:16" hidden="1" x14ac:dyDescent="0.2"/>
  </sheetData>
  <sheetProtection password="BD20" sheet="1" autoFilter="0"/>
  <mergeCells count="13">
    <mergeCell ref="K28:K29"/>
    <mergeCell ref="B2:O2"/>
    <mergeCell ref="B4:O4"/>
    <mergeCell ref="B3:O3"/>
    <mergeCell ref="G5:J5"/>
    <mergeCell ref="B5:E5"/>
    <mergeCell ref="L5:O5"/>
    <mergeCell ref="G28:J29"/>
    <mergeCell ref="L16:O16"/>
    <mergeCell ref="L13:M13"/>
    <mergeCell ref="N13:O13"/>
    <mergeCell ref="L17:M17"/>
    <mergeCell ref="L18:M18"/>
  </mergeCells>
  <conditionalFormatting sqref="E30 E38:E39">
    <cfRule type="expression" dxfId="410" priority="96" stopIfTrue="1">
      <formula>ISERROR(E30)</formula>
    </cfRule>
  </conditionalFormatting>
  <conditionalFormatting sqref="G10">
    <cfRule type="expression" dxfId="409" priority="86" stopIfTrue="1">
      <formula>ISERROR(G10)</formula>
    </cfRule>
  </conditionalFormatting>
  <conditionalFormatting sqref="J11">
    <cfRule type="expression" dxfId="408" priority="83" stopIfTrue="1">
      <formula>ISERROR(J11)</formula>
    </cfRule>
  </conditionalFormatting>
  <conditionalFormatting sqref="J18">
    <cfRule type="expression" dxfId="407" priority="82" stopIfTrue="1">
      <formula>ISERROR(J18)</formula>
    </cfRule>
  </conditionalFormatting>
  <conditionalFormatting sqref="J22">
    <cfRule type="expression" dxfId="406" priority="80" stopIfTrue="1">
      <formula>ISERROR(J22)</formula>
    </cfRule>
  </conditionalFormatting>
  <conditionalFormatting sqref="C6">
    <cfRule type="expression" dxfId="405" priority="65" stopIfTrue="1">
      <formula>ISERROR(C6)</formula>
    </cfRule>
  </conditionalFormatting>
  <conditionalFormatting sqref="H6">
    <cfRule type="expression" dxfId="404" priority="64" stopIfTrue="1">
      <formula>ISERROR(H6)</formula>
    </cfRule>
  </conditionalFormatting>
  <conditionalFormatting sqref="M6">
    <cfRule type="expression" dxfId="403" priority="58" stopIfTrue="1">
      <formula>ISERROR(M6)</formula>
    </cfRule>
  </conditionalFormatting>
  <conditionalFormatting sqref="O6">
    <cfRule type="expression" dxfId="402" priority="57" stopIfTrue="1">
      <formula>ISERROR(O6)</formula>
    </cfRule>
  </conditionalFormatting>
  <conditionalFormatting sqref="E8">
    <cfRule type="expression" dxfId="401" priority="56" stopIfTrue="1">
      <formula>ISERROR(E8)</formula>
    </cfRule>
  </conditionalFormatting>
  <conditionalFormatting sqref="E9">
    <cfRule type="expression" dxfId="400" priority="55" stopIfTrue="1">
      <formula>ISERROR(E9)</formula>
    </cfRule>
  </conditionalFormatting>
  <conditionalFormatting sqref="E13">
    <cfRule type="expression" dxfId="399" priority="52" stopIfTrue="1">
      <formula>ISERROR(E13)</formula>
    </cfRule>
  </conditionalFormatting>
  <conditionalFormatting sqref="E17">
    <cfRule type="expression" dxfId="398" priority="49" stopIfTrue="1">
      <formula>ISERROR(E17)</formula>
    </cfRule>
  </conditionalFormatting>
  <conditionalFormatting sqref="E23">
    <cfRule type="expression" dxfId="397" priority="43" stopIfTrue="1">
      <formula>ISERROR(E23)</formula>
    </cfRule>
  </conditionalFormatting>
  <conditionalFormatting sqref="E25">
    <cfRule type="expression" dxfId="396" priority="41" stopIfTrue="1">
      <formula>ISERROR(E25)</formula>
    </cfRule>
  </conditionalFormatting>
  <conditionalFormatting sqref="E26">
    <cfRule type="expression" dxfId="395" priority="40" stopIfTrue="1">
      <formula>ISERROR(E26)</formula>
    </cfRule>
  </conditionalFormatting>
  <conditionalFormatting sqref="E24">
    <cfRule type="expression" dxfId="394" priority="42" stopIfTrue="1">
      <formula>ISERROR(E24)</formula>
    </cfRule>
  </conditionalFormatting>
  <conditionalFormatting sqref="E27">
    <cfRule type="expression" dxfId="393" priority="39" stopIfTrue="1">
      <formula>ISERROR(E27)</formula>
    </cfRule>
  </conditionalFormatting>
  <conditionalFormatting sqref="E29">
    <cfRule type="expression" dxfId="392" priority="37" stopIfTrue="1">
      <formula>ISERROR(E29)</formula>
    </cfRule>
  </conditionalFormatting>
  <conditionalFormatting sqref="E31">
    <cfRule type="expression" dxfId="391" priority="36" stopIfTrue="1">
      <formula>ISERROR(E31)</formula>
    </cfRule>
  </conditionalFormatting>
  <conditionalFormatting sqref="E32">
    <cfRule type="expression" dxfId="390" priority="35" stopIfTrue="1">
      <formula>ISERROR(E32)</formula>
    </cfRule>
  </conditionalFormatting>
  <conditionalFormatting sqref="E33">
    <cfRule type="expression" dxfId="389" priority="33" stopIfTrue="1">
      <formula>ISERROR(E33)</formula>
    </cfRule>
  </conditionalFormatting>
  <conditionalFormatting sqref="E34">
    <cfRule type="expression" dxfId="388" priority="31" stopIfTrue="1">
      <formula>ISERROR(E34)</formula>
    </cfRule>
  </conditionalFormatting>
  <conditionalFormatting sqref="E35">
    <cfRule type="expression" dxfId="387" priority="30" stopIfTrue="1">
      <formula>ISERROR(E35)</formula>
    </cfRule>
  </conditionalFormatting>
  <conditionalFormatting sqref="E37">
    <cfRule type="expression" dxfId="386" priority="29" stopIfTrue="1">
      <formula>ISERROR(E37)</formula>
    </cfRule>
  </conditionalFormatting>
  <conditionalFormatting sqref="E40">
    <cfRule type="expression" dxfId="385" priority="28" stopIfTrue="1">
      <formula>ISERROR(E40)</formula>
    </cfRule>
  </conditionalFormatting>
  <conditionalFormatting sqref="E41">
    <cfRule type="expression" dxfId="384" priority="27" stopIfTrue="1">
      <formula>ISERROR(E41)</formula>
    </cfRule>
  </conditionalFormatting>
  <conditionalFormatting sqref="E42">
    <cfRule type="expression" dxfId="383" priority="26" stopIfTrue="1">
      <formula>ISERROR(E42)</formula>
    </cfRule>
  </conditionalFormatting>
  <conditionalFormatting sqref="E43">
    <cfRule type="expression" dxfId="382" priority="25" stopIfTrue="1">
      <formula>ISERROR(E43)</formula>
    </cfRule>
  </conditionalFormatting>
  <conditionalFormatting sqref="E44">
    <cfRule type="expression" dxfId="381" priority="24" stopIfTrue="1">
      <formula>ISERROR(E44)</formula>
    </cfRule>
  </conditionalFormatting>
  <conditionalFormatting sqref="J8">
    <cfRule type="expression" dxfId="380" priority="23" stopIfTrue="1">
      <formula>ISERROR(J8)</formula>
    </cfRule>
  </conditionalFormatting>
  <conditionalFormatting sqref="J13">
    <cfRule type="expression" dxfId="379" priority="19" stopIfTrue="1">
      <formula>ISERROR(J13)</formula>
    </cfRule>
  </conditionalFormatting>
  <conditionalFormatting sqref="J10">
    <cfRule type="expression" dxfId="378" priority="21" stopIfTrue="1">
      <formula>ISERROR(J10)</formula>
    </cfRule>
  </conditionalFormatting>
  <conditionalFormatting sqref="J12">
    <cfRule type="expression" dxfId="377" priority="20" stopIfTrue="1">
      <formula>ISERROR(J12)</formula>
    </cfRule>
  </conditionalFormatting>
  <conditionalFormatting sqref="J14">
    <cfRule type="expression" dxfId="376" priority="18" stopIfTrue="1">
      <formula>ISERROR(J14)</formula>
    </cfRule>
  </conditionalFormatting>
  <conditionalFormatting sqref="J15">
    <cfRule type="expression" dxfId="375" priority="17" stopIfTrue="1">
      <formula>ISERROR(J15)</formula>
    </cfRule>
  </conditionalFormatting>
  <conditionalFormatting sqref="J16">
    <cfRule type="expression" dxfId="374" priority="16" stopIfTrue="1">
      <formula>ISERROR(J16)</formula>
    </cfRule>
  </conditionalFormatting>
  <conditionalFormatting sqref="J17">
    <cfRule type="expression" dxfId="373" priority="15" stopIfTrue="1">
      <formula>ISERROR(J17)</formula>
    </cfRule>
  </conditionalFormatting>
  <conditionalFormatting sqref="J19">
    <cfRule type="expression" dxfId="372" priority="14" stopIfTrue="1">
      <formula>ISERROR(J19)</formula>
    </cfRule>
  </conditionalFormatting>
  <conditionalFormatting sqref="J20">
    <cfRule type="expression" dxfId="371" priority="13" stopIfTrue="1">
      <formula>ISERROR(J20)</formula>
    </cfRule>
  </conditionalFormatting>
  <conditionalFormatting sqref="J21">
    <cfRule type="expression" dxfId="370" priority="12" stopIfTrue="1">
      <formula>ISERROR(J21)</formula>
    </cfRule>
  </conditionalFormatting>
  <conditionalFormatting sqref="J23">
    <cfRule type="expression" dxfId="369" priority="11" stopIfTrue="1">
      <formula>ISERROR(J23)</formula>
    </cfRule>
  </conditionalFormatting>
  <conditionalFormatting sqref="J24">
    <cfRule type="expression" dxfId="368" priority="10" stopIfTrue="1">
      <formula>ISERROR(J24)</formula>
    </cfRule>
  </conditionalFormatting>
  <conditionalFormatting sqref="J25">
    <cfRule type="expression" dxfId="367" priority="9" stopIfTrue="1">
      <formula>ISERROR(J25)</formula>
    </cfRule>
  </conditionalFormatting>
  <conditionalFormatting sqref="J26">
    <cfRule type="expression" dxfId="366" priority="8" stopIfTrue="1">
      <formula>ISERROR(J26)</formula>
    </cfRule>
  </conditionalFormatting>
  <conditionalFormatting sqref="E10">
    <cfRule type="expression" dxfId="365" priority="7" stopIfTrue="1">
      <formula>ISERROR(E10)</formula>
    </cfRule>
  </conditionalFormatting>
  <conditionalFormatting sqref="E12">
    <cfRule type="expression" dxfId="364" priority="6" stopIfTrue="1">
      <formula>ISERROR(E12)</formula>
    </cfRule>
  </conditionalFormatting>
  <conditionalFormatting sqref="E15:E16">
    <cfRule type="expression" dxfId="363" priority="5" stopIfTrue="1">
      <formula>ISERROR(E15)</formula>
    </cfRule>
  </conditionalFormatting>
  <conditionalFormatting sqref="E18:E21">
    <cfRule type="expression" dxfId="362" priority="4" stopIfTrue="1">
      <formula>ISERROR(E18)</formula>
    </cfRule>
  </conditionalFormatting>
  <conditionalFormatting sqref="E28">
    <cfRule type="expression" dxfId="361" priority="1" stopIfTrue="1">
      <formula>ISERROR(E28)</formula>
    </cfRule>
  </conditionalFormatting>
  <conditionalFormatting sqref="J9">
    <cfRule type="expression" dxfId="360" priority="2" stopIfTrue="1">
      <formula>ISERROR(J9)</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C11:D11 C14:D14 H18:I18 C22:D22 H22:I22 C30:D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0">
        <v>2</v>
      </c>
      <c r="D1" s="70">
        <v>3</v>
      </c>
      <c r="E1" s="71">
        <v>4</v>
      </c>
      <c r="F1" s="71">
        <v>5</v>
      </c>
      <c r="G1" s="71"/>
      <c r="H1" s="71">
        <v>6</v>
      </c>
      <c r="I1" s="71">
        <v>7</v>
      </c>
      <c r="J1" s="71"/>
      <c r="K1" s="71">
        <v>8</v>
      </c>
      <c r="L1" s="71">
        <v>9</v>
      </c>
      <c r="M1" s="71"/>
      <c r="N1" s="71">
        <v>10</v>
      </c>
      <c r="O1" s="71">
        <v>11</v>
      </c>
      <c r="P1" s="71"/>
      <c r="Q1" s="71">
        <v>12</v>
      </c>
      <c r="R1" s="71">
        <v>13</v>
      </c>
      <c r="S1" s="71">
        <v>2</v>
      </c>
      <c r="T1" s="25"/>
    </row>
    <row r="2" spans="1:20" ht="26.25" x14ac:dyDescent="0.4">
      <c r="A2" s="25"/>
      <c r="B2" s="26"/>
      <c r="C2" s="446" t="str">
        <f>UPPER("INVENTORY BY REGIONAL OFFICE "&amp;Transformation!B4)</f>
        <v>INVENTORY BY REGIONAL OFFICE AS OF: JANUARY 16, 2016</v>
      </c>
      <c r="D2" s="447"/>
      <c r="E2" s="447"/>
      <c r="F2" s="447"/>
      <c r="G2" s="447"/>
      <c r="H2" s="447"/>
      <c r="I2" s="447"/>
      <c r="J2" s="447"/>
      <c r="K2" s="447"/>
      <c r="L2" s="447"/>
      <c r="M2" s="447"/>
      <c r="N2" s="447"/>
      <c r="O2" s="447"/>
      <c r="P2" s="447"/>
      <c r="Q2" s="447"/>
      <c r="R2" s="447"/>
      <c r="S2" s="448"/>
      <c r="T2" s="25"/>
    </row>
    <row r="3" spans="1:20" x14ac:dyDescent="0.2">
      <c r="A3" s="25"/>
      <c r="B3" s="26"/>
      <c r="C3" s="449" t="s">
        <v>228</v>
      </c>
      <c r="D3" s="450"/>
      <c r="E3" s="451" t="s">
        <v>208</v>
      </c>
      <c r="F3" s="452"/>
      <c r="G3" s="453"/>
      <c r="H3" s="451" t="s">
        <v>7</v>
      </c>
      <c r="I3" s="452"/>
      <c r="J3" s="453"/>
      <c r="K3" s="451" t="s">
        <v>33</v>
      </c>
      <c r="L3" s="452"/>
      <c r="M3" s="453"/>
      <c r="N3" s="451" t="s">
        <v>8</v>
      </c>
      <c r="O3" s="452"/>
      <c r="P3" s="453"/>
      <c r="Q3" s="72" t="s">
        <v>9</v>
      </c>
      <c r="R3" s="73" t="s">
        <v>10</v>
      </c>
      <c r="S3" s="73" t="s">
        <v>11</v>
      </c>
      <c r="T3" s="25"/>
    </row>
    <row r="4" spans="1:20" ht="38.25" x14ac:dyDescent="0.2">
      <c r="A4" s="74"/>
      <c r="B4" s="54"/>
      <c r="C4" s="75" t="s">
        <v>12</v>
      </c>
      <c r="D4" s="76" t="s">
        <v>137</v>
      </c>
      <c r="E4" s="77" t="s">
        <v>12</v>
      </c>
      <c r="F4" s="78" t="s">
        <v>3</v>
      </c>
      <c r="G4" s="79" t="s">
        <v>4</v>
      </c>
      <c r="H4" s="77" t="s">
        <v>12</v>
      </c>
      <c r="I4" s="78" t="s">
        <v>3</v>
      </c>
      <c r="J4" s="79" t="s">
        <v>4</v>
      </c>
      <c r="K4" s="77" t="s">
        <v>12</v>
      </c>
      <c r="L4" s="78" t="s">
        <v>3</v>
      </c>
      <c r="M4" s="79" t="s">
        <v>4</v>
      </c>
      <c r="N4" s="77" t="s">
        <v>12</v>
      </c>
      <c r="O4" s="78" t="s">
        <v>3</v>
      </c>
      <c r="P4" s="79" t="s">
        <v>4</v>
      </c>
      <c r="Q4" s="80" t="s">
        <v>12</v>
      </c>
      <c r="R4" s="80" t="s">
        <v>12</v>
      </c>
      <c r="S4" s="81" t="s">
        <v>484</v>
      </c>
      <c r="T4" s="82"/>
    </row>
    <row r="5" spans="1:20" ht="26.25" x14ac:dyDescent="0.4">
      <c r="A5" s="25"/>
      <c r="B5" s="26"/>
      <c r="C5" s="446" t="s">
        <v>482</v>
      </c>
      <c r="D5" s="447"/>
      <c r="E5" s="447"/>
      <c r="F5" s="447"/>
      <c r="G5" s="447"/>
      <c r="H5" s="447"/>
      <c r="I5" s="447"/>
      <c r="J5" s="447"/>
      <c r="K5" s="447"/>
      <c r="L5" s="447"/>
      <c r="M5" s="447"/>
      <c r="N5" s="447"/>
      <c r="O5" s="447"/>
      <c r="P5" s="447"/>
      <c r="Q5" s="447"/>
      <c r="R5" s="447"/>
      <c r="S5" s="448"/>
      <c r="T5" s="25"/>
    </row>
    <row r="6" spans="1:20" x14ac:dyDescent="0.2">
      <c r="A6" s="83"/>
      <c r="B6" s="84" t="s">
        <v>457</v>
      </c>
      <c r="C6" s="180">
        <f>IFERROR(VLOOKUP($B6,MMWR_TRAD_AGG_DISTRICT_COMP[],C$1,0),"ERROR")</f>
        <v>317764</v>
      </c>
      <c r="D6" s="158">
        <f>IFERROR(VLOOKUP($B6,MMWR_TRAD_AGG_DISTRICT_COMP[],D$1,0),"ERROR")</f>
        <v>389.09939137219999</v>
      </c>
      <c r="E6" s="166">
        <f>IFERROR(VLOOKUP($B6,MMWR_TRAD_AGG_DISTRICT_COMP[],E$1,0),"ERROR")</f>
        <v>328947</v>
      </c>
      <c r="F6" s="160">
        <f>IFERROR(VLOOKUP($B6,MMWR_TRAD_AGG_DISTRICT_COMP[],F$1,0),"ERROR")</f>
        <v>75999</v>
      </c>
      <c r="G6" s="183">
        <f t="shared" ref="G6:G69" si="0">IFERROR(F6/E6,"0%")</f>
        <v>0.23103721876168501</v>
      </c>
      <c r="H6" s="159">
        <f>IFERROR(VLOOKUP($B6,MMWR_TRAD_AGG_DISTRICT_COMP[],H$1,0),"ERROR")</f>
        <v>461190</v>
      </c>
      <c r="I6" s="160">
        <f>IFERROR(VLOOKUP($B6,MMWR_TRAD_AGG_DISTRICT_COMP[],I$1,0),"ERROR")</f>
        <v>304176</v>
      </c>
      <c r="J6" s="183">
        <f t="shared" ref="J6:J69" si="1">IFERROR(I6/H6,"0%")</f>
        <v>0.65954595719768427</v>
      </c>
      <c r="K6" s="159">
        <f>IFERROR(VLOOKUP($B6,MMWR_TRAD_AGG_DISTRICT_COMP[],K$1,0),"ERROR")</f>
        <v>125081</v>
      </c>
      <c r="L6" s="160">
        <f>IFERROR(VLOOKUP($B6,MMWR_TRAD_AGG_DISTRICT_COMP[],L$1,0),"ERROR")</f>
        <v>84315</v>
      </c>
      <c r="M6" s="183">
        <f t="shared" ref="M6:M69" si="2">IFERROR(L6/K6,"0%")</f>
        <v>0.67408319409022954</v>
      </c>
      <c r="N6" s="159">
        <f>IFERROR(VLOOKUP($B6,MMWR_TRAD_AGG_DISTRICT_COMP[],N$1,0),"ERROR")</f>
        <v>165758</v>
      </c>
      <c r="O6" s="160">
        <f>IFERROR(VLOOKUP($B6,MMWR_TRAD_AGG_DISTRICT_COMP[],O$1,0),"ERROR")</f>
        <v>103259</v>
      </c>
      <c r="P6" s="183">
        <f t="shared" ref="P6:P69" si="3">IFERROR(O6/N6,"0%")</f>
        <v>0.62295032517284232</v>
      </c>
      <c r="Q6" s="172">
        <f>IFERROR(VLOOKUP($B6,MMWR_TRAD_AGG_DISTRICT_COMP[],Q$1,0),"ERROR")</f>
        <v>19539</v>
      </c>
      <c r="R6" s="172">
        <f>IFERROR(VLOOKUP($B6,MMWR_TRAD_AGG_DISTRICT_COMP[],R$1,0),"ERROR")</f>
        <v>4068</v>
      </c>
      <c r="S6" s="175">
        <f>S7+S25+S38+S49+S62+S70</f>
        <v>318552</v>
      </c>
      <c r="T6" s="25"/>
    </row>
    <row r="7" spans="1:20" x14ac:dyDescent="0.2">
      <c r="A7" s="83"/>
      <c r="B7" s="92" t="s">
        <v>365</v>
      </c>
      <c r="C7" s="184">
        <f>IFERROR(VLOOKUP($B7,MMWR_TRAD_AGG_DISTRICT_COMP[],C$1,0),"ERROR")</f>
        <v>103452</v>
      </c>
      <c r="D7" s="169">
        <f>IFERROR(VLOOKUP($B7,MMWR_TRAD_AGG_DISTRICT_COMP[],D$1,0),"ERROR")</f>
        <v>463.95477129490001</v>
      </c>
      <c r="E7" s="185">
        <f>IFERROR(VLOOKUP($B7,MMWR_TRAD_AGG_DISTRICT_COMP[],E$1,0),"ERROR")</f>
        <v>77196</v>
      </c>
      <c r="F7" s="184">
        <f>IFERROR(VLOOKUP($B7,MMWR_TRAD_AGG_DISTRICT_COMP[],F$1,0),"ERROR")</f>
        <v>19045</v>
      </c>
      <c r="G7" s="186">
        <f t="shared" si="0"/>
        <v>0.24670967407637701</v>
      </c>
      <c r="H7" s="184">
        <f>IFERROR(VLOOKUP($B7,MMWR_TRAD_AGG_DISTRICT_COMP[],H$1,0),"ERROR")</f>
        <v>137239</v>
      </c>
      <c r="I7" s="184">
        <f>IFERROR(VLOOKUP($B7,MMWR_TRAD_AGG_DISTRICT_COMP[],I$1,0),"ERROR")</f>
        <v>101712</v>
      </c>
      <c r="J7" s="186">
        <f t="shared" si="1"/>
        <v>0.74113043668345002</v>
      </c>
      <c r="K7" s="184">
        <f>IFERROR(VLOOKUP($B7,MMWR_TRAD_AGG_DISTRICT_COMP[],K$1,0),"ERROR")</f>
        <v>38029</v>
      </c>
      <c r="L7" s="184">
        <f>IFERROR(VLOOKUP($B7,MMWR_TRAD_AGG_DISTRICT_COMP[],L$1,0),"ERROR")</f>
        <v>26254</v>
      </c>
      <c r="M7" s="186">
        <f t="shared" si="2"/>
        <v>0.69036787714638825</v>
      </c>
      <c r="N7" s="184">
        <f>IFERROR(VLOOKUP($B7,MMWR_TRAD_AGG_DISTRICT_COMP[],N$1,0),"ERROR")</f>
        <v>30662</v>
      </c>
      <c r="O7" s="184">
        <f>IFERROR(VLOOKUP($B7,MMWR_TRAD_AGG_DISTRICT_COMP[],O$1,0),"ERROR")</f>
        <v>23082</v>
      </c>
      <c r="P7" s="186">
        <f t="shared" si="3"/>
        <v>0.75278846781031894</v>
      </c>
      <c r="Q7" s="184">
        <f>IFERROR(VLOOKUP($B7,MMWR_TRAD_AGG_DISTRICT_COMP[],Q$1,0),"ERROR")</f>
        <v>13023</v>
      </c>
      <c r="R7" s="187">
        <f>IFERROR(VLOOKUP($B7,MMWR_TRAD_AGG_DISTRICT_COMP[],R$1,0),"ERROR")</f>
        <v>46</v>
      </c>
      <c r="S7" s="187">
        <f>IFERROR(VLOOKUP($B7,MMWR_APP_RO[],S$1,0),"ERROR")</f>
        <v>56214</v>
      </c>
      <c r="T7" s="25"/>
    </row>
    <row r="8" spans="1:20" x14ac:dyDescent="0.2">
      <c r="A8" s="98"/>
      <c r="B8" s="99" t="s">
        <v>36</v>
      </c>
      <c r="C8" s="181">
        <f>IFERROR(VLOOKUP($B8,MMWR_TRAD_AGG_RO_COMP[],C$1,0),"ERROR")</f>
        <v>7966</v>
      </c>
      <c r="D8" s="170">
        <f>IFERROR(VLOOKUP($B8,MMWR_TRAD_AGG_RO_COMP[],D$1,0),"ERROR")</f>
        <v>715.80881245290004</v>
      </c>
      <c r="E8" s="167">
        <f>IFERROR(VLOOKUP($B8,MMWR_TRAD_AGG_RO_COMP[],E$1,0),"ERROR")</f>
        <v>4869</v>
      </c>
      <c r="F8" s="163">
        <f>IFERROR(VLOOKUP($B8,MMWR_TRAD_AGG_RO_COMP[],F$1,0),"ERROR")</f>
        <v>1014</v>
      </c>
      <c r="G8" s="188">
        <f t="shared" si="0"/>
        <v>0.20825631546518791</v>
      </c>
      <c r="H8" s="162">
        <f>IFERROR(VLOOKUP($B8,MMWR_TRAD_AGG_RO_COMP[],H$1,0),"ERROR")</f>
        <v>9299</v>
      </c>
      <c r="I8" s="163">
        <f>IFERROR(VLOOKUP($B8,MMWR_TRAD_AGG_RO_COMP[],I$1,0),"ERROR")</f>
        <v>7652</v>
      </c>
      <c r="J8" s="188">
        <f t="shared" si="1"/>
        <v>0.82288418109474137</v>
      </c>
      <c r="K8" s="176">
        <f>IFERROR(VLOOKUP($B8,MMWR_TRAD_AGG_RO_COMP[],K$1,0),"ERROR")</f>
        <v>1374</v>
      </c>
      <c r="L8" s="177">
        <f>IFERROR(VLOOKUP($B8,MMWR_TRAD_AGG_RO_COMP[],L$1,0),"ERROR")</f>
        <v>1107</v>
      </c>
      <c r="M8" s="188">
        <f t="shared" si="2"/>
        <v>0.80567685589519655</v>
      </c>
      <c r="N8" s="176">
        <f>IFERROR(VLOOKUP($B8,MMWR_TRAD_AGG_RO_COMP[],N$1,0),"ERROR")</f>
        <v>4059</v>
      </c>
      <c r="O8" s="177">
        <f>IFERROR(VLOOKUP($B8,MMWR_TRAD_AGG_RO_COMP[],O$1,0),"ERROR")</f>
        <v>3618</v>
      </c>
      <c r="P8" s="188">
        <f t="shared" si="3"/>
        <v>0.89135254988913526</v>
      </c>
      <c r="Q8" s="173">
        <f>IFERROR(VLOOKUP($B8,MMWR_TRAD_AGG_RO_COMP[],Q$1,0),"ERROR")</f>
        <v>0</v>
      </c>
      <c r="R8" s="173">
        <f>IFERROR(VLOOKUP($B8,MMWR_TRAD_AGG_RO_COMP[],R$1,0),"ERROR")</f>
        <v>4</v>
      </c>
      <c r="S8" s="173">
        <f>IFERROR(VLOOKUP($B8,MMWR_APP_RO[],S$1,0),"ERROR")</f>
        <v>5622</v>
      </c>
      <c r="T8" s="25"/>
    </row>
    <row r="9" spans="1:20" x14ac:dyDescent="0.2">
      <c r="A9" s="98"/>
      <c r="B9" s="99" t="s">
        <v>38</v>
      </c>
      <c r="C9" s="181">
        <f>IFERROR(VLOOKUP($B9,MMWR_TRAD_AGG_RO_COMP[],C$1,0),"ERROR")</f>
        <v>4321</v>
      </c>
      <c r="D9" s="170">
        <f>IFERROR(VLOOKUP($B9,MMWR_TRAD_AGG_RO_COMP[],D$1,0),"ERROR")</f>
        <v>600.29067345520002</v>
      </c>
      <c r="E9" s="167">
        <f>IFERROR(VLOOKUP($B9,MMWR_TRAD_AGG_RO_COMP[],E$1,0),"ERROR")</f>
        <v>3367</v>
      </c>
      <c r="F9" s="163">
        <f>IFERROR(VLOOKUP($B9,MMWR_TRAD_AGG_RO_COMP[],F$1,0),"ERROR")</f>
        <v>886</v>
      </c>
      <c r="G9" s="188">
        <f t="shared" si="0"/>
        <v>0.26314226314226313</v>
      </c>
      <c r="H9" s="162">
        <f>IFERROR(VLOOKUP($B9,MMWR_TRAD_AGG_RO_COMP[],H$1,0),"ERROR")</f>
        <v>5727</v>
      </c>
      <c r="I9" s="163">
        <f>IFERROR(VLOOKUP($B9,MMWR_TRAD_AGG_RO_COMP[],I$1,0),"ERROR")</f>
        <v>4495</v>
      </c>
      <c r="J9" s="188">
        <f t="shared" si="1"/>
        <v>0.78487864501484195</v>
      </c>
      <c r="K9" s="176">
        <f>IFERROR(VLOOKUP($B9,MMWR_TRAD_AGG_RO_COMP[],K$1,0),"ERROR")</f>
        <v>2696</v>
      </c>
      <c r="L9" s="177">
        <f>IFERROR(VLOOKUP($B9,MMWR_TRAD_AGG_RO_COMP[],L$1,0),"ERROR")</f>
        <v>2139</v>
      </c>
      <c r="M9" s="188">
        <f t="shared" si="2"/>
        <v>0.79339762611275966</v>
      </c>
      <c r="N9" s="176">
        <f>IFERROR(VLOOKUP($B9,MMWR_TRAD_AGG_RO_COMP[],N$1,0),"ERROR")</f>
        <v>885</v>
      </c>
      <c r="O9" s="177">
        <f>IFERROR(VLOOKUP($B9,MMWR_TRAD_AGG_RO_COMP[],O$1,0),"ERROR")</f>
        <v>704</v>
      </c>
      <c r="P9" s="188">
        <f t="shared" si="3"/>
        <v>0.79548022598870061</v>
      </c>
      <c r="Q9" s="173">
        <f>IFERROR(VLOOKUP($B9,MMWR_TRAD_AGG_RO_COMP[],Q$1,0),"ERROR")</f>
        <v>0</v>
      </c>
      <c r="R9" s="173">
        <f>IFERROR(VLOOKUP($B9,MMWR_TRAD_AGG_RO_COMP[],R$1,0),"ERROR")</f>
        <v>2</v>
      </c>
      <c r="S9" s="173">
        <f>IFERROR(VLOOKUP($B9,MMWR_APP_RO[],S$1,0),"ERROR")</f>
        <v>3257</v>
      </c>
      <c r="T9" s="25"/>
    </row>
    <row r="10" spans="1:20" x14ac:dyDescent="0.2">
      <c r="A10" s="98"/>
      <c r="B10" s="99" t="s">
        <v>24</v>
      </c>
      <c r="C10" s="181">
        <f>IFERROR(VLOOKUP($B10,MMWR_TRAD_AGG_RO_COMP[],C$1,0),"ERROR")</f>
        <v>1547</v>
      </c>
      <c r="D10" s="170">
        <f>IFERROR(VLOOKUP($B10,MMWR_TRAD_AGG_RO_COMP[],D$1,0),"ERROR")</f>
        <v>162.10989010989999</v>
      </c>
      <c r="E10" s="167">
        <f>IFERROR(VLOOKUP($B10,MMWR_TRAD_AGG_RO_COMP[],E$1,0),"ERROR")</f>
        <v>4077</v>
      </c>
      <c r="F10" s="163">
        <f>IFERROR(VLOOKUP($B10,MMWR_TRAD_AGG_RO_COMP[],F$1,0),"ERROR")</f>
        <v>710</v>
      </c>
      <c r="G10" s="188">
        <f t="shared" si="0"/>
        <v>0.17414765759136619</v>
      </c>
      <c r="H10" s="162">
        <f>IFERROR(VLOOKUP($B10,MMWR_TRAD_AGG_RO_COMP[],H$1,0),"ERROR")</f>
        <v>2642</v>
      </c>
      <c r="I10" s="163">
        <f>IFERROR(VLOOKUP($B10,MMWR_TRAD_AGG_RO_COMP[],I$1,0),"ERROR")</f>
        <v>1036</v>
      </c>
      <c r="J10" s="188">
        <f t="shared" si="1"/>
        <v>0.39212717638152916</v>
      </c>
      <c r="K10" s="176">
        <f>IFERROR(VLOOKUP($B10,MMWR_TRAD_AGG_RO_COMP[],K$1,0),"ERROR")</f>
        <v>1028</v>
      </c>
      <c r="L10" s="177">
        <f>IFERROR(VLOOKUP($B10,MMWR_TRAD_AGG_RO_COMP[],L$1,0),"ERROR")</f>
        <v>515</v>
      </c>
      <c r="M10" s="188">
        <f t="shared" si="2"/>
        <v>0.50097276264591439</v>
      </c>
      <c r="N10" s="176">
        <f>IFERROR(VLOOKUP($B10,MMWR_TRAD_AGG_RO_COMP[],N$1,0),"ERROR")</f>
        <v>458</v>
      </c>
      <c r="O10" s="177">
        <f>IFERROR(VLOOKUP($B10,MMWR_TRAD_AGG_RO_COMP[],O$1,0),"ERROR")</f>
        <v>235</v>
      </c>
      <c r="P10" s="188">
        <f t="shared" si="3"/>
        <v>0.51310043668122274</v>
      </c>
      <c r="Q10" s="173">
        <f>IFERROR(VLOOKUP($B10,MMWR_TRAD_AGG_RO_COMP[],Q$1,0),"ERROR")</f>
        <v>0</v>
      </c>
      <c r="R10" s="173">
        <f>IFERROR(VLOOKUP($B10,MMWR_TRAD_AGG_RO_COMP[],R$1,0),"ERROR")</f>
        <v>0</v>
      </c>
      <c r="S10" s="173">
        <f>IFERROR(VLOOKUP($B10,MMWR_APP_RO[],S$1,0),"ERROR")</f>
        <v>1892</v>
      </c>
      <c r="T10" s="25"/>
    </row>
    <row r="11" spans="1:20" x14ac:dyDescent="0.2">
      <c r="A11" s="98"/>
      <c r="B11" s="99" t="s">
        <v>47</v>
      </c>
      <c r="C11" s="181">
        <f>IFERROR(VLOOKUP($B11,MMWR_TRAD_AGG_RO_COMP[],C$1,0),"ERROR")</f>
        <v>1300</v>
      </c>
      <c r="D11" s="170">
        <f>IFERROR(VLOOKUP($B11,MMWR_TRAD_AGG_RO_COMP[],D$1,0),"ERROR")</f>
        <v>293.63307692310002</v>
      </c>
      <c r="E11" s="167">
        <f>IFERROR(VLOOKUP($B11,MMWR_TRAD_AGG_RO_COMP[],E$1,0),"ERROR")</f>
        <v>1932</v>
      </c>
      <c r="F11" s="163">
        <f>IFERROR(VLOOKUP($B11,MMWR_TRAD_AGG_RO_COMP[],F$1,0),"ERROR")</f>
        <v>387</v>
      </c>
      <c r="G11" s="188">
        <f t="shared" si="0"/>
        <v>0.20031055900621117</v>
      </c>
      <c r="H11" s="162">
        <f>IFERROR(VLOOKUP($B11,MMWR_TRAD_AGG_RO_COMP[],H$1,0),"ERROR")</f>
        <v>2916</v>
      </c>
      <c r="I11" s="163">
        <f>IFERROR(VLOOKUP($B11,MMWR_TRAD_AGG_RO_COMP[],I$1,0),"ERROR")</f>
        <v>1942</v>
      </c>
      <c r="J11" s="188">
        <f t="shared" si="1"/>
        <v>0.66598079561042522</v>
      </c>
      <c r="K11" s="176">
        <f>IFERROR(VLOOKUP($B11,MMWR_TRAD_AGG_RO_COMP[],K$1,0),"ERROR")</f>
        <v>612</v>
      </c>
      <c r="L11" s="177">
        <f>IFERROR(VLOOKUP($B11,MMWR_TRAD_AGG_RO_COMP[],L$1,0),"ERROR")</f>
        <v>315</v>
      </c>
      <c r="M11" s="188">
        <f t="shared" si="2"/>
        <v>0.51470588235294112</v>
      </c>
      <c r="N11" s="176">
        <f>IFERROR(VLOOKUP($B11,MMWR_TRAD_AGG_RO_COMP[],N$1,0),"ERROR")</f>
        <v>830</v>
      </c>
      <c r="O11" s="177">
        <f>IFERROR(VLOOKUP($B11,MMWR_TRAD_AGG_RO_COMP[],O$1,0),"ERROR")</f>
        <v>577</v>
      </c>
      <c r="P11" s="188">
        <f t="shared" si="3"/>
        <v>0.69518072289156629</v>
      </c>
      <c r="Q11" s="173">
        <f>IFERROR(VLOOKUP($B11,MMWR_TRAD_AGG_RO_COMP[],Q$1,0),"ERROR")</f>
        <v>0</v>
      </c>
      <c r="R11" s="173">
        <f>IFERROR(VLOOKUP($B11,MMWR_TRAD_AGG_RO_COMP[],R$1,0),"ERROR")</f>
        <v>6</v>
      </c>
      <c r="S11" s="173">
        <f>IFERROR(VLOOKUP($B11,MMWR_APP_RO[],S$1,0),"ERROR")</f>
        <v>967</v>
      </c>
      <c r="T11" s="25"/>
    </row>
    <row r="12" spans="1:20" x14ac:dyDescent="0.2">
      <c r="A12" s="98"/>
      <c r="B12" s="99" t="s">
        <v>50</v>
      </c>
      <c r="C12" s="181">
        <f>IFERROR(VLOOKUP($B12,MMWR_TRAD_AGG_RO_COMP[],C$1,0),"ERROR")</f>
        <v>2143</v>
      </c>
      <c r="D12" s="170">
        <f>IFERROR(VLOOKUP($B12,MMWR_TRAD_AGG_RO_COMP[],D$1,0),"ERROR")</f>
        <v>241.3042463836</v>
      </c>
      <c r="E12" s="167">
        <f>IFERROR(VLOOKUP($B12,MMWR_TRAD_AGG_RO_COMP[],E$1,0),"ERROR")</f>
        <v>2281</v>
      </c>
      <c r="F12" s="163">
        <f>IFERROR(VLOOKUP($B12,MMWR_TRAD_AGG_RO_COMP[],F$1,0),"ERROR")</f>
        <v>381</v>
      </c>
      <c r="G12" s="188">
        <f t="shared" si="0"/>
        <v>0.16703200350723366</v>
      </c>
      <c r="H12" s="162">
        <f>IFERROR(VLOOKUP($B12,MMWR_TRAD_AGG_RO_COMP[],H$1,0),"ERROR")</f>
        <v>3385</v>
      </c>
      <c r="I12" s="163">
        <f>IFERROR(VLOOKUP($B12,MMWR_TRAD_AGG_RO_COMP[],I$1,0),"ERROR")</f>
        <v>2187</v>
      </c>
      <c r="J12" s="188">
        <f t="shared" si="1"/>
        <v>0.64608567208271783</v>
      </c>
      <c r="K12" s="176">
        <f>IFERROR(VLOOKUP($B12,MMWR_TRAD_AGG_RO_COMP[],K$1,0),"ERROR")</f>
        <v>481</v>
      </c>
      <c r="L12" s="177">
        <f>IFERROR(VLOOKUP($B12,MMWR_TRAD_AGG_RO_COMP[],L$1,0),"ERROR")</f>
        <v>104</v>
      </c>
      <c r="M12" s="188">
        <f t="shared" si="2"/>
        <v>0.21621621621621623</v>
      </c>
      <c r="N12" s="176">
        <f>IFERROR(VLOOKUP($B12,MMWR_TRAD_AGG_RO_COMP[],N$1,0),"ERROR")</f>
        <v>1239</v>
      </c>
      <c r="O12" s="177">
        <f>IFERROR(VLOOKUP($B12,MMWR_TRAD_AGG_RO_COMP[],O$1,0),"ERROR")</f>
        <v>874</v>
      </c>
      <c r="P12" s="188">
        <f t="shared" si="3"/>
        <v>0.705407586763519</v>
      </c>
      <c r="Q12" s="173">
        <f>IFERROR(VLOOKUP($B12,MMWR_TRAD_AGG_RO_COMP[],Q$1,0),"ERROR")</f>
        <v>1</v>
      </c>
      <c r="R12" s="173">
        <f>IFERROR(VLOOKUP($B12,MMWR_TRAD_AGG_RO_COMP[],R$1,0),"ERROR")</f>
        <v>10</v>
      </c>
      <c r="S12" s="173">
        <f>IFERROR(VLOOKUP($B12,MMWR_APP_RO[],S$1,0),"ERROR")</f>
        <v>1926</v>
      </c>
      <c r="T12" s="25"/>
    </row>
    <row r="13" spans="1:20" x14ac:dyDescent="0.2">
      <c r="A13" s="98"/>
      <c r="B13" s="99" t="s">
        <v>57</v>
      </c>
      <c r="C13" s="181">
        <f>IFERROR(VLOOKUP($B13,MMWR_TRAD_AGG_RO_COMP[],C$1,0),"ERROR")</f>
        <v>1474</v>
      </c>
      <c r="D13" s="170">
        <f>IFERROR(VLOOKUP($B13,MMWR_TRAD_AGG_RO_COMP[],D$1,0),"ERROR")</f>
        <v>393.2591587517</v>
      </c>
      <c r="E13" s="167">
        <f>IFERROR(VLOOKUP($B13,MMWR_TRAD_AGG_RO_COMP[],E$1,0),"ERROR")</f>
        <v>1052</v>
      </c>
      <c r="F13" s="163">
        <f>IFERROR(VLOOKUP($B13,MMWR_TRAD_AGG_RO_COMP[],F$1,0),"ERROR")</f>
        <v>263</v>
      </c>
      <c r="G13" s="188">
        <f t="shared" si="0"/>
        <v>0.25</v>
      </c>
      <c r="H13" s="162">
        <f>IFERROR(VLOOKUP($B13,MMWR_TRAD_AGG_RO_COMP[],H$1,0),"ERROR")</f>
        <v>1960</v>
      </c>
      <c r="I13" s="163">
        <f>IFERROR(VLOOKUP($B13,MMWR_TRAD_AGG_RO_COMP[],I$1,0),"ERROR")</f>
        <v>1300</v>
      </c>
      <c r="J13" s="188">
        <f t="shared" si="1"/>
        <v>0.66326530612244894</v>
      </c>
      <c r="K13" s="176">
        <f>IFERROR(VLOOKUP($B13,MMWR_TRAD_AGG_RO_COMP[],K$1,0),"ERROR")</f>
        <v>382</v>
      </c>
      <c r="L13" s="177">
        <f>IFERROR(VLOOKUP($B13,MMWR_TRAD_AGG_RO_COMP[],L$1,0),"ERROR")</f>
        <v>376</v>
      </c>
      <c r="M13" s="188">
        <f t="shared" si="2"/>
        <v>0.98429319371727753</v>
      </c>
      <c r="N13" s="176">
        <f>IFERROR(VLOOKUP($B13,MMWR_TRAD_AGG_RO_COMP[],N$1,0),"ERROR")</f>
        <v>81</v>
      </c>
      <c r="O13" s="177">
        <f>IFERROR(VLOOKUP($B13,MMWR_TRAD_AGG_RO_COMP[],O$1,0),"ERROR")</f>
        <v>46</v>
      </c>
      <c r="P13" s="188">
        <f t="shared" si="3"/>
        <v>0.5679012345679012</v>
      </c>
      <c r="Q13" s="173">
        <f>IFERROR(VLOOKUP($B13,MMWR_TRAD_AGG_RO_COMP[],Q$1,0),"ERROR")</f>
        <v>0</v>
      </c>
      <c r="R13" s="173">
        <f>IFERROR(VLOOKUP($B13,MMWR_TRAD_AGG_RO_COMP[],R$1,0),"ERROR")</f>
        <v>0</v>
      </c>
      <c r="S13" s="173">
        <f>IFERROR(VLOOKUP($B13,MMWR_APP_RO[],S$1,0),"ERROR")</f>
        <v>602</v>
      </c>
      <c r="T13" s="25"/>
    </row>
    <row r="14" spans="1:20" x14ac:dyDescent="0.2">
      <c r="A14" s="98"/>
      <c r="B14" s="99" t="s">
        <v>63</v>
      </c>
      <c r="C14" s="181">
        <f>IFERROR(VLOOKUP($B14,MMWR_TRAD_AGG_RO_COMP[],C$1,0),"ERROR")</f>
        <v>4295</v>
      </c>
      <c r="D14" s="170">
        <f>IFERROR(VLOOKUP($B14,MMWR_TRAD_AGG_RO_COMP[],D$1,0),"ERROR")</f>
        <v>303.42770663559998</v>
      </c>
      <c r="E14" s="167">
        <f>IFERROR(VLOOKUP($B14,MMWR_TRAD_AGG_RO_COMP[],E$1,0),"ERROR")</f>
        <v>4724</v>
      </c>
      <c r="F14" s="163">
        <f>IFERROR(VLOOKUP($B14,MMWR_TRAD_AGG_RO_COMP[],F$1,0),"ERROR")</f>
        <v>1150</v>
      </c>
      <c r="G14" s="188">
        <f t="shared" si="0"/>
        <v>0.24343776460626587</v>
      </c>
      <c r="H14" s="162">
        <f>IFERROR(VLOOKUP($B14,MMWR_TRAD_AGG_RO_COMP[],H$1,0),"ERROR")</f>
        <v>5807</v>
      </c>
      <c r="I14" s="163">
        <f>IFERROR(VLOOKUP($B14,MMWR_TRAD_AGG_RO_COMP[],I$1,0),"ERROR")</f>
        <v>3964</v>
      </c>
      <c r="J14" s="188">
        <f t="shared" si="1"/>
        <v>0.68262441880489066</v>
      </c>
      <c r="K14" s="176">
        <f>IFERROR(VLOOKUP($B14,MMWR_TRAD_AGG_RO_COMP[],K$1,0),"ERROR")</f>
        <v>3535</v>
      </c>
      <c r="L14" s="177">
        <f>IFERROR(VLOOKUP($B14,MMWR_TRAD_AGG_RO_COMP[],L$1,0),"ERROR")</f>
        <v>2952</v>
      </c>
      <c r="M14" s="188">
        <f t="shared" si="2"/>
        <v>0.83507779349363509</v>
      </c>
      <c r="N14" s="176">
        <f>IFERROR(VLOOKUP($B14,MMWR_TRAD_AGG_RO_COMP[],N$1,0),"ERROR")</f>
        <v>1553</v>
      </c>
      <c r="O14" s="177">
        <f>IFERROR(VLOOKUP($B14,MMWR_TRAD_AGG_RO_COMP[],O$1,0),"ERROR")</f>
        <v>199</v>
      </c>
      <c r="P14" s="188">
        <f t="shared" si="3"/>
        <v>0.12813908564069543</v>
      </c>
      <c r="Q14" s="173">
        <f>IFERROR(VLOOKUP($B14,MMWR_TRAD_AGG_RO_COMP[],Q$1,0),"ERROR")</f>
        <v>0</v>
      </c>
      <c r="R14" s="173">
        <f>IFERROR(VLOOKUP($B14,MMWR_TRAD_AGG_RO_COMP[],R$1,0),"ERROR")</f>
        <v>1</v>
      </c>
      <c r="S14" s="173">
        <f>IFERROR(VLOOKUP($B14,MMWR_APP_RO[],S$1,0),"ERROR")</f>
        <v>3158</v>
      </c>
      <c r="T14" s="25"/>
    </row>
    <row r="15" spans="1:20" x14ac:dyDescent="0.2">
      <c r="A15" s="98"/>
      <c r="B15" s="99" t="s">
        <v>64</v>
      </c>
      <c r="C15" s="181">
        <f>IFERROR(VLOOKUP($B15,MMWR_TRAD_AGG_RO_COMP[],C$1,0),"ERROR")</f>
        <v>862</v>
      </c>
      <c r="D15" s="170">
        <f>IFERROR(VLOOKUP($B15,MMWR_TRAD_AGG_RO_COMP[],D$1,0),"ERROR")</f>
        <v>143.19837587009999</v>
      </c>
      <c r="E15" s="167">
        <f>IFERROR(VLOOKUP($B15,MMWR_TRAD_AGG_RO_COMP[],E$1,0),"ERROR")</f>
        <v>2440</v>
      </c>
      <c r="F15" s="163">
        <f>IFERROR(VLOOKUP($B15,MMWR_TRAD_AGG_RO_COMP[],F$1,0),"ERROR")</f>
        <v>528</v>
      </c>
      <c r="G15" s="188">
        <f t="shared" si="0"/>
        <v>0.21639344262295082</v>
      </c>
      <c r="H15" s="162">
        <f>IFERROR(VLOOKUP($B15,MMWR_TRAD_AGG_RO_COMP[],H$1,0),"ERROR")</f>
        <v>1559</v>
      </c>
      <c r="I15" s="163">
        <f>IFERROR(VLOOKUP($B15,MMWR_TRAD_AGG_RO_COMP[],I$1,0),"ERROR")</f>
        <v>806</v>
      </c>
      <c r="J15" s="188">
        <f t="shared" si="1"/>
        <v>0.51699807568954459</v>
      </c>
      <c r="K15" s="176">
        <f>IFERROR(VLOOKUP($B15,MMWR_TRAD_AGG_RO_COMP[],K$1,0),"ERROR")</f>
        <v>761</v>
      </c>
      <c r="L15" s="177">
        <f>IFERROR(VLOOKUP($B15,MMWR_TRAD_AGG_RO_COMP[],L$1,0),"ERROR")</f>
        <v>560</v>
      </c>
      <c r="M15" s="188">
        <f t="shared" si="2"/>
        <v>0.73587385019710905</v>
      </c>
      <c r="N15" s="176">
        <f>IFERROR(VLOOKUP($B15,MMWR_TRAD_AGG_RO_COMP[],N$1,0),"ERROR")</f>
        <v>2050</v>
      </c>
      <c r="O15" s="177">
        <f>IFERROR(VLOOKUP($B15,MMWR_TRAD_AGG_RO_COMP[],O$1,0),"ERROR")</f>
        <v>1553</v>
      </c>
      <c r="P15" s="188">
        <f t="shared" si="3"/>
        <v>0.7575609756097561</v>
      </c>
      <c r="Q15" s="173">
        <f>IFERROR(VLOOKUP($B15,MMWR_TRAD_AGG_RO_COMP[],Q$1,0),"ERROR")</f>
        <v>0</v>
      </c>
      <c r="R15" s="173">
        <f>IFERROR(VLOOKUP($B15,MMWR_TRAD_AGG_RO_COMP[],R$1,0),"ERROR")</f>
        <v>1</v>
      </c>
      <c r="S15" s="173">
        <f>IFERROR(VLOOKUP($B15,MMWR_APP_RO[],S$1,0),"ERROR")</f>
        <v>2607</v>
      </c>
      <c r="T15" s="25"/>
    </row>
    <row r="16" spans="1:20" x14ac:dyDescent="0.2">
      <c r="A16" s="98"/>
      <c r="B16" s="99" t="s">
        <v>66</v>
      </c>
      <c r="C16" s="181">
        <f>IFERROR(VLOOKUP($B16,MMWR_TRAD_AGG_RO_COMP[],C$1,0),"ERROR")</f>
        <v>6129</v>
      </c>
      <c r="D16" s="170">
        <f>IFERROR(VLOOKUP($B16,MMWR_TRAD_AGG_RO_COMP[],D$1,0),"ERROR")</f>
        <v>389.05645292870003</v>
      </c>
      <c r="E16" s="167">
        <f>IFERROR(VLOOKUP($B16,MMWR_TRAD_AGG_RO_COMP[],E$1,0),"ERROR")</f>
        <v>11281</v>
      </c>
      <c r="F16" s="163">
        <f>IFERROR(VLOOKUP($B16,MMWR_TRAD_AGG_RO_COMP[],F$1,0),"ERROR")</f>
        <v>3045</v>
      </c>
      <c r="G16" s="188">
        <f t="shared" si="0"/>
        <v>0.26992287917737789</v>
      </c>
      <c r="H16" s="162">
        <f>IFERROR(VLOOKUP($B16,MMWR_TRAD_AGG_RO_COMP[],H$1,0),"ERROR")</f>
        <v>9274</v>
      </c>
      <c r="I16" s="163">
        <f>IFERROR(VLOOKUP($B16,MMWR_TRAD_AGG_RO_COMP[],I$1,0),"ERROR")</f>
        <v>6654</v>
      </c>
      <c r="J16" s="188">
        <f t="shared" si="1"/>
        <v>0.71748975630795775</v>
      </c>
      <c r="K16" s="176">
        <f>IFERROR(VLOOKUP($B16,MMWR_TRAD_AGG_RO_COMP[],K$1,0),"ERROR")</f>
        <v>2044</v>
      </c>
      <c r="L16" s="177">
        <f>IFERROR(VLOOKUP($B16,MMWR_TRAD_AGG_RO_COMP[],L$1,0),"ERROR")</f>
        <v>976</v>
      </c>
      <c r="M16" s="188">
        <f t="shared" si="2"/>
        <v>0.47749510763209391</v>
      </c>
      <c r="N16" s="176">
        <f>IFERROR(VLOOKUP($B16,MMWR_TRAD_AGG_RO_COMP[],N$1,0),"ERROR")</f>
        <v>7375</v>
      </c>
      <c r="O16" s="177">
        <f>IFERROR(VLOOKUP($B16,MMWR_TRAD_AGG_RO_COMP[],O$1,0),"ERROR")</f>
        <v>6375</v>
      </c>
      <c r="P16" s="188">
        <f t="shared" si="3"/>
        <v>0.86440677966101698</v>
      </c>
      <c r="Q16" s="173">
        <f>IFERROR(VLOOKUP($B16,MMWR_TRAD_AGG_RO_COMP[],Q$1,0),"ERROR")</f>
        <v>13016</v>
      </c>
      <c r="R16" s="173">
        <f>IFERROR(VLOOKUP($B16,MMWR_TRAD_AGG_RO_COMP[],R$1,0),"ERROR")</f>
        <v>0</v>
      </c>
      <c r="S16" s="173">
        <f>IFERROR(VLOOKUP($B16,MMWR_APP_RO[],S$1,0),"ERROR")</f>
        <v>5549</v>
      </c>
      <c r="T16" s="25"/>
    </row>
    <row r="17" spans="1:20" x14ac:dyDescent="0.2">
      <c r="A17" s="98"/>
      <c r="B17" s="99" t="s">
        <v>68</v>
      </c>
      <c r="C17" s="181">
        <f>IFERROR(VLOOKUP($B17,MMWR_TRAD_AGG_RO_COMP[],C$1,0),"ERROR")</f>
        <v>4224</v>
      </c>
      <c r="D17" s="170">
        <f>IFERROR(VLOOKUP($B17,MMWR_TRAD_AGG_RO_COMP[],D$1,0),"ERROR")</f>
        <v>487.84019886359999</v>
      </c>
      <c r="E17" s="167">
        <f>IFERROR(VLOOKUP($B17,MMWR_TRAD_AGG_RO_COMP[],E$1,0),"ERROR")</f>
        <v>5036</v>
      </c>
      <c r="F17" s="163">
        <f>IFERROR(VLOOKUP($B17,MMWR_TRAD_AGG_RO_COMP[],F$1,0),"ERROR")</f>
        <v>1491</v>
      </c>
      <c r="G17" s="188">
        <f t="shared" si="0"/>
        <v>0.29606830818109608</v>
      </c>
      <c r="H17" s="162">
        <f>IFERROR(VLOOKUP($B17,MMWR_TRAD_AGG_RO_COMP[],H$1,0),"ERROR")</f>
        <v>5776</v>
      </c>
      <c r="I17" s="163">
        <f>IFERROR(VLOOKUP($B17,MMWR_TRAD_AGG_RO_COMP[],I$1,0),"ERROR")</f>
        <v>4419</v>
      </c>
      <c r="J17" s="188">
        <f t="shared" si="1"/>
        <v>0.76506232686980613</v>
      </c>
      <c r="K17" s="176">
        <f>IFERROR(VLOOKUP($B17,MMWR_TRAD_AGG_RO_COMP[],K$1,0),"ERROR")</f>
        <v>804</v>
      </c>
      <c r="L17" s="177">
        <f>IFERROR(VLOOKUP($B17,MMWR_TRAD_AGG_RO_COMP[],L$1,0),"ERROR")</f>
        <v>447</v>
      </c>
      <c r="M17" s="188">
        <f t="shared" si="2"/>
        <v>0.55597014925373134</v>
      </c>
      <c r="N17" s="176">
        <f>IFERROR(VLOOKUP($B17,MMWR_TRAD_AGG_RO_COMP[],N$1,0),"ERROR")</f>
        <v>1075</v>
      </c>
      <c r="O17" s="177">
        <f>IFERROR(VLOOKUP($B17,MMWR_TRAD_AGG_RO_COMP[],O$1,0),"ERROR")</f>
        <v>720</v>
      </c>
      <c r="P17" s="188">
        <f t="shared" si="3"/>
        <v>0.66976744186046511</v>
      </c>
      <c r="Q17" s="173">
        <f>IFERROR(VLOOKUP($B17,MMWR_TRAD_AGG_RO_COMP[],Q$1,0),"ERROR")</f>
        <v>0</v>
      </c>
      <c r="R17" s="173">
        <f>IFERROR(VLOOKUP($B17,MMWR_TRAD_AGG_RO_COMP[],R$1,0),"ERROR")</f>
        <v>1</v>
      </c>
      <c r="S17" s="173">
        <f>IFERROR(VLOOKUP($B17,MMWR_APP_RO[],S$1,0),"ERROR")</f>
        <v>5028</v>
      </c>
      <c r="T17" s="25"/>
    </row>
    <row r="18" spans="1:20" x14ac:dyDescent="0.2">
      <c r="A18" s="98"/>
      <c r="B18" s="99" t="s">
        <v>70</v>
      </c>
      <c r="C18" s="181">
        <f>IFERROR(VLOOKUP($B18,MMWR_TRAD_AGG_RO_COMP[],C$1,0),"ERROR")</f>
        <v>945</v>
      </c>
      <c r="D18" s="170">
        <f>IFERROR(VLOOKUP($B18,MMWR_TRAD_AGG_RO_COMP[],D$1,0),"ERROR")</f>
        <v>184.67936507939999</v>
      </c>
      <c r="E18" s="167">
        <f>IFERROR(VLOOKUP($B18,MMWR_TRAD_AGG_RO_COMP[],E$1,0),"ERROR")</f>
        <v>2283</v>
      </c>
      <c r="F18" s="163">
        <f>IFERROR(VLOOKUP($B18,MMWR_TRAD_AGG_RO_COMP[],F$1,0),"ERROR")</f>
        <v>425</v>
      </c>
      <c r="G18" s="188">
        <f t="shared" si="0"/>
        <v>0.18615856329391153</v>
      </c>
      <c r="H18" s="162">
        <f>IFERROR(VLOOKUP($B18,MMWR_TRAD_AGG_RO_COMP[],H$1,0),"ERROR")</f>
        <v>4273</v>
      </c>
      <c r="I18" s="163">
        <f>IFERROR(VLOOKUP($B18,MMWR_TRAD_AGG_RO_COMP[],I$1,0),"ERROR")</f>
        <v>1206</v>
      </c>
      <c r="J18" s="188">
        <f t="shared" si="1"/>
        <v>0.28223730400187225</v>
      </c>
      <c r="K18" s="176">
        <f>IFERROR(VLOOKUP($B18,MMWR_TRAD_AGG_RO_COMP[],K$1,0),"ERROR")</f>
        <v>3323</v>
      </c>
      <c r="L18" s="177">
        <f>IFERROR(VLOOKUP($B18,MMWR_TRAD_AGG_RO_COMP[],L$1,0),"ERROR")</f>
        <v>2453</v>
      </c>
      <c r="M18" s="188">
        <f t="shared" si="2"/>
        <v>0.73818838399037012</v>
      </c>
      <c r="N18" s="176">
        <f>IFERROR(VLOOKUP($B18,MMWR_TRAD_AGG_RO_COMP[],N$1,0),"ERROR")</f>
        <v>440</v>
      </c>
      <c r="O18" s="177">
        <f>IFERROR(VLOOKUP($B18,MMWR_TRAD_AGG_RO_COMP[],O$1,0),"ERROR")</f>
        <v>196</v>
      </c>
      <c r="P18" s="188">
        <f t="shared" si="3"/>
        <v>0.44545454545454544</v>
      </c>
      <c r="Q18" s="173">
        <f>IFERROR(VLOOKUP($B18,MMWR_TRAD_AGG_RO_COMP[],Q$1,0),"ERROR")</f>
        <v>0</v>
      </c>
      <c r="R18" s="173">
        <f>IFERROR(VLOOKUP($B18,MMWR_TRAD_AGG_RO_COMP[],R$1,0),"ERROR")</f>
        <v>0</v>
      </c>
      <c r="S18" s="173">
        <f>IFERROR(VLOOKUP($B18,MMWR_APP_RO[],S$1,0),"ERROR")</f>
        <v>467</v>
      </c>
      <c r="T18" s="25"/>
    </row>
    <row r="19" spans="1:20" x14ac:dyDescent="0.2">
      <c r="A19" s="98"/>
      <c r="B19" s="99" t="s">
        <v>72</v>
      </c>
      <c r="C19" s="181">
        <f>IFERROR(VLOOKUP($B19,MMWR_TRAD_AGG_RO_COMP[],C$1,0),"ERROR")</f>
        <v>14742</v>
      </c>
      <c r="D19" s="170">
        <f>IFERROR(VLOOKUP($B19,MMWR_TRAD_AGG_RO_COMP[],D$1,0),"ERROR")</f>
        <v>457.89072039069998</v>
      </c>
      <c r="E19" s="167">
        <f>IFERROR(VLOOKUP($B19,MMWR_TRAD_AGG_RO_COMP[],E$1,0),"ERROR")</f>
        <v>11981</v>
      </c>
      <c r="F19" s="163">
        <f>IFERROR(VLOOKUP($B19,MMWR_TRAD_AGG_RO_COMP[],F$1,0),"ERROR")</f>
        <v>2673</v>
      </c>
      <c r="G19" s="188">
        <f t="shared" si="0"/>
        <v>0.22310324680744512</v>
      </c>
      <c r="H19" s="162">
        <f>IFERROR(VLOOKUP($B19,MMWR_TRAD_AGG_RO_COMP[],H$1,0),"ERROR")</f>
        <v>16707</v>
      </c>
      <c r="I19" s="163">
        <f>IFERROR(VLOOKUP($B19,MMWR_TRAD_AGG_RO_COMP[],I$1,0),"ERROR")</f>
        <v>11800</v>
      </c>
      <c r="J19" s="188">
        <f t="shared" si="1"/>
        <v>0.70629077632130244</v>
      </c>
      <c r="K19" s="176">
        <f>IFERROR(VLOOKUP($B19,MMWR_TRAD_AGG_RO_COMP[],K$1,0),"ERROR")</f>
        <v>7439</v>
      </c>
      <c r="L19" s="177">
        <f>IFERROR(VLOOKUP($B19,MMWR_TRAD_AGG_RO_COMP[],L$1,0),"ERROR")</f>
        <v>5592</v>
      </c>
      <c r="M19" s="188">
        <f t="shared" si="2"/>
        <v>0.75171394004570502</v>
      </c>
      <c r="N19" s="176">
        <f>IFERROR(VLOOKUP($B19,MMWR_TRAD_AGG_RO_COMP[],N$1,0),"ERROR")</f>
        <v>4448</v>
      </c>
      <c r="O19" s="177">
        <f>IFERROR(VLOOKUP($B19,MMWR_TRAD_AGG_RO_COMP[],O$1,0),"ERROR")</f>
        <v>3708</v>
      </c>
      <c r="P19" s="188">
        <f t="shared" si="3"/>
        <v>0.83363309352517989</v>
      </c>
      <c r="Q19" s="173">
        <f>IFERROR(VLOOKUP($B19,MMWR_TRAD_AGG_RO_COMP[],Q$1,0),"ERROR")</f>
        <v>5</v>
      </c>
      <c r="R19" s="173">
        <f>IFERROR(VLOOKUP($B19,MMWR_TRAD_AGG_RO_COMP[],R$1,0),"ERROR")</f>
        <v>4</v>
      </c>
      <c r="S19" s="173">
        <f>IFERROR(VLOOKUP($B19,MMWR_APP_RO[],S$1,0),"ERROR")</f>
        <v>15280</v>
      </c>
      <c r="T19" s="25"/>
    </row>
    <row r="20" spans="1:20" x14ac:dyDescent="0.2">
      <c r="A20" s="98"/>
      <c r="B20" s="99" t="s">
        <v>81</v>
      </c>
      <c r="C20" s="181">
        <f>IFERROR(VLOOKUP($B20,MMWR_TRAD_AGG_RO_COMP[],C$1,0),"ERROR")</f>
        <v>1495</v>
      </c>
      <c r="D20" s="170">
        <f>IFERROR(VLOOKUP($B20,MMWR_TRAD_AGG_RO_COMP[],D$1,0),"ERROR")</f>
        <v>258.81672240799998</v>
      </c>
      <c r="E20" s="167">
        <f>IFERROR(VLOOKUP($B20,MMWR_TRAD_AGG_RO_COMP[],E$1,0),"ERROR")</f>
        <v>1163</v>
      </c>
      <c r="F20" s="163">
        <f>IFERROR(VLOOKUP($B20,MMWR_TRAD_AGG_RO_COMP[],F$1,0),"ERROR")</f>
        <v>143</v>
      </c>
      <c r="G20" s="188">
        <f t="shared" si="0"/>
        <v>0.12295786758383491</v>
      </c>
      <c r="H20" s="162">
        <f>IFERROR(VLOOKUP($B20,MMWR_TRAD_AGG_RO_COMP[],H$1,0),"ERROR")</f>
        <v>2225</v>
      </c>
      <c r="I20" s="163">
        <f>IFERROR(VLOOKUP($B20,MMWR_TRAD_AGG_RO_COMP[],I$1,0),"ERROR")</f>
        <v>1369</v>
      </c>
      <c r="J20" s="188">
        <f t="shared" si="1"/>
        <v>0.61528089887640447</v>
      </c>
      <c r="K20" s="176">
        <f>IFERROR(VLOOKUP($B20,MMWR_TRAD_AGG_RO_COMP[],K$1,0),"ERROR")</f>
        <v>1316</v>
      </c>
      <c r="L20" s="177">
        <f>IFERROR(VLOOKUP($B20,MMWR_TRAD_AGG_RO_COMP[],L$1,0),"ERROR")</f>
        <v>887</v>
      </c>
      <c r="M20" s="188">
        <f t="shared" si="2"/>
        <v>0.67401215805471126</v>
      </c>
      <c r="N20" s="176">
        <f>IFERROR(VLOOKUP($B20,MMWR_TRAD_AGG_RO_COMP[],N$1,0),"ERROR")</f>
        <v>396</v>
      </c>
      <c r="O20" s="177">
        <f>IFERROR(VLOOKUP($B20,MMWR_TRAD_AGG_RO_COMP[],O$1,0),"ERROR")</f>
        <v>196</v>
      </c>
      <c r="P20" s="188">
        <f t="shared" si="3"/>
        <v>0.49494949494949497</v>
      </c>
      <c r="Q20" s="173">
        <f>IFERROR(VLOOKUP($B20,MMWR_TRAD_AGG_RO_COMP[],Q$1,0),"ERROR")</f>
        <v>1</v>
      </c>
      <c r="R20" s="173">
        <f>IFERROR(VLOOKUP($B20,MMWR_TRAD_AGG_RO_COMP[],R$1,0),"ERROR")</f>
        <v>0</v>
      </c>
      <c r="S20" s="173">
        <f>IFERROR(VLOOKUP($B20,MMWR_APP_RO[],S$1,0),"ERROR")</f>
        <v>419</v>
      </c>
      <c r="T20" s="25"/>
    </row>
    <row r="21" spans="1:20" x14ac:dyDescent="0.2">
      <c r="A21" s="98"/>
      <c r="B21" s="99" t="s">
        <v>426</v>
      </c>
      <c r="C21" s="181">
        <f>IFERROR(VLOOKUP($B21,MMWR_TRAD_AGG_RO_COMP[],C$1,0),"ERROR")</f>
        <v>33086</v>
      </c>
      <c r="D21" s="170">
        <f>IFERROR(VLOOKUP($B21,MMWR_TRAD_AGG_RO_COMP[],D$1,0),"ERROR")</f>
        <v>555.43136069640002</v>
      </c>
      <c r="E21" s="167">
        <f>IFERROR(VLOOKUP($B21,MMWR_TRAD_AGG_RO_COMP[],E$1,0),"ERROR")</f>
        <v>1367</v>
      </c>
      <c r="F21" s="163">
        <f>IFERROR(VLOOKUP($B21,MMWR_TRAD_AGG_RO_COMP[],F$1,0),"ERROR")</f>
        <v>533</v>
      </c>
      <c r="G21" s="188">
        <f t="shared" si="0"/>
        <v>0.38990490124359911</v>
      </c>
      <c r="H21" s="162">
        <f>IFERROR(VLOOKUP($B21,MMWR_TRAD_AGG_RO_COMP[],H$1,0),"ERROR")</f>
        <v>33568</v>
      </c>
      <c r="I21" s="163">
        <f>IFERROR(VLOOKUP($B21,MMWR_TRAD_AGG_RO_COMP[],I$1,0),"ERROR")</f>
        <v>32680</v>
      </c>
      <c r="J21" s="188">
        <f t="shared" si="1"/>
        <v>0.9735462345090562</v>
      </c>
      <c r="K21" s="176">
        <f>IFERROR(VLOOKUP($B21,MMWR_TRAD_AGG_RO_COMP[],K$1,0),"ERROR")</f>
        <v>1082</v>
      </c>
      <c r="L21" s="177">
        <f>IFERROR(VLOOKUP($B21,MMWR_TRAD_AGG_RO_COMP[],L$1,0),"ERROR")</f>
        <v>647</v>
      </c>
      <c r="M21" s="188">
        <f t="shared" si="2"/>
        <v>0.5979667282809612</v>
      </c>
      <c r="N21" s="176">
        <f>IFERROR(VLOOKUP($B21,MMWR_TRAD_AGG_RO_COMP[],N$1,0),"ERROR")</f>
        <v>1384</v>
      </c>
      <c r="O21" s="177">
        <f>IFERROR(VLOOKUP($B21,MMWR_TRAD_AGG_RO_COMP[],O$1,0),"ERROR")</f>
        <v>1242</v>
      </c>
      <c r="P21" s="188">
        <f t="shared" si="3"/>
        <v>0.89739884393063585</v>
      </c>
      <c r="Q21" s="173">
        <f>IFERROR(VLOOKUP($B21,MMWR_TRAD_AGG_RO_COMP[],Q$1,0),"ERROR")</f>
        <v>0</v>
      </c>
      <c r="R21" s="173">
        <f>IFERROR(VLOOKUP($B21,MMWR_TRAD_AGG_RO_COMP[],R$1,0),"ERROR")</f>
        <v>0</v>
      </c>
      <c r="S21" s="173">
        <f>IFERROR(VLOOKUP($B21,MMWR_APP_RO[],S$1,0),"ERROR")</f>
        <v>20</v>
      </c>
      <c r="T21" s="25"/>
    </row>
    <row r="22" spans="1:20" x14ac:dyDescent="0.2">
      <c r="A22" s="98"/>
      <c r="B22" s="99" t="s">
        <v>138</v>
      </c>
      <c r="C22" s="181">
        <f>IFERROR(VLOOKUP($B22,MMWR_TRAD_AGG_RO_COMP[],C$1,0),"ERROR")</f>
        <v>417</v>
      </c>
      <c r="D22" s="170">
        <f>IFERROR(VLOOKUP($B22,MMWR_TRAD_AGG_RO_COMP[],D$1,0),"ERROR")</f>
        <v>352.99040767389999</v>
      </c>
      <c r="E22" s="167">
        <f>IFERROR(VLOOKUP($B22,MMWR_TRAD_AGG_RO_COMP[],E$1,0),"ERROR")</f>
        <v>499</v>
      </c>
      <c r="F22" s="163">
        <f>IFERROR(VLOOKUP($B22,MMWR_TRAD_AGG_RO_COMP[],F$1,0),"ERROR")</f>
        <v>118</v>
      </c>
      <c r="G22" s="188">
        <f t="shared" si="0"/>
        <v>0.23647294589178355</v>
      </c>
      <c r="H22" s="162">
        <f>IFERROR(VLOOKUP($B22,MMWR_TRAD_AGG_RO_COMP[],H$1,0),"ERROR")</f>
        <v>640</v>
      </c>
      <c r="I22" s="163">
        <f>IFERROR(VLOOKUP($B22,MMWR_TRAD_AGG_RO_COMP[],I$1,0),"ERROR")</f>
        <v>431</v>
      </c>
      <c r="J22" s="188">
        <f t="shared" si="1"/>
        <v>0.67343750000000002</v>
      </c>
      <c r="K22" s="176">
        <f>IFERROR(VLOOKUP($B22,MMWR_TRAD_AGG_RO_COMP[],K$1,0),"ERROR")</f>
        <v>101</v>
      </c>
      <c r="L22" s="177">
        <f>IFERROR(VLOOKUP($B22,MMWR_TRAD_AGG_RO_COMP[],L$1,0),"ERROR")</f>
        <v>67</v>
      </c>
      <c r="M22" s="188">
        <f t="shared" si="2"/>
        <v>0.6633663366336634</v>
      </c>
      <c r="N22" s="176">
        <f>IFERROR(VLOOKUP($B22,MMWR_TRAD_AGG_RO_COMP[],N$1,0),"ERROR")</f>
        <v>116</v>
      </c>
      <c r="O22" s="177">
        <f>IFERROR(VLOOKUP($B22,MMWR_TRAD_AGG_RO_COMP[],O$1,0),"ERROR")</f>
        <v>62</v>
      </c>
      <c r="P22" s="188">
        <f t="shared" si="3"/>
        <v>0.53448275862068961</v>
      </c>
      <c r="Q22" s="173">
        <f>IFERROR(VLOOKUP($B22,MMWR_TRAD_AGG_RO_COMP[],Q$1,0),"ERROR")</f>
        <v>0</v>
      </c>
      <c r="R22" s="173">
        <f>IFERROR(VLOOKUP($B22,MMWR_TRAD_AGG_RO_COMP[],R$1,0),"ERROR")</f>
        <v>1</v>
      </c>
      <c r="S22" s="173">
        <f>IFERROR(VLOOKUP($B22,MMWR_APP_RO[],S$1,0),"ERROR")</f>
        <v>118</v>
      </c>
      <c r="T22" s="25"/>
    </row>
    <row r="23" spans="1:20" x14ac:dyDescent="0.2">
      <c r="A23" s="98"/>
      <c r="B23" s="99" t="s">
        <v>85</v>
      </c>
      <c r="C23" s="181">
        <f>IFERROR(VLOOKUP($B23,MMWR_TRAD_AGG_RO_COMP[],C$1,0),"ERROR")</f>
        <v>622</v>
      </c>
      <c r="D23" s="170">
        <f>IFERROR(VLOOKUP($B23,MMWR_TRAD_AGG_RO_COMP[],D$1,0),"ERROR")</f>
        <v>378.8247588424</v>
      </c>
      <c r="E23" s="167">
        <f>IFERROR(VLOOKUP($B23,MMWR_TRAD_AGG_RO_COMP[],E$1,0),"ERROR")</f>
        <v>697</v>
      </c>
      <c r="F23" s="163">
        <f>IFERROR(VLOOKUP($B23,MMWR_TRAD_AGG_RO_COMP[],F$1,0),"ERROR")</f>
        <v>220</v>
      </c>
      <c r="G23" s="188">
        <f t="shared" si="0"/>
        <v>0.31563845050215206</v>
      </c>
      <c r="H23" s="162">
        <f>IFERROR(VLOOKUP($B23,MMWR_TRAD_AGG_RO_COMP[],H$1,0),"ERROR")</f>
        <v>701</v>
      </c>
      <c r="I23" s="163">
        <f>IFERROR(VLOOKUP($B23,MMWR_TRAD_AGG_RO_COMP[],I$1,0),"ERROR")</f>
        <v>540</v>
      </c>
      <c r="J23" s="188">
        <f t="shared" si="1"/>
        <v>0.77032810271041374</v>
      </c>
      <c r="K23" s="176">
        <f>IFERROR(VLOOKUP($B23,MMWR_TRAD_AGG_RO_COMP[],K$1,0),"ERROR")</f>
        <v>53</v>
      </c>
      <c r="L23" s="177">
        <f>IFERROR(VLOOKUP($B23,MMWR_TRAD_AGG_RO_COMP[],L$1,0),"ERROR")</f>
        <v>15</v>
      </c>
      <c r="M23" s="188">
        <f t="shared" si="2"/>
        <v>0.28301886792452829</v>
      </c>
      <c r="N23" s="176">
        <f>IFERROR(VLOOKUP($B23,MMWR_TRAD_AGG_RO_COMP[],N$1,0),"ERROR")</f>
        <v>127</v>
      </c>
      <c r="O23" s="177">
        <f>IFERROR(VLOOKUP($B23,MMWR_TRAD_AGG_RO_COMP[],O$1,0),"ERROR")</f>
        <v>66</v>
      </c>
      <c r="P23" s="188">
        <f t="shared" si="3"/>
        <v>0.51968503937007871</v>
      </c>
      <c r="Q23" s="173">
        <f>IFERROR(VLOOKUP($B23,MMWR_TRAD_AGG_RO_COMP[],Q$1,0),"ERROR")</f>
        <v>0</v>
      </c>
      <c r="R23" s="173">
        <f>IFERROR(VLOOKUP($B23,MMWR_TRAD_AGG_RO_COMP[],R$1,0),"ERROR")</f>
        <v>0</v>
      </c>
      <c r="S23" s="173">
        <f>IFERROR(VLOOKUP($B23,MMWR_APP_RO[],S$1,0),"ERROR")</f>
        <v>187</v>
      </c>
      <c r="T23" s="25"/>
    </row>
    <row r="24" spans="1:20" x14ac:dyDescent="0.2">
      <c r="A24" s="83"/>
      <c r="B24" s="107" t="s">
        <v>86</v>
      </c>
      <c r="C24" s="182">
        <f>IFERROR(VLOOKUP($B24,MMWR_TRAD_AGG_RO_COMP[],C$1,0),"ERROR")</f>
        <v>17884</v>
      </c>
      <c r="D24" s="171">
        <f>IFERROR(VLOOKUP($B24,MMWR_TRAD_AGG_RO_COMP[],D$1,0),"ERROR")</f>
        <v>337.08594274209997</v>
      </c>
      <c r="E24" s="168">
        <f>IFERROR(VLOOKUP($B24,MMWR_TRAD_AGG_RO_COMP[],E$1,0),"ERROR")</f>
        <v>18147</v>
      </c>
      <c r="F24" s="165">
        <f>IFERROR(VLOOKUP($B24,MMWR_TRAD_AGG_RO_COMP[],F$1,0),"ERROR")</f>
        <v>5078</v>
      </c>
      <c r="G24" s="189">
        <f t="shared" si="0"/>
        <v>0.27982586653441338</v>
      </c>
      <c r="H24" s="164">
        <f>IFERROR(VLOOKUP($B24,MMWR_TRAD_AGG_RO_COMP[],H$1,0),"ERROR")</f>
        <v>30780</v>
      </c>
      <c r="I24" s="165">
        <f>IFERROR(VLOOKUP($B24,MMWR_TRAD_AGG_RO_COMP[],I$1,0),"ERROR")</f>
        <v>19231</v>
      </c>
      <c r="J24" s="189">
        <f t="shared" si="1"/>
        <v>0.62478882391163093</v>
      </c>
      <c r="K24" s="178">
        <f>IFERROR(VLOOKUP($B24,MMWR_TRAD_AGG_RO_COMP[],K$1,0),"ERROR")</f>
        <v>10998</v>
      </c>
      <c r="L24" s="179">
        <f>IFERROR(VLOOKUP($B24,MMWR_TRAD_AGG_RO_COMP[],L$1,0),"ERROR")</f>
        <v>7102</v>
      </c>
      <c r="M24" s="189">
        <f t="shared" si="2"/>
        <v>0.64575377341334783</v>
      </c>
      <c r="N24" s="178">
        <f>IFERROR(VLOOKUP($B24,MMWR_TRAD_AGG_RO_COMP[],N$1,0),"ERROR")</f>
        <v>4146</v>
      </c>
      <c r="O24" s="179">
        <f>IFERROR(VLOOKUP($B24,MMWR_TRAD_AGG_RO_COMP[],O$1,0),"ERROR")</f>
        <v>2711</v>
      </c>
      <c r="P24" s="189">
        <f t="shared" si="3"/>
        <v>0.65388326097443317</v>
      </c>
      <c r="Q24" s="174">
        <f>IFERROR(VLOOKUP($B24,MMWR_TRAD_AGG_RO_COMP[],Q$1,0),"ERROR")</f>
        <v>0</v>
      </c>
      <c r="R24" s="174">
        <f>IFERROR(VLOOKUP($B24,MMWR_TRAD_AGG_RO_COMP[],R$1,0),"ERROR")</f>
        <v>16</v>
      </c>
      <c r="S24" s="173">
        <f>IFERROR(VLOOKUP($B24,MMWR_APP_RO[],S$1,0),"ERROR")</f>
        <v>9115</v>
      </c>
      <c r="T24" s="25"/>
    </row>
    <row r="25" spans="1:20" x14ac:dyDescent="0.2">
      <c r="A25" s="98"/>
      <c r="B25" s="92" t="s">
        <v>386</v>
      </c>
      <c r="C25" s="184">
        <f>IFERROR(VLOOKUP($B25,MMWR_TRAD_AGG_DISTRICT_COMP[],C$1,0),"ERROR")</f>
        <v>39411</v>
      </c>
      <c r="D25" s="169">
        <f>IFERROR(VLOOKUP($B25,MMWR_TRAD_AGG_DISTRICT_COMP[],D$1,0),"ERROR")</f>
        <v>349.81819796500002</v>
      </c>
      <c r="E25" s="185">
        <f>IFERROR(VLOOKUP($B25,MMWR_TRAD_AGG_DISTRICT_COMP[],E$1,0),"ERROR")</f>
        <v>56292</v>
      </c>
      <c r="F25" s="190">
        <f>IFERROR(VLOOKUP($B25,MMWR_TRAD_AGG_DISTRICT_COMP[],F$1,0),"ERROR")</f>
        <v>11984</v>
      </c>
      <c r="G25" s="186">
        <f t="shared" si="0"/>
        <v>0.2128899310736872</v>
      </c>
      <c r="H25" s="190">
        <f>IFERROR(VLOOKUP($B25,MMWR_TRAD_AGG_DISTRICT_COMP[],H$1,0),"ERROR")</f>
        <v>66534</v>
      </c>
      <c r="I25" s="190">
        <f>IFERROR(VLOOKUP($B25,MMWR_TRAD_AGG_DISTRICT_COMP[],I$1,0),"ERROR")</f>
        <v>36277</v>
      </c>
      <c r="J25" s="186">
        <f t="shared" si="1"/>
        <v>0.54524002765503354</v>
      </c>
      <c r="K25" s="184">
        <f>IFERROR(VLOOKUP($B25,MMWR_TRAD_AGG_DISTRICT_COMP[],K$1,0),"ERROR")</f>
        <v>14092</v>
      </c>
      <c r="L25" s="184">
        <f>IFERROR(VLOOKUP($B25,MMWR_TRAD_AGG_DISTRICT_COMP[],L$1,0),"ERROR")</f>
        <v>8636</v>
      </c>
      <c r="M25" s="186">
        <f t="shared" si="2"/>
        <v>0.61282997445359066</v>
      </c>
      <c r="N25" s="184">
        <f>IFERROR(VLOOKUP($B25,MMWR_TRAD_AGG_DISTRICT_COMP[],N$1,0),"ERROR")</f>
        <v>18659</v>
      </c>
      <c r="O25" s="184">
        <f>IFERROR(VLOOKUP($B25,MMWR_TRAD_AGG_DISTRICT_COMP[],O$1,0),"ERROR")</f>
        <v>10958</v>
      </c>
      <c r="P25" s="186">
        <f t="shared" si="3"/>
        <v>0.58727691730532183</v>
      </c>
      <c r="Q25" s="184">
        <f>IFERROR(VLOOKUP($B25,MMWR_TRAD_AGG_DISTRICT_COMP[],Q$1,0),"ERROR")</f>
        <v>5888</v>
      </c>
      <c r="R25" s="187">
        <f>IFERROR(VLOOKUP($B25,MMWR_TRAD_AGG_DISTRICT_COMP[],R$1,0),"ERROR")</f>
        <v>1040</v>
      </c>
      <c r="S25" s="187">
        <f>IFERROR(VLOOKUP($B25,MMWR_APP_RO[],S$1,0),"ERROR")</f>
        <v>51709</v>
      </c>
      <c r="T25" s="25"/>
    </row>
    <row r="26" spans="1:20" x14ac:dyDescent="0.2">
      <c r="A26" s="98"/>
      <c r="B26" s="99" t="s">
        <v>40</v>
      </c>
      <c r="C26" s="181">
        <f>IFERROR(VLOOKUP($B26,MMWR_TRAD_AGG_RO_COMP[],C$1,0),"ERROR")</f>
        <v>5926</v>
      </c>
      <c r="D26" s="170">
        <f>IFERROR(VLOOKUP($B26,MMWR_TRAD_AGG_RO_COMP[],D$1,0),"ERROR")</f>
        <v>506.78754640570003</v>
      </c>
      <c r="E26" s="167">
        <f>IFERROR(VLOOKUP($B26,MMWR_TRAD_AGG_RO_COMP[],E$1,0),"ERROR")</f>
        <v>6682</v>
      </c>
      <c r="F26" s="163">
        <f>IFERROR(VLOOKUP($B26,MMWR_TRAD_AGG_RO_COMP[],F$1,0),"ERROR")</f>
        <v>1737</v>
      </c>
      <c r="G26" s="188">
        <f t="shared" si="0"/>
        <v>0.2599521101466627</v>
      </c>
      <c r="H26" s="162">
        <f>IFERROR(VLOOKUP($B26,MMWR_TRAD_AGG_RO_COMP[],H$1,0),"ERROR")</f>
        <v>7392</v>
      </c>
      <c r="I26" s="163">
        <f>IFERROR(VLOOKUP($B26,MMWR_TRAD_AGG_RO_COMP[],I$1,0),"ERROR")</f>
        <v>5587</v>
      </c>
      <c r="J26" s="188">
        <f t="shared" si="1"/>
        <v>0.75581709956709953</v>
      </c>
      <c r="K26" s="176">
        <f>IFERROR(VLOOKUP($B26,MMWR_TRAD_AGG_RO_COMP[],K$1,0),"ERROR")</f>
        <v>1787</v>
      </c>
      <c r="L26" s="177">
        <f>IFERROR(VLOOKUP($B26,MMWR_TRAD_AGG_RO_COMP[],L$1,0),"ERROR")</f>
        <v>1496</v>
      </c>
      <c r="M26" s="188">
        <f t="shared" si="2"/>
        <v>0.83715724678231673</v>
      </c>
      <c r="N26" s="176">
        <f>IFERROR(VLOOKUP($B26,MMWR_TRAD_AGG_RO_COMP[],N$1,0),"ERROR")</f>
        <v>1157</v>
      </c>
      <c r="O26" s="177">
        <f>IFERROR(VLOOKUP($B26,MMWR_TRAD_AGG_RO_COMP[],O$1,0),"ERROR")</f>
        <v>662</v>
      </c>
      <c r="P26" s="188">
        <f t="shared" si="3"/>
        <v>0.57216940363007773</v>
      </c>
      <c r="Q26" s="173">
        <f>IFERROR(VLOOKUP($B26,MMWR_TRAD_AGG_RO_COMP[],Q$1,0),"ERROR")</f>
        <v>0</v>
      </c>
      <c r="R26" s="173">
        <f>IFERROR(VLOOKUP($B26,MMWR_TRAD_AGG_RO_COMP[],R$1,0),"ERROR")</f>
        <v>214</v>
      </c>
      <c r="S26" s="173">
        <f>IFERROR(VLOOKUP($B26,MMWR_APP_RO[],S$1,0),"ERROR")</f>
        <v>8210</v>
      </c>
      <c r="T26" s="25"/>
    </row>
    <row r="27" spans="1:20" x14ac:dyDescent="0.2">
      <c r="A27" s="98"/>
      <c r="B27" s="99" t="s">
        <v>41</v>
      </c>
      <c r="C27" s="181">
        <f>IFERROR(VLOOKUP($B27,MMWR_TRAD_AGG_RO_COMP[],C$1,0),"ERROR")</f>
        <v>5535</v>
      </c>
      <c r="D27" s="170">
        <f>IFERROR(VLOOKUP($B27,MMWR_TRAD_AGG_RO_COMP[],D$1,0),"ERROR")</f>
        <v>412.5208672087</v>
      </c>
      <c r="E27" s="167">
        <f>IFERROR(VLOOKUP($B27,MMWR_TRAD_AGG_RO_COMP[],E$1,0),"ERROR")</f>
        <v>8195</v>
      </c>
      <c r="F27" s="163">
        <f>IFERROR(VLOOKUP($B27,MMWR_TRAD_AGG_RO_COMP[],F$1,0),"ERROR")</f>
        <v>2200</v>
      </c>
      <c r="G27" s="188">
        <f t="shared" si="0"/>
        <v>0.26845637583892618</v>
      </c>
      <c r="H27" s="162">
        <f>IFERROR(VLOOKUP($B27,MMWR_TRAD_AGG_RO_COMP[],H$1,0),"ERROR")</f>
        <v>7827</v>
      </c>
      <c r="I27" s="163">
        <f>IFERROR(VLOOKUP($B27,MMWR_TRAD_AGG_RO_COMP[],I$1,0),"ERROR")</f>
        <v>4988</v>
      </c>
      <c r="J27" s="188">
        <f t="shared" si="1"/>
        <v>0.63728120608151273</v>
      </c>
      <c r="K27" s="176">
        <f>IFERROR(VLOOKUP($B27,MMWR_TRAD_AGG_RO_COMP[],K$1,0),"ERROR")</f>
        <v>1606</v>
      </c>
      <c r="L27" s="177">
        <f>IFERROR(VLOOKUP($B27,MMWR_TRAD_AGG_RO_COMP[],L$1,0),"ERROR")</f>
        <v>811</v>
      </c>
      <c r="M27" s="188">
        <f t="shared" si="2"/>
        <v>0.50498132004981322</v>
      </c>
      <c r="N27" s="176">
        <f>IFERROR(VLOOKUP($B27,MMWR_TRAD_AGG_RO_COMP[],N$1,0),"ERROR")</f>
        <v>3183</v>
      </c>
      <c r="O27" s="177">
        <f>IFERROR(VLOOKUP($B27,MMWR_TRAD_AGG_RO_COMP[],O$1,0),"ERROR")</f>
        <v>2153</v>
      </c>
      <c r="P27" s="188">
        <f t="shared" si="3"/>
        <v>0.67640590637763121</v>
      </c>
      <c r="Q27" s="173">
        <f>IFERROR(VLOOKUP($B27,MMWR_TRAD_AGG_RO_COMP[],Q$1,0),"ERROR")</f>
        <v>0</v>
      </c>
      <c r="R27" s="173">
        <f>IFERROR(VLOOKUP($B27,MMWR_TRAD_AGG_RO_COMP[],R$1,0),"ERROR")</f>
        <v>325</v>
      </c>
      <c r="S27" s="173">
        <f>IFERROR(VLOOKUP($B27,MMWR_APP_RO[],S$1,0),"ERROR")</f>
        <v>13634</v>
      </c>
      <c r="T27" s="25"/>
    </row>
    <row r="28" spans="1:20" x14ac:dyDescent="0.2">
      <c r="A28" s="98"/>
      <c r="B28" s="99" t="s">
        <v>44</v>
      </c>
      <c r="C28" s="181">
        <f>IFERROR(VLOOKUP($B28,MMWR_TRAD_AGG_RO_COMP[],C$1,0),"ERROR")</f>
        <v>1072</v>
      </c>
      <c r="D28" s="170">
        <f>IFERROR(VLOOKUP($B28,MMWR_TRAD_AGG_RO_COMP[],D$1,0),"ERROR")</f>
        <v>135.73227611940001</v>
      </c>
      <c r="E28" s="167">
        <f>IFERROR(VLOOKUP($B28,MMWR_TRAD_AGG_RO_COMP[],E$1,0),"ERROR")</f>
        <v>2242</v>
      </c>
      <c r="F28" s="163">
        <f>IFERROR(VLOOKUP($B28,MMWR_TRAD_AGG_RO_COMP[],F$1,0),"ERROR")</f>
        <v>386</v>
      </c>
      <c r="G28" s="188">
        <f t="shared" si="0"/>
        <v>0.17216770740410348</v>
      </c>
      <c r="H28" s="162">
        <f>IFERROR(VLOOKUP($B28,MMWR_TRAD_AGG_RO_COMP[],H$1,0),"ERROR")</f>
        <v>1652</v>
      </c>
      <c r="I28" s="163">
        <f>IFERROR(VLOOKUP($B28,MMWR_TRAD_AGG_RO_COMP[],I$1,0),"ERROR")</f>
        <v>694</v>
      </c>
      <c r="J28" s="188">
        <f t="shared" si="1"/>
        <v>0.42009685230024213</v>
      </c>
      <c r="K28" s="176">
        <f>IFERROR(VLOOKUP($B28,MMWR_TRAD_AGG_RO_COMP[],K$1,0),"ERROR")</f>
        <v>322</v>
      </c>
      <c r="L28" s="177">
        <f>IFERROR(VLOOKUP($B28,MMWR_TRAD_AGG_RO_COMP[],L$1,0),"ERROR")</f>
        <v>93</v>
      </c>
      <c r="M28" s="188">
        <f t="shared" si="2"/>
        <v>0.28881987577639751</v>
      </c>
      <c r="N28" s="176">
        <f>IFERROR(VLOOKUP($B28,MMWR_TRAD_AGG_RO_COMP[],N$1,0),"ERROR")</f>
        <v>340</v>
      </c>
      <c r="O28" s="177">
        <f>IFERROR(VLOOKUP($B28,MMWR_TRAD_AGG_RO_COMP[],O$1,0),"ERROR")</f>
        <v>172</v>
      </c>
      <c r="P28" s="188">
        <f t="shared" si="3"/>
        <v>0.50588235294117645</v>
      </c>
      <c r="Q28" s="173">
        <f>IFERROR(VLOOKUP($B28,MMWR_TRAD_AGG_RO_COMP[],Q$1,0),"ERROR")</f>
        <v>0</v>
      </c>
      <c r="R28" s="173">
        <f>IFERROR(VLOOKUP($B28,MMWR_TRAD_AGG_RO_COMP[],R$1,0),"ERROR")</f>
        <v>6</v>
      </c>
      <c r="S28" s="173">
        <f>IFERROR(VLOOKUP($B28,MMWR_APP_RO[],S$1,0),"ERROR")</f>
        <v>1234</v>
      </c>
      <c r="T28" s="25"/>
    </row>
    <row r="29" spans="1:20" x14ac:dyDescent="0.2">
      <c r="A29" s="98"/>
      <c r="B29" s="99" t="s">
        <v>45</v>
      </c>
      <c r="C29" s="181">
        <f>IFERROR(VLOOKUP($B29,MMWR_TRAD_AGG_RO_COMP[],C$1,0),"ERROR")</f>
        <v>3360</v>
      </c>
      <c r="D29" s="170">
        <f>IFERROR(VLOOKUP($B29,MMWR_TRAD_AGG_RO_COMP[],D$1,0),"ERROR")</f>
        <v>279.00625000000002</v>
      </c>
      <c r="E29" s="167">
        <f>IFERROR(VLOOKUP($B29,MMWR_TRAD_AGG_RO_COMP[],E$1,0),"ERROR")</f>
        <v>6790</v>
      </c>
      <c r="F29" s="163">
        <f>IFERROR(VLOOKUP($B29,MMWR_TRAD_AGG_RO_COMP[],F$1,0),"ERROR")</f>
        <v>1736</v>
      </c>
      <c r="G29" s="188">
        <f t="shared" si="0"/>
        <v>0.25567010309278349</v>
      </c>
      <c r="H29" s="162">
        <f>IFERROR(VLOOKUP($B29,MMWR_TRAD_AGG_RO_COMP[],H$1,0),"ERROR")</f>
        <v>7429</v>
      </c>
      <c r="I29" s="163">
        <f>IFERROR(VLOOKUP($B29,MMWR_TRAD_AGG_RO_COMP[],I$1,0),"ERROR")</f>
        <v>3772</v>
      </c>
      <c r="J29" s="188">
        <f t="shared" si="1"/>
        <v>0.50773993808049533</v>
      </c>
      <c r="K29" s="176">
        <f>IFERROR(VLOOKUP($B29,MMWR_TRAD_AGG_RO_COMP[],K$1,0),"ERROR")</f>
        <v>1481</v>
      </c>
      <c r="L29" s="177">
        <f>IFERROR(VLOOKUP($B29,MMWR_TRAD_AGG_RO_COMP[],L$1,0),"ERROR")</f>
        <v>1045</v>
      </c>
      <c r="M29" s="188">
        <f t="shared" si="2"/>
        <v>0.7056043214044565</v>
      </c>
      <c r="N29" s="176">
        <f>IFERROR(VLOOKUP($B29,MMWR_TRAD_AGG_RO_COMP[],N$1,0),"ERROR")</f>
        <v>3736</v>
      </c>
      <c r="O29" s="177">
        <f>IFERROR(VLOOKUP($B29,MMWR_TRAD_AGG_RO_COMP[],O$1,0),"ERROR")</f>
        <v>427</v>
      </c>
      <c r="P29" s="188">
        <f t="shared" si="3"/>
        <v>0.11429336188436831</v>
      </c>
      <c r="Q29" s="173">
        <f>IFERROR(VLOOKUP($B29,MMWR_TRAD_AGG_RO_COMP[],Q$1,0),"ERROR")</f>
        <v>2</v>
      </c>
      <c r="R29" s="173">
        <f>IFERROR(VLOOKUP($B29,MMWR_TRAD_AGG_RO_COMP[],R$1,0),"ERROR")</f>
        <v>201</v>
      </c>
      <c r="S29" s="173">
        <f>IFERROR(VLOOKUP($B29,MMWR_APP_RO[],S$1,0),"ERROR")</f>
        <v>5565</v>
      </c>
      <c r="T29" s="25"/>
    </row>
    <row r="30" spans="1:20" x14ac:dyDescent="0.2">
      <c r="A30" s="98"/>
      <c r="B30" s="99" t="s">
        <v>46</v>
      </c>
      <c r="C30" s="181">
        <f>IFERROR(VLOOKUP($B30,MMWR_TRAD_AGG_RO_COMP[],C$1,0),"ERROR")</f>
        <v>87</v>
      </c>
      <c r="D30" s="170">
        <f>IFERROR(VLOOKUP($B30,MMWR_TRAD_AGG_RO_COMP[],D$1,0),"ERROR")</f>
        <v>98.022988505699999</v>
      </c>
      <c r="E30" s="167">
        <f>IFERROR(VLOOKUP($B30,MMWR_TRAD_AGG_RO_COMP[],E$1,0),"ERROR")</f>
        <v>839</v>
      </c>
      <c r="F30" s="163">
        <f>IFERROR(VLOOKUP($B30,MMWR_TRAD_AGG_RO_COMP[],F$1,0),"ERROR")</f>
        <v>146</v>
      </c>
      <c r="G30" s="188">
        <f t="shared" si="0"/>
        <v>0.17401668653158522</v>
      </c>
      <c r="H30" s="162">
        <f>IFERROR(VLOOKUP($B30,MMWR_TRAD_AGG_RO_COMP[],H$1,0),"ERROR")</f>
        <v>222</v>
      </c>
      <c r="I30" s="163">
        <f>IFERROR(VLOOKUP($B30,MMWR_TRAD_AGG_RO_COMP[],I$1,0),"ERROR")</f>
        <v>24</v>
      </c>
      <c r="J30" s="188">
        <f t="shared" si="1"/>
        <v>0.10810810810810811</v>
      </c>
      <c r="K30" s="176">
        <f>IFERROR(VLOOKUP($B30,MMWR_TRAD_AGG_RO_COMP[],K$1,0),"ERROR")</f>
        <v>102</v>
      </c>
      <c r="L30" s="177">
        <f>IFERROR(VLOOKUP($B30,MMWR_TRAD_AGG_RO_COMP[],L$1,0),"ERROR")</f>
        <v>37</v>
      </c>
      <c r="M30" s="188">
        <f t="shared" si="2"/>
        <v>0.36274509803921567</v>
      </c>
      <c r="N30" s="176">
        <f>IFERROR(VLOOKUP($B30,MMWR_TRAD_AGG_RO_COMP[],N$1,0),"ERROR")</f>
        <v>87</v>
      </c>
      <c r="O30" s="177">
        <f>IFERROR(VLOOKUP($B30,MMWR_TRAD_AGG_RO_COMP[],O$1,0),"ERROR")</f>
        <v>37</v>
      </c>
      <c r="P30" s="188">
        <f t="shared" si="3"/>
        <v>0.42528735632183906</v>
      </c>
      <c r="Q30" s="173">
        <f>IFERROR(VLOOKUP($B30,MMWR_TRAD_AGG_RO_COMP[],Q$1,0),"ERROR")</f>
        <v>0</v>
      </c>
      <c r="R30" s="173">
        <f>IFERROR(VLOOKUP($B30,MMWR_TRAD_AGG_RO_COMP[],R$1,0),"ERROR")</f>
        <v>2</v>
      </c>
      <c r="S30" s="173">
        <f>IFERROR(VLOOKUP($B30,MMWR_APP_RO[],S$1,0),"ERROR")</f>
        <v>596</v>
      </c>
      <c r="T30" s="25"/>
    </row>
    <row r="31" spans="1:20" x14ac:dyDescent="0.2">
      <c r="A31" s="98"/>
      <c r="B31" s="99" t="s">
        <v>51</v>
      </c>
      <c r="C31" s="181">
        <f>IFERROR(VLOOKUP($B31,MMWR_TRAD_AGG_RO_COMP[],C$1,0),"ERROR")</f>
        <v>7570</v>
      </c>
      <c r="D31" s="170">
        <f>IFERROR(VLOOKUP($B31,MMWR_TRAD_AGG_RO_COMP[],D$1,0),"ERROR")</f>
        <v>564.11492734479998</v>
      </c>
      <c r="E31" s="167">
        <f>IFERROR(VLOOKUP($B31,MMWR_TRAD_AGG_RO_COMP[],E$1,0),"ERROR")</f>
        <v>4646</v>
      </c>
      <c r="F31" s="163">
        <f>IFERROR(VLOOKUP($B31,MMWR_TRAD_AGG_RO_COMP[],F$1,0),"ERROR")</f>
        <v>926</v>
      </c>
      <c r="G31" s="188">
        <f t="shared" si="0"/>
        <v>0.19931123547137322</v>
      </c>
      <c r="H31" s="162">
        <f>IFERROR(VLOOKUP($B31,MMWR_TRAD_AGG_RO_COMP[],H$1,0),"ERROR")</f>
        <v>11954</v>
      </c>
      <c r="I31" s="163">
        <f>IFERROR(VLOOKUP($B31,MMWR_TRAD_AGG_RO_COMP[],I$1,0),"ERROR")</f>
        <v>8583</v>
      </c>
      <c r="J31" s="188">
        <f t="shared" si="1"/>
        <v>0.71800234231219673</v>
      </c>
      <c r="K31" s="176">
        <f>IFERROR(VLOOKUP($B31,MMWR_TRAD_AGG_RO_COMP[],K$1,0),"ERROR")</f>
        <v>1992</v>
      </c>
      <c r="L31" s="177">
        <f>IFERROR(VLOOKUP($B31,MMWR_TRAD_AGG_RO_COMP[],L$1,0),"ERROR")</f>
        <v>1344</v>
      </c>
      <c r="M31" s="188">
        <f t="shared" si="2"/>
        <v>0.67469879518072284</v>
      </c>
      <c r="N31" s="176">
        <f>IFERROR(VLOOKUP($B31,MMWR_TRAD_AGG_RO_COMP[],N$1,0),"ERROR")</f>
        <v>1850</v>
      </c>
      <c r="O31" s="177">
        <f>IFERROR(VLOOKUP($B31,MMWR_TRAD_AGG_RO_COMP[],O$1,0),"ERROR")</f>
        <v>1418</v>
      </c>
      <c r="P31" s="188">
        <f t="shared" si="3"/>
        <v>0.76648648648648654</v>
      </c>
      <c r="Q31" s="173">
        <f>IFERROR(VLOOKUP($B31,MMWR_TRAD_AGG_RO_COMP[],Q$1,0),"ERROR")</f>
        <v>1</v>
      </c>
      <c r="R31" s="173">
        <f>IFERROR(VLOOKUP($B31,MMWR_TRAD_AGG_RO_COMP[],R$1,0),"ERROR")</f>
        <v>199</v>
      </c>
      <c r="S31" s="173">
        <f>IFERROR(VLOOKUP($B31,MMWR_APP_RO[],S$1,0),"ERROR")</f>
        <v>8324</v>
      </c>
      <c r="T31" s="25"/>
    </row>
    <row r="32" spans="1:20" x14ac:dyDescent="0.2">
      <c r="A32" s="98"/>
      <c r="B32" s="99" t="s">
        <v>53</v>
      </c>
      <c r="C32" s="181">
        <f>IFERROR(VLOOKUP($B32,MMWR_TRAD_AGG_RO_COMP[],C$1,0),"ERROR")</f>
        <v>2108</v>
      </c>
      <c r="D32" s="170">
        <f>IFERROR(VLOOKUP($B32,MMWR_TRAD_AGG_RO_COMP[],D$1,0),"ERROR")</f>
        <v>149.6461100569</v>
      </c>
      <c r="E32" s="167">
        <f>IFERROR(VLOOKUP($B32,MMWR_TRAD_AGG_RO_COMP[],E$1,0),"ERROR")</f>
        <v>2174</v>
      </c>
      <c r="F32" s="163">
        <f>IFERROR(VLOOKUP($B32,MMWR_TRAD_AGG_RO_COMP[],F$1,0),"ERROR")</f>
        <v>256</v>
      </c>
      <c r="G32" s="188">
        <f t="shared" si="0"/>
        <v>0.11775528978840846</v>
      </c>
      <c r="H32" s="162">
        <f>IFERROR(VLOOKUP($B32,MMWR_TRAD_AGG_RO_COMP[],H$1,0),"ERROR")</f>
        <v>3410</v>
      </c>
      <c r="I32" s="163">
        <f>IFERROR(VLOOKUP($B32,MMWR_TRAD_AGG_RO_COMP[],I$1,0),"ERROR")</f>
        <v>1325</v>
      </c>
      <c r="J32" s="188">
        <f t="shared" si="1"/>
        <v>0.38856304985337242</v>
      </c>
      <c r="K32" s="176">
        <f>IFERROR(VLOOKUP($B32,MMWR_TRAD_AGG_RO_COMP[],K$1,0),"ERROR")</f>
        <v>820</v>
      </c>
      <c r="L32" s="177">
        <f>IFERROR(VLOOKUP($B32,MMWR_TRAD_AGG_RO_COMP[],L$1,0),"ERROR")</f>
        <v>588</v>
      </c>
      <c r="M32" s="188">
        <f t="shared" si="2"/>
        <v>0.71707317073170729</v>
      </c>
      <c r="N32" s="176">
        <f>IFERROR(VLOOKUP($B32,MMWR_TRAD_AGG_RO_COMP[],N$1,0),"ERROR")</f>
        <v>614</v>
      </c>
      <c r="O32" s="177">
        <f>IFERROR(VLOOKUP($B32,MMWR_TRAD_AGG_RO_COMP[],O$1,0),"ERROR")</f>
        <v>263</v>
      </c>
      <c r="P32" s="188">
        <f t="shared" si="3"/>
        <v>0.42833876221498374</v>
      </c>
      <c r="Q32" s="173">
        <f>IFERROR(VLOOKUP($B32,MMWR_TRAD_AGG_RO_COMP[],Q$1,0),"ERROR")</f>
        <v>2</v>
      </c>
      <c r="R32" s="173">
        <f>IFERROR(VLOOKUP($B32,MMWR_TRAD_AGG_RO_COMP[],R$1,0),"ERROR")</f>
        <v>16</v>
      </c>
      <c r="S32" s="173">
        <f>IFERROR(VLOOKUP($B32,MMWR_APP_RO[],S$1,0),"ERROR")</f>
        <v>1098</v>
      </c>
      <c r="T32" s="25"/>
    </row>
    <row r="33" spans="1:20" x14ac:dyDescent="0.2">
      <c r="A33" s="98"/>
      <c r="B33" s="99" t="s">
        <v>59</v>
      </c>
      <c r="C33" s="181">
        <f>IFERROR(VLOOKUP($B33,MMWR_TRAD_AGG_RO_COMP[],C$1,0),"ERROR")</f>
        <v>4474</v>
      </c>
      <c r="D33" s="170">
        <f>IFERROR(VLOOKUP($B33,MMWR_TRAD_AGG_RO_COMP[],D$1,0),"ERROR")</f>
        <v>198.3354939651</v>
      </c>
      <c r="E33" s="167">
        <f>IFERROR(VLOOKUP($B33,MMWR_TRAD_AGG_RO_COMP[],E$1,0),"ERROR")</f>
        <v>6197</v>
      </c>
      <c r="F33" s="163">
        <f>IFERROR(VLOOKUP($B33,MMWR_TRAD_AGG_RO_COMP[],F$1,0),"ERROR")</f>
        <v>1178</v>
      </c>
      <c r="G33" s="188">
        <f t="shared" si="0"/>
        <v>0.19009197999031791</v>
      </c>
      <c r="H33" s="162">
        <f>IFERROR(VLOOKUP($B33,MMWR_TRAD_AGG_RO_COMP[],H$1,0),"ERROR")</f>
        <v>5754</v>
      </c>
      <c r="I33" s="163">
        <f>IFERROR(VLOOKUP($B33,MMWR_TRAD_AGG_RO_COMP[],I$1,0),"ERROR")</f>
        <v>2766</v>
      </c>
      <c r="J33" s="188">
        <f t="shared" si="1"/>
        <v>0.48070907194994789</v>
      </c>
      <c r="K33" s="176">
        <f>IFERROR(VLOOKUP($B33,MMWR_TRAD_AGG_RO_COMP[],K$1,0),"ERROR")</f>
        <v>646</v>
      </c>
      <c r="L33" s="177">
        <f>IFERROR(VLOOKUP($B33,MMWR_TRAD_AGG_RO_COMP[],L$1,0),"ERROR")</f>
        <v>404</v>
      </c>
      <c r="M33" s="188">
        <f t="shared" si="2"/>
        <v>0.62538699690402477</v>
      </c>
      <c r="N33" s="176">
        <f>IFERROR(VLOOKUP($B33,MMWR_TRAD_AGG_RO_COMP[],N$1,0),"ERROR")</f>
        <v>571</v>
      </c>
      <c r="O33" s="177">
        <f>IFERROR(VLOOKUP($B33,MMWR_TRAD_AGG_RO_COMP[],O$1,0),"ERROR")</f>
        <v>271</v>
      </c>
      <c r="P33" s="188">
        <f t="shared" si="3"/>
        <v>0.47460595446584941</v>
      </c>
      <c r="Q33" s="173">
        <f>IFERROR(VLOOKUP($B33,MMWR_TRAD_AGG_RO_COMP[],Q$1,0),"ERROR")</f>
        <v>5854</v>
      </c>
      <c r="R33" s="173">
        <f>IFERROR(VLOOKUP($B33,MMWR_TRAD_AGG_RO_COMP[],R$1,0),"ERROR")</f>
        <v>0</v>
      </c>
      <c r="S33" s="173">
        <f>IFERROR(VLOOKUP($B33,MMWR_APP_RO[],S$1,0),"ERROR")</f>
        <v>3323</v>
      </c>
      <c r="T33" s="25"/>
    </row>
    <row r="34" spans="1:20" x14ac:dyDescent="0.2">
      <c r="A34" s="98"/>
      <c r="B34" s="99" t="s">
        <v>77</v>
      </c>
      <c r="C34" s="181">
        <f>IFERROR(VLOOKUP($B34,MMWR_TRAD_AGG_RO_COMP[],C$1,0),"ERROR")</f>
        <v>243</v>
      </c>
      <c r="D34" s="170">
        <f>IFERROR(VLOOKUP($B34,MMWR_TRAD_AGG_RO_COMP[],D$1,0),"ERROR")</f>
        <v>108.1851851852</v>
      </c>
      <c r="E34" s="167">
        <f>IFERROR(VLOOKUP($B34,MMWR_TRAD_AGG_RO_COMP[],E$1,0),"ERROR")</f>
        <v>764</v>
      </c>
      <c r="F34" s="163">
        <f>IFERROR(VLOOKUP($B34,MMWR_TRAD_AGG_RO_COMP[],F$1,0),"ERROR")</f>
        <v>143</v>
      </c>
      <c r="G34" s="188">
        <f t="shared" si="0"/>
        <v>0.18717277486910994</v>
      </c>
      <c r="H34" s="162">
        <f>IFERROR(VLOOKUP($B34,MMWR_TRAD_AGG_RO_COMP[],H$1,0),"ERROR")</f>
        <v>477</v>
      </c>
      <c r="I34" s="163">
        <f>IFERROR(VLOOKUP($B34,MMWR_TRAD_AGG_RO_COMP[],I$1,0),"ERROR")</f>
        <v>131</v>
      </c>
      <c r="J34" s="188">
        <f t="shared" si="1"/>
        <v>0.27463312368972748</v>
      </c>
      <c r="K34" s="176">
        <f>IFERROR(VLOOKUP($B34,MMWR_TRAD_AGG_RO_COMP[],K$1,0),"ERROR")</f>
        <v>359</v>
      </c>
      <c r="L34" s="177">
        <f>IFERROR(VLOOKUP($B34,MMWR_TRAD_AGG_RO_COMP[],L$1,0),"ERROR")</f>
        <v>168</v>
      </c>
      <c r="M34" s="188">
        <f t="shared" si="2"/>
        <v>0.46796657381615597</v>
      </c>
      <c r="N34" s="176">
        <f>IFERROR(VLOOKUP($B34,MMWR_TRAD_AGG_RO_COMP[],N$1,0),"ERROR")</f>
        <v>62</v>
      </c>
      <c r="O34" s="177">
        <f>IFERROR(VLOOKUP($B34,MMWR_TRAD_AGG_RO_COMP[],O$1,0),"ERROR")</f>
        <v>16</v>
      </c>
      <c r="P34" s="188">
        <f t="shared" si="3"/>
        <v>0.25806451612903225</v>
      </c>
      <c r="Q34" s="173">
        <f>IFERROR(VLOOKUP($B34,MMWR_TRAD_AGG_RO_COMP[],Q$1,0),"ERROR")</f>
        <v>0</v>
      </c>
      <c r="R34" s="173">
        <f>IFERROR(VLOOKUP($B34,MMWR_TRAD_AGG_RO_COMP[],R$1,0),"ERROR")</f>
        <v>0</v>
      </c>
      <c r="S34" s="173">
        <f>IFERROR(VLOOKUP($B34,MMWR_APP_RO[],S$1,0),"ERROR")</f>
        <v>232</v>
      </c>
      <c r="T34" s="25"/>
    </row>
    <row r="35" spans="1:20" x14ac:dyDescent="0.2">
      <c r="A35" s="98"/>
      <c r="B35" s="99" t="s">
        <v>78</v>
      </c>
      <c r="C35" s="181">
        <f>IFERROR(VLOOKUP($B35,MMWR_TRAD_AGG_RO_COMP[],C$1,0),"ERROR")</f>
        <v>4672</v>
      </c>
      <c r="D35" s="170">
        <f>IFERROR(VLOOKUP($B35,MMWR_TRAD_AGG_RO_COMP[],D$1,0),"ERROR")</f>
        <v>260.67037671230003</v>
      </c>
      <c r="E35" s="167">
        <f>IFERROR(VLOOKUP($B35,MMWR_TRAD_AGG_RO_COMP[],E$1,0),"ERROR")</f>
        <v>5994</v>
      </c>
      <c r="F35" s="163">
        <f>IFERROR(VLOOKUP($B35,MMWR_TRAD_AGG_RO_COMP[],F$1,0),"ERROR")</f>
        <v>1100</v>
      </c>
      <c r="G35" s="188">
        <f t="shared" si="0"/>
        <v>0.18351685018351685</v>
      </c>
      <c r="H35" s="162">
        <f>IFERROR(VLOOKUP($B35,MMWR_TRAD_AGG_RO_COMP[],H$1,0),"ERROR")</f>
        <v>6414</v>
      </c>
      <c r="I35" s="163">
        <f>IFERROR(VLOOKUP($B35,MMWR_TRAD_AGG_RO_COMP[],I$1,0),"ERROR")</f>
        <v>4008</v>
      </c>
      <c r="J35" s="188">
        <f t="shared" si="1"/>
        <v>0.62488306828811979</v>
      </c>
      <c r="K35" s="176">
        <f>IFERROR(VLOOKUP($B35,MMWR_TRAD_AGG_RO_COMP[],K$1,0),"ERROR")</f>
        <v>2478</v>
      </c>
      <c r="L35" s="177">
        <f>IFERROR(VLOOKUP($B35,MMWR_TRAD_AGG_RO_COMP[],L$1,0),"ERROR")</f>
        <v>1941</v>
      </c>
      <c r="M35" s="188">
        <f t="shared" si="2"/>
        <v>0.7832929782082324</v>
      </c>
      <c r="N35" s="176">
        <f>IFERROR(VLOOKUP($B35,MMWR_TRAD_AGG_RO_COMP[],N$1,0),"ERROR")</f>
        <v>5627</v>
      </c>
      <c r="O35" s="177">
        <f>IFERROR(VLOOKUP($B35,MMWR_TRAD_AGG_RO_COMP[],O$1,0),"ERROR")</f>
        <v>4809</v>
      </c>
      <c r="P35" s="188">
        <f t="shared" si="3"/>
        <v>0.85462946507908299</v>
      </c>
      <c r="Q35" s="173">
        <f>IFERROR(VLOOKUP($B35,MMWR_TRAD_AGG_RO_COMP[],Q$1,0),"ERROR")</f>
        <v>0</v>
      </c>
      <c r="R35" s="173">
        <f>IFERROR(VLOOKUP($B35,MMWR_TRAD_AGG_RO_COMP[],R$1,0),"ERROR")</f>
        <v>68</v>
      </c>
      <c r="S35" s="173">
        <f>IFERROR(VLOOKUP($B35,MMWR_APP_RO[],S$1,0),"ERROR")</f>
        <v>6539</v>
      </c>
      <c r="T35" s="25"/>
    </row>
    <row r="36" spans="1:20" x14ac:dyDescent="0.2">
      <c r="A36" s="28"/>
      <c r="B36" s="99" t="s">
        <v>79</v>
      </c>
      <c r="C36" s="191">
        <f>IFERROR(VLOOKUP($B36,MMWR_TRAD_AGG_RO_COMP[],C$1,0),"ERROR")</f>
        <v>2643</v>
      </c>
      <c r="D36" s="192">
        <f>IFERROR(VLOOKUP($B36,MMWR_TRAD_AGG_RO_COMP[],D$1,0),"ERROR")</f>
        <v>142.81346954220001</v>
      </c>
      <c r="E36" s="193">
        <f>IFERROR(VLOOKUP($B36,MMWR_TRAD_AGG_RO_COMP[],E$1,0),"ERROR")</f>
        <v>9076</v>
      </c>
      <c r="F36" s="194">
        <f>IFERROR(VLOOKUP($B36,MMWR_TRAD_AGG_RO_COMP[],F$1,0),"ERROR")</f>
        <v>1674</v>
      </c>
      <c r="G36" s="195">
        <f t="shared" si="0"/>
        <v>0.18444248567650948</v>
      </c>
      <c r="H36" s="196">
        <f>IFERROR(VLOOKUP($B36,MMWR_TRAD_AGG_RO_COMP[],H$1,0),"ERROR")</f>
        <v>11541</v>
      </c>
      <c r="I36" s="194">
        <f>IFERROR(VLOOKUP($B36,MMWR_TRAD_AGG_RO_COMP[],I$1,0),"ERROR")</f>
        <v>3163</v>
      </c>
      <c r="J36" s="195">
        <f t="shared" si="1"/>
        <v>0.27406637206481238</v>
      </c>
      <c r="K36" s="197">
        <f>IFERROR(VLOOKUP($B36,MMWR_TRAD_AGG_RO_COMP[],K$1,0),"ERROR")</f>
        <v>1386</v>
      </c>
      <c r="L36" s="198">
        <f>IFERROR(VLOOKUP($B36,MMWR_TRAD_AGG_RO_COMP[],L$1,0),"ERROR")</f>
        <v>249</v>
      </c>
      <c r="M36" s="195">
        <f t="shared" si="2"/>
        <v>0.17965367965367965</v>
      </c>
      <c r="N36" s="197">
        <f>IFERROR(VLOOKUP($B36,MMWR_TRAD_AGG_RO_COMP[],N$1,0),"ERROR")</f>
        <v>1147</v>
      </c>
      <c r="O36" s="198">
        <f>IFERROR(VLOOKUP($B36,MMWR_TRAD_AGG_RO_COMP[],O$1,0),"ERROR")</f>
        <v>633</v>
      </c>
      <c r="P36" s="195">
        <f t="shared" si="3"/>
        <v>0.55187445510026156</v>
      </c>
      <c r="Q36" s="199">
        <f>IFERROR(VLOOKUP($B36,MMWR_TRAD_AGG_RO_COMP[],Q$1,0),"ERROR")</f>
        <v>29</v>
      </c>
      <c r="R36" s="199">
        <f>IFERROR(VLOOKUP($B36,MMWR_TRAD_AGG_RO_COMP[],R$1,0),"ERROR")</f>
        <v>0</v>
      </c>
      <c r="S36" s="173">
        <f>IFERROR(VLOOKUP($B36,MMWR_APP_RO[],S$1,0),"ERROR")</f>
        <v>1753</v>
      </c>
      <c r="T36" s="28"/>
    </row>
    <row r="37" spans="1:20" x14ac:dyDescent="0.2">
      <c r="A37" s="28"/>
      <c r="B37" s="107" t="s">
        <v>84</v>
      </c>
      <c r="C37" s="200">
        <f>IFERROR(VLOOKUP($B37,MMWR_TRAD_AGG_RO_COMP[],C$1,0),"ERROR")</f>
        <v>1721</v>
      </c>
      <c r="D37" s="201">
        <f>IFERROR(VLOOKUP($B37,MMWR_TRAD_AGG_RO_COMP[],D$1,0),"ERROR")</f>
        <v>182.40034863450001</v>
      </c>
      <c r="E37" s="202">
        <f>IFERROR(VLOOKUP($B37,MMWR_TRAD_AGG_RO_COMP[],E$1,0),"ERROR")</f>
        <v>2693</v>
      </c>
      <c r="F37" s="203">
        <f>IFERROR(VLOOKUP($B37,MMWR_TRAD_AGG_RO_COMP[],F$1,0),"ERROR")</f>
        <v>502</v>
      </c>
      <c r="G37" s="204">
        <f t="shared" si="0"/>
        <v>0.1864092090605273</v>
      </c>
      <c r="H37" s="205">
        <f>IFERROR(VLOOKUP($B37,MMWR_TRAD_AGG_RO_COMP[],H$1,0),"ERROR")</f>
        <v>2462</v>
      </c>
      <c r="I37" s="203">
        <f>IFERROR(VLOOKUP($B37,MMWR_TRAD_AGG_RO_COMP[],I$1,0),"ERROR")</f>
        <v>1236</v>
      </c>
      <c r="J37" s="204">
        <f t="shared" si="1"/>
        <v>0.50203086921202278</v>
      </c>
      <c r="K37" s="206">
        <f>IFERROR(VLOOKUP($B37,MMWR_TRAD_AGG_RO_COMP[],K$1,0),"ERROR")</f>
        <v>1113</v>
      </c>
      <c r="L37" s="207">
        <f>IFERROR(VLOOKUP($B37,MMWR_TRAD_AGG_RO_COMP[],L$1,0),"ERROR")</f>
        <v>460</v>
      </c>
      <c r="M37" s="204">
        <f t="shared" si="2"/>
        <v>0.41329739442946989</v>
      </c>
      <c r="N37" s="206">
        <f>IFERROR(VLOOKUP($B37,MMWR_TRAD_AGG_RO_COMP[],N$1,0),"ERROR")</f>
        <v>285</v>
      </c>
      <c r="O37" s="207">
        <f>IFERROR(VLOOKUP($B37,MMWR_TRAD_AGG_RO_COMP[],O$1,0),"ERROR")</f>
        <v>97</v>
      </c>
      <c r="P37" s="204">
        <f t="shared" si="3"/>
        <v>0.34035087719298246</v>
      </c>
      <c r="Q37" s="208">
        <f>IFERROR(VLOOKUP($B37,MMWR_TRAD_AGG_RO_COMP[],Q$1,0),"ERROR")</f>
        <v>0</v>
      </c>
      <c r="R37" s="208">
        <f>IFERROR(VLOOKUP($B37,MMWR_TRAD_AGG_RO_COMP[],R$1,0),"ERROR")</f>
        <v>9</v>
      </c>
      <c r="S37" s="173">
        <f>IFERROR(VLOOKUP($B37,MMWR_APP_RO[],S$1,0),"ERROR")</f>
        <v>1201</v>
      </c>
      <c r="T37" s="28"/>
    </row>
    <row r="38" spans="1:20" x14ac:dyDescent="0.2">
      <c r="A38" s="28"/>
      <c r="B38" s="92" t="s">
        <v>381</v>
      </c>
      <c r="C38" s="184">
        <f>IFERROR(VLOOKUP($B38,MMWR_TRAD_AGG_DISTRICT_COMP[],C$1,0),"ERROR")</f>
        <v>54003</v>
      </c>
      <c r="D38" s="169">
        <f>IFERROR(VLOOKUP($B38,MMWR_TRAD_AGG_DISTRICT_COMP[],D$1,0),"ERROR")</f>
        <v>350.8134733256</v>
      </c>
      <c r="E38" s="185">
        <f>IFERROR(VLOOKUP($B38,MMWR_TRAD_AGG_DISTRICT_COMP[],E$1,0),"ERROR")</f>
        <v>64172</v>
      </c>
      <c r="F38" s="190">
        <f>IFERROR(VLOOKUP($B38,MMWR_TRAD_AGG_DISTRICT_COMP[],F$1,0),"ERROR")</f>
        <v>14289</v>
      </c>
      <c r="G38" s="186">
        <f t="shared" si="0"/>
        <v>0.22266720688150596</v>
      </c>
      <c r="H38" s="190">
        <f>IFERROR(VLOOKUP($B38,MMWR_TRAD_AGG_DISTRICT_COMP[],H$1,0),"ERROR")</f>
        <v>84905</v>
      </c>
      <c r="I38" s="190">
        <f>IFERROR(VLOOKUP($B38,MMWR_TRAD_AGG_DISTRICT_COMP[],I$1,0),"ERROR")</f>
        <v>51664</v>
      </c>
      <c r="J38" s="186">
        <f t="shared" si="1"/>
        <v>0.60849184382545196</v>
      </c>
      <c r="K38" s="184">
        <f>IFERROR(VLOOKUP($B38,MMWR_TRAD_AGG_DISTRICT_COMP[],K$1,0),"ERROR")</f>
        <v>22333</v>
      </c>
      <c r="L38" s="184">
        <f>IFERROR(VLOOKUP($B38,MMWR_TRAD_AGG_DISTRICT_COMP[],L$1,0),"ERROR")</f>
        <v>14020</v>
      </c>
      <c r="M38" s="186">
        <f t="shared" si="2"/>
        <v>0.62777056373975726</v>
      </c>
      <c r="N38" s="184">
        <f>IFERROR(VLOOKUP($B38,MMWR_TRAD_AGG_DISTRICT_COMP[],N$1,0),"ERROR")</f>
        <v>16332</v>
      </c>
      <c r="O38" s="184">
        <f>IFERROR(VLOOKUP($B38,MMWR_TRAD_AGG_DISTRICT_COMP[],O$1,0),"ERROR")</f>
        <v>8612</v>
      </c>
      <c r="P38" s="186">
        <f t="shared" si="3"/>
        <v>0.52730835170217982</v>
      </c>
      <c r="Q38" s="184">
        <f>IFERROR(VLOOKUP($B38,MMWR_TRAD_AGG_DISTRICT_COMP[],Q$1,0),"ERROR")</f>
        <v>47</v>
      </c>
      <c r="R38" s="187">
        <f>IFERROR(VLOOKUP($B38,MMWR_TRAD_AGG_DISTRICT_COMP[],R$1,0),"ERROR")</f>
        <v>1106</v>
      </c>
      <c r="S38" s="187">
        <f>IFERROR(VLOOKUP($B38,MMWR_APP_RO[],S$1,0),"ERROR")</f>
        <v>67601</v>
      </c>
      <c r="T38" s="28"/>
    </row>
    <row r="39" spans="1:20" x14ac:dyDescent="0.2">
      <c r="A39" s="28"/>
      <c r="B39" s="99" t="s">
        <v>39</v>
      </c>
      <c r="C39" s="191">
        <f>IFERROR(VLOOKUP($B39,MMWR_TRAD_AGG_RO_COMP[],C$1,0),"ERROR")</f>
        <v>351</v>
      </c>
      <c r="D39" s="192">
        <f>IFERROR(VLOOKUP($B39,MMWR_TRAD_AGG_RO_COMP[],D$1,0),"ERROR")</f>
        <v>286.84330484330002</v>
      </c>
      <c r="E39" s="193">
        <f>IFERROR(VLOOKUP($B39,MMWR_TRAD_AGG_RO_COMP[],E$1,0),"ERROR")</f>
        <v>783</v>
      </c>
      <c r="F39" s="194">
        <f>IFERROR(VLOOKUP($B39,MMWR_TRAD_AGG_RO_COMP[],F$1,0),"ERROR")</f>
        <v>95</v>
      </c>
      <c r="G39" s="195">
        <f t="shared" si="0"/>
        <v>0.12132822477650064</v>
      </c>
      <c r="H39" s="196">
        <f>IFERROR(VLOOKUP($B39,MMWR_TRAD_AGG_RO_COMP[],H$1,0),"ERROR")</f>
        <v>578</v>
      </c>
      <c r="I39" s="194">
        <f>IFERROR(VLOOKUP($B39,MMWR_TRAD_AGG_RO_COMP[],I$1,0),"ERROR")</f>
        <v>314</v>
      </c>
      <c r="J39" s="195">
        <f t="shared" si="1"/>
        <v>0.54325259515570934</v>
      </c>
      <c r="K39" s="197">
        <f>IFERROR(VLOOKUP($B39,MMWR_TRAD_AGG_RO_COMP[],K$1,0),"ERROR")</f>
        <v>154</v>
      </c>
      <c r="L39" s="198">
        <f>IFERROR(VLOOKUP($B39,MMWR_TRAD_AGG_RO_COMP[],L$1,0),"ERROR")</f>
        <v>60</v>
      </c>
      <c r="M39" s="195">
        <f t="shared" si="2"/>
        <v>0.38961038961038963</v>
      </c>
      <c r="N39" s="197">
        <f>IFERROR(VLOOKUP($B39,MMWR_TRAD_AGG_RO_COMP[],N$1,0),"ERROR")</f>
        <v>88</v>
      </c>
      <c r="O39" s="198">
        <f>IFERROR(VLOOKUP($B39,MMWR_TRAD_AGG_RO_COMP[],O$1,0),"ERROR")</f>
        <v>27</v>
      </c>
      <c r="P39" s="195">
        <f t="shared" si="3"/>
        <v>0.30681818181818182</v>
      </c>
      <c r="Q39" s="199">
        <f>IFERROR(VLOOKUP($B39,MMWR_TRAD_AGG_RO_COMP[],Q$1,0),"ERROR")</f>
        <v>2</v>
      </c>
      <c r="R39" s="199">
        <f>IFERROR(VLOOKUP($B39,MMWR_TRAD_AGG_RO_COMP[],R$1,0),"ERROR")</f>
        <v>2</v>
      </c>
      <c r="S39" s="173">
        <f>IFERROR(VLOOKUP($B39,MMWR_APP_RO[],S$1,0),"ERROR")</f>
        <v>301</v>
      </c>
      <c r="T39" s="28"/>
    </row>
    <row r="40" spans="1:20" x14ac:dyDescent="0.2">
      <c r="A40" s="28"/>
      <c r="B40" s="99" t="s">
        <v>43</v>
      </c>
      <c r="C40" s="191">
        <f>IFERROR(VLOOKUP($B40,MMWR_TRAD_AGG_RO_COMP[],C$1,0),"ERROR")</f>
        <v>6191</v>
      </c>
      <c r="D40" s="192">
        <f>IFERROR(VLOOKUP($B40,MMWR_TRAD_AGG_RO_COMP[],D$1,0),"ERROR")</f>
        <v>451.9153610079</v>
      </c>
      <c r="E40" s="193">
        <f>IFERROR(VLOOKUP($B40,MMWR_TRAD_AGG_RO_COMP[],E$1,0),"ERROR")</f>
        <v>8516</v>
      </c>
      <c r="F40" s="194">
        <f>IFERROR(VLOOKUP($B40,MMWR_TRAD_AGG_RO_COMP[],F$1,0),"ERROR")</f>
        <v>2474</v>
      </c>
      <c r="G40" s="195">
        <f t="shared" si="0"/>
        <v>0.29051197745420387</v>
      </c>
      <c r="H40" s="196">
        <f>IFERROR(VLOOKUP($B40,MMWR_TRAD_AGG_RO_COMP[],H$1,0),"ERROR")</f>
        <v>8665</v>
      </c>
      <c r="I40" s="194">
        <f>IFERROR(VLOOKUP($B40,MMWR_TRAD_AGG_RO_COMP[],I$1,0),"ERROR")</f>
        <v>6002</v>
      </c>
      <c r="J40" s="195">
        <f t="shared" si="1"/>
        <v>0.69267166762839005</v>
      </c>
      <c r="K40" s="197">
        <f>IFERROR(VLOOKUP($B40,MMWR_TRAD_AGG_RO_COMP[],K$1,0),"ERROR")</f>
        <v>3288</v>
      </c>
      <c r="L40" s="198">
        <f>IFERROR(VLOOKUP($B40,MMWR_TRAD_AGG_RO_COMP[],L$1,0),"ERROR")</f>
        <v>2356</v>
      </c>
      <c r="M40" s="195">
        <f t="shared" si="2"/>
        <v>0.71654501216545008</v>
      </c>
      <c r="N40" s="197">
        <f>IFERROR(VLOOKUP($B40,MMWR_TRAD_AGG_RO_COMP[],N$1,0),"ERROR")</f>
        <v>790</v>
      </c>
      <c r="O40" s="198">
        <f>IFERROR(VLOOKUP($B40,MMWR_TRAD_AGG_RO_COMP[],O$1,0),"ERROR")</f>
        <v>390</v>
      </c>
      <c r="P40" s="195">
        <f t="shared" si="3"/>
        <v>0.49367088607594939</v>
      </c>
      <c r="Q40" s="199">
        <f>IFERROR(VLOOKUP($B40,MMWR_TRAD_AGG_RO_COMP[],Q$1,0),"ERROR")</f>
        <v>0</v>
      </c>
      <c r="R40" s="199">
        <f>IFERROR(VLOOKUP($B40,MMWR_TRAD_AGG_RO_COMP[],R$1,0),"ERROR")</f>
        <v>56</v>
      </c>
      <c r="S40" s="173">
        <f>IFERROR(VLOOKUP($B40,MMWR_APP_RO[],S$1,0),"ERROR")</f>
        <v>6291</v>
      </c>
      <c r="T40" s="28"/>
    </row>
    <row r="41" spans="1:20" x14ac:dyDescent="0.2">
      <c r="A41" s="28"/>
      <c r="B41" s="99" t="s">
        <v>184</v>
      </c>
      <c r="C41" s="191">
        <f>IFERROR(VLOOKUP($B41,MMWR_TRAD_AGG_RO_COMP[],C$1,0),"ERROR")</f>
        <v>576</v>
      </c>
      <c r="D41" s="192">
        <f>IFERROR(VLOOKUP($B41,MMWR_TRAD_AGG_RO_COMP[],D$1,0),"ERROR")</f>
        <v>169.1354166667</v>
      </c>
      <c r="E41" s="193">
        <f>IFERROR(VLOOKUP($B41,MMWR_TRAD_AGG_RO_COMP[],E$1,0),"ERROR")</f>
        <v>626</v>
      </c>
      <c r="F41" s="194">
        <f>IFERROR(VLOOKUP($B41,MMWR_TRAD_AGG_RO_COMP[],F$1,0),"ERROR")</f>
        <v>51</v>
      </c>
      <c r="G41" s="195">
        <f t="shared" si="0"/>
        <v>8.1469648562300323E-2</v>
      </c>
      <c r="H41" s="196">
        <f>IFERROR(VLOOKUP($B41,MMWR_TRAD_AGG_RO_COMP[],H$1,0),"ERROR")</f>
        <v>767</v>
      </c>
      <c r="I41" s="194">
        <f>IFERROR(VLOOKUP($B41,MMWR_TRAD_AGG_RO_COMP[],I$1,0),"ERROR")</f>
        <v>306</v>
      </c>
      <c r="J41" s="195">
        <f t="shared" si="1"/>
        <v>0.39895697522816165</v>
      </c>
      <c r="K41" s="197">
        <f>IFERROR(VLOOKUP($B41,MMWR_TRAD_AGG_RO_COMP[],K$1,0),"ERROR")</f>
        <v>494</v>
      </c>
      <c r="L41" s="198">
        <f>IFERROR(VLOOKUP($B41,MMWR_TRAD_AGG_RO_COMP[],L$1,0),"ERROR")</f>
        <v>170</v>
      </c>
      <c r="M41" s="195">
        <f t="shared" si="2"/>
        <v>0.34412955465587042</v>
      </c>
      <c r="N41" s="197">
        <f>IFERROR(VLOOKUP($B41,MMWR_TRAD_AGG_RO_COMP[],N$1,0),"ERROR")</f>
        <v>168</v>
      </c>
      <c r="O41" s="198">
        <f>IFERROR(VLOOKUP($B41,MMWR_TRAD_AGG_RO_COMP[],O$1,0),"ERROR")</f>
        <v>59</v>
      </c>
      <c r="P41" s="195">
        <f t="shared" si="3"/>
        <v>0.35119047619047616</v>
      </c>
      <c r="Q41" s="199">
        <f>IFERROR(VLOOKUP($B41,MMWR_TRAD_AGG_RO_COMP[],Q$1,0),"ERROR")</f>
        <v>0</v>
      </c>
      <c r="R41" s="199">
        <f>IFERROR(VLOOKUP($B41,MMWR_TRAD_AGG_RO_COMP[],R$1,0),"ERROR")</f>
        <v>6</v>
      </c>
      <c r="S41" s="173">
        <f>IFERROR(VLOOKUP($B41,MMWR_APP_RO[],S$1,0),"ERROR")</f>
        <v>344</v>
      </c>
      <c r="T41" s="28"/>
    </row>
    <row r="42" spans="1:20" x14ac:dyDescent="0.2">
      <c r="A42" s="28"/>
      <c r="B42" s="99" t="s">
        <v>49</v>
      </c>
      <c r="C42" s="191">
        <f>IFERROR(VLOOKUP($B42,MMWR_TRAD_AGG_RO_COMP[],C$1,0),"ERROR")</f>
        <v>12918</v>
      </c>
      <c r="D42" s="192">
        <f>IFERROR(VLOOKUP($B42,MMWR_TRAD_AGG_RO_COMP[],D$1,0),"ERROR")</f>
        <v>350.20723022139998</v>
      </c>
      <c r="E42" s="193">
        <f>IFERROR(VLOOKUP($B42,MMWR_TRAD_AGG_RO_COMP[],E$1,0),"ERROR")</f>
        <v>15156</v>
      </c>
      <c r="F42" s="194">
        <f>IFERROR(VLOOKUP($B42,MMWR_TRAD_AGG_RO_COMP[],F$1,0),"ERROR")</f>
        <v>3877</v>
      </c>
      <c r="G42" s="195">
        <f t="shared" si="0"/>
        <v>0.25580628134072314</v>
      </c>
      <c r="H42" s="196">
        <f>IFERROR(VLOOKUP($B42,MMWR_TRAD_AGG_RO_COMP[],H$1,0),"ERROR")</f>
        <v>16767</v>
      </c>
      <c r="I42" s="194">
        <f>IFERROR(VLOOKUP($B42,MMWR_TRAD_AGG_RO_COMP[],I$1,0),"ERROR")</f>
        <v>11697</v>
      </c>
      <c r="J42" s="195">
        <f t="shared" si="1"/>
        <v>0.69762032563964926</v>
      </c>
      <c r="K42" s="197">
        <f>IFERROR(VLOOKUP($B42,MMWR_TRAD_AGG_RO_COMP[],K$1,0),"ERROR")</f>
        <v>3203</v>
      </c>
      <c r="L42" s="198">
        <f>IFERROR(VLOOKUP($B42,MMWR_TRAD_AGG_RO_COMP[],L$1,0),"ERROR")</f>
        <v>1831</v>
      </c>
      <c r="M42" s="195">
        <f t="shared" si="2"/>
        <v>0.57165157664689359</v>
      </c>
      <c r="N42" s="197">
        <f>IFERROR(VLOOKUP($B42,MMWR_TRAD_AGG_RO_COMP[],N$1,0),"ERROR")</f>
        <v>3314</v>
      </c>
      <c r="O42" s="198">
        <f>IFERROR(VLOOKUP($B42,MMWR_TRAD_AGG_RO_COMP[],O$1,0),"ERROR")</f>
        <v>2407</v>
      </c>
      <c r="P42" s="195">
        <f t="shared" si="3"/>
        <v>0.72631261315630657</v>
      </c>
      <c r="Q42" s="199">
        <f>IFERROR(VLOOKUP($B42,MMWR_TRAD_AGG_RO_COMP[],Q$1,0),"ERROR")</f>
        <v>1</v>
      </c>
      <c r="R42" s="199">
        <f>IFERROR(VLOOKUP($B42,MMWR_TRAD_AGG_RO_COMP[],R$1,0),"ERROR")</f>
        <v>225</v>
      </c>
      <c r="S42" s="173">
        <f>IFERROR(VLOOKUP($B42,MMWR_APP_RO[],S$1,0),"ERROR")</f>
        <v>20280</v>
      </c>
      <c r="T42" s="28"/>
    </row>
    <row r="43" spans="1:20" x14ac:dyDescent="0.2">
      <c r="A43" s="28"/>
      <c r="B43" s="99" t="s">
        <v>52</v>
      </c>
      <c r="C43" s="191">
        <f>IFERROR(VLOOKUP($B43,MMWR_TRAD_AGG_RO_COMP[],C$1,0),"ERROR")</f>
        <v>4137</v>
      </c>
      <c r="D43" s="192">
        <f>IFERROR(VLOOKUP($B43,MMWR_TRAD_AGG_RO_COMP[],D$1,0),"ERROR")</f>
        <v>407.60188542420002</v>
      </c>
      <c r="E43" s="193">
        <f>IFERROR(VLOOKUP($B43,MMWR_TRAD_AGG_RO_COMP[],E$1,0),"ERROR")</f>
        <v>4029</v>
      </c>
      <c r="F43" s="194">
        <f>IFERROR(VLOOKUP($B43,MMWR_TRAD_AGG_RO_COMP[],F$1,0),"ERROR")</f>
        <v>1222</v>
      </c>
      <c r="G43" s="195">
        <f t="shared" si="0"/>
        <v>0.30330106726234796</v>
      </c>
      <c r="H43" s="196">
        <f>IFERROR(VLOOKUP($B43,MMWR_TRAD_AGG_RO_COMP[],H$1,0),"ERROR")</f>
        <v>6296</v>
      </c>
      <c r="I43" s="194">
        <f>IFERROR(VLOOKUP($B43,MMWR_TRAD_AGG_RO_COMP[],I$1,0),"ERROR")</f>
        <v>4424</v>
      </c>
      <c r="J43" s="195">
        <f t="shared" si="1"/>
        <v>0.70266836086404061</v>
      </c>
      <c r="K43" s="197">
        <f>IFERROR(VLOOKUP($B43,MMWR_TRAD_AGG_RO_COMP[],K$1,0),"ERROR")</f>
        <v>2077</v>
      </c>
      <c r="L43" s="198">
        <f>IFERROR(VLOOKUP($B43,MMWR_TRAD_AGG_RO_COMP[],L$1,0),"ERROR")</f>
        <v>1635</v>
      </c>
      <c r="M43" s="195">
        <f t="shared" si="2"/>
        <v>0.78719306692344726</v>
      </c>
      <c r="N43" s="197">
        <f>IFERROR(VLOOKUP($B43,MMWR_TRAD_AGG_RO_COMP[],N$1,0),"ERROR")</f>
        <v>2274</v>
      </c>
      <c r="O43" s="198">
        <f>IFERROR(VLOOKUP($B43,MMWR_TRAD_AGG_RO_COMP[],O$1,0),"ERROR")</f>
        <v>1856</v>
      </c>
      <c r="P43" s="195">
        <f t="shared" si="3"/>
        <v>0.81618293755496918</v>
      </c>
      <c r="Q43" s="199">
        <f>IFERROR(VLOOKUP($B43,MMWR_TRAD_AGG_RO_COMP[],Q$1,0),"ERROR")</f>
        <v>40</v>
      </c>
      <c r="R43" s="199">
        <f>IFERROR(VLOOKUP($B43,MMWR_TRAD_AGG_RO_COMP[],R$1,0),"ERROR")</f>
        <v>183</v>
      </c>
      <c r="S43" s="173">
        <f>IFERROR(VLOOKUP($B43,MMWR_APP_RO[],S$1,0),"ERROR")</f>
        <v>4661</v>
      </c>
      <c r="T43" s="28"/>
    </row>
    <row r="44" spans="1:20" x14ac:dyDescent="0.2">
      <c r="A44" s="28"/>
      <c r="B44" s="99" t="s">
        <v>54</v>
      </c>
      <c r="C44" s="191">
        <f>IFERROR(VLOOKUP($B44,MMWR_TRAD_AGG_RO_COMP[],C$1,0),"ERROR")</f>
        <v>4703</v>
      </c>
      <c r="D44" s="192">
        <f>IFERROR(VLOOKUP($B44,MMWR_TRAD_AGG_RO_COMP[],D$1,0),"ERROR")</f>
        <v>378.18881564959997</v>
      </c>
      <c r="E44" s="193">
        <f>IFERROR(VLOOKUP($B44,MMWR_TRAD_AGG_RO_COMP[],E$1,0),"ERROR")</f>
        <v>3395</v>
      </c>
      <c r="F44" s="194">
        <f>IFERROR(VLOOKUP($B44,MMWR_TRAD_AGG_RO_COMP[],F$1,0),"ERROR")</f>
        <v>556</v>
      </c>
      <c r="G44" s="195">
        <f t="shared" si="0"/>
        <v>0.16377025036818851</v>
      </c>
      <c r="H44" s="196">
        <f>IFERROR(VLOOKUP($B44,MMWR_TRAD_AGG_RO_COMP[],H$1,0),"ERROR")</f>
        <v>8527</v>
      </c>
      <c r="I44" s="194">
        <f>IFERROR(VLOOKUP($B44,MMWR_TRAD_AGG_RO_COMP[],I$1,0),"ERROR")</f>
        <v>4538</v>
      </c>
      <c r="J44" s="195">
        <f t="shared" si="1"/>
        <v>0.53219186114694494</v>
      </c>
      <c r="K44" s="197">
        <f>IFERROR(VLOOKUP($B44,MMWR_TRAD_AGG_RO_COMP[],K$1,0),"ERROR")</f>
        <v>4237</v>
      </c>
      <c r="L44" s="198">
        <f>IFERROR(VLOOKUP($B44,MMWR_TRAD_AGG_RO_COMP[],L$1,0),"ERROR")</f>
        <v>3636</v>
      </c>
      <c r="M44" s="195">
        <f t="shared" si="2"/>
        <v>0.85815435449610578</v>
      </c>
      <c r="N44" s="197">
        <f>IFERROR(VLOOKUP($B44,MMWR_TRAD_AGG_RO_COMP[],N$1,0),"ERROR")</f>
        <v>1356</v>
      </c>
      <c r="O44" s="198">
        <f>IFERROR(VLOOKUP($B44,MMWR_TRAD_AGG_RO_COMP[],O$1,0),"ERROR")</f>
        <v>682</v>
      </c>
      <c r="P44" s="195">
        <f t="shared" si="3"/>
        <v>0.50294985250737467</v>
      </c>
      <c r="Q44" s="199">
        <f>IFERROR(VLOOKUP($B44,MMWR_TRAD_AGG_RO_COMP[],Q$1,0),"ERROR")</f>
        <v>1</v>
      </c>
      <c r="R44" s="199">
        <f>IFERROR(VLOOKUP($B44,MMWR_TRAD_AGG_RO_COMP[],R$1,0),"ERROR")</f>
        <v>117</v>
      </c>
      <c r="S44" s="173">
        <f>IFERROR(VLOOKUP($B44,MMWR_APP_RO[],S$1,0),"ERROR")</f>
        <v>5301</v>
      </c>
      <c r="T44" s="28"/>
    </row>
    <row r="45" spans="1:20" x14ac:dyDescent="0.2">
      <c r="A45" s="28"/>
      <c r="B45" s="99" t="s">
        <v>27</v>
      </c>
      <c r="C45" s="191">
        <f>IFERROR(VLOOKUP($B45,MMWR_TRAD_AGG_RO_COMP[],C$1,0),"ERROR")</f>
        <v>1281</v>
      </c>
      <c r="D45" s="192">
        <f>IFERROR(VLOOKUP($B45,MMWR_TRAD_AGG_RO_COMP[],D$1,0),"ERROR")</f>
        <v>94.517564402800005</v>
      </c>
      <c r="E45" s="193">
        <f>IFERROR(VLOOKUP($B45,MMWR_TRAD_AGG_RO_COMP[],E$1,0),"ERROR")</f>
        <v>6113</v>
      </c>
      <c r="F45" s="194">
        <f>IFERROR(VLOOKUP($B45,MMWR_TRAD_AGG_RO_COMP[],F$1,0),"ERROR")</f>
        <v>884</v>
      </c>
      <c r="G45" s="195">
        <f t="shared" si="0"/>
        <v>0.14460984786520531</v>
      </c>
      <c r="H45" s="196">
        <f>IFERROR(VLOOKUP($B45,MMWR_TRAD_AGG_RO_COMP[],H$1,0),"ERROR")</f>
        <v>7642</v>
      </c>
      <c r="I45" s="194">
        <f>IFERROR(VLOOKUP($B45,MMWR_TRAD_AGG_RO_COMP[],I$1,0),"ERROR")</f>
        <v>2967</v>
      </c>
      <c r="J45" s="195">
        <f t="shared" si="1"/>
        <v>0.38824914943732008</v>
      </c>
      <c r="K45" s="197">
        <f>IFERROR(VLOOKUP($B45,MMWR_TRAD_AGG_RO_COMP[],K$1,0),"ERROR")</f>
        <v>1642</v>
      </c>
      <c r="L45" s="198">
        <f>IFERROR(VLOOKUP($B45,MMWR_TRAD_AGG_RO_COMP[],L$1,0),"ERROR")</f>
        <v>657</v>
      </c>
      <c r="M45" s="195">
        <f t="shared" si="2"/>
        <v>0.40012180267965897</v>
      </c>
      <c r="N45" s="197">
        <f>IFERROR(VLOOKUP($B45,MMWR_TRAD_AGG_RO_COMP[],N$1,0),"ERROR")</f>
        <v>1418</v>
      </c>
      <c r="O45" s="198">
        <f>IFERROR(VLOOKUP($B45,MMWR_TRAD_AGG_RO_COMP[],O$1,0),"ERROR")</f>
        <v>556</v>
      </c>
      <c r="P45" s="195">
        <f t="shared" si="3"/>
        <v>0.3921015514809591</v>
      </c>
      <c r="Q45" s="199">
        <f>IFERROR(VLOOKUP($B45,MMWR_TRAD_AGG_RO_COMP[],Q$1,0),"ERROR")</f>
        <v>0</v>
      </c>
      <c r="R45" s="199">
        <f>IFERROR(VLOOKUP($B45,MMWR_TRAD_AGG_RO_COMP[],R$1,0),"ERROR")</f>
        <v>67</v>
      </c>
      <c r="S45" s="173">
        <f>IFERROR(VLOOKUP($B45,MMWR_APP_RO[],S$1,0),"ERROR")</f>
        <v>4507</v>
      </c>
      <c r="T45" s="28"/>
    </row>
    <row r="46" spans="1:20" x14ac:dyDescent="0.2">
      <c r="A46" s="28"/>
      <c r="B46" s="99" t="s">
        <v>62</v>
      </c>
      <c r="C46" s="191">
        <f>IFERROR(VLOOKUP($B46,MMWR_TRAD_AGG_RO_COMP[],C$1,0),"ERROR")</f>
        <v>4619</v>
      </c>
      <c r="D46" s="192">
        <f>IFERROR(VLOOKUP($B46,MMWR_TRAD_AGG_RO_COMP[],D$1,0),"ERROR")</f>
        <v>445.65836761200001</v>
      </c>
      <c r="E46" s="193">
        <f>IFERROR(VLOOKUP($B46,MMWR_TRAD_AGG_RO_COMP[],E$1,0),"ERROR")</f>
        <v>5760</v>
      </c>
      <c r="F46" s="194">
        <f>IFERROR(VLOOKUP($B46,MMWR_TRAD_AGG_RO_COMP[],F$1,0),"ERROR")</f>
        <v>1297</v>
      </c>
      <c r="G46" s="195">
        <f t="shared" si="0"/>
        <v>0.22517361111111112</v>
      </c>
      <c r="H46" s="196">
        <f>IFERROR(VLOOKUP($B46,MMWR_TRAD_AGG_RO_COMP[],H$1,0),"ERROR")</f>
        <v>5796</v>
      </c>
      <c r="I46" s="194">
        <f>IFERROR(VLOOKUP($B46,MMWR_TRAD_AGG_RO_COMP[],I$1,0),"ERROR")</f>
        <v>4187</v>
      </c>
      <c r="J46" s="195">
        <f t="shared" si="1"/>
        <v>0.72239475500345063</v>
      </c>
      <c r="K46" s="197">
        <f>IFERROR(VLOOKUP($B46,MMWR_TRAD_AGG_RO_COMP[],K$1,0),"ERROR")</f>
        <v>1032</v>
      </c>
      <c r="L46" s="198">
        <f>IFERROR(VLOOKUP($B46,MMWR_TRAD_AGG_RO_COMP[],L$1,0),"ERROR")</f>
        <v>645</v>
      </c>
      <c r="M46" s="195">
        <f t="shared" si="2"/>
        <v>0.625</v>
      </c>
      <c r="N46" s="197">
        <f>IFERROR(VLOOKUP($B46,MMWR_TRAD_AGG_RO_COMP[],N$1,0),"ERROR")</f>
        <v>1287</v>
      </c>
      <c r="O46" s="198">
        <f>IFERROR(VLOOKUP($B46,MMWR_TRAD_AGG_RO_COMP[],O$1,0),"ERROR")</f>
        <v>778</v>
      </c>
      <c r="P46" s="195">
        <f t="shared" si="3"/>
        <v>0.60450660450660454</v>
      </c>
      <c r="Q46" s="199">
        <f>IFERROR(VLOOKUP($B46,MMWR_TRAD_AGG_RO_COMP[],Q$1,0),"ERROR")</f>
        <v>1</v>
      </c>
      <c r="R46" s="199">
        <f>IFERROR(VLOOKUP($B46,MMWR_TRAD_AGG_RO_COMP[],R$1,0),"ERROR")</f>
        <v>252</v>
      </c>
      <c r="S46" s="173">
        <f>IFERROR(VLOOKUP($B46,MMWR_APP_RO[],S$1,0),"ERROR")</f>
        <v>5719</v>
      </c>
      <c r="T46" s="28"/>
    </row>
    <row r="47" spans="1:20" x14ac:dyDescent="0.2">
      <c r="A47" s="28"/>
      <c r="B47" s="99" t="s">
        <v>73</v>
      </c>
      <c r="C47" s="191">
        <f>IFERROR(VLOOKUP($B47,MMWR_TRAD_AGG_RO_COMP[],C$1,0),"ERROR")</f>
        <v>7301</v>
      </c>
      <c r="D47" s="192">
        <f>IFERROR(VLOOKUP($B47,MMWR_TRAD_AGG_RO_COMP[],D$1,0),"ERROR")</f>
        <v>247.6736063553</v>
      </c>
      <c r="E47" s="193">
        <f>IFERROR(VLOOKUP($B47,MMWR_TRAD_AGG_RO_COMP[],E$1,0),"ERROR")</f>
        <v>2206</v>
      </c>
      <c r="F47" s="194">
        <f>IFERROR(VLOOKUP($B47,MMWR_TRAD_AGG_RO_COMP[],F$1,0),"ERROR")</f>
        <v>519</v>
      </c>
      <c r="G47" s="195">
        <f t="shared" si="0"/>
        <v>0.23526745240253852</v>
      </c>
      <c r="H47" s="196">
        <f>IFERROR(VLOOKUP($B47,MMWR_TRAD_AGG_RO_COMP[],H$1,0),"ERROR")</f>
        <v>15614</v>
      </c>
      <c r="I47" s="194">
        <f>IFERROR(VLOOKUP($B47,MMWR_TRAD_AGG_RO_COMP[],I$1,0),"ERROR")</f>
        <v>8293</v>
      </c>
      <c r="J47" s="195">
        <f t="shared" si="1"/>
        <v>0.53112591264250031</v>
      </c>
      <c r="K47" s="197">
        <f>IFERROR(VLOOKUP($B47,MMWR_TRAD_AGG_RO_COMP[],K$1,0),"ERROR")</f>
        <v>1759</v>
      </c>
      <c r="L47" s="198">
        <f>IFERROR(VLOOKUP($B47,MMWR_TRAD_AGG_RO_COMP[],L$1,0),"ERROR")</f>
        <v>666</v>
      </c>
      <c r="M47" s="195">
        <f t="shared" si="2"/>
        <v>0.37862421830585558</v>
      </c>
      <c r="N47" s="197">
        <f>IFERROR(VLOOKUP($B47,MMWR_TRAD_AGG_RO_COMP[],N$1,0),"ERROR")</f>
        <v>399</v>
      </c>
      <c r="O47" s="198">
        <f>IFERROR(VLOOKUP($B47,MMWR_TRAD_AGG_RO_COMP[],O$1,0),"ERROR")</f>
        <v>124</v>
      </c>
      <c r="P47" s="195">
        <f t="shared" si="3"/>
        <v>0.31077694235588971</v>
      </c>
      <c r="Q47" s="199">
        <f>IFERROR(VLOOKUP($B47,MMWR_TRAD_AGG_RO_COMP[],Q$1,0),"ERROR")</f>
        <v>0</v>
      </c>
      <c r="R47" s="199">
        <f>IFERROR(VLOOKUP($B47,MMWR_TRAD_AGG_RO_COMP[],R$1,0),"ERROR")</f>
        <v>1</v>
      </c>
      <c r="S47" s="173">
        <f>IFERROR(VLOOKUP($B47,MMWR_APP_RO[],S$1,0),"ERROR")</f>
        <v>519</v>
      </c>
      <c r="T47" s="28"/>
    </row>
    <row r="48" spans="1:20" x14ac:dyDescent="0.2">
      <c r="A48" s="28"/>
      <c r="B48" s="107" t="s">
        <v>82</v>
      </c>
      <c r="C48" s="200">
        <f>IFERROR(VLOOKUP($B48,MMWR_TRAD_AGG_RO_COMP[],C$1,0),"ERROR")</f>
        <v>11926</v>
      </c>
      <c r="D48" s="201">
        <f>IFERROR(VLOOKUP($B48,MMWR_TRAD_AGG_RO_COMP[],D$1,0),"ERROR")</f>
        <v>333.08586282070002</v>
      </c>
      <c r="E48" s="202">
        <f>IFERROR(VLOOKUP($B48,MMWR_TRAD_AGG_RO_COMP[],E$1,0),"ERROR")</f>
        <v>17588</v>
      </c>
      <c r="F48" s="203">
        <f>IFERROR(VLOOKUP($B48,MMWR_TRAD_AGG_RO_COMP[],F$1,0),"ERROR")</f>
        <v>3314</v>
      </c>
      <c r="G48" s="204">
        <f t="shared" si="0"/>
        <v>0.18842392540368433</v>
      </c>
      <c r="H48" s="205">
        <f>IFERROR(VLOOKUP($B48,MMWR_TRAD_AGG_RO_COMP[],H$1,0),"ERROR")</f>
        <v>14253</v>
      </c>
      <c r="I48" s="203">
        <f>IFERROR(VLOOKUP($B48,MMWR_TRAD_AGG_RO_COMP[],I$1,0),"ERROR")</f>
        <v>8936</v>
      </c>
      <c r="J48" s="204">
        <f t="shared" si="1"/>
        <v>0.62695572861853643</v>
      </c>
      <c r="K48" s="206">
        <f>IFERROR(VLOOKUP($B48,MMWR_TRAD_AGG_RO_COMP[],K$1,0),"ERROR")</f>
        <v>4447</v>
      </c>
      <c r="L48" s="207">
        <f>IFERROR(VLOOKUP($B48,MMWR_TRAD_AGG_RO_COMP[],L$1,0),"ERROR")</f>
        <v>2364</v>
      </c>
      <c r="M48" s="204">
        <f t="shared" si="2"/>
        <v>0.53159433325837646</v>
      </c>
      <c r="N48" s="206">
        <f>IFERROR(VLOOKUP($B48,MMWR_TRAD_AGG_RO_COMP[],N$1,0),"ERROR")</f>
        <v>5238</v>
      </c>
      <c r="O48" s="207">
        <f>IFERROR(VLOOKUP($B48,MMWR_TRAD_AGG_RO_COMP[],O$1,0),"ERROR")</f>
        <v>1733</v>
      </c>
      <c r="P48" s="204">
        <f t="shared" si="3"/>
        <v>0.33085147002672777</v>
      </c>
      <c r="Q48" s="208">
        <f>IFERROR(VLOOKUP($B48,MMWR_TRAD_AGG_RO_COMP[],Q$1,0),"ERROR")</f>
        <v>2</v>
      </c>
      <c r="R48" s="208">
        <f>IFERROR(VLOOKUP($B48,MMWR_TRAD_AGG_RO_COMP[],R$1,0),"ERROR")</f>
        <v>197</v>
      </c>
      <c r="S48" s="173">
        <f>IFERROR(VLOOKUP($B48,MMWR_APP_RO[],S$1,0),"ERROR")</f>
        <v>19678</v>
      </c>
      <c r="T48" s="28"/>
    </row>
    <row r="49" spans="1:20" x14ac:dyDescent="0.2">
      <c r="A49" s="28"/>
      <c r="B49" s="92" t="s">
        <v>400</v>
      </c>
      <c r="C49" s="184">
        <f>IFERROR(VLOOKUP($B49,MMWR_TRAD_AGG_DISTRICT_COMP[],C$1,0),"ERROR")</f>
        <v>55111</v>
      </c>
      <c r="D49" s="169">
        <f>IFERROR(VLOOKUP($B49,MMWR_TRAD_AGG_DISTRICT_COMP[],D$1,0),"ERROR")</f>
        <v>371.58890239700003</v>
      </c>
      <c r="E49" s="185">
        <f>IFERROR(VLOOKUP($B49,MMWR_TRAD_AGG_DISTRICT_COMP[],E$1,0),"ERROR")</f>
        <v>59958</v>
      </c>
      <c r="F49" s="190">
        <f>IFERROR(VLOOKUP($B49,MMWR_TRAD_AGG_DISTRICT_COMP[],F$1,0),"ERROR")</f>
        <v>12625</v>
      </c>
      <c r="G49" s="186">
        <f t="shared" si="0"/>
        <v>0.21056406150972348</v>
      </c>
      <c r="H49" s="190">
        <f>IFERROR(VLOOKUP($B49,MMWR_TRAD_AGG_DISTRICT_COMP[],H$1,0),"ERROR")</f>
        <v>79597</v>
      </c>
      <c r="I49" s="190">
        <f>IFERROR(VLOOKUP($B49,MMWR_TRAD_AGG_DISTRICT_COMP[],I$1,0),"ERROR")</f>
        <v>52837</v>
      </c>
      <c r="J49" s="186">
        <f t="shared" si="1"/>
        <v>0.66380642486525876</v>
      </c>
      <c r="K49" s="184">
        <f>IFERROR(VLOOKUP($B49,MMWR_TRAD_AGG_DISTRICT_COMP[],K$1,0),"ERROR")</f>
        <v>23416</v>
      </c>
      <c r="L49" s="184">
        <f>IFERROR(VLOOKUP($B49,MMWR_TRAD_AGG_DISTRICT_COMP[],L$1,0),"ERROR")</f>
        <v>16749</v>
      </c>
      <c r="M49" s="186">
        <f t="shared" si="2"/>
        <v>0.71528015032456438</v>
      </c>
      <c r="N49" s="184">
        <f>IFERROR(VLOOKUP($B49,MMWR_TRAD_AGG_DISTRICT_COMP[],N$1,0),"ERROR")</f>
        <v>21166</v>
      </c>
      <c r="O49" s="184">
        <f>IFERROR(VLOOKUP($B49,MMWR_TRAD_AGG_DISTRICT_COMP[],O$1,0),"ERROR")</f>
        <v>15520</v>
      </c>
      <c r="P49" s="186">
        <f t="shared" si="3"/>
        <v>0.7332514409902674</v>
      </c>
      <c r="Q49" s="184">
        <f>IFERROR(VLOOKUP($B49,MMWR_TRAD_AGG_DISTRICT_COMP[],Q$1,0),"ERROR")</f>
        <v>373</v>
      </c>
      <c r="R49" s="187">
        <f>IFERROR(VLOOKUP($B49,MMWR_TRAD_AGG_DISTRICT_COMP[],R$1,0),"ERROR")</f>
        <v>674</v>
      </c>
      <c r="S49" s="187">
        <f>IFERROR(VLOOKUP($B49,MMWR_APP_RO[],S$1,0),"ERROR")</f>
        <v>43916</v>
      </c>
      <c r="T49" s="28"/>
    </row>
    <row r="50" spans="1:20" x14ac:dyDescent="0.2">
      <c r="A50" s="28"/>
      <c r="B50" s="99" t="s">
        <v>34</v>
      </c>
      <c r="C50" s="191">
        <f>IFERROR(VLOOKUP($B50,MMWR_TRAD_AGG_RO_COMP[],C$1,0),"ERROR")</f>
        <v>1079</v>
      </c>
      <c r="D50" s="192">
        <f>IFERROR(VLOOKUP($B50,MMWR_TRAD_AGG_RO_COMP[],D$1,0),"ERROR")</f>
        <v>132.36422613529999</v>
      </c>
      <c r="E50" s="193">
        <f>IFERROR(VLOOKUP($B50,MMWR_TRAD_AGG_RO_COMP[],E$1,0),"ERROR")</f>
        <v>3076</v>
      </c>
      <c r="F50" s="194">
        <f>IFERROR(VLOOKUP($B50,MMWR_TRAD_AGG_RO_COMP[],F$1,0),"ERROR")</f>
        <v>551</v>
      </c>
      <c r="G50" s="195">
        <f t="shared" si="0"/>
        <v>0.17912873862158649</v>
      </c>
      <c r="H50" s="196">
        <f>IFERROR(VLOOKUP($B50,MMWR_TRAD_AGG_RO_COMP[],H$1,0),"ERROR")</f>
        <v>1520</v>
      </c>
      <c r="I50" s="194">
        <f>IFERROR(VLOOKUP($B50,MMWR_TRAD_AGG_RO_COMP[],I$1,0),"ERROR")</f>
        <v>468</v>
      </c>
      <c r="J50" s="195">
        <f t="shared" si="1"/>
        <v>0.30789473684210528</v>
      </c>
      <c r="K50" s="197">
        <f>IFERROR(VLOOKUP($B50,MMWR_TRAD_AGG_RO_COMP[],K$1,0),"ERROR")</f>
        <v>314</v>
      </c>
      <c r="L50" s="198">
        <f>IFERROR(VLOOKUP($B50,MMWR_TRAD_AGG_RO_COMP[],L$1,0),"ERROR")</f>
        <v>99</v>
      </c>
      <c r="M50" s="195">
        <f t="shared" si="2"/>
        <v>0.31528662420382164</v>
      </c>
      <c r="N50" s="197">
        <f>IFERROR(VLOOKUP($B50,MMWR_TRAD_AGG_RO_COMP[],N$1,0),"ERROR")</f>
        <v>411</v>
      </c>
      <c r="O50" s="198">
        <f>IFERROR(VLOOKUP($B50,MMWR_TRAD_AGG_RO_COMP[],O$1,0),"ERROR")</f>
        <v>218</v>
      </c>
      <c r="P50" s="195">
        <f t="shared" si="3"/>
        <v>0.53041362530413627</v>
      </c>
      <c r="Q50" s="199">
        <f>IFERROR(VLOOKUP($B50,MMWR_TRAD_AGG_RO_COMP[],Q$1,0),"ERROR")</f>
        <v>0</v>
      </c>
      <c r="R50" s="199">
        <f>IFERROR(VLOOKUP($B50,MMWR_TRAD_AGG_RO_COMP[],R$1,0),"ERROR")</f>
        <v>7</v>
      </c>
      <c r="S50" s="173">
        <f>IFERROR(VLOOKUP($B50,MMWR_APP_RO[],S$1,0),"ERROR")</f>
        <v>1749</v>
      </c>
      <c r="T50" s="28"/>
    </row>
    <row r="51" spans="1:20" x14ac:dyDescent="0.2">
      <c r="A51" s="28"/>
      <c r="B51" s="99" t="s">
        <v>35</v>
      </c>
      <c r="C51" s="191">
        <f>IFERROR(VLOOKUP($B51,MMWR_TRAD_AGG_RO_COMP[],C$1,0),"ERROR")</f>
        <v>2006</v>
      </c>
      <c r="D51" s="192">
        <f>IFERROR(VLOOKUP($B51,MMWR_TRAD_AGG_RO_COMP[],D$1,0),"ERROR")</f>
        <v>452.84446660020001</v>
      </c>
      <c r="E51" s="193">
        <f>IFERROR(VLOOKUP($B51,MMWR_TRAD_AGG_RO_COMP[],E$1,0),"ERROR")</f>
        <v>1187</v>
      </c>
      <c r="F51" s="194">
        <f>IFERROR(VLOOKUP($B51,MMWR_TRAD_AGG_RO_COMP[],F$1,0),"ERROR")</f>
        <v>308</v>
      </c>
      <c r="G51" s="195">
        <f t="shared" si="0"/>
        <v>0.25947767481044648</v>
      </c>
      <c r="H51" s="196">
        <f>IFERROR(VLOOKUP($B51,MMWR_TRAD_AGG_RO_COMP[],H$1,0),"ERROR")</f>
        <v>2725</v>
      </c>
      <c r="I51" s="194">
        <f>IFERROR(VLOOKUP($B51,MMWR_TRAD_AGG_RO_COMP[],I$1,0),"ERROR")</f>
        <v>1959</v>
      </c>
      <c r="J51" s="195">
        <f t="shared" si="1"/>
        <v>0.7188990825688073</v>
      </c>
      <c r="K51" s="197">
        <f>IFERROR(VLOOKUP($B51,MMWR_TRAD_AGG_RO_COMP[],K$1,0),"ERROR")</f>
        <v>2156</v>
      </c>
      <c r="L51" s="198">
        <f>IFERROR(VLOOKUP($B51,MMWR_TRAD_AGG_RO_COMP[],L$1,0),"ERROR")</f>
        <v>1850</v>
      </c>
      <c r="M51" s="195">
        <f t="shared" si="2"/>
        <v>0.85807050092764381</v>
      </c>
      <c r="N51" s="197">
        <f>IFERROR(VLOOKUP($B51,MMWR_TRAD_AGG_RO_COMP[],N$1,0),"ERROR")</f>
        <v>496</v>
      </c>
      <c r="O51" s="198">
        <f>IFERROR(VLOOKUP($B51,MMWR_TRAD_AGG_RO_COMP[],O$1,0),"ERROR")</f>
        <v>225</v>
      </c>
      <c r="P51" s="195">
        <f t="shared" si="3"/>
        <v>0.4536290322580645</v>
      </c>
      <c r="Q51" s="199">
        <f>IFERROR(VLOOKUP($B51,MMWR_TRAD_AGG_RO_COMP[],Q$1,0),"ERROR")</f>
        <v>0</v>
      </c>
      <c r="R51" s="199">
        <f>IFERROR(VLOOKUP($B51,MMWR_TRAD_AGG_RO_COMP[],R$1,0),"ERROR")</f>
        <v>2</v>
      </c>
      <c r="S51" s="173">
        <f>IFERROR(VLOOKUP($B51,MMWR_APP_RO[],S$1,0),"ERROR")</f>
        <v>217</v>
      </c>
      <c r="T51" s="28"/>
    </row>
    <row r="52" spans="1:20" x14ac:dyDescent="0.2">
      <c r="A52" s="28"/>
      <c r="B52" s="99" t="s">
        <v>37</v>
      </c>
      <c r="C52" s="191">
        <f>IFERROR(VLOOKUP($B52,MMWR_TRAD_AGG_RO_COMP[],C$1,0),"ERROR")</f>
        <v>189</v>
      </c>
      <c r="D52" s="192">
        <f>IFERROR(VLOOKUP($B52,MMWR_TRAD_AGG_RO_COMP[],D$1,0),"ERROR")</f>
        <v>71.222222222200003</v>
      </c>
      <c r="E52" s="193">
        <f>IFERROR(VLOOKUP($B52,MMWR_TRAD_AGG_RO_COMP[],E$1,0),"ERROR")</f>
        <v>1380</v>
      </c>
      <c r="F52" s="194">
        <f>IFERROR(VLOOKUP($B52,MMWR_TRAD_AGG_RO_COMP[],F$1,0),"ERROR")</f>
        <v>276</v>
      </c>
      <c r="G52" s="195">
        <f t="shared" si="0"/>
        <v>0.2</v>
      </c>
      <c r="H52" s="196">
        <f>IFERROR(VLOOKUP($B52,MMWR_TRAD_AGG_RO_COMP[],H$1,0),"ERROR")</f>
        <v>385</v>
      </c>
      <c r="I52" s="194">
        <f>IFERROR(VLOOKUP($B52,MMWR_TRAD_AGG_RO_COMP[],I$1,0),"ERROR")</f>
        <v>48</v>
      </c>
      <c r="J52" s="195">
        <f t="shared" si="1"/>
        <v>0.12467532467532468</v>
      </c>
      <c r="K52" s="197">
        <f>IFERROR(VLOOKUP($B52,MMWR_TRAD_AGG_RO_COMP[],K$1,0),"ERROR")</f>
        <v>257</v>
      </c>
      <c r="L52" s="198">
        <f>IFERROR(VLOOKUP($B52,MMWR_TRAD_AGG_RO_COMP[],L$1,0),"ERROR")</f>
        <v>25</v>
      </c>
      <c r="M52" s="195">
        <f t="shared" si="2"/>
        <v>9.727626459143969E-2</v>
      </c>
      <c r="N52" s="197">
        <f>IFERROR(VLOOKUP($B52,MMWR_TRAD_AGG_RO_COMP[],N$1,0),"ERROR")</f>
        <v>167</v>
      </c>
      <c r="O52" s="198">
        <f>IFERROR(VLOOKUP($B52,MMWR_TRAD_AGG_RO_COMP[],O$1,0),"ERROR")</f>
        <v>57</v>
      </c>
      <c r="P52" s="195">
        <f t="shared" si="3"/>
        <v>0.3413173652694611</v>
      </c>
      <c r="Q52" s="199">
        <f>IFERROR(VLOOKUP($B52,MMWR_TRAD_AGG_RO_COMP[],Q$1,0),"ERROR")</f>
        <v>0</v>
      </c>
      <c r="R52" s="199">
        <f>IFERROR(VLOOKUP($B52,MMWR_TRAD_AGG_RO_COMP[],R$1,0),"ERROR")</f>
        <v>2</v>
      </c>
      <c r="S52" s="173">
        <f>IFERROR(VLOOKUP($B52,MMWR_APP_RO[],S$1,0),"ERROR")</f>
        <v>926</v>
      </c>
      <c r="T52" s="28"/>
    </row>
    <row r="53" spans="1:20" x14ac:dyDescent="0.2">
      <c r="A53" s="28"/>
      <c r="B53" s="99" t="s">
        <v>48</v>
      </c>
      <c r="C53" s="191">
        <f>IFERROR(VLOOKUP($B53,MMWR_TRAD_AGG_RO_COMP[],C$1,0),"ERROR")</f>
        <v>1638</v>
      </c>
      <c r="D53" s="192">
        <f>IFERROR(VLOOKUP($B53,MMWR_TRAD_AGG_RO_COMP[],D$1,0),"ERROR")</f>
        <v>270.57387057390002</v>
      </c>
      <c r="E53" s="193">
        <f>IFERROR(VLOOKUP($B53,MMWR_TRAD_AGG_RO_COMP[],E$1,0),"ERROR")</f>
        <v>1958</v>
      </c>
      <c r="F53" s="194">
        <f>IFERROR(VLOOKUP($B53,MMWR_TRAD_AGG_RO_COMP[],F$1,0),"ERROR")</f>
        <v>424</v>
      </c>
      <c r="G53" s="195">
        <f t="shared" si="0"/>
        <v>0.21654749744637386</v>
      </c>
      <c r="H53" s="196">
        <f>IFERROR(VLOOKUP($B53,MMWR_TRAD_AGG_RO_COMP[],H$1,0),"ERROR")</f>
        <v>2072</v>
      </c>
      <c r="I53" s="194">
        <f>IFERROR(VLOOKUP($B53,MMWR_TRAD_AGG_RO_COMP[],I$1,0),"ERROR")</f>
        <v>1429</v>
      </c>
      <c r="J53" s="195">
        <f t="shared" si="1"/>
        <v>0.68967181467181471</v>
      </c>
      <c r="K53" s="197">
        <f>IFERROR(VLOOKUP($B53,MMWR_TRAD_AGG_RO_COMP[],K$1,0),"ERROR")</f>
        <v>1080</v>
      </c>
      <c r="L53" s="198">
        <f>IFERROR(VLOOKUP($B53,MMWR_TRAD_AGG_RO_COMP[],L$1,0),"ERROR")</f>
        <v>600</v>
      </c>
      <c r="M53" s="195">
        <f t="shared" si="2"/>
        <v>0.55555555555555558</v>
      </c>
      <c r="N53" s="197">
        <f>IFERROR(VLOOKUP($B53,MMWR_TRAD_AGG_RO_COMP[],N$1,0),"ERROR")</f>
        <v>192</v>
      </c>
      <c r="O53" s="198">
        <f>IFERROR(VLOOKUP($B53,MMWR_TRAD_AGG_RO_COMP[],O$1,0),"ERROR")</f>
        <v>80</v>
      </c>
      <c r="P53" s="195">
        <f t="shared" si="3"/>
        <v>0.41666666666666669</v>
      </c>
      <c r="Q53" s="199">
        <f>IFERROR(VLOOKUP($B53,MMWR_TRAD_AGG_RO_COMP[],Q$1,0),"ERROR")</f>
        <v>0</v>
      </c>
      <c r="R53" s="199">
        <f>IFERROR(VLOOKUP($B53,MMWR_TRAD_AGG_RO_COMP[],R$1,0),"ERROR")</f>
        <v>1</v>
      </c>
      <c r="S53" s="173">
        <f>IFERROR(VLOOKUP($B53,MMWR_APP_RO[],S$1,0),"ERROR")</f>
        <v>1428</v>
      </c>
      <c r="T53" s="28"/>
    </row>
    <row r="54" spans="1:20" x14ac:dyDescent="0.2">
      <c r="A54" s="28"/>
      <c r="B54" s="99" t="s">
        <v>55</v>
      </c>
      <c r="C54" s="191">
        <f>IFERROR(VLOOKUP($B54,MMWR_TRAD_AGG_RO_COMP[],C$1,0),"ERROR")</f>
        <v>7633</v>
      </c>
      <c r="D54" s="192">
        <f>IFERROR(VLOOKUP($B54,MMWR_TRAD_AGG_RO_COMP[],D$1,0),"ERROR")</f>
        <v>377.42263854319998</v>
      </c>
      <c r="E54" s="193">
        <f>IFERROR(VLOOKUP($B54,MMWR_TRAD_AGG_RO_COMP[],E$1,0),"ERROR")</f>
        <v>8952</v>
      </c>
      <c r="F54" s="194">
        <f>IFERROR(VLOOKUP($B54,MMWR_TRAD_AGG_RO_COMP[],F$1,0),"ERROR")</f>
        <v>1881</v>
      </c>
      <c r="G54" s="195">
        <f t="shared" si="0"/>
        <v>0.21012064343163539</v>
      </c>
      <c r="H54" s="196">
        <f>IFERROR(VLOOKUP($B54,MMWR_TRAD_AGG_RO_COMP[],H$1,0),"ERROR")</f>
        <v>9182</v>
      </c>
      <c r="I54" s="194">
        <f>IFERROR(VLOOKUP($B54,MMWR_TRAD_AGG_RO_COMP[],I$1,0),"ERROR")</f>
        <v>6190</v>
      </c>
      <c r="J54" s="195">
        <f t="shared" si="1"/>
        <v>0.67414506643432803</v>
      </c>
      <c r="K54" s="197">
        <f>IFERROR(VLOOKUP($B54,MMWR_TRAD_AGG_RO_COMP[],K$1,0),"ERROR")</f>
        <v>1034</v>
      </c>
      <c r="L54" s="198">
        <f>IFERROR(VLOOKUP($B54,MMWR_TRAD_AGG_RO_COMP[],L$1,0),"ERROR")</f>
        <v>889</v>
      </c>
      <c r="M54" s="195">
        <f t="shared" si="2"/>
        <v>0.85976789168278533</v>
      </c>
      <c r="N54" s="197">
        <f>IFERROR(VLOOKUP($B54,MMWR_TRAD_AGG_RO_COMP[],N$1,0),"ERROR")</f>
        <v>4115</v>
      </c>
      <c r="O54" s="198">
        <f>IFERROR(VLOOKUP($B54,MMWR_TRAD_AGG_RO_COMP[],O$1,0),"ERROR")</f>
        <v>3458</v>
      </c>
      <c r="P54" s="195">
        <f t="shared" si="3"/>
        <v>0.84034021871202913</v>
      </c>
      <c r="Q54" s="199">
        <f>IFERROR(VLOOKUP($B54,MMWR_TRAD_AGG_RO_COMP[],Q$1,0),"ERROR")</f>
        <v>2</v>
      </c>
      <c r="R54" s="199">
        <f>IFERROR(VLOOKUP($B54,MMWR_TRAD_AGG_RO_COMP[],R$1,0),"ERROR")</f>
        <v>29</v>
      </c>
      <c r="S54" s="173">
        <f>IFERROR(VLOOKUP($B54,MMWR_APP_RO[],S$1,0),"ERROR")</f>
        <v>4834</v>
      </c>
      <c r="T54" s="28"/>
    </row>
    <row r="55" spans="1:20" x14ac:dyDescent="0.2">
      <c r="A55" s="28"/>
      <c r="B55" s="99" t="s">
        <v>58</v>
      </c>
      <c r="C55" s="191">
        <f>IFERROR(VLOOKUP($B55,MMWR_TRAD_AGG_RO_COMP[],C$1,0),"ERROR")</f>
        <v>835</v>
      </c>
      <c r="D55" s="192">
        <f>IFERROR(VLOOKUP($B55,MMWR_TRAD_AGG_RO_COMP[],D$1,0),"ERROR")</f>
        <v>181.29221556889999</v>
      </c>
      <c r="E55" s="193">
        <f>IFERROR(VLOOKUP($B55,MMWR_TRAD_AGG_RO_COMP[],E$1,0),"ERROR")</f>
        <v>845</v>
      </c>
      <c r="F55" s="194">
        <f>IFERROR(VLOOKUP($B55,MMWR_TRAD_AGG_RO_COMP[],F$1,0),"ERROR")</f>
        <v>188</v>
      </c>
      <c r="G55" s="195">
        <f t="shared" si="0"/>
        <v>0.22248520710059172</v>
      </c>
      <c r="H55" s="196">
        <f>IFERROR(VLOOKUP($B55,MMWR_TRAD_AGG_RO_COMP[],H$1,0),"ERROR")</f>
        <v>936</v>
      </c>
      <c r="I55" s="194">
        <f>IFERROR(VLOOKUP($B55,MMWR_TRAD_AGG_RO_COMP[],I$1,0),"ERROR")</f>
        <v>550</v>
      </c>
      <c r="J55" s="195">
        <f t="shared" si="1"/>
        <v>0.58760683760683763</v>
      </c>
      <c r="K55" s="197">
        <f>IFERROR(VLOOKUP($B55,MMWR_TRAD_AGG_RO_COMP[],K$1,0),"ERROR")</f>
        <v>261</v>
      </c>
      <c r="L55" s="198">
        <f>IFERROR(VLOOKUP($B55,MMWR_TRAD_AGG_RO_COMP[],L$1,0),"ERROR")</f>
        <v>91</v>
      </c>
      <c r="M55" s="195">
        <f t="shared" si="2"/>
        <v>0.34865900383141762</v>
      </c>
      <c r="N55" s="197">
        <f>IFERROR(VLOOKUP($B55,MMWR_TRAD_AGG_RO_COMP[],N$1,0),"ERROR")</f>
        <v>974</v>
      </c>
      <c r="O55" s="198">
        <f>IFERROR(VLOOKUP($B55,MMWR_TRAD_AGG_RO_COMP[],O$1,0),"ERROR")</f>
        <v>552</v>
      </c>
      <c r="P55" s="195">
        <f t="shared" si="3"/>
        <v>0.56673511293634493</v>
      </c>
      <c r="Q55" s="199">
        <f>IFERROR(VLOOKUP($B55,MMWR_TRAD_AGG_RO_COMP[],Q$1,0),"ERROR")</f>
        <v>368</v>
      </c>
      <c r="R55" s="199">
        <f>IFERROR(VLOOKUP($B55,MMWR_TRAD_AGG_RO_COMP[],R$1,0),"ERROR")</f>
        <v>139</v>
      </c>
      <c r="S55" s="173">
        <f>IFERROR(VLOOKUP($B55,MMWR_APP_RO[],S$1,0),"ERROR")</f>
        <v>957</v>
      </c>
      <c r="T55" s="28"/>
    </row>
    <row r="56" spans="1:20" x14ac:dyDescent="0.2">
      <c r="A56" s="28"/>
      <c r="B56" s="99" t="s">
        <v>65</v>
      </c>
      <c r="C56" s="191">
        <f>IFERROR(VLOOKUP($B56,MMWR_TRAD_AGG_RO_COMP[],C$1,0),"ERROR")</f>
        <v>7861</v>
      </c>
      <c r="D56" s="192">
        <f>IFERROR(VLOOKUP($B56,MMWR_TRAD_AGG_RO_COMP[],D$1,0),"ERROR")</f>
        <v>401.91324258999998</v>
      </c>
      <c r="E56" s="193">
        <f>IFERROR(VLOOKUP($B56,MMWR_TRAD_AGG_RO_COMP[],E$1,0),"ERROR")</f>
        <v>11282</v>
      </c>
      <c r="F56" s="194">
        <f>IFERROR(VLOOKUP($B56,MMWR_TRAD_AGG_RO_COMP[],F$1,0),"ERROR")</f>
        <v>2755</v>
      </c>
      <c r="G56" s="195">
        <f t="shared" si="0"/>
        <v>0.24419429179223542</v>
      </c>
      <c r="H56" s="196">
        <f>IFERROR(VLOOKUP($B56,MMWR_TRAD_AGG_RO_COMP[],H$1,0),"ERROR")</f>
        <v>10774</v>
      </c>
      <c r="I56" s="194">
        <f>IFERROR(VLOOKUP($B56,MMWR_TRAD_AGG_RO_COMP[],I$1,0),"ERROR")</f>
        <v>8328</v>
      </c>
      <c r="J56" s="195">
        <f t="shared" si="1"/>
        <v>0.77297196955633929</v>
      </c>
      <c r="K56" s="197">
        <f>IFERROR(VLOOKUP($B56,MMWR_TRAD_AGG_RO_COMP[],K$1,0),"ERROR")</f>
        <v>3988</v>
      </c>
      <c r="L56" s="198">
        <f>IFERROR(VLOOKUP($B56,MMWR_TRAD_AGG_RO_COMP[],L$1,0),"ERROR")</f>
        <v>3332</v>
      </c>
      <c r="M56" s="195">
        <f t="shared" si="2"/>
        <v>0.83550651955867605</v>
      </c>
      <c r="N56" s="197">
        <f>IFERROR(VLOOKUP($B56,MMWR_TRAD_AGG_RO_COMP[],N$1,0),"ERROR")</f>
        <v>2281</v>
      </c>
      <c r="O56" s="198">
        <f>IFERROR(VLOOKUP($B56,MMWR_TRAD_AGG_RO_COMP[],O$1,0),"ERROR")</f>
        <v>1738</v>
      </c>
      <c r="P56" s="195">
        <f t="shared" si="3"/>
        <v>0.76194651468654095</v>
      </c>
      <c r="Q56" s="199">
        <f>IFERROR(VLOOKUP($B56,MMWR_TRAD_AGG_RO_COMP[],Q$1,0),"ERROR")</f>
        <v>0</v>
      </c>
      <c r="R56" s="199">
        <f>IFERROR(VLOOKUP($B56,MMWR_TRAD_AGG_RO_COMP[],R$1,0),"ERROR")</f>
        <v>31</v>
      </c>
      <c r="S56" s="173">
        <f>IFERROR(VLOOKUP($B56,MMWR_APP_RO[],S$1,0),"ERROR")</f>
        <v>8612</v>
      </c>
      <c r="T56" s="28"/>
    </row>
    <row r="57" spans="1:20" x14ac:dyDescent="0.2">
      <c r="A57" s="28"/>
      <c r="B57" s="99" t="s">
        <v>67</v>
      </c>
      <c r="C57" s="191">
        <f>IFERROR(VLOOKUP($B57,MMWR_TRAD_AGG_RO_COMP[],C$1,0),"ERROR")</f>
        <v>4611</v>
      </c>
      <c r="D57" s="192">
        <f>IFERROR(VLOOKUP($B57,MMWR_TRAD_AGG_RO_COMP[],D$1,0),"ERROR")</f>
        <v>256.2925612665</v>
      </c>
      <c r="E57" s="193">
        <f>IFERROR(VLOOKUP($B57,MMWR_TRAD_AGG_RO_COMP[],E$1,0),"ERROR")</f>
        <v>4223</v>
      </c>
      <c r="F57" s="194">
        <f>IFERROR(VLOOKUP($B57,MMWR_TRAD_AGG_RO_COMP[],F$1,0),"ERROR")</f>
        <v>1116</v>
      </c>
      <c r="G57" s="195">
        <f t="shared" si="0"/>
        <v>0.2642671086905044</v>
      </c>
      <c r="H57" s="196">
        <f>IFERROR(VLOOKUP($B57,MMWR_TRAD_AGG_RO_COMP[],H$1,0),"ERROR")</f>
        <v>5722</v>
      </c>
      <c r="I57" s="194">
        <f>IFERROR(VLOOKUP($B57,MMWR_TRAD_AGG_RO_COMP[],I$1,0),"ERROR")</f>
        <v>3323</v>
      </c>
      <c r="J57" s="195">
        <f t="shared" si="1"/>
        <v>0.58074099965047188</v>
      </c>
      <c r="K57" s="197">
        <f>IFERROR(VLOOKUP($B57,MMWR_TRAD_AGG_RO_COMP[],K$1,0),"ERROR")</f>
        <v>1093</v>
      </c>
      <c r="L57" s="198">
        <f>IFERROR(VLOOKUP($B57,MMWR_TRAD_AGG_RO_COMP[],L$1,0),"ERROR")</f>
        <v>304</v>
      </c>
      <c r="M57" s="195">
        <f t="shared" si="2"/>
        <v>0.27813357731015553</v>
      </c>
      <c r="N57" s="197">
        <f>IFERROR(VLOOKUP($B57,MMWR_TRAD_AGG_RO_COMP[],N$1,0),"ERROR")</f>
        <v>2597</v>
      </c>
      <c r="O57" s="198">
        <f>IFERROR(VLOOKUP($B57,MMWR_TRAD_AGG_RO_COMP[],O$1,0),"ERROR")</f>
        <v>2051</v>
      </c>
      <c r="P57" s="195">
        <f t="shared" si="3"/>
        <v>0.78975741239892183</v>
      </c>
      <c r="Q57" s="199">
        <f>IFERROR(VLOOKUP($B57,MMWR_TRAD_AGG_RO_COMP[],Q$1,0),"ERROR")</f>
        <v>1</v>
      </c>
      <c r="R57" s="199">
        <f>IFERROR(VLOOKUP($B57,MMWR_TRAD_AGG_RO_COMP[],R$1,0),"ERROR")</f>
        <v>70</v>
      </c>
      <c r="S57" s="173">
        <f>IFERROR(VLOOKUP($B57,MMWR_APP_RO[],S$1,0),"ERROR")</f>
        <v>7145</v>
      </c>
      <c r="T57" s="28"/>
    </row>
    <row r="58" spans="1:20" x14ac:dyDescent="0.2">
      <c r="A58" s="28"/>
      <c r="B58" s="99" t="s">
        <v>69</v>
      </c>
      <c r="C58" s="191">
        <f>IFERROR(VLOOKUP($B58,MMWR_TRAD_AGG_RO_COMP[],C$1,0),"ERROR")</f>
        <v>7146</v>
      </c>
      <c r="D58" s="192">
        <f>IFERROR(VLOOKUP($B58,MMWR_TRAD_AGG_RO_COMP[],D$1,0),"ERROR")</f>
        <v>438.32717604250001</v>
      </c>
      <c r="E58" s="193">
        <f>IFERROR(VLOOKUP($B58,MMWR_TRAD_AGG_RO_COMP[],E$1,0),"ERROR")</f>
        <v>4394</v>
      </c>
      <c r="F58" s="194">
        <f>IFERROR(VLOOKUP($B58,MMWR_TRAD_AGG_RO_COMP[],F$1,0),"ERROR")</f>
        <v>1159</v>
      </c>
      <c r="G58" s="195">
        <f t="shared" si="0"/>
        <v>0.26376877560309514</v>
      </c>
      <c r="H58" s="196">
        <f>IFERROR(VLOOKUP($B58,MMWR_TRAD_AGG_RO_COMP[],H$1,0),"ERROR")</f>
        <v>8705</v>
      </c>
      <c r="I58" s="194">
        <f>IFERROR(VLOOKUP($B58,MMWR_TRAD_AGG_RO_COMP[],I$1,0),"ERROR")</f>
        <v>6503</v>
      </c>
      <c r="J58" s="195">
        <f t="shared" si="1"/>
        <v>0.74704192992533025</v>
      </c>
      <c r="K58" s="197">
        <f>IFERROR(VLOOKUP($B58,MMWR_TRAD_AGG_RO_COMP[],K$1,0),"ERROR")</f>
        <v>3214</v>
      </c>
      <c r="L58" s="198">
        <f>IFERROR(VLOOKUP($B58,MMWR_TRAD_AGG_RO_COMP[],L$1,0),"ERROR")</f>
        <v>2810</v>
      </c>
      <c r="M58" s="195">
        <f t="shared" si="2"/>
        <v>0.87429993777224646</v>
      </c>
      <c r="N58" s="197">
        <f>IFERROR(VLOOKUP($B58,MMWR_TRAD_AGG_RO_COMP[],N$1,0),"ERROR")</f>
        <v>1962</v>
      </c>
      <c r="O58" s="198">
        <f>IFERROR(VLOOKUP($B58,MMWR_TRAD_AGG_RO_COMP[],O$1,0),"ERROR")</f>
        <v>1110</v>
      </c>
      <c r="P58" s="195">
        <f t="shared" si="3"/>
        <v>0.56574923547400613</v>
      </c>
      <c r="Q58" s="199">
        <f>IFERROR(VLOOKUP($B58,MMWR_TRAD_AGG_RO_COMP[],Q$1,0),"ERROR")</f>
        <v>0</v>
      </c>
      <c r="R58" s="199">
        <f>IFERROR(VLOOKUP($B58,MMWR_TRAD_AGG_RO_COMP[],R$1,0),"ERROR")</f>
        <v>73</v>
      </c>
      <c r="S58" s="173">
        <f>IFERROR(VLOOKUP($B58,MMWR_APP_RO[],S$1,0),"ERROR")</f>
        <v>5485</v>
      </c>
      <c r="T58" s="28"/>
    </row>
    <row r="59" spans="1:20" x14ac:dyDescent="0.2">
      <c r="A59" s="28"/>
      <c r="B59" s="99" t="s">
        <v>71</v>
      </c>
      <c r="C59" s="191">
        <f>IFERROR(VLOOKUP($B59,MMWR_TRAD_AGG_RO_COMP[],C$1,0),"ERROR")</f>
        <v>3044</v>
      </c>
      <c r="D59" s="192">
        <f>IFERROR(VLOOKUP($B59,MMWR_TRAD_AGG_RO_COMP[],D$1,0),"ERROR")</f>
        <v>455.93889618920002</v>
      </c>
      <c r="E59" s="193">
        <f>IFERROR(VLOOKUP($B59,MMWR_TRAD_AGG_RO_COMP[],E$1,0),"ERROR")</f>
        <v>3277</v>
      </c>
      <c r="F59" s="194">
        <f>IFERROR(VLOOKUP($B59,MMWR_TRAD_AGG_RO_COMP[],F$1,0),"ERROR")</f>
        <v>707</v>
      </c>
      <c r="G59" s="195">
        <f t="shared" si="0"/>
        <v>0.21574610924626184</v>
      </c>
      <c r="H59" s="196">
        <f>IFERROR(VLOOKUP($B59,MMWR_TRAD_AGG_RO_COMP[],H$1,0),"ERROR")</f>
        <v>3471</v>
      </c>
      <c r="I59" s="194">
        <f>IFERROR(VLOOKUP($B59,MMWR_TRAD_AGG_RO_COMP[],I$1,0),"ERROR")</f>
        <v>2537</v>
      </c>
      <c r="J59" s="195">
        <f t="shared" si="1"/>
        <v>0.73091328147507928</v>
      </c>
      <c r="K59" s="197">
        <f>IFERROR(VLOOKUP($B59,MMWR_TRAD_AGG_RO_COMP[],K$1,0),"ERROR")</f>
        <v>563</v>
      </c>
      <c r="L59" s="198">
        <f>IFERROR(VLOOKUP($B59,MMWR_TRAD_AGG_RO_COMP[],L$1,0),"ERROR")</f>
        <v>409</v>
      </c>
      <c r="M59" s="195">
        <f t="shared" si="2"/>
        <v>0.72646536412078155</v>
      </c>
      <c r="N59" s="197">
        <f>IFERROR(VLOOKUP($B59,MMWR_TRAD_AGG_RO_COMP[],N$1,0),"ERROR")</f>
        <v>1099</v>
      </c>
      <c r="O59" s="198">
        <f>IFERROR(VLOOKUP($B59,MMWR_TRAD_AGG_RO_COMP[],O$1,0),"ERROR")</f>
        <v>809</v>
      </c>
      <c r="P59" s="195">
        <f t="shared" si="3"/>
        <v>0.73612374886260235</v>
      </c>
      <c r="Q59" s="199">
        <f>IFERROR(VLOOKUP($B59,MMWR_TRAD_AGG_RO_COMP[],Q$1,0),"ERROR")</f>
        <v>0</v>
      </c>
      <c r="R59" s="199">
        <f>IFERROR(VLOOKUP($B59,MMWR_TRAD_AGG_RO_COMP[],R$1,0),"ERROR")</f>
        <v>117</v>
      </c>
      <c r="S59" s="173">
        <f>IFERROR(VLOOKUP($B59,MMWR_APP_RO[],S$1,0),"ERROR")</f>
        <v>2994</v>
      </c>
      <c r="T59" s="28"/>
    </row>
    <row r="60" spans="1:20" x14ac:dyDescent="0.2">
      <c r="A60" s="28"/>
      <c r="B60" s="99" t="s">
        <v>74</v>
      </c>
      <c r="C60" s="191">
        <f>IFERROR(VLOOKUP($B60,MMWR_TRAD_AGG_RO_COMP[],C$1,0),"ERROR")</f>
        <v>7170</v>
      </c>
      <c r="D60" s="192">
        <f>IFERROR(VLOOKUP($B60,MMWR_TRAD_AGG_RO_COMP[],D$1,0),"ERROR")</f>
        <v>345.3958158996</v>
      </c>
      <c r="E60" s="193">
        <f>IFERROR(VLOOKUP($B60,MMWR_TRAD_AGG_RO_COMP[],E$1,0),"ERROR")</f>
        <v>12067</v>
      </c>
      <c r="F60" s="194">
        <f>IFERROR(VLOOKUP($B60,MMWR_TRAD_AGG_RO_COMP[],F$1,0),"ERROR")</f>
        <v>2033</v>
      </c>
      <c r="G60" s="195">
        <f t="shared" si="0"/>
        <v>0.16847600895002901</v>
      </c>
      <c r="H60" s="196">
        <f>IFERROR(VLOOKUP($B60,MMWR_TRAD_AGG_RO_COMP[],H$1,0),"ERROR")</f>
        <v>17293</v>
      </c>
      <c r="I60" s="194">
        <f>IFERROR(VLOOKUP($B60,MMWR_TRAD_AGG_RO_COMP[],I$1,0),"ERROR")</f>
        <v>9491</v>
      </c>
      <c r="J60" s="195">
        <f t="shared" si="1"/>
        <v>0.54883478864280344</v>
      </c>
      <c r="K60" s="197">
        <f>IFERROR(VLOOKUP($B60,MMWR_TRAD_AGG_RO_COMP[],K$1,0),"ERROR")</f>
        <v>4240</v>
      </c>
      <c r="L60" s="198">
        <f>IFERROR(VLOOKUP($B60,MMWR_TRAD_AGG_RO_COMP[],L$1,0),"ERROR")</f>
        <v>2361</v>
      </c>
      <c r="M60" s="195">
        <f t="shared" si="2"/>
        <v>0.55683962264150944</v>
      </c>
      <c r="N60" s="197">
        <f>IFERROR(VLOOKUP($B60,MMWR_TRAD_AGG_RO_COMP[],N$1,0),"ERROR")</f>
        <v>2629</v>
      </c>
      <c r="O60" s="198">
        <f>IFERROR(VLOOKUP($B60,MMWR_TRAD_AGG_RO_COMP[],O$1,0),"ERROR")</f>
        <v>1626</v>
      </c>
      <c r="P60" s="195">
        <f t="shared" si="3"/>
        <v>0.61848611639406614</v>
      </c>
      <c r="Q60" s="199">
        <f>IFERROR(VLOOKUP($B60,MMWR_TRAD_AGG_RO_COMP[],Q$1,0),"ERROR")</f>
        <v>0</v>
      </c>
      <c r="R60" s="199">
        <f>IFERROR(VLOOKUP($B60,MMWR_TRAD_AGG_RO_COMP[],R$1,0),"ERROR")</f>
        <v>58</v>
      </c>
      <c r="S60" s="173">
        <f>IFERROR(VLOOKUP($B60,MMWR_APP_RO[],S$1,0),"ERROR")</f>
        <v>4373</v>
      </c>
      <c r="T60" s="28"/>
    </row>
    <row r="61" spans="1:20" x14ac:dyDescent="0.2">
      <c r="A61" s="28"/>
      <c r="B61" s="107" t="s">
        <v>76</v>
      </c>
      <c r="C61" s="200">
        <f>IFERROR(VLOOKUP($B61,MMWR_TRAD_AGG_RO_COMP[],C$1,0),"ERROR")</f>
        <v>11899</v>
      </c>
      <c r="D61" s="201">
        <f>IFERROR(VLOOKUP($B61,MMWR_TRAD_AGG_RO_COMP[],D$1,0),"ERROR")</f>
        <v>386.64131439620002</v>
      </c>
      <c r="E61" s="202">
        <f>IFERROR(VLOOKUP($B61,MMWR_TRAD_AGG_RO_COMP[],E$1,0),"ERROR")</f>
        <v>7317</v>
      </c>
      <c r="F61" s="203">
        <f>IFERROR(VLOOKUP($B61,MMWR_TRAD_AGG_RO_COMP[],F$1,0),"ERROR")</f>
        <v>1227</v>
      </c>
      <c r="G61" s="204">
        <f t="shared" si="0"/>
        <v>0.16769167691676917</v>
      </c>
      <c r="H61" s="205">
        <f>IFERROR(VLOOKUP($B61,MMWR_TRAD_AGG_RO_COMP[],H$1,0),"ERROR")</f>
        <v>16812</v>
      </c>
      <c r="I61" s="203">
        <f>IFERROR(VLOOKUP($B61,MMWR_TRAD_AGG_RO_COMP[],I$1,0),"ERROR")</f>
        <v>12011</v>
      </c>
      <c r="J61" s="204">
        <f t="shared" si="1"/>
        <v>0.71443016892695699</v>
      </c>
      <c r="K61" s="206">
        <f>IFERROR(VLOOKUP($B61,MMWR_TRAD_AGG_RO_COMP[],K$1,0),"ERROR")</f>
        <v>5216</v>
      </c>
      <c r="L61" s="207">
        <f>IFERROR(VLOOKUP($B61,MMWR_TRAD_AGG_RO_COMP[],L$1,0),"ERROR")</f>
        <v>3979</v>
      </c>
      <c r="M61" s="204">
        <f t="shared" si="2"/>
        <v>0.76284509202453987</v>
      </c>
      <c r="N61" s="206">
        <f>IFERROR(VLOOKUP($B61,MMWR_TRAD_AGG_RO_COMP[],N$1,0),"ERROR")</f>
        <v>4243</v>
      </c>
      <c r="O61" s="207">
        <f>IFERROR(VLOOKUP($B61,MMWR_TRAD_AGG_RO_COMP[],O$1,0),"ERROR")</f>
        <v>3596</v>
      </c>
      <c r="P61" s="204">
        <f t="shared" si="3"/>
        <v>0.84751355173226495</v>
      </c>
      <c r="Q61" s="208">
        <f>IFERROR(VLOOKUP($B61,MMWR_TRAD_AGG_RO_COMP[],Q$1,0),"ERROR")</f>
        <v>2</v>
      </c>
      <c r="R61" s="208">
        <f>IFERROR(VLOOKUP($B61,MMWR_TRAD_AGG_RO_COMP[],R$1,0),"ERROR")</f>
        <v>145</v>
      </c>
      <c r="S61" s="173">
        <f>IFERROR(VLOOKUP($B61,MMWR_APP_RO[],S$1,0),"ERROR")</f>
        <v>5196</v>
      </c>
      <c r="T61" s="28"/>
    </row>
    <row r="62" spans="1:20" x14ac:dyDescent="0.2">
      <c r="A62" s="28"/>
      <c r="B62" s="92" t="s">
        <v>376</v>
      </c>
      <c r="C62" s="184">
        <f>IFERROR(VLOOKUP($B62,MMWR_TRAD_AGG_DISTRICT_COMP[],C$1,0),"ERROR")</f>
        <v>65725</v>
      </c>
      <c r="D62" s="169">
        <f>IFERROR(VLOOKUP($B62,MMWR_TRAD_AGG_DISTRICT_COMP[],D$1,0),"ERROR")</f>
        <v>340.63385317609999</v>
      </c>
      <c r="E62" s="185">
        <f>IFERROR(VLOOKUP($B62,MMWR_TRAD_AGG_DISTRICT_COMP[],E$1,0),"ERROR")</f>
        <v>71289</v>
      </c>
      <c r="F62" s="190">
        <f>IFERROR(VLOOKUP($B62,MMWR_TRAD_AGG_DISTRICT_COMP[],F$1,0),"ERROR")</f>
        <v>18053</v>
      </c>
      <c r="G62" s="186">
        <f t="shared" si="0"/>
        <v>0.25323682475557241</v>
      </c>
      <c r="H62" s="190">
        <f>IFERROR(VLOOKUP($B62,MMWR_TRAD_AGG_DISTRICT_COMP[],H$1,0),"ERROR")</f>
        <v>92850</v>
      </c>
      <c r="I62" s="190">
        <f>IFERROR(VLOOKUP($B62,MMWR_TRAD_AGG_DISTRICT_COMP[],I$1,0),"ERROR")</f>
        <v>61635</v>
      </c>
      <c r="J62" s="186">
        <f t="shared" si="1"/>
        <v>0.66381260096930528</v>
      </c>
      <c r="K62" s="184">
        <f>IFERROR(VLOOKUP($B62,MMWR_TRAD_AGG_DISTRICT_COMP[],K$1,0),"ERROR")</f>
        <v>27202</v>
      </c>
      <c r="L62" s="184">
        <f>IFERROR(VLOOKUP($B62,MMWR_TRAD_AGG_DISTRICT_COMP[],L$1,0),"ERROR")</f>
        <v>18648</v>
      </c>
      <c r="M62" s="186">
        <f t="shared" si="2"/>
        <v>0.68553782810087494</v>
      </c>
      <c r="N62" s="184">
        <f>IFERROR(VLOOKUP($B62,MMWR_TRAD_AGG_DISTRICT_COMP[],N$1,0),"ERROR")</f>
        <v>29675</v>
      </c>
      <c r="O62" s="184">
        <f>IFERROR(VLOOKUP($B62,MMWR_TRAD_AGG_DISTRICT_COMP[],O$1,0),"ERROR")</f>
        <v>20573</v>
      </c>
      <c r="P62" s="186">
        <f t="shared" si="3"/>
        <v>0.6932771693344566</v>
      </c>
      <c r="Q62" s="184">
        <f>IFERROR(VLOOKUP($B62,MMWR_TRAD_AGG_DISTRICT_COMP[],Q$1,0),"ERROR")</f>
        <v>208</v>
      </c>
      <c r="R62" s="187">
        <f>IFERROR(VLOOKUP($B62,MMWR_TRAD_AGG_DISTRICT_COMP[],R$1,0),"ERROR")</f>
        <v>1201</v>
      </c>
      <c r="S62" s="187">
        <f>IFERROR(VLOOKUP($B62,MMWR_APP_RO[],S$1,0),"ERROR")</f>
        <v>88342</v>
      </c>
      <c r="T62" s="28"/>
    </row>
    <row r="63" spans="1:20" x14ac:dyDescent="0.2">
      <c r="A63" s="28"/>
      <c r="B63" s="99" t="s">
        <v>25</v>
      </c>
      <c r="C63" s="191">
        <f>IFERROR(VLOOKUP($B63,MMWR_TRAD_AGG_RO_COMP[],C$1,0),"ERROR")</f>
        <v>13142</v>
      </c>
      <c r="D63" s="192">
        <f>IFERROR(VLOOKUP($B63,MMWR_TRAD_AGG_RO_COMP[],D$1,0),"ERROR")</f>
        <v>346.47755288389999</v>
      </c>
      <c r="E63" s="193">
        <f>IFERROR(VLOOKUP($B63,MMWR_TRAD_AGG_RO_COMP[],E$1,0),"ERROR")</f>
        <v>16760</v>
      </c>
      <c r="F63" s="194">
        <f>IFERROR(VLOOKUP($B63,MMWR_TRAD_AGG_RO_COMP[],F$1,0),"ERROR")</f>
        <v>4233</v>
      </c>
      <c r="G63" s="195">
        <f t="shared" si="0"/>
        <v>0.25256563245823388</v>
      </c>
      <c r="H63" s="196">
        <f>IFERROR(VLOOKUP($B63,MMWR_TRAD_AGG_RO_COMP[],H$1,0),"ERROR")</f>
        <v>18722</v>
      </c>
      <c r="I63" s="194">
        <f>IFERROR(VLOOKUP($B63,MMWR_TRAD_AGG_RO_COMP[],I$1,0),"ERROR")</f>
        <v>13367</v>
      </c>
      <c r="J63" s="195">
        <f t="shared" si="1"/>
        <v>0.71397286614677924</v>
      </c>
      <c r="K63" s="197">
        <f>IFERROR(VLOOKUP($B63,MMWR_TRAD_AGG_RO_COMP[],K$1,0),"ERROR")</f>
        <v>7417</v>
      </c>
      <c r="L63" s="198">
        <f>IFERROR(VLOOKUP($B63,MMWR_TRAD_AGG_RO_COMP[],L$1,0),"ERROR")</f>
        <v>5018</v>
      </c>
      <c r="M63" s="195">
        <f t="shared" si="2"/>
        <v>0.67655386274774165</v>
      </c>
      <c r="N63" s="197">
        <f>IFERROR(VLOOKUP($B63,MMWR_TRAD_AGG_RO_COMP[],N$1,0),"ERROR")</f>
        <v>10964</v>
      </c>
      <c r="O63" s="198">
        <f>IFERROR(VLOOKUP($B63,MMWR_TRAD_AGG_RO_COMP[],O$1,0),"ERROR")</f>
        <v>9195</v>
      </c>
      <c r="P63" s="195">
        <f t="shared" si="3"/>
        <v>0.83865377599416269</v>
      </c>
      <c r="Q63" s="199">
        <f>IFERROR(VLOOKUP($B63,MMWR_TRAD_AGG_RO_COMP[],Q$1,0),"ERROR")</f>
        <v>64</v>
      </c>
      <c r="R63" s="199">
        <f>IFERROR(VLOOKUP($B63,MMWR_TRAD_AGG_RO_COMP[],R$1,0),"ERROR")</f>
        <v>6</v>
      </c>
      <c r="S63" s="173">
        <f>IFERROR(VLOOKUP($B63,MMWR_APP_RO[],S$1,0),"ERROR")</f>
        <v>17376</v>
      </c>
      <c r="T63" s="28"/>
    </row>
    <row r="64" spans="1:20" x14ac:dyDescent="0.2">
      <c r="A64" s="28"/>
      <c r="B64" s="99" t="s">
        <v>42</v>
      </c>
      <c r="C64" s="191">
        <f>IFERROR(VLOOKUP($B64,MMWR_TRAD_AGG_RO_COMP[],C$1,0),"ERROR")</f>
        <v>10197</v>
      </c>
      <c r="D64" s="192">
        <f>IFERROR(VLOOKUP($B64,MMWR_TRAD_AGG_RO_COMP[],D$1,0),"ERROR")</f>
        <v>291.50426596059998</v>
      </c>
      <c r="E64" s="193">
        <f>IFERROR(VLOOKUP($B64,MMWR_TRAD_AGG_RO_COMP[],E$1,0),"ERROR")</f>
        <v>8525</v>
      </c>
      <c r="F64" s="194">
        <f>IFERROR(VLOOKUP($B64,MMWR_TRAD_AGG_RO_COMP[],F$1,0),"ERROR")</f>
        <v>2455</v>
      </c>
      <c r="G64" s="195">
        <f t="shared" si="0"/>
        <v>0.2879765395894428</v>
      </c>
      <c r="H64" s="196">
        <f>IFERROR(VLOOKUP($B64,MMWR_TRAD_AGG_RO_COMP[],H$1,0),"ERROR")</f>
        <v>18159</v>
      </c>
      <c r="I64" s="194">
        <f>IFERROR(VLOOKUP($B64,MMWR_TRAD_AGG_RO_COMP[],I$1,0),"ERROR")</f>
        <v>12081</v>
      </c>
      <c r="J64" s="195">
        <f t="shared" si="1"/>
        <v>0.66528993887328602</v>
      </c>
      <c r="K64" s="197">
        <f>IFERROR(VLOOKUP($B64,MMWR_TRAD_AGG_RO_COMP[],K$1,0),"ERROR")</f>
        <v>3082</v>
      </c>
      <c r="L64" s="198">
        <f>IFERROR(VLOOKUP($B64,MMWR_TRAD_AGG_RO_COMP[],L$1,0),"ERROR")</f>
        <v>2089</v>
      </c>
      <c r="M64" s="195">
        <f t="shared" si="2"/>
        <v>0.67780661907852047</v>
      </c>
      <c r="N64" s="197">
        <f>IFERROR(VLOOKUP($B64,MMWR_TRAD_AGG_RO_COMP[],N$1,0),"ERROR")</f>
        <v>1240</v>
      </c>
      <c r="O64" s="198">
        <f>IFERROR(VLOOKUP($B64,MMWR_TRAD_AGG_RO_COMP[],O$1,0),"ERROR")</f>
        <v>471</v>
      </c>
      <c r="P64" s="195">
        <f t="shared" si="3"/>
        <v>0.37983870967741934</v>
      </c>
      <c r="Q64" s="199">
        <f>IFERROR(VLOOKUP($B64,MMWR_TRAD_AGG_RO_COMP[],Q$1,0),"ERROR")</f>
        <v>0</v>
      </c>
      <c r="R64" s="199">
        <f>IFERROR(VLOOKUP($B64,MMWR_TRAD_AGG_RO_COMP[],R$1,0),"ERROR")</f>
        <v>53</v>
      </c>
      <c r="S64" s="173">
        <f>IFERROR(VLOOKUP($B64,MMWR_APP_RO[],S$1,0),"ERROR")</f>
        <v>12857</v>
      </c>
      <c r="T64" s="28"/>
    </row>
    <row r="65" spans="1:20" x14ac:dyDescent="0.2">
      <c r="A65" s="28"/>
      <c r="B65" s="99" t="s">
        <v>56</v>
      </c>
      <c r="C65" s="191">
        <f>IFERROR(VLOOKUP($B65,MMWR_TRAD_AGG_RO_COMP[],C$1,0),"ERROR")</f>
        <v>7630</v>
      </c>
      <c r="D65" s="192">
        <f>IFERROR(VLOOKUP($B65,MMWR_TRAD_AGG_RO_COMP[],D$1,0),"ERROR")</f>
        <v>493.45072083880001</v>
      </c>
      <c r="E65" s="193">
        <f>IFERROR(VLOOKUP($B65,MMWR_TRAD_AGG_RO_COMP[],E$1,0),"ERROR")</f>
        <v>4097</v>
      </c>
      <c r="F65" s="194">
        <f>IFERROR(VLOOKUP($B65,MMWR_TRAD_AGG_RO_COMP[],F$1,0),"ERROR")</f>
        <v>1060</v>
      </c>
      <c r="G65" s="195">
        <f t="shared" si="0"/>
        <v>0.2587258969978033</v>
      </c>
      <c r="H65" s="196">
        <f>IFERROR(VLOOKUP($B65,MMWR_TRAD_AGG_RO_COMP[],H$1,0),"ERROR")</f>
        <v>11898</v>
      </c>
      <c r="I65" s="194">
        <f>IFERROR(VLOOKUP($B65,MMWR_TRAD_AGG_RO_COMP[],I$1,0),"ERROR")</f>
        <v>7881</v>
      </c>
      <c r="J65" s="195">
        <f t="shared" si="1"/>
        <v>0.66238023197175999</v>
      </c>
      <c r="K65" s="197">
        <f>IFERROR(VLOOKUP($B65,MMWR_TRAD_AGG_RO_COMP[],K$1,0),"ERROR")</f>
        <v>3490</v>
      </c>
      <c r="L65" s="198">
        <f>IFERROR(VLOOKUP($B65,MMWR_TRAD_AGG_RO_COMP[],L$1,0),"ERROR")</f>
        <v>2990</v>
      </c>
      <c r="M65" s="195">
        <f t="shared" si="2"/>
        <v>0.85673352435530081</v>
      </c>
      <c r="N65" s="197">
        <f>IFERROR(VLOOKUP($B65,MMWR_TRAD_AGG_RO_COMP[],N$1,0),"ERROR")</f>
        <v>1047</v>
      </c>
      <c r="O65" s="198">
        <f>IFERROR(VLOOKUP($B65,MMWR_TRAD_AGG_RO_COMP[],O$1,0),"ERROR")</f>
        <v>424</v>
      </c>
      <c r="P65" s="195">
        <f t="shared" si="3"/>
        <v>0.40496657115568291</v>
      </c>
      <c r="Q65" s="199">
        <f>IFERROR(VLOOKUP($B65,MMWR_TRAD_AGG_RO_COMP[],Q$1,0),"ERROR")</f>
        <v>132</v>
      </c>
      <c r="R65" s="199">
        <f>IFERROR(VLOOKUP($B65,MMWR_TRAD_AGG_RO_COMP[],R$1,0),"ERROR")</f>
        <v>260</v>
      </c>
      <c r="S65" s="173">
        <f>IFERROR(VLOOKUP($B65,MMWR_APP_RO[],S$1,0),"ERROR")</f>
        <v>4878</v>
      </c>
      <c r="T65" s="28"/>
    </row>
    <row r="66" spans="1:20" x14ac:dyDescent="0.2">
      <c r="A66" s="28"/>
      <c r="B66" s="99" t="s">
        <v>60</v>
      </c>
      <c r="C66" s="191">
        <f>IFERROR(VLOOKUP($B66,MMWR_TRAD_AGG_RO_COMP[],C$1,0),"ERROR")</f>
        <v>12256</v>
      </c>
      <c r="D66" s="192">
        <f>IFERROR(VLOOKUP($B66,MMWR_TRAD_AGG_RO_COMP[],D$1,0),"ERROR")</f>
        <v>377.4095953003</v>
      </c>
      <c r="E66" s="193">
        <f>IFERROR(VLOOKUP($B66,MMWR_TRAD_AGG_RO_COMP[],E$1,0),"ERROR")</f>
        <v>7263</v>
      </c>
      <c r="F66" s="194">
        <f>IFERROR(VLOOKUP($B66,MMWR_TRAD_AGG_RO_COMP[],F$1,0),"ERROR")</f>
        <v>1397</v>
      </c>
      <c r="G66" s="195">
        <f t="shared" si="0"/>
        <v>0.19234476111799531</v>
      </c>
      <c r="H66" s="196">
        <f>IFERROR(VLOOKUP($B66,MMWR_TRAD_AGG_RO_COMP[],H$1,0),"ERROR")</f>
        <v>13667</v>
      </c>
      <c r="I66" s="194">
        <f>IFERROR(VLOOKUP($B66,MMWR_TRAD_AGG_RO_COMP[],I$1,0),"ERROR")</f>
        <v>9920</v>
      </c>
      <c r="J66" s="195">
        <f t="shared" si="1"/>
        <v>0.7258359552206044</v>
      </c>
      <c r="K66" s="197">
        <f>IFERROR(VLOOKUP($B66,MMWR_TRAD_AGG_RO_COMP[],K$1,0),"ERROR")</f>
        <v>4665</v>
      </c>
      <c r="L66" s="198">
        <f>IFERROR(VLOOKUP($B66,MMWR_TRAD_AGG_RO_COMP[],L$1,0),"ERROR")</f>
        <v>3734</v>
      </c>
      <c r="M66" s="195">
        <f t="shared" si="2"/>
        <v>0.80042872454448022</v>
      </c>
      <c r="N66" s="197">
        <f>IFERROR(VLOOKUP($B66,MMWR_TRAD_AGG_RO_COMP[],N$1,0),"ERROR")</f>
        <v>1784</v>
      </c>
      <c r="O66" s="198">
        <f>IFERROR(VLOOKUP($B66,MMWR_TRAD_AGG_RO_COMP[],O$1,0),"ERROR")</f>
        <v>1249</v>
      </c>
      <c r="P66" s="195">
        <f t="shared" si="3"/>
        <v>0.70011210762331844</v>
      </c>
      <c r="Q66" s="199">
        <f>IFERROR(VLOOKUP($B66,MMWR_TRAD_AGG_RO_COMP[],Q$1,0),"ERROR")</f>
        <v>0</v>
      </c>
      <c r="R66" s="199">
        <f>IFERROR(VLOOKUP($B66,MMWR_TRAD_AGG_RO_COMP[],R$1,0),"ERROR")</f>
        <v>373</v>
      </c>
      <c r="S66" s="173">
        <f>IFERROR(VLOOKUP($B66,MMWR_APP_RO[],S$1,0),"ERROR")</f>
        <v>10288</v>
      </c>
      <c r="T66" s="28"/>
    </row>
    <row r="67" spans="1:20" x14ac:dyDescent="0.2">
      <c r="A67" s="28"/>
      <c r="B67" s="99" t="s">
        <v>61</v>
      </c>
      <c r="C67" s="191">
        <f>IFERROR(VLOOKUP($B67,MMWR_TRAD_AGG_RO_COMP[],C$1,0),"ERROR")</f>
        <v>4825</v>
      </c>
      <c r="D67" s="192">
        <f>IFERROR(VLOOKUP($B67,MMWR_TRAD_AGG_RO_COMP[],D$1,0),"ERROR")</f>
        <v>233.698238342</v>
      </c>
      <c r="E67" s="193">
        <f>IFERROR(VLOOKUP($B67,MMWR_TRAD_AGG_RO_COMP[],E$1,0),"ERROR")</f>
        <v>10342</v>
      </c>
      <c r="F67" s="194">
        <f>IFERROR(VLOOKUP($B67,MMWR_TRAD_AGG_RO_COMP[],F$1,0),"ERROR")</f>
        <v>2538</v>
      </c>
      <c r="G67" s="195">
        <f t="shared" si="0"/>
        <v>0.24540707793463545</v>
      </c>
      <c r="H67" s="196">
        <f>IFERROR(VLOOKUP($B67,MMWR_TRAD_AGG_RO_COMP[],H$1,0),"ERROR")</f>
        <v>8248</v>
      </c>
      <c r="I67" s="194">
        <f>IFERROR(VLOOKUP($B67,MMWR_TRAD_AGG_RO_COMP[],I$1,0),"ERROR")</f>
        <v>3980</v>
      </c>
      <c r="J67" s="195">
        <f t="shared" si="1"/>
        <v>0.482541222114452</v>
      </c>
      <c r="K67" s="197">
        <f>IFERROR(VLOOKUP($B67,MMWR_TRAD_AGG_RO_COMP[],K$1,0),"ERROR")</f>
        <v>3169</v>
      </c>
      <c r="L67" s="198">
        <f>IFERROR(VLOOKUP($B67,MMWR_TRAD_AGG_RO_COMP[],L$1,0),"ERROR")</f>
        <v>1896</v>
      </c>
      <c r="M67" s="195">
        <f t="shared" si="2"/>
        <v>0.59829599242663301</v>
      </c>
      <c r="N67" s="197">
        <f>IFERROR(VLOOKUP($B67,MMWR_TRAD_AGG_RO_COMP[],N$1,0),"ERROR")</f>
        <v>1725</v>
      </c>
      <c r="O67" s="198">
        <f>IFERROR(VLOOKUP($B67,MMWR_TRAD_AGG_RO_COMP[],O$1,0),"ERROR")</f>
        <v>1102</v>
      </c>
      <c r="P67" s="195">
        <f t="shared" si="3"/>
        <v>0.63884057971014496</v>
      </c>
      <c r="Q67" s="199">
        <f>IFERROR(VLOOKUP($B67,MMWR_TRAD_AGG_RO_COMP[],Q$1,0),"ERROR")</f>
        <v>1</v>
      </c>
      <c r="R67" s="199">
        <f>IFERROR(VLOOKUP($B67,MMWR_TRAD_AGG_RO_COMP[],R$1,0),"ERROR")</f>
        <v>253</v>
      </c>
      <c r="S67" s="173">
        <f>IFERROR(VLOOKUP($B67,MMWR_APP_RO[],S$1,0),"ERROR")</f>
        <v>6570</v>
      </c>
      <c r="T67" s="28"/>
    </row>
    <row r="68" spans="1:20" x14ac:dyDescent="0.2">
      <c r="A68" s="28"/>
      <c r="B68" s="99" t="s">
        <v>75</v>
      </c>
      <c r="C68" s="191">
        <f>IFERROR(VLOOKUP($B68,MMWR_TRAD_AGG_RO_COMP[],C$1,0),"ERROR")</f>
        <v>1787</v>
      </c>
      <c r="D68" s="192">
        <f>IFERROR(VLOOKUP($B68,MMWR_TRAD_AGG_RO_COMP[],D$1,0),"ERROR")</f>
        <v>303.38500279800002</v>
      </c>
      <c r="E68" s="193">
        <f>IFERROR(VLOOKUP($B68,MMWR_TRAD_AGG_RO_COMP[],E$1,0),"ERROR")</f>
        <v>3441</v>
      </c>
      <c r="F68" s="194">
        <f>IFERROR(VLOOKUP($B68,MMWR_TRAD_AGG_RO_COMP[],F$1,0),"ERROR")</f>
        <v>938</v>
      </c>
      <c r="G68" s="195">
        <f t="shared" si="0"/>
        <v>0.27259517582098225</v>
      </c>
      <c r="H68" s="196">
        <f>IFERROR(VLOOKUP($B68,MMWR_TRAD_AGG_RO_COMP[],H$1,0),"ERROR")</f>
        <v>2933</v>
      </c>
      <c r="I68" s="194">
        <f>IFERROR(VLOOKUP($B68,MMWR_TRAD_AGG_RO_COMP[],I$1,0),"ERROR")</f>
        <v>2202</v>
      </c>
      <c r="J68" s="195">
        <f t="shared" si="1"/>
        <v>0.75076713262870776</v>
      </c>
      <c r="K68" s="197">
        <f>IFERROR(VLOOKUP($B68,MMWR_TRAD_AGG_RO_COMP[],K$1,0),"ERROR")</f>
        <v>856</v>
      </c>
      <c r="L68" s="198">
        <f>IFERROR(VLOOKUP($B68,MMWR_TRAD_AGG_RO_COMP[],L$1,0),"ERROR")</f>
        <v>621</v>
      </c>
      <c r="M68" s="195">
        <f t="shared" si="2"/>
        <v>0.72546728971962615</v>
      </c>
      <c r="N68" s="197">
        <f>IFERROR(VLOOKUP($B68,MMWR_TRAD_AGG_RO_COMP[],N$1,0),"ERROR")</f>
        <v>1036</v>
      </c>
      <c r="O68" s="198">
        <f>IFERROR(VLOOKUP($B68,MMWR_TRAD_AGG_RO_COMP[],O$1,0),"ERROR")</f>
        <v>774</v>
      </c>
      <c r="P68" s="195">
        <f t="shared" si="3"/>
        <v>0.74710424710424705</v>
      </c>
      <c r="Q68" s="199">
        <f>IFERROR(VLOOKUP($B68,MMWR_TRAD_AGG_RO_COMP[],Q$1,0),"ERROR")</f>
        <v>0</v>
      </c>
      <c r="R68" s="199">
        <f>IFERROR(VLOOKUP($B68,MMWR_TRAD_AGG_RO_COMP[],R$1,0),"ERROR")</f>
        <v>2</v>
      </c>
      <c r="S68" s="173">
        <f>IFERROR(VLOOKUP($B68,MMWR_APP_RO[],S$1,0),"ERROR")</f>
        <v>6112</v>
      </c>
      <c r="T68" s="28"/>
    </row>
    <row r="69" spans="1:20" x14ac:dyDescent="0.2">
      <c r="A69" s="28"/>
      <c r="B69" s="107" t="s">
        <v>80</v>
      </c>
      <c r="C69" s="200">
        <f>IFERROR(VLOOKUP($B69,MMWR_TRAD_AGG_RO_COMP[],C$1,0),"ERROR")</f>
        <v>15888</v>
      </c>
      <c r="D69" s="201">
        <f>IFERROR(VLOOKUP($B69,MMWR_TRAD_AGG_RO_COMP[],D$1,0),"ERROR")</f>
        <v>302.23936304130001</v>
      </c>
      <c r="E69" s="202">
        <f>IFERROR(VLOOKUP($B69,MMWR_TRAD_AGG_RO_COMP[],E$1,0),"ERROR")</f>
        <v>20861</v>
      </c>
      <c r="F69" s="203">
        <f>IFERROR(VLOOKUP($B69,MMWR_TRAD_AGG_RO_COMP[],F$1,0),"ERROR")</f>
        <v>5432</v>
      </c>
      <c r="G69" s="204">
        <f t="shared" si="0"/>
        <v>0.26039020181199368</v>
      </c>
      <c r="H69" s="205">
        <f>IFERROR(VLOOKUP($B69,MMWR_TRAD_AGG_RO_COMP[],H$1,0),"ERROR")</f>
        <v>19223</v>
      </c>
      <c r="I69" s="203">
        <f>IFERROR(VLOOKUP($B69,MMWR_TRAD_AGG_RO_COMP[],I$1,0),"ERROR")</f>
        <v>12204</v>
      </c>
      <c r="J69" s="204">
        <f t="shared" si="1"/>
        <v>0.63486448525204187</v>
      </c>
      <c r="K69" s="206">
        <f>IFERROR(VLOOKUP($B69,MMWR_TRAD_AGG_RO_COMP[],K$1,0),"ERROR")</f>
        <v>4523</v>
      </c>
      <c r="L69" s="207">
        <f>IFERROR(VLOOKUP($B69,MMWR_TRAD_AGG_RO_COMP[],L$1,0),"ERROR")</f>
        <v>2300</v>
      </c>
      <c r="M69" s="204">
        <f t="shared" si="2"/>
        <v>0.50851204952465179</v>
      </c>
      <c r="N69" s="206">
        <f>IFERROR(VLOOKUP($B69,MMWR_TRAD_AGG_RO_COMP[],N$1,0),"ERROR")</f>
        <v>11879</v>
      </c>
      <c r="O69" s="207">
        <f>IFERROR(VLOOKUP($B69,MMWR_TRAD_AGG_RO_COMP[],O$1,0),"ERROR")</f>
        <v>7358</v>
      </c>
      <c r="P69" s="204">
        <f t="shared" si="3"/>
        <v>0.61941240845188994</v>
      </c>
      <c r="Q69" s="208">
        <f>IFERROR(VLOOKUP($B69,MMWR_TRAD_AGG_RO_COMP[],Q$1,0),"ERROR")</f>
        <v>11</v>
      </c>
      <c r="R69" s="208">
        <f>IFERROR(VLOOKUP($B69,MMWR_TRAD_AGG_RO_COMP[],R$1,0),"ERROR")</f>
        <v>254</v>
      </c>
      <c r="S69" s="173">
        <f>IFERROR(VLOOKUP($B69,MMWR_APP_RO[],S$1,0),"ERROR")</f>
        <v>30261</v>
      </c>
      <c r="T69" s="28"/>
    </row>
    <row r="70" spans="1:20" x14ac:dyDescent="0.2">
      <c r="A70" s="28"/>
      <c r="B70" s="92" t="s">
        <v>8</v>
      </c>
      <c r="C70" s="184">
        <f>IFERROR(VLOOKUP($B70,MMWR_TRAD_AGG_RO_COMP[],C$1,0),"ERROR")</f>
        <v>62</v>
      </c>
      <c r="D70" s="169">
        <f>IFERROR(VLOOKUP($B70,MMWR_TRAD_AGG_RO_COMP[],D$1,0),"ERROR")</f>
        <v>746.27419354840004</v>
      </c>
      <c r="E70" s="185">
        <f>IFERROR(VLOOKUP($B70,MMWR_TRAD_AGG_RO_COMP[],E$1,0),"ERROR")</f>
        <v>40</v>
      </c>
      <c r="F70" s="190">
        <f>IFERROR(VLOOKUP($B70,MMWR_TRAD_AGG_RO_COMP[],F$1,0),"ERROR")</f>
        <v>3</v>
      </c>
      <c r="G70" s="186">
        <f>IFERROR(F70/E70,"0%")</f>
        <v>7.4999999999999997E-2</v>
      </c>
      <c r="H70" s="190">
        <f>IFERROR(VLOOKUP($B70,MMWR_TRAD_AGG_RO_COMP[],H$1,0),"ERROR")</f>
        <v>65</v>
      </c>
      <c r="I70" s="190">
        <f>IFERROR(VLOOKUP($B70,MMWR_TRAD_AGG_RO_COMP[],I$1,0),"ERROR")</f>
        <v>51</v>
      </c>
      <c r="J70" s="186">
        <f>IFERROR(I70/H70,"0%")</f>
        <v>0.7846153846153846</v>
      </c>
      <c r="K70" s="184">
        <f>IFERROR(VLOOKUP($B70,MMWR_TRAD_AGG_RO_COMP[],K$1,0),"ERROR")</f>
        <v>9</v>
      </c>
      <c r="L70" s="184">
        <f>IFERROR(VLOOKUP($B70,MMWR_TRAD_AGG_RO_COMP[],L$1,0),"ERROR")</f>
        <v>8</v>
      </c>
      <c r="M70" s="186">
        <f>IFERROR(L70/K70,"0%")</f>
        <v>0.88888888888888884</v>
      </c>
      <c r="N70" s="184">
        <f>IFERROR(VLOOKUP($B70,MMWR_TRAD_AGG_RO_COMP[],N$1,0),"ERROR")</f>
        <v>49264</v>
      </c>
      <c r="O70" s="184">
        <f>IFERROR(VLOOKUP($B70,MMWR_TRAD_AGG_RO_COMP[],O$1,0),"ERROR")</f>
        <v>24514</v>
      </c>
      <c r="P70" s="186">
        <f>IFERROR(O70/N70,"0%")</f>
        <v>0.49760474179928549</v>
      </c>
      <c r="Q70" s="184">
        <f>IFERROR(VLOOKUP($B70,MMWR_TRAD_AGG_RO_COMP[],Q$1,0),"ERROR")</f>
        <v>0</v>
      </c>
      <c r="R70" s="187">
        <f>IFERROR(VLOOKUP($B70,MMWR_TRAD_AGG_RO_COMP[],R$1,0),"ERROR")</f>
        <v>1</v>
      </c>
      <c r="S70" s="187">
        <f>IFERROR(VLOOKUP($B70,MMWR_APP_RO[],S$1,0),"ERROR")</f>
        <v>10770</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46" t="s">
        <v>483</v>
      </c>
      <c r="D72" s="447"/>
      <c r="E72" s="447"/>
      <c r="F72" s="447"/>
      <c r="G72" s="447"/>
      <c r="H72" s="447"/>
      <c r="I72" s="447"/>
      <c r="J72" s="447"/>
      <c r="K72" s="447"/>
      <c r="L72" s="447"/>
      <c r="M72" s="447"/>
      <c r="N72" s="447"/>
      <c r="O72" s="447"/>
      <c r="P72" s="447"/>
      <c r="Q72" s="447"/>
      <c r="R72" s="447"/>
      <c r="S72" s="448"/>
      <c r="T72" s="28"/>
    </row>
    <row r="73" spans="1:20" x14ac:dyDescent="0.2">
      <c r="A73" s="25"/>
      <c r="B73" s="108"/>
      <c r="C73" s="449" t="s">
        <v>228</v>
      </c>
      <c r="D73" s="450"/>
      <c r="E73" s="451" t="s">
        <v>208</v>
      </c>
      <c r="F73" s="452"/>
      <c r="G73" s="453"/>
      <c r="H73" s="451" t="s">
        <v>7</v>
      </c>
      <c r="I73" s="452"/>
      <c r="J73" s="453"/>
      <c r="K73" s="451" t="s">
        <v>33</v>
      </c>
      <c r="L73" s="452"/>
      <c r="M73" s="453"/>
      <c r="N73" s="451" t="s">
        <v>8</v>
      </c>
      <c r="O73" s="452"/>
      <c r="P73" s="453"/>
      <c r="Q73" s="72" t="s">
        <v>9</v>
      </c>
      <c r="R73" s="73" t="s">
        <v>10</v>
      </c>
      <c r="S73" s="73" t="s">
        <v>11</v>
      </c>
      <c r="T73" s="28"/>
    </row>
    <row r="74" spans="1:20" ht="38.25" x14ac:dyDescent="0.2">
      <c r="A74" s="82"/>
      <c r="B74" s="109"/>
      <c r="C74" s="75" t="s">
        <v>12</v>
      </c>
      <c r="D74" s="76" t="s">
        <v>137</v>
      </c>
      <c r="E74" s="77" t="s">
        <v>12</v>
      </c>
      <c r="F74" s="78" t="s">
        <v>3</v>
      </c>
      <c r="G74" s="79" t="s">
        <v>4</v>
      </c>
      <c r="H74" s="77" t="s">
        <v>12</v>
      </c>
      <c r="I74" s="78" t="s">
        <v>3</v>
      </c>
      <c r="J74" s="79" t="s">
        <v>4</v>
      </c>
      <c r="K74" s="77" t="s">
        <v>12</v>
      </c>
      <c r="L74" s="78" t="s">
        <v>3</v>
      </c>
      <c r="M74" s="79" t="s">
        <v>4</v>
      </c>
      <c r="N74" s="77" t="s">
        <v>12</v>
      </c>
      <c r="O74" s="78" t="s">
        <v>3</v>
      </c>
      <c r="P74" s="79" t="s">
        <v>4</v>
      </c>
      <c r="Q74" s="80" t="s">
        <v>12</v>
      </c>
      <c r="R74" s="80" t="s">
        <v>12</v>
      </c>
      <c r="S74" s="81" t="s">
        <v>484</v>
      </c>
      <c r="T74" s="28"/>
    </row>
    <row r="75" spans="1:20" x14ac:dyDescent="0.2">
      <c r="A75" s="25"/>
      <c r="B75" s="92" t="s">
        <v>458</v>
      </c>
      <c r="C75" s="209">
        <f>IFERROR(VLOOKUP($B75,MMWR_TRAD_AGG_RO_PEN[],C$1,0),"ERROR")</f>
        <v>20299</v>
      </c>
      <c r="D75" s="210">
        <f>IFERROR(VLOOKUP($B75,MMWR_TRAD_AGG_RO_PEN[],D$1,0),"ERROR")</f>
        <v>79.3132666634</v>
      </c>
      <c r="E75" s="209">
        <f>IFERROR(VLOOKUP($B75,MMWR_TRAD_AGG_RO_PEN[],E$1,0),"ERROR")</f>
        <v>33010</v>
      </c>
      <c r="F75" s="209">
        <f>IFERROR(VLOOKUP($B75,MMWR_TRAD_AGG_RO_PEN[],F$1,0),"ERROR")</f>
        <v>5196</v>
      </c>
      <c r="G75" s="211">
        <f>IFERROR(F75/E75,"0%")</f>
        <v>0.15740684641017874</v>
      </c>
      <c r="H75" s="209">
        <f>IFERROR(VLOOKUP($B75,MMWR_TRAD_AGG_RO_PEN[],H$1,0),"ERROR")</f>
        <v>28577</v>
      </c>
      <c r="I75" s="209">
        <f>IFERROR(VLOOKUP($B75,MMWR_TRAD_AGG_RO_PEN[],I$1,0),"ERROR")</f>
        <v>6943</v>
      </c>
      <c r="J75" s="211">
        <f>IFERROR(I75/H75,"0%")</f>
        <v>0.24295762326346362</v>
      </c>
      <c r="K75" s="209">
        <f>IFERROR(VLOOKUP($B75,MMWR_TRAD_AGG_RO_PEN[],K$1,0),"ERROR")</f>
        <v>607</v>
      </c>
      <c r="L75" s="209">
        <f>IFERROR(VLOOKUP($B75,MMWR_TRAD_AGG_RO_PEN[],L$1,0),"ERROR")</f>
        <v>579</v>
      </c>
      <c r="M75" s="211">
        <f>IFERROR(L75/K75,"0%")</f>
        <v>0.95387149917627678</v>
      </c>
      <c r="N75" s="209">
        <f>IFERROR(VLOOKUP($B75,MMWR_TRAD_AGG_RO_PEN[],N$1,0),"ERROR")</f>
        <v>1601</v>
      </c>
      <c r="O75" s="209">
        <f>IFERROR(VLOOKUP($B75,MMWR_TRAD_AGG_RO_PEN[],O$1,0),"ERROR")</f>
        <v>561</v>
      </c>
      <c r="P75" s="211">
        <f>IFERROR(O75/N75,"0%")</f>
        <v>0.35040599625234231</v>
      </c>
      <c r="Q75" s="209">
        <f>IFERROR(VLOOKUP($B75,MMWR_TRAD_AGG_RO_PEN[],Q$1,0),"ERROR")</f>
        <v>9446</v>
      </c>
      <c r="R75" s="212">
        <f>IFERROR(VLOOKUP($B75,MMWR_TRAD_AGG_RO_PEN[],R$1,0),"ERROR")</f>
        <v>5953</v>
      </c>
      <c r="S75" s="212">
        <f>IFERROR(VLOOKUP($B75,MMWR_APP_RO[],S$1,0),"ERROR")</f>
        <v>7448</v>
      </c>
      <c r="T75" s="28"/>
    </row>
    <row r="76" spans="1:20" x14ac:dyDescent="0.2">
      <c r="A76" s="98"/>
      <c r="B76" s="113" t="s">
        <v>213</v>
      </c>
      <c r="C76" s="213">
        <f>IFERROR(VLOOKUP($B76,MMWR_TRAD_AGG_RO_PEN[],C$1,0),"ERROR")</f>
        <v>13913</v>
      </c>
      <c r="D76" s="214">
        <f>IFERROR(VLOOKUP($B76,MMWR_TRAD_AGG_RO_PEN[],D$1,0),"ERROR")</f>
        <v>95.448501401599998</v>
      </c>
      <c r="E76" s="213">
        <f>IFERROR(VLOOKUP($B76,MMWR_TRAD_AGG_RO_PEN[],E$1,0),"ERROR")</f>
        <v>18362</v>
      </c>
      <c r="F76" s="213">
        <f>IFERROR(VLOOKUP($B76,MMWR_TRAD_AGG_RO_PEN[],F$1,0),"ERROR")</f>
        <v>3959</v>
      </c>
      <c r="G76" s="195">
        <f>IFERROR(F76/E76,"0%")</f>
        <v>0.21560832153360202</v>
      </c>
      <c r="H76" s="213">
        <f>IFERROR(VLOOKUP($B76,MMWR_TRAD_AGG_RO_PEN[],H$1,0),"ERROR")</f>
        <v>18649</v>
      </c>
      <c r="I76" s="213">
        <f>IFERROR(VLOOKUP($B76,MMWR_TRAD_AGG_RO_PEN[],I$1,0),"ERROR")</f>
        <v>6367</v>
      </c>
      <c r="J76" s="195">
        <f>IFERROR(I76/H76,"0%")</f>
        <v>0.34141240817201995</v>
      </c>
      <c r="K76" s="213">
        <f>IFERROR(VLOOKUP($B76,MMWR_TRAD_AGG_RO_PEN[],K$1,0),"ERROR")</f>
        <v>344</v>
      </c>
      <c r="L76" s="213">
        <f>IFERROR(VLOOKUP($B76,MMWR_TRAD_AGG_RO_PEN[],L$1,0),"ERROR")</f>
        <v>341</v>
      </c>
      <c r="M76" s="195">
        <f>IFERROR(L76/K76,"0%")</f>
        <v>0.99127906976744184</v>
      </c>
      <c r="N76" s="213">
        <f>IFERROR(VLOOKUP($B76,MMWR_TRAD_AGG_RO_PEN[],N$1,0),"ERROR")</f>
        <v>831</v>
      </c>
      <c r="O76" s="213">
        <f>IFERROR(VLOOKUP($B76,MMWR_TRAD_AGG_RO_PEN[],O$1,0),"ERROR")</f>
        <v>264</v>
      </c>
      <c r="P76" s="195">
        <f>IFERROR(O76/N76,"0%")</f>
        <v>0.3176895306859206</v>
      </c>
      <c r="Q76" s="213">
        <f>IFERROR(VLOOKUP($B76,MMWR_TRAD_AGG_RO_PEN[],Q$1,0),"ERROR")</f>
        <v>2159</v>
      </c>
      <c r="R76" s="213">
        <f>IFERROR(VLOOKUP($B76,MMWR_TRAD_AGG_RO_PEN[],R$1,0),"ERROR")</f>
        <v>4381</v>
      </c>
      <c r="S76" s="215">
        <f>IFERROR(VLOOKUP($B76,MMWR_APP_RO[],S$1,0),"ERROR")</f>
        <v>2797</v>
      </c>
      <c r="T76" s="28"/>
    </row>
    <row r="77" spans="1:20" x14ac:dyDescent="0.2">
      <c r="A77" s="98"/>
      <c r="B77" s="113" t="s">
        <v>212</v>
      </c>
      <c r="C77" s="213">
        <f>IFERROR(VLOOKUP($B77,MMWR_TRAD_AGG_RO_PEN[],C$1,0),"ERROR")</f>
        <v>3218</v>
      </c>
      <c r="D77" s="214">
        <f>IFERROR(VLOOKUP($B77,MMWR_TRAD_AGG_RO_PEN[],D$1,0),"ERROR")</f>
        <v>47.481044126800001</v>
      </c>
      <c r="E77" s="213">
        <f>IFERROR(VLOOKUP($B77,MMWR_TRAD_AGG_RO_PEN[],E$1,0),"ERROR")</f>
        <v>7960</v>
      </c>
      <c r="F77" s="213">
        <f>IFERROR(VLOOKUP($B77,MMWR_TRAD_AGG_RO_PEN[],F$1,0),"ERROR")</f>
        <v>844</v>
      </c>
      <c r="G77" s="195">
        <f>IFERROR(F77/E77,"0%")</f>
        <v>0.10603015075376884</v>
      </c>
      <c r="H77" s="213">
        <f>IFERROR(VLOOKUP($B77,MMWR_TRAD_AGG_RO_PEN[],H$1,0),"ERROR")</f>
        <v>5088</v>
      </c>
      <c r="I77" s="213">
        <f>IFERROR(VLOOKUP($B77,MMWR_TRAD_AGG_RO_PEN[],I$1,0),"ERROR")</f>
        <v>209</v>
      </c>
      <c r="J77" s="195">
        <f>IFERROR(I77/H77,"0%")</f>
        <v>4.1077044025157231E-2</v>
      </c>
      <c r="K77" s="213">
        <f>IFERROR(VLOOKUP($B77,MMWR_TRAD_AGG_RO_PEN[],K$1,0),"ERROR")</f>
        <v>7</v>
      </c>
      <c r="L77" s="213">
        <f>IFERROR(VLOOKUP($B77,MMWR_TRAD_AGG_RO_PEN[],L$1,0),"ERROR")</f>
        <v>6</v>
      </c>
      <c r="M77" s="195">
        <f>IFERROR(L77/K77,"0%")</f>
        <v>0.8571428571428571</v>
      </c>
      <c r="N77" s="213">
        <f>IFERROR(VLOOKUP($B77,MMWR_TRAD_AGG_RO_PEN[],N$1,0),"ERROR")</f>
        <v>403</v>
      </c>
      <c r="O77" s="213">
        <f>IFERROR(VLOOKUP($B77,MMWR_TRAD_AGG_RO_PEN[],O$1,0),"ERROR")</f>
        <v>75</v>
      </c>
      <c r="P77" s="195">
        <f>IFERROR(O77/N77,"0%")</f>
        <v>0.18610421836228289</v>
      </c>
      <c r="Q77" s="213">
        <f>IFERROR(VLOOKUP($B77,MMWR_TRAD_AGG_RO_PEN[],Q$1,0),"ERROR")</f>
        <v>954</v>
      </c>
      <c r="R77" s="213">
        <f>IFERROR(VLOOKUP($B77,MMWR_TRAD_AGG_RO_PEN[],R$1,0),"ERROR")</f>
        <v>737</v>
      </c>
      <c r="S77" s="215">
        <f>IFERROR(VLOOKUP($B77,MMWR_APP_RO[],S$1,0),"ERROR")</f>
        <v>2725</v>
      </c>
      <c r="T77" s="28"/>
    </row>
    <row r="78" spans="1:20" x14ac:dyDescent="0.2">
      <c r="A78" s="98"/>
      <c r="B78" s="113" t="s">
        <v>215</v>
      </c>
      <c r="C78" s="213">
        <f>IFERROR(VLOOKUP($B78,MMWR_TRAD_AGG_RO_PEN[],C$1,0),"ERROR")</f>
        <v>3168</v>
      </c>
      <c r="D78" s="214">
        <f>IFERROR(VLOOKUP($B78,MMWR_TRAD_AGG_RO_PEN[],D$1,0),"ERROR")</f>
        <v>40.786300505100002</v>
      </c>
      <c r="E78" s="213">
        <f>IFERROR(VLOOKUP($B78,MMWR_TRAD_AGG_RO_PEN[],E$1,0),"ERROR")</f>
        <v>6425</v>
      </c>
      <c r="F78" s="213">
        <f>IFERROR(VLOOKUP($B78,MMWR_TRAD_AGG_RO_PEN[],F$1,0),"ERROR")</f>
        <v>273</v>
      </c>
      <c r="G78" s="195">
        <f>IFERROR(F78/E78,"0%")</f>
        <v>4.2490272373540854E-2</v>
      </c>
      <c r="H78" s="213">
        <f>IFERROR(VLOOKUP($B78,MMWR_TRAD_AGG_RO_PEN[],H$1,0),"ERROR")</f>
        <v>4374</v>
      </c>
      <c r="I78" s="213">
        <f>IFERROR(VLOOKUP($B78,MMWR_TRAD_AGG_RO_PEN[],I$1,0),"ERROR")</f>
        <v>31</v>
      </c>
      <c r="J78" s="195">
        <f>IFERROR(I78/H78,"0%")</f>
        <v>7.0873342478280747E-3</v>
      </c>
      <c r="K78" s="213">
        <f>IFERROR(VLOOKUP($B78,MMWR_TRAD_AGG_RO_PEN[],K$1,0),"ERROR")</f>
        <v>31</v>
      </c>
      <c r="L78" s="213">
        <f>IFERROR(VLOOKUP($B78,MMWR_TRAD_AGG_RO_PEN[],L$1,0),"ERROR")</f>
        <v>11</v>
      </c>
      <c r="M78" s="195">
        <f>IFERROR(L78/K78,"0%")</f>
        <v>0.35483870967741937</v>
      </c>
      <c r="N78" s="213">
        <f>IFERROR(VLOOKUP($B78,MMWR_TRAD_AGG_RO_PEN[],N$1,0),"ERROR")</f>
        <v>164</v>
      </c>
      <c r="O78" s="213">
        <f>IFERROR(VLOOKUP($B78,MMWR_TRAD_AGG_RO_PEN[],O$1,0),"ERROR")</f>
        <v>67</v>
      </c>
      <c r="P78" s="195">
        <f>IFERROR(O78/N78,"0%")</f>
        <v>0.40853658536585363</v>
      </c>
      <c r="Q78" s="213">
        <f>IFERROR(VLOOKUP($B78,MMWR_TRAD_AGG_RO_PEN[],Q$1,0),"ERROR")</f>
        <v>6319</v>
      </c>
      <c r="R78" s="213">
        <f>IFERROR(VLOOKUP($B78,MMWR_TRAD_AGG_RO_PEN[],R$1,0),"ERROR")</f>
        <v>835</v>
      </c>
      <c r="S78" s="215">
        <f>IFERROR(VLOOKUP($B78,MMWR_APP_RO[],S$1,0),"ERROR")</f>
        <v>1926</v>
      </c>
      <c r="T78" s="28"/>
    </row>
    <row r="79" spans="1:20" x14ac:dyDescent="0.2">
      <c r="A79" s="83"/>
      <c r="B79" s="92" t="s">
        <v>227</v>
      </c>
      <c r="C79" s="190">
        <f>IFERROR(VLOOKUP($B79,MMWR_TRAD_AGG_RO_PEN[],C$1,0),"ERROR")</f>
        <v>0</v>
      </c>
      <c r="D79" s="161">
        <f>IFERROR(VLOOKUP($B79,MMWR_TRAD_AGG_RO_PEN[],D$1,0),"ERROR")</f>
        <v>0</v>
      </c>
      <c r="E79" s="190">
        <f>IFERROR(VLOOKUP($B79,MMWR_TRAD_AGG_RO_PEN[],E$1,0),"ERROR")</f>
        <v>263</v>
      </c>
      <c r="F79" s="190">
        <f>IFERROR(VLOOKUP($B79,MMWR_TRAD_AGG_RO_PEN[],F$1,0),"ERROR")</f>
        <v>120</v>
      </c>
      <c r="G79" s="186">
        <f>IFERROR(F79/E79,"0%")</f>
        <v>0.45627376425855515</v>
      </c>
      <c r="H79" s="190">
        <f>IFERROR(VLOOKUP($B79,MMWR_TRAD_AGG_RO_PEN[],H$1,0),"ERROR")</f>
        <v>466</v>
      </c>
      <c r="I79" s="190">
        <f>IFERROR(VLOOKUP($B79,MMWR_TRAD_AGG_RO_PEN[],I$1,0),"ERROR")</f>
        <v>336</v>
      </c>
      <c r="J79" s="186">
        <f>IFERROR(I79/H79,"0%")</f>
        <v>0.72103004291845496</v>
      </c>
      <c r="K79" s="190">
        <f>IFERROR(VLOOKUP($B79,MMWR_TRAD_AGG_RO_PEN[],K$1,0),"ERROR")</f>
        <v>225</v>
      </c>
      <c r="L79" s="190">
        <f>IFERROR(VLOOKUP($B79,MMWR_TRAD_AGG_RO_PEN[],L$1,0),"ERROR")</f>
        <v>221</v>
      </c>
      <c r="M79" s="186">
        <f>IFERROR(L79/K79,"0%")</f>
        <v>0.98222222222222222</v>
      </c>
      <c r="N79" s="190">
        <f>IFERROR(VLOOKUP($B79,MMWR_TRAD_AGG_RO_PEN[],N$1,0),"ERROR")</f>
        <v>203</v>
      </c>
      <c r="O79" s="190">
        <f>IFERROR(VLOOKUP($B79,MMWR_TRAD_AGG_RO_PEN[],O$1,0),"ERROR")</f>
        <v>155</v>
      </c>
      <c r="P79" s="186">
        <f>IFERROR(O79/N79,"0%")</f>
        <v>0.76354679802955661</v>
      </c>
      <c r="Q79" s="190">
        <f>IFERROR(VLOOKUP($B79,MMWR_TRAD_AGG_RO_PEN[],Q$1,0),"ERROR")</f>
        <v>14</v>
      </c>
      <c r="R79" s="216">
        <f>IFERROR(VLOOKUP($B79,MMWR_TRAD_AGG_RO_PEN[],R$1,0),"ERROR")</f>
        <v>0</v>
      </c>
      <c r="S79" s="216"/>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14" customFormat="1" ht="15" customHeight="1" x14ac:dyDescent="0.2">
      <c r="A1" s="25"/>
      <c r="B1" s="26"/>
      <c r="C1" s="70">
        <v>2</v>
      </c>
      <c r="D1" s="70">
        <v>3</v>
      </c>
      <c r="E1" s="71">
        <v>4</v>
      </c>
      <c r="F1" s="71">
        <v>5</v>
      </c>
      <c r="G1" s="71"/>
      <c r="H1" s="71">
        <v>6</v>
      </c>
      <c r="I1" s="71">
        <v>7</v>
      </c>
      <c r="J1" s="71"/>
      <c r="K1" s="71">
        <v>8</v>
      </c>
      <c r="L1" s="71">
        <v>9</v>
      </c>
      <c r="M1" s="71"/>
      <c r="N1" s="71">
        <v>10</v>
      </c>
      <c r="O1" s="71">
        <v>11</v>
      </c>
      <c r="P1" s="71"/>
      <c r="Q1" s="71">
        <v>12</v>
      </c>
      <c r="R1" s="71">
        <v>13</v>
      </c>
      <c r="S1" s="71">
        <v>2</v>
      </c>
      <c r="T1" s="28"/>
    </row>
    <row r="2" spans="1:20" s="114" customFormat="1" ht="26.25" x14ac:dyDescent="0.4">
      <c r="A2" s="25"/>
      <c r="B2" s="26"/>
      <c r="C2" s="446" t="str">
        <f>UPPER("INVENTORY BY STATE "&amp;Transformation!B4)</f>
        <v>INVENTORY BY STATE AS OF: JANUARY 16, 2016</v>
      </c>
      <c r="D2" s="447"/>
      <c r="E2" s="447"/>
      <c r="F2" s="447"/>
      <c r="G2" s="447"/>
      <c r="H2" s="447"/>
      <c r="I2" s="447"/>
      <c r="J2" s="447"/>
      <c r="K2" s="447"/>
      <c r="L2" s="447"/>
      <c r="M2" s="447"/>
      <c r="N2" s="447"/>
      <c r="O2" s="447"/>
      <c r="P2" s="447"/>
      <c r="Q2" s="447"/>
      <c r="R2" s="447"/>
      <c r="S2" s="448"/>
      <c r="T2" s="28"/>
    </row>
    <row r="3" spans="1:20" s="114" customFormat="1" x14ac:dyDescent="0.2">
      <c r="A3" s="25"/>
      <c r="B3" s="26"/>
      <c r="C3" s="454" t="s">
        <v>228</v>
      </c>
      <c r="D3" s="454"/>
      <c r="E3" s="451" t="s">
        <v>208</v>
      </c>
      <c r="F3" s="452"/>
      <c r="G3" s="453"/>
      <c r="H3" s="451" t="s">
        <v>7</v>
      </c>
      <c r="I3" s="452"/>
      <c r="J3" s="453"/>
      <c r="K3" s="451" t="s">
        <v>33</v>
      </c>
      <c r="L3" s="452"/>
      <c r="M3" s="453"/>
      <c r="N3" s="451" t="s">
        <v>8</v>
      </c>
      <c r="O3" s="452"/>
      <c r="P3" s="453"/>
      <c r="Q3" s="72" t="s">
        <v>9</v>
      </c>
      <c r="R3" s="73" t="s">
        <v>10</v>
      </c>
      <c r="S3" s="73" t="s">
        <v>11</v>
      </c>
      <c r="T3" s="28"/>
    </row>
    <row r="4" spans="1:20" s="114" customFormat="1" ht="38.25" x14ac:dyDescent="0.2">
      <c r="A4" s="74"/>
      <c r="B4" s="54"/>
      <c r="C4" s="75" t="s">
        <v>12</v>
      </c>
      <c r="D4" s="76" t="s">
        <v>137</v>
      </c>
      <c r="E4" s="77" t="s">
        <v>12</v>
      </c>
      <c r="F4" s="78" t="s">
        <v>3</v>
      </c>
      <c r="G4" s="79" t="s">
        <v>4</v>
      </c>
      <c r="H4" s="77" t="s">
        <v>12</v>
      </c>
      <c r="I4" s="78" t="s">
        <v>3</v>
      </c>
      <c r="J4" s="79" t="s">
        <v>4</v>
      </c>
      <c r="K4" s="77" t="s">
        <v>12</v>
      </c>
      <c r="L4" s="78" t="s">
        <v>3</v>
      </c>
      <c r="M4" s="79" t="s">
        <v>4</v>
      </c>
      <c r="N4" s="77" t="s">
        <v>12</v>
      </c>
      <c r="O4" s="78" t="s">
        <v>3</v>
      </c>
      <c r="P4" s="79" t="s">
        <v>4</v>
      </c>
      <c r="Q4" s="80" t="s">
        <v>12</v>
      </c>
      <c r="R4" s="80" t="s">
        <v>12</v>
      </c>
      <c r="S4" s="80" t="s">
        <v>484</v>
      </c>
      <c r="T4" s="28"/>
    </row>
    <row r="5" spans="1:20" s="114" customFormat="1" ht="26.25" x14ac:dyDescent="0.4">
      <c r="A5" s="25"/>
      <c r="B5" s="115"/>
      <c r="C5" s="446" t="s">
        <v>482</v>
      </c>
      <c r="D5" s="447"/>
      <c r="E5" s="447"/>
      <c r="F5" s="447"/>
      <c r="G5" s="447"/>
      <c r="H5" s="447"/>
      <c r="I5" s="447"/>
      <c r="J5" s="447"/>
      <c r="K5" s="447"/>
      <c r="L5" s="447"/>
      <c r="M5" s="447"/>
      <c r="N5" s="447"/>
      <c r="O5" s="447"/>
      <c r="P5" s="447"/>
      <c r="Q5" s="447"/>
      <c r="R5" s="447"/>
      <c r="S5" s="448"/>
      <c r="T5" s="28"/>
    </row>
    <row r="6" spans="1:20" s="114" customFormat="1" x14ac:dyDescent="0.2">
      <c r="A6" s="83"/>
      <c r="B6" s="116" t="s">
        <v>457</v>
      </c>
      <c r="C6" s="85">
        <f>IFERROR(VLOOKUP($B6,MMWR_TRAD_AGG_ST_DISTRICT_COMP[],C$1,0),"ERROR")</f>
        <v>317764</v>
      </c>
      <c r="D6" s="86">
        <f>IFERROR(VLOOKUP($B6,MMWR_TRAD_AGG_ST_DISTRICT_COMP[],D$1,0),"ERROR")</f>
        <v>389.09939137219999</v>
      </c>
      <c r="E6" s="87">
        <f>IFERROR(VLOOKUP($B6,MMWR_TRAD_AGG_ST_DISTRICT_COMP[],E$1,0),"ERROR")</f>
        <v>328947</v>
      </c>
      <c r="F6" s="88">
        <f>IFERROR(VLOOKUP($B6,MMWR_TRAD_AGG_ST_DISTRICT_COMP[],F$1,0),"ERROR")</f>
        <v>75999</v>
      </c>
      <c r="G6" s="89">
        <f t="shared" ref="G6:G37" si="0">IFERROR(F6/E6,"0%")</f>
        <v>0.23103721876168501</v>
      </c>
      <c r="H6" s="87">
        <f>IFERROR(VLOOKUP($B6,MMWR_TRAD_AGG_ST_DISTRICT_COMP[],H$1,0),"ERROR")</f>
        <v>461190</v>
      </c>
      <c r="I6" s="88">
        <f>IFERROR(VLOOKUP($B6,MMWR_TRAD_AGG_ST_DISTRICT_COMP[],I$1,0),"ERROR")</f>
        <v>304176</v>
      </c>
      <c r="J6" s="90">
        <f t="shared" ref="J6:J37" si="1">IFERROR(I6/H6,"0%")</f>
        <v>0.65954595719768427</v>
      </c>
      <c r="K6" s="87">
        <f>IFERROR(VLOOKUP($B6,MMWR_TRAD_AGG_ST_DISTRICT_COMP[],K$1,0),"ERROR")</f>
        <v>125081</v>
      </c>
      <c r="L6" s="88">
        <f>IFERROR(VLOOKUP($B6,MMWR_TRAD_AGG_ST_DISTRICT_COMP[],L$1,0),"ERROR")</f>
        <v>84315</v>
      </c>
      <c r="M6" s="90">
        <f t="shared" ref="M6:M37" si="2">IFERROR(L6/K6,"0%")</f>
        <v>0.67408319409022954</v>
      </c>
      <c r="N6" s="87">
        <f>IFERROR(VLOOKUP($B6,MMWR_TRAD_AGG_ST_DISTRICT_COMP[],N$1,0),"ERROR")</f>
        <v>165758</v>
      </c>
      <c r="O6" s="88">
        <f>IFERROR(VLOOKUP($B6,MMWR_TRAD_AGG_ST_DISTRICT_COMP[],O$1,0),"ERROR")</f>
        <v>103259</v>
      </c>
      <c r="P6" s="90">
        <f t="shared" ref="P6:P37" si="3">IFERROR(O6/N6,"0%")</f>
        <v>0.62295032517284232</v>
      </c>
      <c r="Q6" s="91">
        <f>IFERROR(VLOOKUP($B6,MMWR_TRAD_AGG_ST_DISTRICT_COMP[],Q$1,0),"ERROR")</f>
        <v>19539</v>
      </c>
      <c r="R6" s="91">
        <f>IFERROR(VLOOKUP($B6,MMWR_TRAD_AGG_ST_DISTRICT_COMP[],R$1,0),"ERROR")</f>
        <v>4068</v>
      </c>
      <c r="S6" s="91">
        <f>S7+S23+S36+S46+S56+S64</f>
        <v>313857</v>
      </c>
      <c r="T6" s="28"/>
    </row>
    <row r="7" spans="1:20" s="114" customFormat="1" x14ac:dyDescent="0.2">
      <c r="A7" s="83"/>
      <c r="B7" s="117" t="s">
        <v>365</v>
      </c>
      <c r="C7" s="93">
        <f>IF(SUM(C8:C22)&lt;&gt;VLOOKUP($B7,MMWR_TRAD_AGG_ST_DISTRICT_COMP[],C$1,0),"ERROR",
VLOOKUP($B7,MMWR_TRAD_AGG_ST_DISTRICT_COMP[],C$1,0))</f>
        <v>72271</v>
      </c>
      <c r="D7" s="94">
        <f>IFERROR(VLOOKUP($B7,MMWR_TRAD_AGG_ST_DISTRICT_COMP[],D$1,0),"ERROR")</f>
        <v>418.64707835780001</v>
      </c>
      <c r="E7" s="93">
        <f>IF(SUM(E8:E22)&lt;&gt;VLOOKUP($B7,MMWR_TRAD_AGG_ST_DISTRICT_COMP[],E$1,0),"ERROR",
VLOOKUP($B7,MMWR_TRAD_AGG_ST_DISTRICT_COMP[],E$1,0))</f>
        <v>71019</v>
      </c>
      <c r="F7" s="93">
        <f>IFERROR(VLOOKUP($B7,MMWR_TRAD_AGG_ST_DISTRICT_COMP[],F$1,0),"ERROR")</f>
        <v>17204</v>
      </c>
      <c r="G7" s="95">
        <f t="shared" si="0"/>
        <v>0.24224503301933287</v>
      </c>
      <c r="H7" s="93">
        <f>IF(SUM(H8:H22)&lt;&gt;VLOOKUP($B7,MMWR_TRAD_AGG_ST_DISTRICT_COMP[],H$1,0),"ERROR",
VLOOKUP($B7,MMWR_TRAD_AGG_ST_DISTRICT_COMP[],H$1,0))</f>
        <v>103286</v>
      </c>
      <c r="I7" s="93">
        <f>IF(SUM(I8:I22)&lt;&gt;VLOOKUP($B7,MMWR_TRAD_AGG_ST_DISTRICT_COMP[],I$1,0),"ERROR",
VLOOKUP($B7,MMWR_TRAD_AGG_ST_DISTRICT_COMP[],I$1,0))</f>
        <v>70650</v>
      </c>
      <c r="J7" s="96">
        <f t="shared" si="1"/>
        <v>0.68402300408574246</v>
      </c>
      <c r="K7" s="93">
        <f>IF(SUM(K8:K22)&lt;&gt;VLOOKUP($B7,MMWR_TRAD_AGG_ST_DISTRICT_COMP[],K$1,0),"ERROR",
VLOOKUP($B7,MMWR_TRAD_AGG_ST_DISTRICT_COMP[],K$1,0))</f>
        <v>34817</v>
      </c>
      <c r="L7" s="93">
        <f>IF(SUM(L8:L22)&lt;&gt;VLOOKUP($B7,MMWR_TRAD_AGG_ST_DISTRICT_COMP[],L$1,0),"ERROR",
VLOOKUP($B7,MMWR_TRAD_AGG_ST_DISTRICT_COMP[],L$1,0))</f>
        <v>24737</v>
      </c>
      <c r="M7" s="96">
        <f t="shared" si="2"/>
        <v>0.71048625671367438</v>
      </c>
      <c r="N7" s="93">
        <f>IF(SUM(N8:N22)&lt;&gt;VLOOKUP($B7,MMWR_TRAD_AGG_ST_DISTRICT_COMP[],N$1,0),"ERROR",
VLOOKUP($B7,MMWR_TRAD_AGG_ST_DISTRICT_COMP[],N$1,0))</f>
        <v>37232</v>
      </c>
      <c r="O7" s="93">
        <f>IF(SUM(O8:O22)&lt;&gt;VLOOKUP($B7,MMWR_TRAD_AGG_ST_DISTRICT_COMP[],O$1,0),"ERROR",
VLOOKUP($B7,MMWR_TRAD_AGG_ST_DISTRICT_COMP[],O$1,0))</f>
        <v>25190</v>
      </c>
      <c r="P7" s="96">
        <f t="shared" si="3"/>
        <v>0.67656854318865489</v>
      </c>
      <c r="Q7" s="93">
        <f>IF(SUM(Q8:Q22)&lt;&gt;VLOOKUP($B7,MMWR_TRAD_AGG_ST_DISTRICT_COMP[],Q$1,0),"ERROR",
VLOOKUP($B7,MMWR_TRAD_AGG_ST_DISTRICT_COMP[],Q$1,0))</f>
        <v>8727</v>
      </c>
      <c r="R7" s="97">
        <f>IFERROR(VLOOKUP($B7,MMWR_TRAD_AGG_ST_DISTRICT_COMP[],R$1,0),"ERROR")</f>
        <v>128</v>
      </c>
      <c r="S7" s="97">
        <f>SUM(S8:S22)</f>
        <v>56926</v>
      </c>
      <c r="T7" s="28"/>
    </row>
    <row r="8" spans="1:20" s="114" customFormat="1" x14ac:dyDescent="0.2">
      <c r="A8" s="98"/>
      <c r="B8" s="118" t="s">
        <v>369</v>
      </c>
      <c r="C8" s="100">
        <f>IFERROR(VLOOKUP($B8,MMWR_TRAD_AGG_STATE_COMP[],C$1,0),"ERROR")</f>
        <v>1478</v>
      </c>
      <c r="D8" s="101">
        <f>IFERROR(VLOOKUP($B8,MMWR_TRAD_AGG_STATE_COMP[],D$1,0),"ERROR")</f>
        <v>317.27334235450002</v>
      </c>
      <c r="E8" s="102">
        <f>IFERROR(VLOOKUP($B8,MMWR_TRAD_AGG_STATE_COMP[],E$1,0),"ERROR")</f>
        <v>2019</v>
      </c>
      <c r="F8" s="103">
        <f>IFERROR(VLOOKUP($B8,MMWR_TRAD_AGG_STATE_COMP[],F$1,0),"ERROR")</f>
        <v>405</v>
      </c>
      <c r="G8" s="104">
        <f t="shared" si="0"/>
        <v>0.20059435364041606</v>
      </c>
      <c r="H8" s="102">
        <f>IFERROR(VLOOKUP($B8,MMWR_TRAD_AGG_STATE_COMP[],H$1,0),"ERROR")</f>
        <v>3130</v>
      </c>
      <c r="I8" s="103">
        <f>IFERROR(VLOOKUP($B8,MMWR_TRAD_AGG_STATE_COMP[],I$1,0),"ERROR")</f>
        <v>2108</v>
      </c>
      <c r="J8" s="105">
        <f t="shared" si="1"/>
        <v>0.67348242811501602</v>
      </c>
      <c r="K8" s="102">
        <f>IFERROR(VLOOKUP($B8,MMWR_TRAD_AGG_STATE_COMP[],K$1,0),"ERROR")</f>
        <v>615</v>
      </c>
      <c r="L8" s="103">
        <f>IFERROR(VLOOKUP($B8,MMWR_TRAD_AGG_STATE_COMP[],L$1,0),"ERROR")</f>
        <v>375</v>
      </c>
      <c r="M8" s="105">
        <f t="shared" si="2"/>
        <v>0.6097560975609756</v>
      </c>
      <c r="N8" s="102">
        <f>IFERROR(VLOOKUP($B8,MMWR_TRAD_AGG_STATE_COMP[],N$1,0),"ERROR")</f>
        <v>1035</v>
      </c>
      <c r="O8" s="103">
        <f>IFERROR(VLOOKUP($B8,MMWR_TRAD_AGG_STATE_COMP[],O$1,0),"ERROR")</f>
        <v>698</v>
      </c>
      <c r="P8" s="105">
        <f t="shared" si="3"/>
        <v>0.67439613526570052</v>
      </c>
      <c r="Q8" s="106">
        <f>IFERROR(VLOOKUP($B8,MMWR_TRAD_AGG_STATE_COMP[],Q$1,0),"ERROR")</f>
        <v>321</v>
      </c>
      <c r="R8" s="106">
        <f>IFERROR(VLOOKUP($B8,MMWR_TRAD_AGG_STATE_COMP[],R$1,0),"ERROR")</f>
        <v>5</v>
      </c>
      <c r="S8" s="106">
        <f>IFERROR(VLOOKUP($B8,MMWR_APP_STATE_COMP[],S$1,0),"ERROR")</f>
        <v>1106</v>
      </c>
      <c r="T8" s="28"/>
    </row>
    <row r="9" spans="1:20" s="114" customFormat="1" x14ac:dyDescent="0.2">
      <c r="A9" s="98"/>
      <c r="B9" s="118" t="s">
        <v>419</v>
      </c>
      <c r="C9" s="100">
        <f>IFERROR(VLOOKUP($B9,MMWR_TRAD_AGG_STATE_COMP[],C$1,0),"ERROR")</f>
        <v>851</v>
      </c>
      <c r="D9" s="101">
        <f>IFERROR(VLOOKUP($B9,MMWR_TRAD_AGG_STATE_COMP[],D$1,0),"ERROR")</f>
        <v>401.09870740309998</v>
      </c>
      <c r="E9" s="102">
        <f>IFERROR(VLOOKUP($B9,MMWR_TRAD_AGG_STATE_COMP[],E$1,0),"ERROR")</f>
        <v>874</v>
      </c>
      <c r="F9" s="103">
        <f>IFERROR(VLOOKUP($B9,MMWR_TRAD_AGG_STATE_COMP[],F$1,0),"ERROR")</f>
        <v>263</v>
      </c>
      <c r="G9" s="104">
        <f t="shared" si="0"/>
        <v>0.3009153318077803</v>
      </c>
      <c r="H9" s="102">
        <f>IFERROR(VLOOKUP($B9,MMWR_TRAD_AGG_STATE_COMP[],H$1,0),"ERROR")</f>
        <v>1147</v>
      </c>
      <c r="I9" s="103">
        <f>IFERROR(VLOOKUP($B9,MMWR_TRAD_AGG_STATE_COMP[],I$1,0),"ERROR")</f>
        <v>792</v>
      </c>
      <c r="J9" s="105">
        <f t="shared" si="1"/>
        <v>0.69049694856146471</v>
      </c>
      <c r="K9" s="102">
        <f>IFERROR(VLOOKUP($B9,MMWR_TRAD_AGG_STATE_COMP[],K$1,0),"ERROR")</f>
        <v>246</v>
      </c>
      <c r="L9" s="103">
        <f>IFERROR(VLOOKUP($B9,MMWR_TRAD_AGG_STATE_COMP[],L$1,0),"ERROR")</f>
        <v>154</v>
      </c>
      <c r="M9" s="105">
        <f t="shared" si="2"/>
        <v>0.62601626016260159</v>
      </c>
      <c r="N9" s="102">
        <f>IFERROR(VLOOKUP($B9,MMWR_TRAD_AGG_STATE_COMP[],N$1,0),"ERROR")</f>
        <v>344</v>
      </c>
      <c r="O9" s="103">
        <f>IFERROR(VLOOKUP($B9,MMWR_TRAD_AGG_STATE_COMP[],O$1,0),"ERROR")</f>
        <v>211</v>
      </c>
      <c r="P9" s="105">
        <f t="shared" si="3"/>
        <v>0.61337209302325579</v>
      </c>
      <c r="Q9" s="106">
        <f>IFERROR(VLOOKUP($B9,MMWR_TRAD_AGG_STATE_COMP[],Q$1,0),"ERROR")</f>
        <v>78</v>
      </c>
      <c r="R9" s="106">
        <f>IFERROR(VLOOKUP($B9,MMWR_TRAD_AGG_STATE_COMP[],R$1,0),"ERROR")</f>
        <v>1</v>
      </c>
      <c r="S9" s="106">
        <f>IFERROR(VLOOKUP($B9,MMWR_APP_STATE_COMP[],S$1,0),"ERROR")</f>
        <v>617</v>
      </c>
      <c r="T9" s="28"/>
    </row>
    <row r="10" spans="1:20" s="114" customFormat="1" x14ac:dyDescent="0.2">
      <c r="A10" s="98"/>
      <c r="B10" s="118" t="s">
        <v>410</v>
      </c>
      <c r="C10" s="100">
        <f>IFERROR(VLOOKUP($B10,MMWR_TRAD_AGG_STATE_COMP[],C$1,0),"ERROR")</f>
        <v>481</v>
      </c>
      <c r="D10" s="101">
        <f>IFERROR(VLOOKUP($B10,MMWR_TRAD_AGG_STATE_COMP[],D$1,0),"ERROR")</f>
        <v>530.38669438670001</v>
      </c>
      <c r="E10" s="102">
        <f>IFERROR(VLOOKUP($B10,MMWR_TRAD_AGG_STATE_COMP[],E$1,0),"ERROR")</f>
        <v>443</v>
      </c>
      <c r="F10" s="103">
        <f>IFERROR(VLOOKUP($B10,MMWR_TRAD_AGG_STATE_COMP[],F$1,0),"ERROR")</f>
        <v>108</v>
      </c>
      <c r="G10" s="104">
        <f t="shared" si="0"/>
        <v>0.24379232505643342</v>
      </c>
      <c r="H10" s="102">
        <f>IFERROR(VLOOKUP($B10,MMWR_TRAD_AGG_STATE_COMP[],H$1,0),"ERROR")</f>
        <v>670</v>
      </c>
      <c r="I10" s="103">
        <f>IFERROR(VLOOKUP($B10,MMWR_TRAD_AGG_STATE_COMP[],I$1,0),"ERROR")</f>
        <v>487</v>
      </c>
      <c r="J10" s="105">
        <f t="shared" si="1"/>
        <v>0.72686567164179106</v>
      </c>
      <c r="K10" s="102">
        <f>IFERROR(VLOOKUP($B10,MMWR_TRAD_AGG_STATE_COMP[],K$1,0),"ERROR")</f>
        <v>216</v>
      </c>
      <c r="L10" s="103">
        <f>IFERROR(VLOOKUP($B10,MMWR_TRAD_AGG_STATE_COMP[],L$1,0),"ERROR")</f>
        <v>167</v>
      </c>
      <c r="M10" s="105">
        <f t="shared" si="2"/>
        <v>0.77314814814814814</v>
      </c>
      <c r="N10" s="102">
        <f>IFERROR(VLOOKUP($B10,MMWR_TRAD_AGG_STATE_COMP[],N$1,0),"ERROR")</f>
        <v>376</v>
      </c>
      <c r="O10" s="103">
        <f>IFERROR(VLOOKUP($B10,MMWR_TRAD_AGG_STATE_COMP[],O$1,0),"ERROR")</f>
        <v>285</v>
      </c>
      <c r="P10" s="105">
        <f t="shared" si="3"/>
        <v>0.75797872340425532</v>
      </c>
      <c r="Q10" s="106">
        <f>IFERROR(VLOOKUP($B10,MMWR_TRAD_AGG_STATE_COMP[],Q$1,0),"ERROR")</f>
        <v>27</v>
      </c>
      <c r="R10" s="106">
        <f>IFERROR(VLOOKUP($B10,MMWR_TRAD_AGG_STATE_COMP[],R$1,0),"ERROR")</f>
        <v>0</v>
      </c>
      <c r="S10" s="106">
        <f>IFERROR(VLOOKUP($B10,MMWR_APP_STATE_COMP[],S$1,0),"ERROR")</f>
        <v>598</v>
      </c>
      <c r="T10" s="28"/>
    </row>
    <row r="11" spans="1:20" s="114" customFormat="1" x14ac:dyDescent="0.2">
      <c r="A11" s="98"/>
      <c r="B11" s="118" t="s">
        <v>412</v>
      </c>
      <c r="C11" s="100">
        <f>IFERROR(VLOOKUP($B11,MMWR_TRAD_AGG_STATE_COMP[],C$1,0),"ERROR")</f>
        <v>1481</v>
      </c>
      <c r="D11" s="101">
        <f>IFERROR(VLOOKUP($B11,MMWR_TRAD_AGG_STATE_COMP[],D$1,0),"ERROR")</f>
        <v>292.50303848750002</v>
      </c>
      <c r="E11" s="102">
        <f>IFERROR(VLOOKUP($B11,MMWR_TRAD_AGG_STATE_COMP[],E$1,0),"ERROR")</f>
        <v>1293</v>
      </c>
      <c r="F11" s="103">
        <f>IFERROR(VLOOKUP($B11,MMWR_TRAD_AGG_STATE_COMP[],F$1,0),"ERROR")</f>
        <v>173</v>
      </c>
      <c r="G11" s="104">
        <f t="shared" si="0"/>
        <v>0.13379737045630316</v>
      </c>
      <c r="H11" s="102">
        <f>IFERROR(VLOOKUP($B11,MMWR_TRAD_AGG_STATE_COMP[],H$1,0),"ERROR")</f>
        <v>2069</v>
      </c>
      <c r="I11" s="103">
        <f>IFERROR(VLOOKUP($B11,MMWR_TRAD_AGG_STATE_COMP[],I$1,0),"ERROR")</f>
        <v>1300</v>
      </c>
      <c r="J11" s="105">
        <f t="shared" si="1"/>
        <v>0.62832286128564518</v>
      </c>
      <c r="K11" s="102">
        <f>IFERROR(VLOOKUP($B11,MMWR_TRAD_AGG_STATE_COMP[],K$1,0),"ERROR")</f>
        <v>1093</v>
      </c>
      <c r="L11" s="103">
        <f>IFERROR(VLOOKUP($B11,MMWR_TRAD_AGG_STATE_COMP[],L$1,0),"ERROR")</f>
        <v>838</v>
      </c>
      <c r="M11" s="105">
        <f t="shared" si="2"/>
        <v>0.76669716376944186</v>
      </c>
      <c r="N11" s="102">
        <f>IFERROR(VLOOKUP($B11,MMWR_TRAD_AGG_STATE_COMP[],N$1,0),"ERROR")</f>
        <v>379</v>
      </c>
      <c r="O11" s="103">
        <f>IFERROR(VLOOKUP($B11,MMWR_TRAD_AGG_STATE_COMP[],O$1,0),"ERROR")</f>
        <v>234</v>
      </c>
      <c r="P11" s="105">
        <f t="shared" si="3"/>
        <v>0.61741424802110823</v>
      </c>
      <c r="Q11" s="106">
        <f>IFERROR(VLOOKUP($B11,MMWR_TRAD_AGG_STATE_COMP[],Q$1,0),"ERROR")</f>
        <v>380</v>
      </c>
      <c r="R11" s="106">
        <f>IFERROR(VLOOKUP($B11,MMWR_TRAD_AGG_STATE_COMP[],R$1,0),"ERROR")</f>
        <v>3</v>
      </c>
      <c r="S11" s="106">
        <f>IFERROR(VLOOKUP($B11,MMWR_APP_STATE_COMP[],S$1,0),"ERROR")</f>
        <v>456</v>
      </c>
      <c r="T11" s="28"/>
    </row>
    <row r="12" spans="1:20" s="114" customFormat="1" x14ac:dyDescent="0.2">
      <c r="A12" s="98"/>
      <c r="B12" s="118" t="s">
        <v>372</v>
      </c>
      <c r="C12" s="100">
        <f>IFERROR(VLOOKUP($B12,MMWR_TRAD_AGG_STATE_COMP[],C$1,0),"ERROR")</f>
        <v>8459</v>
      </c>
      <c r="D12" s="101">
        <f>IFERROR(VLOOKUP($B12,MMWR_TRAD_AGG_STATE_COMP[],D$1,0),"ERROR")</f>
        <v>632.53197777519995</v>
      </c>
      <c r="E12" s="102">
        <f>IFERROR(VLOOKUP($B12,MMWR_TRAD_AGG_STATE_COMP[],E$1,0),"ERROR")</f>
        <v>5848</v>
      </c>
      <c r="F12" s="103">
        <f>IFERROR(VLOOKUP($B12,MMWR_TRAD_AGG_STATE_COMP[],F$1,0),"ERROR")</f>
        <v>1246</v>
      </c>
      <c r="G12" s="104">
        <f t="shared" si="0"/>
        <v>0.2130642954856361</v>
      </c>
      <c r="H12" s="102">
        <f>IFERROR(VLOOKUP($B12,MMWR_TRAD_AGG_STATE_COMP[],H$1,0),"ERROR")</f>
        <v>11627</v>
      </c>
      <c r="I12" s="103">
        <f>IFERROR(VLOOKUP($B12,MMWR_TRAD_AGG_STATE_COMP[],I$1,0),"ERROR")</f>
        <v>8360</v>
      </c>
      <c r="J12" s="105">
        <f t="shared" si="1"/>
        <v>0.71901608325449384</v>
      </c>
      <c r="K12" s="102">
        <f>IFERROR(VLOOKUP($B12,MMWR_TRAD_AGG_STATE_COMP[],K$1,0),"ERROR")</f>
        <v>3149</v>
      </c>
      <c r="L12" s="103">
        <f>IFERROR(VLOOKUP($B12,MMWR_TRAD_AGG_STATE_COMP[],L$1,0),"ERROR")</f>
        <v>2363</v>
      </c>
      <c r="M12" s="105">
        <f t="shared" si="2"/>
        <v>0.750396951413147</v>
      </c>
      <c r="N12" s="102">
        <f>IFERROR(VLOOKUP($B12,MMWR_TRAD_AGG_STATE_COMP[],N$1,0),"ERROR")</f>
        <v>5347</v>
      </c>
      <c r="O12" s="103">
        <f>IFERROR(VLOOKUP($B12,MMWR_TRAD_AGG_STATE_COMP[],O$1,0),"ERROR")</f>
        <v>4153</v>
      </c>
      <c r="P12" s="105">
        <f t="shared" si="3"/>
        <v>0.77669721339068631</v>
      </c>
      <c r="Q12" s="106">
        <f>IFERROR(VLOOKUP($B12,MMWR_TRAD_AGG_STATE_COMP[],Q$1,0),"ERROR")</f>
        <v>440</v>
      </c>
      <c r="R12" s="106">
        <f>IFERROR(VLOOKUP($B12,MMWR_TRAD_AGG_STATE_COMP[],R$1,0),"ERROR")</f>
        <v>5</v>
      </c>
      <c r="S12" s="106">
        <f>IFERROR(VLOOKUP($B12,MMWR_APP_STATE_COMP[],S$1,0),"ERROR")</f>
        <v>5616</v>
      </c>
      <c r="T12" s="28"/>
    </row>
    <row r="13" spans="1:20" s="114" customFormat="1" x14ac:dyDescent="0.2">
      <c r="A13" s="98"/>
      <c r="B13" s="118" t="s">
        <v>367</v>
      </c>
      <c r="C13" s="100">
        <f>IFERROR(VLOOKUP($B13,MMWR_TRAD_AGG_STATE_COMP[],C$1,0),"ERROR")</f>
        <v>4767</v>
      </c>
      <c r="D13" s="101">
        <f>IFERROR(VLOOKUP($B13,MMWR_TRAD_AGG_STATE_COMP[],D$1,0),"ERROR")</f>
        <v>546.77700860079995</v>
      </c>
      <c r="E13" s="102">
        <f>IFERROR(VLOOKUP($B13,MMWR_TRAD_AGG_STATE_COMP[],E$1,0),"ERROR")</f>
        <v>4308</v>
      </c>
      <c r="F13" s="103">
        <f>IFERROR(VLOOKUP($B13,MMWR_TRAD_AGG_STATE_COMP[],F$1,0),"ERROR")</f>
        <v>1115</v>
      </c>
      <c r="G13" s="104">
        <f t="shared" si="0"/>
        <v>0.25882079851439183</v>
      </c>
      <c r="H13" s="102">
        <f>IFERROR(VLOOKUP($B13,MMWR_TRAD_AGG_STATE_COMP[],H$1,0),"ERROR")</f>
        <v>6944</v>
      </c>
      <c r="I13" s="103">
        <f>IFERROR(VLOOKUP($B13,MMWR_TRAD_AGG_STATE_COMP[],I$1,0),"ERROR")</f>
        <v>5258</v>
      </c>
      <c r="J13" s="105">
        <f t="shared" si="1"/>
        <v>0.7572004608294931</v>
      </c>
      <c r="K13" s="102">
        <f>IFERROR(VLOOKUP($B13,MMWR_TRAD_AGG_STATE_COMP[],K$1,0),"ERROR")</f>
        <v>3086</v>
      </c>
      <c r="L13" s="103">
        <f>IFERROR(VLOOKUP($B13,MMWR_TRAD_AGG_STATE_COMP[],L$1,0),"ERROR")</f>
        <v>2463</v>
      </c>
      <c r="M13" s="105">
        <f t="shared" si="2"/>
        <v>0.79812054439403757</v>
      </c>
      <c r="N13" s="102">
        <f>IFERROR(VLOOKUP($B13,MMWR_TRAD_AGG_STATE_COMP[],N$1,0),"ERROR")</f>
        <v>1547</v>
      </c>
      <c r="O13" s="103">
        <f>IFERROR(VLOOKUP($B13,MMWR_TRAD_AGG_STATE_COMP[],O$1,0),"ERROR")</f>
        <v>1068</v>
      </c>
      <c r="P13" s="105">
        <f t="shared" si="3"/>
        <v>0.69036845507433742</v>
      </c>
      <c r="Q13" s="106">
        <f>IFERROR(VLOOKUP($B13,MMWR_TRAD_AGG_STATE_COMP[],Q$1,0),"ERROR")</f>
        <v>793</v>
      </c>
      <c r="R13" s="106">
        <f>IFERROR(VLOOKUP($B13,MMWR_TRAD_AGG_STATE_COMP[],R$1,0),"ERROR")</f>
        <v>12</v>
      </c>
      <c r="S13" s="106">
        <f>IFERROR(VLOOKUP($B13,MMWR_APP_STATE_COMP[],S$1,0),"ERROR")</f>
        <v>3396</v>
      </c>
      <c r="T13" s="28"/>
    </row>
    <row r="14" spans="1:20" s="114" customFormat="1" x14ac:dyDescent="0.2">
      <c r="A14" s="98"/>
      <c r="B14" s="118" t="s">
        <v>411</v>
      </c>
      <c r="C14" s="100">
        <f>IFERROR(VLOOKUP($B14,MMWR_TRAD_AGG_STATE_COMP[],C$1,0),"ERROR")</f>
        <v>1553</v>
      </c>
      <c r="D14" s="101">
        <f>IFERROR(VLOOKUP($B14,MMWR_TRAD_AGG_STATE_COMP[],D$1,0),"ERROR")</f>
        <v>395.28010302640001</v>
      </c>
      <c r="E14" s="102">
        <f>IFERROR(VLOOKUP($B14,MMWR_TRAD_AGG_STATE_COMP[],E$1,0),"ERROR")</f>
        <v>1191</v>
      </c>
      <c r="F14" s="103">
        <f>IFERROR(VLOOKUP($B14,MMWR_TRAD_AGG_STATE_COMP[],F$1,0),"ERROR")</f>
        <v>301</v>
      </c>
      <c r="G14" s="104">
        <f t="shared" si="0"/>
        <v>0.25272879932829556</v>
      </c>
      <c r="H14" s="102">
        <f>IFERROR(VLOOKUP($B14,MMWR_TRAD_AGG_STATE_COMP[],H$1,0),"ERROR")</f>
        <v>2230</v>
      </c>
      <c r="I14" s="103">
        <f>IFERROR(VLOOKUP($B14,MMWR_TRAD_AGG_STATE_COMP[],I$1,0),"ERROR")</f>
        <v>1472</v>
      </c>
      <c r="J14" s="105">
        <f t="shared" si="1"/>
        <v>0.6600896860986547</v>
      </c>
      <c r="K14" s="102">
        <f>IFERROR(VLOOKUP($B14,MMWR_TRAD_AGG_STATE_COMP[],K$1,0),"ERROR")</f>
        <v>498</v>
      </c>
      <c r="L14" s="103">
        <f>IFERROR(VLOOKUP($B14,MMWR_TRAD_AGG_STATE_COMP[],L$1,0),"ERROR")</f>
        <v>444</v>
      </c>
      <c r="M14" s="105">
        <f t="shared" si="2"/>
        <v>0.89156626506024095</v>
      </c>
      <c r="N14" s="102">
        <f>IFERROR(VLOOKUP($B14,MMWR_TRAD_AGG_STATE_COMP[],N$1,0),"ERROR")</f>
        <v>230</v>
      </c>
      <c r="O14" s="103">
        <f>IFERROR(VLOOKUP($B14,MMWR_TRAD_AGG_STATE_COMP[],O$1,0),"ERROR")</f>
        <v>116</v>
      </c>
      <c r="P14" s="105">
        <f t="shared" si="3"/>
        <v>0.5043478260869565</v>
      </c>
      <c r="Q14" s="106">
        <f>IFERROR(VLOOKUP($B14,MMWR_TRAD_AGG_STATE_COMP[],Q$1,0),"ERROR")</f>
        <v>160</v>
      </c>
      <c r="R14" s="106">
        <f>IFERROR(VLOOKUP($B14,MMWR_TRAD_AGG_STATE_COMP[],R$1,0),"ERROR")</f>
        <v>3</v>
      </c>
      <c r="S14" s="106">
        <f>IFERROR(VLOOKUP($B14,MMWR_APP_STATE_COMP[],S$1,0),"ERROR")</f>
        <v>663</v>
      </c>
      <c r="T14" s="28"/>
    </row>
    <row r="15" spans="1:20" s="114" customFormat="1" x14ac:dyDescent="0.2">
      <c r="A15" s="98"/>
      <c r="B15" s="118" t="s">
        <v>370</v>
      </c>
      <c r="C15" s="100">
        <f>IFERROR(VLOOKUP($B15,MMWR_TRAD_AGG_STATE_COMP[],C$1,0),"ERROR")</f>
        <v>2542</v>
      </c>
      <c r="D15" s="101">
        <f>IFERROR(VLOOKUP($B15,MMWR_TRAD_AGG_STATE_COMP[],D$1,0),"ERROR")</f>
        <v>313.24940991350002</v>
      </c>
      <c r="E15" s="102">
        <f>IFERROR(VLOOKUP($B15,MMWR_TRAD_AGG_STATE_COMP[],E$1,0),"ERROR")</f>
        <v>4021</v>
      </c>
      <c r="F15" s="103">
        <f>IFERROR(VLOOKUP($B15,MMWR_TRAD_AGG_STATE_COMP[],F$1,0),"ERROR")</f>
        <v>964</v>
      </c>
      <c r="G15" s="104">
        <f t="shared" si="0"/>
        <v>0.23974135787117631</v>
      </c>
      <c r="H15" s="102">
        <f>IFERROR(VLOOKUP($B15,MMWR_TRAD_AGG_STATE_COMP[],H$1,0),"ERROR")</f>
        <v>4068</v>
      </c>
      <c r="I15" s="103">
        <f>IFERROR(VLOOKUP($B15,MMWR_TRAD_AGG_STATE_COMP[],I$1,0),"ERROR")</f>
        <v>2547</v>
      </c>
      <c r="J15" s="105">
        <f t="shared" si="1"/>
        <v>0.62610619469026552</v>
      </c>
      <c r="K15" s="102">
        <f>IFERROR(VLOOKUP($B15,MMWR_TRAD_AGG_STATE_COMP[],K$1,0),"ERROR")</f>
        <v>1354</v>
      </c>
      <c r="L15" s="103">
        <f>IFERROR(VLOOKUP($B15,MMWR_TRAD_AGG_STATE_COMP[],L$1,0),"ERROR")</f>
        <v>925</v>
      </c>
      <c r="M15" s="105">
        <f t="shared" si="2"/>
        <v>0.68316100443131467</v>
      </c>
      <c r="N15" s="102">
        <f>IFERROR(VLOOKUP($B15,MMWR_TRAD_AGG_STATE_COMP[],N$1,0),"ERROR")</f>
        <v>2272</v>
      </c>
      <c r="O15" s="103">
        <f>IFERROR(VLOOKUP($B15,MMWR_TRAD_AGG_STATE_COMP[],O$1,0),"ERROR")</f>
        <v>1505</v>
      </c>
      <c r="P15" s="105">
        <f t="shared" si="3"/>
        <v>0.66241197183098588</v>
      </c>
      <c r="Q15" s="106">
        <f>IFERROR(VLOOKUP($B15,MMWR_TRAD_AGG_STATE_COMP[],Q$1,0),"ERROR")</f>
        <v>739</v>
      </c>
      <c r="R15" s="106">
        <f>IFERROR(VLOOKUP($B15,MMWR_TRAD_AGG_STATE_COMP[],R$1,0),"ERROR")</f>
        <v>5</v>
      </c>
      <c r="S15" s="106">
        <f>IFERROR(VLOOKUP($B15,MMWR_APP_STATE_COMP[],S$1,0),"ERROR")</f>
        <v>4146</v>
      </c>
      <c r="T15" s="28"/>
    </row>
    <row r="16" spans="1:20" s="114" customFormat="1" x14ac:dyDescent="0.2">
      <c r="A16" s="98"/>
      <c r="B16" s="118" t="s">
        <v>63</v>
      </c>
      <c r="C16" s="100">
        <f>IFERROR(VLOOKUP($B16,MMWR_TRAD_AGG_STATE_COMP[],C$1,0),"ERROR")</f>
        <v>6427</v>
      </c>
      <c r="D16" s="101">
        <f>IFERROR(VLOOKUP($B16,MMWR_TRAD_AGG_STATE_COMP[],D$1,0),"ERROR")</f>
        <v>295.54535553139999</v>
      </c>
      <c r="E16" s="102">
        <f>IFERROR(VLOOKUP($B16,MMWR_TRAD_AGG_STATE_COMP[],E$1,0),"ERROR")</f>
        <v>9136</v>
      </c>
      <c r="F16" s="103">
        <f>IFERROR(VLOOKUP($B16,MMWR_TRAD_AGG_STATE_COMP[],F$1,0),"ERROR")</f>
        <v>1908</v>
      </c>
      <c r="G16" s="104">
        <f t="shared" si="0"/>
        <v>0.20884413309982486</v>
      </c>
      <c r="H16" s="102">
        <f>IFERROR(VLOOKUP($B16,MMWR_TRAD_AGG_STATE_COMP[],H$1,0),"ERROR")</f>
        <v>9808</v>
      </c>
      <c r="I16" s="103">
        <f>IFERROR(VLOOKUP($B16,MMWR_TRAD_AGG_STATE_COMP[],I$1,0),"ERROR")</f>
        <v>5973</v>
      </c>
      <c r="J16" s="105">
        <f t="shared" si="1"/>
        <v>0.6089926590538336</v>
      </c>
      <c r="K16" s="102">
        <f>IFERROR(VLOOKUP($B16,MMWR_TRAD_AGG_STATE_COMP[],K$1,0),"ERROR")</f>
        <v>4296</v>
      </c>
      <c r="L16" s="103">
        <f>IFERROR(VLOOKUP($B16,MMWR_TRAD_AGG_STATE_COMP[],L$1,0),"ERROR")</f>
        <v>3171</v>
      </c>
      <c r="M16" s="105">
        <f t="shared" si="2"/>
        <v>0.73812849162011174</v>
      </c>
      <c r="N16" s="102">
        <f>IFERROR(VLOOKUP($B16,MMWR_TRAD_AGG_STATE_COMP[],N$1,0),"ERROR")</f>
        <v>3578</v>
      </c>
      <c r="O16" s="103">
        <f>IFERROR(VLOOKUP($B16,MMWR_TRAD_AGG_STATE_COMP[],O$1,0),"ERROR")</f>
        <v>1530</v>
      </c>
      <c r="P16" s="105">
        <f t="shared" si="3"/>
        <v>0.4276131917272219</v>
      </c>
      <c r="Q16" s="106">
        <f>IFERROR(VLOOKUP($B16,MMWR_TRAD_AGG_STATE_COMP[],Q$1,0),"ERROR")</f>
        <v>1597</v>
      </c>
      <c r="R16" s="106">
        <f>IFERROR(VLOOKUP($B16,MMWR_TRAD_AGG_STATE_COMP[],R$1,0),"ERROR")</f>
        <v>10</v>
      </c>
      <c r="S16" s="106">
        <f>IFERROR(VLOOKUP($B16,MMWR_APP_STATE_COMP[],S$1,0),"ERROR")</f>
        <v>5419</v>
      </c>
      <c r="T16" s="28"/>
    </row>
    <row r="17" spans="1:20" s="114" customFormat="1" x14ac:dyDescent="0.2">
      <c r="A17" s="98"/>
      <c r="B17" s="118" t="s">
        <v>378</v>
      </c>
      <c r="C17" s="100">
        <f>IFERROR(VLOOKUP($B17,MMWR_TRAD_AGG_STATE_COMP[],C$1,0),"ERROR")</f>
        <v>16043</v>
      </c>
      <c r="D17" s="101">
        <f>IFERROR(VLOOKUP($B17,MMWR_TRAD_AGG_STATE_COMP[],D$1,0),"ERROR")</f>
        <v>322.51885557560001</v>
      </c>
      <c r="E17" s="102">
        <f>IFERROR(VLOOKUP($B17,MMWR_TRAD_AGG_STATE_COMP[],E$1,0),"ERROR")</f>
        <v>16750</v>
      </c>
      <c r="F17" s="103">
        <f>IFERROR(VLOOKUP($B17,MMWR_TRAD_AGG_STATE_COMP[],F$1,0),"ERROR")</f>
        <v>4622</v>
      </c>
      <c r="G17" s="104">
        <f t="shared" si="0"/>
        <v>0.27594029850746271</v>
      </c>
      <c r="H17" s="102">
        <f>IFERROR(VLOOKUP($B17,MMWR_TRAD_AGG_STATE_COMP[],H$1,0),"ERROR")</f>
        <v>22247</v>
      </c>
      <c r="I17" s="103">
        <f>IFERROR(VLOOKUP($B17,MMWR_TRAD_AGG_STATE_COMP[],I$1,0),"ERROR")</f>
        <v>15012</v>
      </c>
      <c r="J17" s="105">
        <f t="shared" si="1"/>
        <v>0.67478761181282865</v>
      </c>
      <c r="K17" s="102">
        <f>IFERROR(VLOOKUP($B17,MMWR_TRAD_AGG_STATE_COMP[],K$1,0),"ERROR")</f>
        <v>8863</v>
      </c>
      <c r="L17" s="103">
        <f>IFERROR(VLOOKUP($B17,MMWR_TRAD_AGG_STATE_COMP[],L$1,0),"ERROR")</f>
        <v>5799</v>
      </c>
      <c r="M17" s="105">
        <f t="shared" si="2"/>
        <v>0.65429312873744783</v>
      </c>
      <c r="N17" s="102">
        <f>IFERROR(VLOOKUP($B17,MMWR_TRAD_AGG_STATE_COMP[],N$1,0),"ERROR")</f>
        <v>6794</v>
      </c>
      <c r="O17" s="103">
        <f>IFERROR(VLOOKUP($B17,MMWR_TRAD_AGG_STATE_COMP[],O$1,0),"ERROR")</f>
        <v>4101</v>
      </c>
      <c r="P17" s="105">
        <f t="shared" si="3"/>
        <v>0.60362084191934062</v>
      </c>
      <c r="Q17" s="106">
        <f>IFERROR(VLOOKUP($B17,MMWR_TRAD_AGG_STATE_COMP[],Q$1,0),"ERROR")</f>
        <v>1164</v>
      </c>
      <c r="R17" s="106">
        <f>IFERROR(VLOOKUP($B17,MMWR_TRAD_AGG_STATE_COMP[],R$1,0),"ERROR")</f>
        <v>41</v>
      </c>
      <c r="S17" s="106">
        <f>IFERROR(VLOOKUP($B17,MMWR_APP_STATE_COMP[],S$1,0),"ERROR")</f>
        <v>10043</v>
      </c>
      <c r="T17" s="28"/>
    </row>
    <row r="18" spans="1:20" s="114" customFormat="1" x14ac:dyDescent="0.2">
      <c r="A18" s="98"/>
      <c r="B18" s="118" t="s">
        <v>371</v>
      </c>
      <c r="C18" s="100">
        <f>IFERROR(VLOOKUP($B18,MMWR_TRAD_AGG_STATE_COMP[],C$1,0),"ERROR")</f>
        <v>8023</v>
      </c>
      <c r="D18" s="101">
        <f>IFERROR(VLOOKUP($B18,MMWR_TRAD_AGG_STATE_COMP[],D$1,0),"ERROR")</f>
        <v>442.05509161160001</v>
      </c>
      <c r="E18" s="102">
        <f>IFERROR(VLOOKUP($B18,MMWR_TRAD_AGG_STATE_COMP[],E$1,0),"ERROR")</f>
        <v>8926</v>
      </c>
      <c r="F18" s="103">
        <f>IFERROR(VLOOKUP($B18,MMWR_TRAD_AGG_STATE_COMP[],F$1,0),"ERROR")</f>
        <v>2507</v>
      </c>
      <c r="G18" s="104">
        <f t="shared" si="0"/>
        <v>0.28086488908805735</v>
      </c>
      <c r="H18" s="102">
        <f>IFERROR(VLOOKUP($B18,MMWR_TRAD_AGG_STATE_COMP[],H$1,0),"ERROR")</f>
        <v>12262</v>
      </c>
      <c r="I18" s="103">
        <f>IFERROR(VLOOKUP($B18,MMWR_TRAD_AGG_STATE_COMP[],I$1,0),"ERROR")</f>
        <v>8792</v>
      </c>
      <c r="J18" s="105">
        <f t="shared" si="1"/>
        <v>0.71701190670363724</v>
      </c>
      <c r="K18" s="102">
        <f>IFERROR(VLOOKUP($B18,MMWR_TRAD_AGG_STATE_COMP[],K$1,0),"ERROR")</f>
        <v>2085</v>
      </c>
      <c r="L18" s="103">
        <f>IFERROR(VLOOKUP($B18,MMWR_TRAD_AGG_STATE_COMP[],L$1,0),"ERROR")</f>
        <v>1320</v>
      </c>
      <c r="M18" s="105">
        <f t="shared" si="2"/>
        <v>0.63309352517985606</v>
      </c>
      <c r="N18" s="102">
        <f>IFERROR(VLOOKUP($B18,MMWR_TRAD_AGG_STATE_COMP[],N$1,0),"ERROR")</f>
        <v>6578</v>
      </c>
      <c r="O18" s="103">
        <f>IFERROR(VLOOKUP($B18,MMWR_TRAD_AGG_STATE_COMP[],O$1,0),"ERROR")</f>
        <v>5114</v>
      </c>
      <c r="P18" s="105">
        <f t="shared" si="3"/>
        <v>0.77743995135299482</v>
      </c>
      <c r="Q18" s="106">
        <f>IFERROR(VLOOKUP($B18,MMWR_TRAD_AGG_STATE_COMP[],Q$1,0),"ERROR")</f>
        <v>1459</v>
      </c>
      <c r="R18" s="106">
        <f>IFERROR(VLOOKUP($B18,MMWR_TRAD_AGG_STATE_COMP[],R$1,0),"ERROR")</f>
        <v>11</v>
      </c>
      <c r="S18" s="106">
        <f>IFERROR(VLOOKUP($B18,MMWR_APP_STATE_COMP[],S$1,0),"ERROR")</f>
        <v>7085</v>
      </c>
      <c r="T18" s="28"/>
    </row>
    <row r="19" spans="1:20" s="114" customFormat="1" x14ac:dyDescent="0.2">
      <c r="A19" s="98"/>
      <c r="B19" s="118" t="s">
        <v>368</v>
      </c>
      <c r="C19" s="100">
        <f>IFERROR(VLOOKUP($B19,MMWR_TRAD_AGG_STATE_COMP[],C$1,0),"ERROR")</f>
        <v>362</v>
      </c>
      <c r="D19" s="101">
        <f>IFERROR(VLOOKUP($B19,MMWR_TRAD_AGG_STATE_COMP[],D$1,0),"ERROR")</f>
        <v>257.77900552490001</v>
      </c>
      <c r="E19" s="102">
        <f>IFERROR(VLOOKUP($B19,MMWR_TRAD_AGG_STATE_COMP[],E$1,0),"ERROR")</f>
        <v>889</v>
      </c>
      <c r="F19" s="103">
        <f>IFERROR(VLOOKUP($B19,MMWR_TRAD_AGG_STATE_COMP[],F$1,0),"ERROR")</f>
        <v>183</v>
      </c>
      <c r="G19" s="104">
        <f t="shared" si="0"/>
        <v>0.20584926884139482</v>
      </c>
      <c r="H19" s="102">
        <f>IFERROR(VLOOKUP($B19,MMWR_TRAD_AGG_STATE_COMP[],H$1,0),"ERROR")</f>
        <v>709</v>
      </c>
      <c r="I19" s="103">
        <f>IFERROR(VLOOKUP($B19,MMWR_TRAD_AGG_STATE_COMP[],I$1,0),"ERROR")</f>
        <v>372</v>
      </c>
      <c r="J19" s="105">
        <f t="shared" si="1"/>
        <v>0.52468265162200278</v>
      </c>
      <c r="K19" s="102">
        <f>IFERROR(VLOOKUP($B19,MMWR_TRAD_AGG_STATE_COMP[],K$1,0),"ERROR")</f>
        <v>294</v>
      </c>
      <c r="L19" s="103">
        <f>IFERROR(VLOOKUP($B19,MMWR_TRAD_AGG_STATE_COMP[],L$1,0),"ERROR")</f>
        <v>204</v>
      </c>
      <c r="M19" s="105">
        <f t="shared" si="2"/>
        <v>0.69387755102040816</v>
      </c>
      <c r="N19" s="102">
        <f>IFERROR(VLOOKUP($B19,MMWR_TRAD_AGG_STATE_COMP[],N$1,0),"ERROR")</f>
        <v>194</v>
      </c>
      <c r="O19" s="103">
        <f>IFERROR(VLOOKUP($B19,MMWR_TRAD_AGG_STATE_COMP[],O$1,0),"ERROR")</f>
        <v>103</v>
      </c>
      <c r="P19" s="105">
        <f t="shared" si="3"/>
        <v>0.53092783505154639</v>
      </c>
      <c r="Q19" s="106">
        <f>IFERROR(VLOOKUP($B19,MMWR_TRAD_AGG_STATE_COMP[],Q$1,0),"ERROR")</f>
        <v>210</v>
      </c>
      <c r="R19" s="106">
        <f>IFERROR(VLOOKUP($B19,MMWR_TRAD_AGG_STATE_COMP[],R$1,0),"ERROR")</f>
        <v>3</v>
      </c>
      <c r="S19" s="106">
        <f>IFERROR(VLOOKUP($B19,MMWR_APP_STATE_COMP[],S$1,0),"ERROR")</f>
        <v>332</v>
      </c>
      <c r="T19" s="28"/>
    </row>
    <row r="20" spans="1:20" s="114" customFormat="1" x14ac:dyDescent="0.2">
      <c r="A20" s="98"/>
      <c r="B20" s="118" t="s">
        <v>413</v>
      </c>
      <c r="C20" s="100">
        <f>IFERROR(VLOOKUP($B20,MMWR_TRAD_AGG_STATE_COMP[],C$1,0),"ERROR")</f>
        <v>441</v>
      </c>
      <c r="D20" s="101">
        <f>IFERROR(VLOOKUP($B20,MMWR_TRAD_AGG_STATE_COMP[],D$1,0),"ERROR")</f>
        <v>364.57142857140002</v>
      </c>
      <c r="E20" s="102">
        <f>IFERROR(VLOOKUP($B20,MMWR_TRAD_AGG_STATE_COMP[],E$1,0),"ERROR")</f>
        <v>482</v>
      </c>
      <c r="F20" s="103">
        <f>IFERROR(VLOOKUP($B20,MMWR_TRAD_AGG_STATE_COMP[],F$1,0),"ERROR")</f>
        <v>110</v>
      </c>
      <c r="G20" s="104">
        <f t="shared" si="0"/>
        <v>0.22821576763485477</v>
      </c>
      <c r="H20" s="102">
        <f>IFERROR(VLOOKUP($B20,MMWR_TRAD_AGG_STATE_COMP[],H$1,0),"ERROR")</f>
        <v>945</v>
      </c>
      <c r="I20" s="103">
        <f>IFERROR(VLOOKUP($B20,MMWR_TRAD_AGG_STATE_COMP[],I$1,0),"ERROR")</f>
        <v>482</v>
      </c>
      <c r="J20" s="105">
        <f t="shared" si="1"/>
        <v>0.51005291005291009</v>
      </c>
      <c r="K20" s="102">
        <f>IFERROR(VLOOKUP($B20,MMWR_TRAD_AGG_STATE_COMP[],K$1,0),"ERROR")</f>
        <v>210</v>
      </c>
      <c r="L20" s="103">
        <f>IFERROR(VLOOKUP($B20,MMWR_TRAD_AGG_STATE_COMP[],L$1,0),"ERROR")</f>
        <v>144</v>
      </c>
      <c r="M20" s="105">
        <f t="shared" si="2"/>
        <v>0.68571428571428572</v>
      </c>
      <c r="N20" s="102">
        <f>IFERROR(VLOOKUP($B20,MMWR_TRAD_AGG_STATE_COMP[],N$1,0),"ERROR")</f>
        <v>124</v>
      </c>
      <c r="O20" s="103">
        <f>IFERROR(VLOOKUP($B20,MMWR_TRAD_AGG_STATE_COMP[],O$1,0),"ERROR")</f>
        <v>81</v>
      </c>
      <c r="P20" s="105">
        <f t="shared" si="3"/>
        <v>0.65322580645161288</v>
      </c>
      <c r="Q20" s="106">
        <f>IFERROR(VLOOKUP($B20,MMWR_TRAD_AGG_STATE_COMP[],Q$1,0),"ERROR")</f>
        <v>91</v>
      </c>
      <c r="R20" s="106">
        <f>IFERROR(VLOOKUP($B20,MMWR_TRAD_AGG_STATE_COMP[],R$1,0),"ERROR")</f>
        <v>1</v>
      </c>
      <c r="S20" s="106">
        <f>IFERROR(VLOOKUP($B20,MMWR_APP_STATE_COMP[],S$1,0),"ERROR")</f>
        <v>127</v>
      </c>
      <c r="T20" s="28"/>
    </row>
    <row r="21" spans="1:20" s="114" customFormat="1" x14ac:dyDescent="0.2">
      <c r="A21" s="98"/>
      <c r="B21" s="118" t="s">
        <v>374</v>
      </c>
      <c r="C21" s="100">
        <f>IFERROR(VLOOKUP($B21,MMWR_TRAD_AGG_STATE_COMP[],C$1,0),"ERROR")</f>
        <v>17163</v>
      </c>
      <c r="D21" s="101">
        <f>IFERROR(VLOOKUP($B21,MMWR_TRAD_AGG_STATE_COMP[],D$1,0),"ERROR")</f>
        <v>461.79263532020002</v>
      </c>
      <c r="E21" s="102">
        <f>IFERROR(VLOOKUP($B21,MMWR_TRAD_AGG_STATE_COMP[],E$1,0),"ERROR")</f>
        <v>12361</v>
      </c>
      <c r="F21" s="103">
        <f>IFERROR(VLOOKUP($B21,MMWR_TRAD_AGG_STATE_COMP[],F$1,0),"ERROR")</f>
        <v>2841</v>
      </c>
      <c r="G21" s="104">
        <f t="shared" si="0"/>
        <v>0.22983577380470835</v>
      </c>
      <c r="H21" s="102">
        <f>IFERROR(VLOOKUP($B21,MMWR_TRAD_AGG_STATE_COMP[],H$1,0),"ERROR")</f>
        <v>21786</v>
      </c>
      <c r="I21" s="103">
        <f>IFERROR(VLOOKUP($B21,MMWR_TRAD_AGG_STATE_COMP[],I$1,0),"ERROR")</f>
        <v>15437</v>
      </c>
      <c r="J21" s="105">
        <f t="shared" si="1"/>
        <v>0.70857431377949143</v>
      </c>
      <c r="K21" s="102">
        <f>IFERROR(VLOOKUP($B21,MMWR_TRAD_AGG_STATE_COMP[],K$1,0),"ERROR")</f>
        <v>8354</v>
      </c>
      <c r="L21" s="103">
        <f>IFERROR(VLOOKUP($B21,MMWR_TRAD_AGG_STATE_COMP[],L$1,0),"ERROR")</f>
        <v>6154</v>
      </c>
      <c r="M21" s="105">
        <f t="shared" si="2"/>
        <v>0.7366531003112281</v>
      </c>
      <c r="N21" s="102">
        <f>IFERROR(VLOOKUP($B21,MMWR_TRAD_AGG_STATE_COMP[],N$1,0),"ERROR")</f>
        <v>7066</v>
      </c>
      <c r="O21" s="103">
        <f>IFERROR(VLOOKUP($B21,MMWR_TRAD_AGG_STATE_COMP[],O$1,0),"ERROR")</f>
        <v>4988</v>
      </c>
      <c r="P21" s="105">
        <f t="shared" si="3"/>
        <v>0.70591565242003962</v>
      </c>
      <c r="Q21" s="106">
        <f>IFERROR(VLOOKUP($B21,MMWR_TRAD_AGG_STATE_COMP[],Q$1,0),"ERROR")</f>
        <v>897</v>
      </c>
      <c r="R21" s="106">
        <f>IFERROR(VLOOKUP($B21,MMWR_TRAD_AGG_STATE_COMP[],R$1,0),"ERROR")</f>
        <v>15</v>
      </c>
      <c r="S21" s="106">
        <f>IFERROR(VLOOKUP($B21,MMWR_APP_STATE_COMP[],S$1,0),"ERROR")</f>
        <v>15043</v>
      </c>
      <c r="T21" s="28"/>
    </row>
    <row r="22" spans="1:20" s="114" customFormat="1" x14ac:dyDescent="0.2">
      <c r="A22" s="98"/>
      <c r="B22" s="118" t="s">
        <v>375</v>
      </c>
      <c r="C22" s="100">
        <f>IFERROR(VLOOKUP($B22,MMWR_TRAD_AGG_STATE_COMP[],C$1,0),"ERROR")</f>
        <v>2200</v>
      </c>
      <c r="D22" s="101">
        <f>IFERROR(VLOOKUP($B22,MMWR_TRAD_AGG_STATE_COMP[],D$1,0),"ERROR")</f>
        <v>268.25181818179999</v>
      </c>
      <c r="E22" s="102">
        <f>IFERROR(VLOOKUP($B22,MMWR_TRAD_AGG_STATE_COMP[],E$1,0),"ERROR")</f>
        <v>2478</v>
      </c>
      <c r="F22" s="103">
        <f>IFERROR(VLOOKUP($B22,MMWR_TRAD_AGG_STATE_COMP[],F$1,0),"ERROR")</f>
        <v>458</v>
      </c>
      <c r="G22" s="104">
        <f t="shared" si="0"/>
        <v>0.1848264729620662</v>
      </c>
      <c r="H22" s="102">
        <f>IFERROR(VLOOKUP($B22,MMWR_TRAD_AGG_STATE_COMP[],H$1,0),"ERROR")</f>
        <v>3644</v>
      </c>
      <c r="I22" s="103">
        <f>IFERROR(VLOOKUP($B22,MMWR_TRAD_AGG_STATE_COMP[],I$1,0),"ERROR")</f>
        <v>2258</v>
      </c>
      <c r="J22" s="105">
        <f t="shared" si="1"/>
        <v>0.61964873765093309</v>
      </c>
      <c r="K22" s="102">
        <f>IFERROR(VLOOKUP($B22,MMWR_TRAD_AGG_STATE_COMP[],K$1,0),"ERROR")</f>
        <v>458</v>
      </c>
      <c r="L22" s="103">
        <f>IFERROR(VLOOKUP($B22,MMWR_TRAD_AGG_STATE_COMP[],L$1,0),"ERROR")</f>
        <v>216</v>
      </c>
      <c r="M22" s="105">
        <f t="shared" si="2"/>
        <v>0.47161572052401746</v>
      </c>
      <c r="N22" s="102">
        <f>IFERROR(VLOOKUP($B22,MMWR_TRAD_AGG_STATE_COMP[],N$1,0),"ERROR")</f>
        <v>1368</v>
      </c>
      <c r="O22" s="103">
        <f>IFERROR(VLOOKUP($B22,MMWR_TRAD_AGG_STATE_COMP[],O$1,0),"ERROR")</f>
        <v>1003</v>
      </c>
      <c r="P22" s="105">
        <f t="shared" si="3"/>
        <v>0.73318713450292394</v>
      </c>
      <c r="Q22" s="106">
        <f>IFERROR(VLOOKUP($B22,MMWR_TRAD_AGG_STATE_COMP[],Q$1,0),"ERROR")</f>
        <v>371</v>
      </c>
      <c r="R22" s="106">
        <f>IFERROR(VLOOKUP($B22,MMWR_TRAD_AGG_STATE_COMP[],R$1,0),"ERROR")</f>
        <v>13</v>
      </c>
      <c r="S22" s="106">
        <f>IFERROR(VLOOKUP($B22,MMWR_APP_STATE_COMP[],S$1,0),"ERROR")</f>
        <v>2279</v>
      </c>
      <c r="T22" s="28"/>
    </row>
    <row r="23" spans="1:20" s="114" customFormat="1" x14ac:dyDescent="0.2">
      <c r="A23" s="98"/>
      <c r="B23" s="117" t="s">
        <v>386</v>
      </c>
      <c r="C23" s="93">
        <f>IF(SUM(C24:C35)&lt;&gt;VLOOKUP($B23,MMWR_TRAD_AGG_ST_DISTRICT_COMP[],C$1,0),"ERROR",
VLOOKUP($B23,MMWR_TRAD_AGG_ST_DISTRICT_COMP[],C$1,0))</f>
        <v>41844</v>
      </c>
      <c r="D23" s="94">
        <f>IFERROR(VLOOKUP($B23,MMWR_TRAD_AGG_ST_DISTRICT_COMP[],D$1,0),"ERROR")</f>
        <v>385.79863301789999</v>
      </c>
      <c r="E23" s="93">
        <f>IF(SUM(E24:E35)&lt;&gt;VLOOKUP($B23,MMWR_TRAD_AGG_ST_DISTRICT_COMP[],E$1,0),"ERROR",
VLOOKUP($B23,MMWR_TRAD_AGG_ST_DISTRICT_COMP[],E$1,0))</f>
        <v>52351</v>
      </c>
      <c r="F23" s="93">
        <f>IF(SUM(F24:F35)&lt;&gt;VLOOKUP($B23,MMWR_TRAD_AGG_ST_DISTRICT_COMP[],F$1,0),"ERROR",
VLOOKUP($B23,MMWR_TRAD_AGG_ST_DISTRICT_COMP[],F$1,0))</f>
        <v>11349</v>
      </c>
      <c r="G23" s="95">
        <f t="shared" si="0"/>
        <v>0.21678668984355601</v>
      </c>
      <c r="H23" s="93">
        <f>IF(SUM(H24:H35)&lt;&gt;VLOOKUP($B23,MMWR_TRAD_AGG_ST_DISTRICT_COMP[],H$1,0),"ERROR",
VLOOKUP($B23,MMWR_TRAD_AGG_ST_DISTRICT_COMP[],H$1,0))</f>
        <v>65790</v>
      </c>
      <c r="I23" s="93">
        <f>IF(SUM(I24:I35)&lt;&gt;VLOOKUP($B23,MMWR_TRAD_AGG_ST_DISTRICT_COMP[],I$1,0),"ERROR",
VLOOKUP($B23,MMWR_TRAD_AGG_ST_DISTRICT_COMP[],I$1,0))</f>
        <v>39529</v>
      </c>
      <c r="J23" s="96">
        <f t="shared" si="1"/>
        <v>0.60083599331205351</v>
      </c>
      <c r="K23" s="93">
        <f>IF(SUM(K24:K35)&lt;&gt;VLOOKUP($B23,MMWR_TRAD_AGG_ST_DISTRICT_COMP[],K$1,0),"ERROR",
VLOOKUP($B23,MMWR_TRAD_AGG_ST_DISTRICT_COMP[],K$1,0))</f>
        <v>14188</v>
      </c>
      <c r="L23" s="93">
        <f>IF(SUM(L24:L35)&lt;&gt;VLOOKUP($B23,MMWR_TRAD_AGG_ST_DISTRICT_COMP[],L$1,0),"ERROR",
VLOOKUP($B23,MMWR_TRAD_AGG_ST_DISTRICT_COMP[],L$1,0))</f>
        <v>9413</v>
      </c>
      <c r="M23" s="96">
        <f t="shared" si="2"/>
        <v>0.66344798421201012</v>
      </c>
      <c r="N23" s="93">
        <f>IF(SUM(N24:N35)&lt;&gt;VLOOKUP($B23,MMWR_TRAD_AGG_ST_DISTRICT_COMP[],N$1,0),"ERROR",
VLOOKUP($B23,MMWR_TRAD_AGG_ST_DISTRICT_COMP[],N$1,0))</f>
        <v>27381</v>
      </c>
      <c r="O23" s="93">
        <f>IF(SUM(O24:O35)&lt;&gt;VLOOKUP($B23,MMWR_TRAD_AGG_ST_DISTRICT_COMP[],O$1,0),"ERROR",
VLOOKUP($B23,MMWR_TRAD_AGG_ST_DISTRICT_COMP[],O$1,0))</f>
        <v>15430</v>
      </c>
      <c r="P23" s="96">
        <f t="shared" si="3"/>
        <v>0.56352945473138305</v>
      </c>
      <c r="Q23" s="93">
        <f>IF(SUM(Q24:Q35)&lt;&gt;VLOOKUP($B23,MMWR_TRAD_AGG_ST_DISTRICT_COMP[],Q$1,0),"ERROR",
VLOOKUP($B23,MMWR_TRAD_AGG_ST_DISTRICT_COMP[],Q$1,0))</f>
        <v>3669</v>
      </c>
      <c r="R23" s="93">
        <f>IF(SUM(R24:R35)&lt;&gt;VLOOKUP($B23,MMWR_TRAD_AGG_ST_DISTRICT_COMP[],R$1,0),"ERROR",
VLOOKUP($B23,MMWR_TRAD_AGG_ST_DISTRICT_COMP[],R$1,0))</f>
        <v>1061</v>
      </c>
      <c r="S23" s="97">
        <f>SUM(S24:S35)</f>
        <v>53183</v>
      </c>
      <c r="T23" s="28"/>
    </row>
    <row r="24" spans="1:20" s="114" customFormat="1" x14ac:dyDescent="0.2">
      <c r="A24" s="83"/>
      <c r="B24" s="118" t="s">
        <v>390</v>
      </c>
      <c r="C24" s="100">
        <f>IFERROR(VLOOKUP($B24,MMWR_TRAD_AGG_STATE_COMP[],C$1,0),"ERROR")</f>
        <v>7098</v>
      </c>
      <c r="D24" s="101">
        <f>IFERROR(VLOOKUP($B24,MMWR_TRAD_AGG_STATE_COMP[],D$1,0),"ERROR")</f>
        <v>483.86291913209999</v>
      </c>
      <c r="E24" s="102">
        <f>IFERROR(VLOOKUP($B24,MMWR_TRAD_AGG_STATE_COMP[],E$1,0),"ERROR")</f>
        <v>7485</v>
      </c>
      <c r="F24" s="103">
        <f>IFERROR(VLOOKUP($B24,MMWR_TRAD_AGG_STATE_COMP[],F$1,0),"ERROR")</f>
        <v>1878</v>
      </c>
      <c r="G24" s="104">
        <f t="shared" si="0"/>
        <v>0.25090180360721442</v>
      </c>
      <c r="H24" s="102">
        <f>IFERROR(VLOOKUP($B24,MMWR_TRAD_AGG_STATE_COMP[],H$1,0),"ERROR")</f>
        <v>9874</v>
      </c>
      <c r="I24" s="103">
        <f>IFERROR(VLOOKUP($B24,MMWR_TRAD_AGG_STATE_COMP[],I$1,0),"ERROR")</f>
        <v>6971</v>
      </c>
      <c r="J24" s="105">
        <f t="shared" si="1"/>
        <v>0.70599554385254204</v>
      </c>
      <c r="K24" s="102">
        <f>IFERROR(VLOOKUP($B24,MMWR_TRAD_AGG_STATE_COMP[],K$1,0),"ERROR")</f>
        <v>2148</v>
      </c>
      <c r="L24" s="103">
        <f>IFERROR(VLOOKUP($B24,MMWR_TRAD_AGG_STATE_COMP[],L$1,0),"ERROR")</f>
        <v>1667</v>
      </c>
      <c r="M24" s="105">
        <f t="shared" si="2"/>
        <v>0.77607076350093107</v>
      </c>
      <c r="N24" s="102">
        <f>IFERROR(VLOOKUP($B24,MMWR_TRAD_AGG_STATE_COMP[],N$1,0),"ERROR")</f>
        <v>2867</v>
      </c>
      <c r="O24" s="103">
        <f>IFERROR(VLOOKUP($B24,MMWR_TRAD_AGG_STATE_COMP[],O$1,0),"ERROR")</f>
        <v>1462</v>
      </c>
      <c r="P24" s="105">
        <f t="shared" si="3"/>
        <v>0.50994070456923613</v>
      </c>
      <c r="Q24" s="106">
        <f>IFERROR(VLOOKUP($B24,MMWR_TRAD_AGG_STATE_COMP[],Q$1,0),"ERROR")</f>
        <v>657</v>
      </c>
      <c r="R24" s="106">
        <f>IFERROR(VLOOKUP($B24,MMWR_TRAD_AGG_STATE_COMP[],R$1,0),"ERROR")</f>
        <v>212</v>
      </c>
      <c r="S24" s="106">
        <f>IFERROR(VLOOKUP($B24,MMWR_APP_STATE_COMP[],S$1,0),"ERROR")</f>
        <v>8406</v>
      </c>
      <c r="T24" s="28"/>
    </row>
    <row r="25" spans="1:20" s="114" customFormat="1" x14ac:dyDescent="0.2">
      <c r="A25" s="98"/>
      <c r="B25" s="118" t="s">
        <v>388</v>
      </c>
      <c r="C25" s="100">
        <f>IFERROR(VLOOKUP($B25,MMWR_TRAD_AGG_STATE_COMP[],C$1,0),"ERROR")</f>
        <v>7116</v>
      </c>
      <c r="D25" s="101">
        <f>IFERROR(VLOOKUP($B25,MMWR_TRAD_AGG_STATE_COMP[],D$1,0),"ERROR")</f>
        <v>613.11987071390001</v>
      </c>
      <c r="E25" s="102">
        <f>IFERROR(VLOOKUP($B25,MMWR_TRAD_AGG_STATE_COMP[],E$1,0),"ERROR")</f>
        <v>5088</v>
      </c>
      <c r="F25" s="103">
        <f>IFERROR(VLOOKUP($B25,MMWR_TRAD_AGG_STATE_COMP[],F$1,0),"ERROR")</f>
        <v>1000</v>
      </c>
      <c r="G25" s="104">
        <f t="shared" si="0"/>
        <v>0.19654088050314467</v>
      </c>
      <c r="H25" s="102">
        <f>IFERROR(VLOOKUP($B25,MMWR_TRAD_AGG_STATE_COMP[],H$1,0),"ERROR")</f>
        <v>10846</v>
      </c>
      <c r="I25" s="103">
        <f>IFERROR(VLOOKUP($B25,MMWR_TRAD_AGG_STATE_COMP[],I$1,0),"ERROR")</f>
        <v>7453</v>
      </c>
      <c r="J25" s="105">
        <f t="shared" si="1"/>
        <v>0.68716577540106949</v>
      </c>
      <c r="K25" s="102">
        <f>IFERROR(VLOOKUP($B25,MMWR_TRAD_AGG_STATE_COMP[],K$1,0),"ERROR")</f>
        <v>2172</v>
      </c>
      <c r="L25" s="103">
        <f>IFERROR(VLOOKUP($B25,MMWR_TRAD_AGG_STATE_COMP[],L$1,0),"ERROR")</f>
        <v>1547</v>
      </c>
      <c r="M25" s="105">
        <f t="shared" si="2"/>
        <v>0.71224677716390428</v>
      </c>
      <c r="N25" s="102">
        <f>IFERROR(VLOOKUP($B25,MMWR_TRAD_AGG_STATE_COMP[],N$1,0),"ERROR")</f>
        <v>2992</v>
      </c>
      <c r="O25" s="103">
        <f>IFERROR(VLOOKUP($B25,MMWR_TRAD_AGG_STATE_COMP[],O$1,0),"ERROR")</f>
        <v>1959</v>
      </c>
      <c r="P25" s="105">
        <f t="shared" si="3"/>
        <v>0.65474598930481287</v>
      </c>
      <c r="Q25" s="106">
        <f>IFERROR(VLOOKUP($B25,MMWR_TRAD_AGG_STATE_COMP[],Q$1,0),"ERROR")</f>
        <v>495</v>
      </c>
      <c r="R25" s="106">
        <f>IFERROR(VLOOKUP($B25,MMWR_TRAD_AGG_STATE_COMP[],R$1,0),"ERROR")</f>
        <v>193</v>
      </c>
      <c r="S25" s="106">
        <f>IFERROR(VLOOKUP($B25,MMWR_APP_STATE_COMP[],S$1,0),"ERROR")</f>
        <v>8207</v>
      </c>
      <c r="T25" s="28"/>
    </row>
    <row r="26" spans="1:20" s="114" customFormat="1" x14ac:dyDescent="0.2">
      <c r="A26" s="98"/>
      <c r="B26" s="118" t="s">
        <v>395</v>
      </c>
      <c r="C26" s="100">
        <f>IFERROR(VLOOKUP($B26,MMWR_TRAD_AGG_STATE_COMP[],C$1,0),"ERROR")</f>
        <v>1401</v>
      </c>
      <c r="D26" s="101">
        <f>IFERROR(VLOOKUP($B26,MMWR_TRAD_AGG_STATE_COMP[],D$1,0),"ERROR")</f>
        <v>201.21270521060001</v>
      </c>
      <c r="E26" s="102">
        <f>IFERROR(VLOOKUP($B26,MMWR_TRAD_AGG_STATE_COMP[],E$1,0),"ERROR")</f>
        <v>2443</v>
      </c>
      <c r="F26" s="103">
        <f>IFERROR(VLOOKUP($B26,MMWR_TRAD_AGG_STATE_COMP[],F$1,0),"ERROR")</f>
        <v>429</v>
      </c>
      <c r="G26" s="104">
        <f t="shared" si="0"/>
        <v>0.17560376586164553</v>
      </c>
      <c r="H26" s="102">
        <f>IFERROR(VLOOKUP($B26,MMWR_TRAD_AGG_STATE_COMP[],H$1,0),"ERROR")</f>
        <v>2238</v>
      </c>
      <c r="I26" s="103">
        <f>IFERROR(VLOOKUP($B26,MMWR_TRAD_AGG_STATE_COMP[],I$1,0),"ERROR")</f>
        <v>1147</v>
      </c>
      <c r="J26" s="105">
        <f t="shared" si="1"/>
        <v>0.51251117068811436</v>
      </c>
      <c r="K26" s="102">
        <f>IFERROR(VLOOKUP($B26,MMWR_TRAD_AGG_STATE_COMP[],K$1,0),"ERROR")</f>
        <v>403</v>
      </c>
      <c r="L26" s="103">
        <f>IFERROR(VLOOKUP($B26,MMWR_TRAD_AGG_STATE_COMP[],L$1,0),"ERROR")</f>
        <v>201</v>
      </c>
      <c r="M26" s="105">
        <f t="shared" si="2"/>
        <v>0.4987593052109181</v>
      </c>
      <c r="N26" s="102">
        <f>IFERROR(VLOOKUP($B26,MMWR_TRAD_AGG_STATE_COMP[],N$1,0),"ERROR")</f>
        <v>582</v>
      </c>
      <c r="O26" s="103">
        <f>IFERROR(VLOOKUP($B26,MMWR_TRAD_AGG_STATE_COMP[],O$1,0),"ERROR")</f>
        <v>348</v>
      </c>
      <c r="P26" s="105">
        <f t="shared" si="3"/>
        <v>0.59793814432989689</v>
      </c>
      <c r="Q26" s="106">
        <f>IFERROR(VLOOKUP($B26,MMWR_TRAD_AGG_STATE_COMP[],Q$1,0),"ERROR")</f>
        <v>1</v>
      </c>
      <c r="R26" s="106">
        <f>IFERROR(VLOOKUP($B26,MMWR_TRAD_AGG_STATE_COMP[],R$1,0),"ERROR")</f>
        <v>8</v>
      </c>
      <c r="S26" s="106">
        <f>IFERROR(VLOOKUP($B26,MMWR_APP_STATE_COMP[],S$1,0),"ERROR")</f>
        <v>1353</v>
      </c>
      <c r="T26" s="28"/>
    </row>
    <row r="27" spans="1:20" s="114" customFormat="1" x14ac:dyDescent="0.2">
      <c r="A27" s="98"/>
      <c r="B27" s="118" t="s">
        <v>418</v>
      </c>
      <c r="C27" s="100">
        <f>IFERROR(VLOOKUP($B27,MMWR_TRAD_AGG_STATE_COMP[],C$1,0),"ERROR")</f>
        <v>2122</v>
      </c>
      <c r="D27" s="101">
        <f>IFERROR(VLOOKUP($B27,MMWR_TRAD_AGG_STATE_COMP[],D$1,0),"ERROR")</f>
        <v>239.61969839770001</v>
      </c>
      <c r="E27" s="102">
        <f>IFERROR(VLOOKUP($B27,MMWR_TRAD_AGG_STATE_COMP[],E$1,0),"ERROR")</f>
        <v>2567</v>
      </c>
      <c r="F27" s="103">
        <f>IFERROR(VLOOKUP($B27,MMWR_TRAD_AGG_STATE_COMP[],F$1,0),"ERROR")</f>
        <v>504</v>
      </c>
      <c r="G27" s="104">
        <f t="shared" si="0"/>
        <v>0.19633813790416829</v>
      </c>
      <c r="H27" s="102">
        <f>IFERROR(VLOOKUP($B27,MMWR_TRAD_AGG_STATE_COMP[],H$1,0),"ERROR")</f>
        <v>3224</v>
      </c>
      <c r="I27" s="103">
        <f>IFERROR(VLOOKUP($B27,MMWR_TRAD_AGG_STATE_COMP[],I$1,0),"ERROR")</f>
        <v>1794</v>
      </c>
      <c r="J27" s="105">
        <f t="shared" si="1"/>
        <v>0.55645161290322576</v>
      </c>
      <c r="K27" s="102">
        <f>IFERROR(VLOOKUP($B27,MMWR_TRAD_AGG_STATE_COMP[],K$1,0),"ERROR")</f>
        <v>1139</v>
      </c>
      <c r="L27" s="103">
        <f>IFERROR(VLOOKUP($B27,MMWR_TRAD_AGG_STATE_COMP[],L$1,0),"ERROR")</f>
        <v>486</v>
      </c>
      <c r="M27" s="105">
        <f t="shared" si="2"/>
        <v>0.42669007901668132</v>
      </c>
      <c r="N27" s="102">
        <f>IFERROR(VLOOKUP($B27,MMWR_TRAD_AGG_STATE_COMP[],N$1,0),"ERROR")</f>
        <v>680</v>
      </c>
      <c r="O27" s="103">
        <f>IFERROR(VLOOKUP($B27,MMWR_TRAD_AGG_STATE_COMP[],O$1,0),"ERROR")</f>
        <v>334</v>
      </c>
      <c r="P27" s="105">
        <f t="shared" si="3"/>
        <v>0.49117647058823527</v>
      </c>
      <c r="Q27" s="106">
        <f>IFERROR(VLOOKUP($B27,MMWR_TRAD_AGG_STATE_COMP[],Q$1,0),"ERROR")</f>
        <v>13</v>
      </c>
      <c r="R27" s="106">
        <f>IFERROR(VLOOKUP($B27,MMWR_TRAD_AGG_STATE_COMP[],R$1,0),"ERROR")</f>
        <v>15</v>
      </c>
      <c r="S27" s="106">
        <f>IFERROR(VLOOKUP($B27,MMWR_APP_STATE_COMP[],S$1,0),"ERROR")</f>
        <v>1331</v>
      </c>
      <c r="T27" s="28"/>
    </row>
    <row r="28" spans="1:20" s="114" customFormat="1" x14ac:dyDescent="0.2">
      <c r="A28" s="98"/>
      <c r="B28" s="118" t="s">
        <v>391</v>
      </c>
      <c r="C28" s="100">
        <f>IFERROR(VLOOKUP($B28,MMWR_TRAD_AGG_STATE_COMP[],C$1,0),"ERROR")</f>
        <v>4070</v>
      </c>
      <c r="D28" s="101">
        <f>IFERROR(VLOOKUP($B28,MMWR_TRAD_AGG_STATE_COMP[],D$1,0),"ERROR")</f>
        <v>292.35061425060002</v>
      </c>
      <c r="E28" s="102">
        <f>IFERROR(VLOOKUP($B28,MMWR_TRAD_AGG_STATE_COMP[],E$1,0),"ERROR")</f>
        <v>7386</v>
      </c>
      <c r="F28" s="103">
        <f>IFERROR(VLOOKUP($B28,MMWR_TRAD_AGG_STATE_COMP[],F$1,0),"ERROR")</f>
        <v>1829</v>
      </c>
      <c r="G28" s="104">
        <f t="shared" si="0"/>
        <v>0.24763065258597347</v>
      </c>
      <c r="H28" s="102">
        <f>IFERROR(VLOOKUP($B28,MMWR_TRAD_AGG_STATE_COMP[],H$1,0),"ERROR")</f>
        <v>7205</v>
      </c>
      <c r="I28" s="103">
        <f>IFERROR(VLOOKUP($B28,MMWR_TRAD_AGG_STATE_COMP[],I$1,0),"ERROR")</f>
        <v>4511</v>
      </c>
      <c r="J28" s="105">
        <f t="shared" si="1"/>
        <v>0.62609299097848714</v>
      </c>
      <c r="K28" s="102">
        <f>IFERROR(VLOOKUP($B28,MMWR_TRAD_AGG_STATE_COMP[],K$1,0),"ERROR")</f>
        <v>1461</v>
      </c>
      <c r="L28" s="103">
        <f>IFERROR(VLOOKUP($B28,MMWR_TRAD_AGG_STATE_COMP[],L$1,0),"ERROR")</f>
        <v>1020</v>
      </c>
      <c r="M28" s="105">
        <f t="shared" si="2"/>
        <v>0.69815195071868585</v>
      </c>
      <c r="N28" s="102">
        <f>IFERROR(VLOOKUP($B28,MMWR_TRAD_AGG_STATE_COMP[],N$1,0),"ERROR")</f>
        <v>4553</v>
      </c>
      <c r="O28" s="103">
        <f>IFERROR(VLOOKUP($B28,MMWR_TRAD_AGG_STATE_COMP[],O$1,0),"ERROR")</f>
        <v>1085</v>
      </c>
      <c r="P28" s="105">
        <f t="shared" si="3"/>
        <v>0.23830441467164507</v>
      </c>
      <c r="Q28" s="106">
        <f>IFERROR(VLOOKUP($B28,MMWR_TRAD_AGG_STATE_COMP[],Q$1,0),"ERROR")</f>
        <v>722</v>
      </c>
      <c r="R28" s="106">
        <f>IFERROR(VLOOKUP($B28,MMWR_TRAD_AGG_STATE_COMP[],R$1,0),"ERROR")</f>
        <v>199</v>
      </c>
      <c r="S28" s="106">
        <f>IFERROR(VLOOKUP($B28,MMWR_APP_STATE_COMP[],S$1,0),"ERROR")</f>
        <v>5853</v>
      </c>
      <c r="T28" s="28"/>
    </row>
    <row r="29" spans="1:20" s="114" customFormat="1" x14ac:dyDescent="0.2">
      <c r="A29" s="98"/>
      <c r="B29" s="118" t="s">
        <v>397</v>
      </c>
      <c r="C29" s="100">
        <f>IFERROR(VLOOKUP($B29,MMWR_TRAD_AGG_STATE_COMP[],C$1,0),"ERROR")</f>
        <v>1534</v>
      </c>
      <c r="D29" s="101">
        <f>IFERROR(VLOOKUP($B29,MMWR_TRAD_AGG_STATE_COMP[],D$1,0),"ERROR")</f>
        <v>186.61668839629999</v>
      </c>
      <c r="E29" s="102">
        <f>IFERROR(VLOOKUP($B29,MMWR_TRAD_AGG_STATE_COMP[],E$1,0),"ERROR")</f>
        <v>4590</v>
      </c>
      <c r="F29" s="103">
        <f>IFERROR(VLOOKUP($B29,MMWR_TRAD_AGG_STATE_COMP[],F$1,0),"ERROR")</f>
        <v>891</v>
      </c>
      <c r="G29" s="104">
        <f t="shared" si="0"/>
        <v>0.19411764705882353</v>
      </c>
      <c r="H29" s="102">
        <f>IFERROR(VLOOKUP($B29,MMWR_TRAD_AGG_STATE_COMP[],H$1,0),"ERROR")</f>
        <v>3044</v>
      </c>
      <c r="I29" s="103">
        <f>IFERROR(VLOOKUP($B29,MMWR_TRAD_AGG_STATE_COMP[],I$1,0),"ERROR")</f>
        <v>1360</v>
      </c>
      <c r="J29" s="105">
        <f t="shared" si="1"/>
        <v>0.44678055190538762</v>
      </c>
      <c r="K29" s="102">
        <f>IFERROR(VLOOKUP($B29,MMWR_TRAD_AGG_STATE_COMP[],K$1,0),"ERROR")</f>
        <v>576</v>
      </c>
      <c r="L29" s="103">
        <f>IFERROR(VLOOKUP($B29,MMWR_TRAD_AGG_STATE_COMP[],L$1,0),"ERROR")</f>
        <v>241</v>
      </c>
      <c r="M29" s="105">
        <f t="shared" si="2"/>
        <v>0.41840277777777779</v>
      </c>
      <c r="N29" s="102">
        <f>IFERROR(VLOOKUP($B29,MMWR_TRAD_AGG_STATE_COMP[],N$1,0),"ERROR")</f>
        <v>1134</v>
      </c>
      <c r="O29" s="103">
        <f>IFERROR(VLOOKUP($B29,MMWR_TRAD_AGG_STATE_COMP[],O$1,0),"ERROR")</f>
        <v>699</v>
      </c>
      <c r="P29" s="105">
        <f t="shared" si="3"/>
        <v>0.6164021164021164</v>
      </c>
      <c r="Q29" s="106">
        <f>IFERROR(VLOOKUP($B29,MMWR_TRAD_AGG_STATE_COMP[],Q$1,0),"ERROR")</f>
        <v>2</v>
      </c>
      <c r="R29" s="106">
        <f>IFERROR(VLOOKUP($B29,MMWR_TRAD_AGG_STATE_COMP[],R$1,0),"ERROR")</f>
        <v>5</v>
      </c>
      <c r="S29" s="106">
        <f>IFERROR(VLOOKUP($B29,MMWR_APP_STATE_COMP[],S$1,0),"ERROR")</f>
        <v>2191</v>
      </c>
      <c r="T29" s="28"/>
    </row>
    <row r="30" spans="1:20" s="114" customFormat="1" x14ac:dyDescent="0.2">
      <c r="A30" s="98"/>
      <c r="B30" s="118" t="s">
        <v>393</v>
      </c>
      <c r="C30" s="100">
        <f>IFERROR(VLOOKUP($B30,MMWR_TRAD_AGG_STATE_COMP[],C$1,0),"ERROR")</f>
        <v>5507</v>
      </c>
      <c r="D30" s="101">
        <f>IFERROR(VLOOKUP($B30,MMWR_TRAD_AGG_STATE_COMP[],D$1,0),"ERROR")</f>
        <v>284.62211730519999</v>
      </c>
      <c r="E30" s="102">
        <f>IFERROR(VLOOKUP($B30,MMWR_TRAD_AGG_STATE_COMP[],E$1,0),"ERROR")</f>
        <v>6264</v>
      </c>
      <c r="F30" s="103">
        <f>IFERROR(VLOOKUP($B30,MMWR_TRAD_AGG_STATE_COMP[],F$1,0),"ERROR")</f>
        <v>1172</v>
      </c>
      <c r="G30" s="104">
        <f t="shared" si="0"/>
        <v>0.18710089399744573</v>
      </c>
      <c r="H30" s="102">
        <f>IFERROR(VLOOKUP($B30,MMWR_TRAD_AGG_STATE_COMP[],H$1,0),"ERROR")</f>
        <v>7963</v>
      </c>
      <c r="I30" s="103">
        <f>IFERROR(VLOOKUP($B30,MMWR_TRAD_AGG_STATE_COMP[],I$1,0),"ERROR")</f>
        <v>4685</v>
      </c>
      <c r="J30" s="105">
        <f t="shared" si="1"/>
        <v>0.58834610071581062</v>
      </c>
      <c r="K30" s="102">
        <f>IFERROR(VLOOKUP($B30,MMWR_TRAD_AGG_STATE_COMP[],K$1,0),"ERROR")</f>
        <v>2494</v>
      </c>
      <c r="L30" s="103">
        <f>IFERROR(VLOOKUP($B30,MMWR_TRAD_AGG_STATE_COMP[],L$1,0),"ERROR")</f>
        <v>1881</v>
      </c>
      <c r="M30" s="105">
        <f t="shared" si="2"/>
        <v>0.75421010425020052</v>
      </c>
      <c r="N30" s="102">
        <f>IFERROR(VLOOKUP($B30,MMWR_TRAD_AGG_STATE_COMP[],N$1,0),"ERROR")</f>
        <v>8394</v>
      </c>
      <c r="O30" s="103">
        <f>IFERROR(VLOOKUP($B30,MMWR_TRAD_AGG_STATE_COMP[],O$1,0),"ERROR")</f>
        <v>5919</v>
      </c>
      <c r="P30" s="105">
        <f t="shared" si="3"/>
        <v>0.70514653323802712</v>
      </c>
      <c r="Q30" s="106">
        <f>IFERROR(VLOOKUP($B30,MMWR_TRAD_AGG_STATE_COMP[],Q$1,0),"ERROR")</f>
        <v>636</v>
      </c>
      <c r="R30" s="106">
        <f>IFERROR(VLOOKUP($B30,MMWR_TRAD_AGG_STATE_COMP[],R$1,0),"ERROR")</f>
        <v>82</v>
      </c>
      <c r="S30" s="106">
        <f>IFERROR(VLOOKUP($B30,MMWR_APP_STATE_COMP[],S$1,0),"ERROR")</f>
        <v>6911</v>
      </c>
      <c r="T30" s="28"/>
    </row>
    <row r="31" spans="1:20" s="114" customFormat="1" x14ac:dyDescent="0.2">
      <c r="A31" s="98"/>
      <c r="B31" s="118" t="s">
        <v>396</v>
      </c>
      <c r="C31" s="100">
        <f>IFERROR(VLOOKUP($B31,MMWR_TRAD_AGG_STATE_COMP[],C$1,0),"ERROR")</f>
        <v>1397</v>
      </c>
      <c r="D31" s="101">
        <f>IFERROR(VLOOKUP($B31,MMWR_TRAD_AGG_STATE_COMP[],D$1,0),"ERROR")</f>
        <v>224.09591982820001</v>
      </c>
      <c r="E31" s="102">
        <f>IFERROR(VLOOKUP($B31,MMWR_TRAD_AGG_STATE_COMP[],E$1,0),"ERROR")</f>
        <v>2216</v>
      </c>
      <c r="F31" s="103">
        <f>IFERROR(VLOOKUP($B31,MMWR_TRAD_AGG_STATE_COMP[],F$1,0),"ERROR")</f>
        <v>277</v>
      </c>
      <c r="G31" s="104">
        <f t="shared" si="0"/>
        <v>0.125</v>
      </c>
      <c r="H31" s="102">
        <f>IFERROR(VLOOKUP($B31,MMWR_TRAD_AGG_STATE_COMP[],H$1,0),"ERROR")</f>
        <v>2230</v>
      </c>
      <c r="I31" s="103">
        <f>IFERROR(VLOOKUP($B31,MMWR_TRAD_AGG_STATE_COMP[],I$1,0),"ERROR")</f>
        <v>1147</v>
      </c>
      <c r="J31" s="105">
        <f t="shared" si="1"/>
        <v>0.51434977578475338</v>
      </c>
      <c r="K31" s="102">
        <f>IFERROR(VLOOKUP($B31,MMWR_TRAD_AGG_STATE_COMP[],K$1,0),"ERROR")</f>
        <v>760</v>
      </c>
      <c r="L31" s="103">
        <f>IFERROR(VLOOKUP($B31,MMWR_TRAD_AGG_STATE_COMP[],L$1,0),"ERROR")</f>
        <v>565</v>
      </c>
      <c r="M31" s="105">
        <f t="shared" si="2"/>
        <v>0.74342105263157898</v>
      </c>
      <c r="N31" s="102">
        <f>IFERROR(VLOOKUP($B31,MMWR_TRAD_AGG_STATE_COMP[],N$1,0),"ERROR")</f>
        <v>596</v>
      </c>
      <c r="O31" s="103">
        <f>IFERROR(VLOOKUP($B31,MMWR_TRAD_AGG_STATE_COMP[],O$1,0),"ERROR")</f>
        <v>315</v>
      </c>
      <c r="P31" s="105">
        <f t="shared" si="3"/>
        <v>0.52852348993288589</v>
      </c>
      <c r="Q31" s="106">
        <f>IFERROR(VLOOKUP($B31,MMWR_TRAD_AGG_STATE_COMP[],Q$1,0),"ERROR")</f>
        <v>1</v>
      </c>
      <c r="R31" s="106">
        <f>IFERROR(VLOOKUP($B31,MMWR_TRAD_AGG_STATE_COMP[],R$1,0),"ERROR")</f>
        <v>13</v>
      </c>
      <c r="S31" s="106">
        <f>IFERROR(VLOOKUP($B31,MMWR_APP_STATE_COMP[],S$1,0),"ERROR")</f>
        <v>1238</v>
      </c>
      <c r="T31" s="28"/>
    </row>
    <row r="32" spans="1:20" s="114" customFormat="1" x14ac:dyDescent="0.2">
      <c r="A32" s="98"/>
      <c r="B32" s="118" t="s">
        <v>415</v>
      </c>
      <c r="C32" s="100">
        <f>IFERROR(VLOOKUP($B32,MMWR_TRAD_AGG_STATE_COMP[],C$1,0),"ERROR")</f>
        <v>177</v>
      </c>
      <c r="D32" s="101">
        <f>IFERROR(VLOOKUP($B32,MMWR_TRAD_AGG_STATE_COMP[],D$1,0),"ERROR")</f>
        <v>291.87570621470002</v>
      </c>
      <c r="E32" s="102">
        <f>IFERROR(VLOOKUP($B32,MMWR_TRAD_AGG_STATE_COMP[],E$1,0),"ERROR")</f>
        <v>644</v>
      </c>
      <c r="F32" s="103">
        <f>IFERROR(VLOOKUP($B32,MMWR_TRAD_AGG_STATE_COMP[],F$1,0),"ERROR")</f>
        <v>108</v>
      </c>
      <c r="G32" s="104">
        <f t="shared" si="0"/>
        <v>0.16770186335403728</v>
      </c>
      <c r="H32" s="102">
        <f>IFERROR(VLOOKUP($B32,MMWR_TRAD_AGG_STATE_COMP[],H$1,0),"ERROR")</f>
        <v>340</v>
      </c>
      <c r="I32" s="103">
        <f>IFERROR(VLOOKUP($B32,MMWR_TRAD_AGG_STATE_COMP[],I$1,0),"ERROR")</f>
        <v>151</v>
      </c>
      <c r="J32" s="105">
        <f t="shared" si="1"/>
        <v>0.44411764705882351</v>
      </c>
      <c r="K32" s="102">
        <f>IFERROR(VLOOKUP($B32,MMWR_TRAD_AGG_STATE_COMP[],K$1,0),"ERROR")</f>
        <v>118</v>
      </c>
      <c r="L32" s="103">
        <f>IFERROR(VLOOKUP($B32,MMWR_TRAD_AGG_STATE_COMP[],L$1,0),"ERROR")</f>
        <v>54</v>
      </c>
      <c r="M32" s="105">
        <f t="shared" si="2"/>
        <v>0.4576271186440678</v>
      </c>
      <c r="N32" s="102">
        <f>IFERROR(VLOOKUP($B32,MMWR_TRAD_AGG_STATE_COMP[],N$1,0),"ERROR")</f>
        <v>146</v>
      </c>
      <c r="O32" s="103">
        <f>IFERROR(VLOOKUP($B32,MMWR_TRAD_AGG_STATE_COMP[],O$1,0),"ERROR")</f>
        <v>76</v>
      </c>
      <c r="P32" s="105">
        <f t="shared" si="3"/>
        <v>0.52054794520547942</v>
      </c>
      <c r="Q32" s="106">
        <f>IFERROR(VLOOKUP($B32,MMWR_TRAD_AGG_STATE_COMP[],Q$1,0),"ERROR")</f>
        <v>0</v>
      </c>
      <c r="R32" s="106">
        <f>IFERROR(VLOOKUP($B32,MMWR_TRAD_AGG_STATE_COMP[],R$1,0),"ERROR")</f>
        <v>0</v>
      </c>
      <c r="S32" s="106">
        <f>IFERROR(VLOOKUP($B32,MMWR_APP_STATE_COMP[],S$1,0),"ERROR")</f>
        <v>462</v>
      </c>
      <c r="T32" s="28"/>
    </row>
    <row r="33" spans="1:20" s="114" customFormat="1" x14ac:dyDescent="0.2">
      <c r="A33" s="98"/>
      <c r="B33" s="118" t="s">
        <v>387</v>
      </c>
      <c r="C33" s="100">
        <f>IFERROR(VLOOKUP($B33,MMWR_TRAD_AGG_STATE_COMP[],C$1,0),"ERROR")</f>
        <v>6847</v>
      </c>
      <c r="D33" s="101">
        <f>IFERROR(VLOOKUP($B33,MMWR_TRAD_AGG_STATE_COMP[],D$1,0),"ERROR")</f>
        <v>413.89776544469998</v>
      </c>
      <c r="E33" s="102">
        <f>IFERROR(VLOOKUP($B33,MMWR_TRAD_AGG_STATE_COMP[],E$1,0),"ERROR")</f>
        <v>9006</v>
      </c>
      <c r="F33" s="103">
        <f>IFERROR(VLOOKUP($B33,MMWR_TRAD_AGG_STATE_COMP[],F$1,0),"ERROR")</f>
        <v>2347</v>
      </c>
      <c r="G33" s="104">
        <f t="shared" si="0"/>
        <v>0.2606040417499445</v>
      </c>
      <c r="H33" s="102">
        <f>IFERROR(VLOOKUP($B33,MMWR_TRAD_AGG_STATE_COMP[],H$1,0),"ERROR")</f>
        <v>11766</v>
      </c>
      <c r="I33" s="103">
        <f>IFERROR(VLOOKUP($B33,MMWR_TRAD_AGG_STATE_COMP[],I$1,0),"ERROR")</f>
        <v>6601</v>
      </c>
      <c r="J33" s="105">
        <f t="shared" si="1"/>
        <v>0.56102328743838181</v>
      </c>
      <c r="K33" s="102">
        <f>IFERROR(VLOOKUP($B33,MMWR_TRAD_AGG_STATE_COMP[],K$1,0),"ERROR")</f>
        <v>1880</v>
      </c>
      <c r="L33" s="103">
        <f>IFERROR(VLOOKUP($B33,MMWR_TRAD_AGG_STATE_COMP[],L$1,0),"ERROR")</f>
        <v>1127</v>
      </c>
      <c r="M33" s="105">
        <f t="shared" si="2"/>
        <v>0.59946808510638294</v>
      </c>
      <c r="N33" s="102">
        <f>IFERROR(VLOOKUP($B33,MMWR_TRAD_AGG_STATE_COMP[],N$1,0),"ERROR")</f>
        <v>4377</v>
      </c>
      <c r="O33" s="103">
        <f>IFERROR(VLOOKUP($B33,MMWR_TRAD_AGG_STATE_COMP[],O$1,0),"ERROR")</f>
        <v>2641</v>
      </c>
      <c r="P33" s="105">
        <f t="shared" si="3"/>
        <v>0.60338131140050266</v>
      </c>
      <c r="Q33" s="106">
        <f>IFERROR(VLOOKUP($B33,MMWR_TRAD_AGG_STATE_COMP[],Q$1,0),"ERROR")</f>
        <v>722</v>
      </c>
      <c r="R33" s="106">
        <f>IFERROR(VLOOKUP($B33,MMWR_TRAD_AGG_STATE_COMP[],R$1,0),"ERROR")</f>
        <v>327</v>
      </c>
      <c r="S33" s="106">
        <f>IFERROR(VLOOKUP($B33,MMWR_APP_STATE_COMP[],S$1,0),"ERROR")</f>
        <v>13628</v>
      </c>
      <c r="T33" s="28"/>
    </row>
    <row r="34" spans="1:20" s="114" customFormat="1" x14ac:dyDescent="0.2">
      <c r="A34" s="98"/>
      <c r="B34" s="118" t="s">
        <v>416</v>
      </c>
      <c r="C34" s="100">
        <f>IFERROR(VLOOKUP($B34,MMWR_TRAD_AGG_STATE_COMP[],C$1,0),"ERROR")</f>
        <v>384</v>
      </c>
      <c r="D34" s="101">
        <f>IFERROR(VLOOKUP($B34,MMWR_TRAD_AGG_STATE_COMP[],D$1,0),"ERROR")</f>
        <v>267.2708333333</v>
      </c>
      <c r="E34" s="102">
        <f>IFERROR(VLOOKUP($B34,MMWR_TRAD_AGG_STATE_COMP[],E$1,0),"ERROR")</f>
        <v>827</v>
      </c>
      <c r="F34" s="103">
        <f>IFERROR(VLOOKUP($B34,MMWR_TRAD_AGG_STATE_COMP[],F$1,0),"ERROR")</f>
        <v>152</v>
      </c>
      <c r="G34" s="104">
        <f t="shared" si="0"/>
        <v>0.1837968561064087</v>
      </c>
      <c r="H34" s="102">
        <f>IFERROR(VLOOKUP($B34,MMWR_TRAD_AGG_STATE_COMP[],H$1,0),"ERROR")</f>
        <v>768</v>
      </c>
      <c r="I34" s="103">
        <f>IFERROR(VLOOKUP($B34,MMWR_TRAD_AGG_STATE_COMP[],I$1,0),"ERROR")</f>
        <v>404</v>
      </c>
      <c r="J34" s="105">
        <f t="shared" si="1"/>
        <v>0.52604166666666663</v>
      </c>
      <c r="K34" s="102">
        <f>IFERROR(VLOOKUP($B34,MMWR_TRAD_AGG_STATE_COMP[],K$1,0),"ERROR")</f>
        <v>331</v>
      </c>
      <c r="L34" s="103">
        <f>IFERROR(VLOOKUP($B34,MMWR_TRAD_AGG_STATE_COMP[],L$1,0),"ERROR")</f>
        <v>156</v>
      </c>
      <c r="M34" s="105">
        <f t="shared" si="2"/>
        <v>0.47129909365558914</v>
      </c>
      <c r="N34" s="102">
        <f>IFERROR(VLOOKUP($B34,MMWR_TRAD_AGG_STATE_COMP[],N$1,0),"ERROR")</f>
        <v>146</v>
      </c>
      <c r="O34" s="103">
        <f>IFERROR(VLOOKUP($B34,MMWR_TRAD_AGG_STATE_COMP[],O$1,0),"ERROR")</f>
        <v>80</v>
      </c>
      <c r="P34" s="105">
        <f t="shared" si="3"/>
        <v>0.54794520547945202</v>
      </c>
      <c r="Q34" s="106">
        <f>IFERROR(VLOOKUP($B34,MMWR_TRAD_AGG_STATE_COMP[],Q$1,0),"ERROR")</f>
        <v>1</v>
      </c>
      <c r="R34" s="106">
        <f>IFERROR(VLOOKUP($B34,MMWR_TRAD_AGG_STATE_COMP[],R$1,0),"ERROR")</f>
        <v>1</v>
      </c>
      <c r="S34" s="106">
        <f>IFERROR(VLOOKUP($B34,MMWR_APP_STATE_COMP[],S$1,0),"ERROR")</f>
        <v>198</v>
      </c>
      <c r="T34" s="28"/>
    </row>
    <row r="35" spans="1:20" s="114" customFormat="1" x14ac:dyDescent="0.2">
      <c r="A35" s="98"/>
      <c r="B35" s="118" t="s">
        <v>392</v>
      </c>
      <c r="C35" s="100">
        <f>IFERROR(VLOOKUP($B35,MMWR_TRAD_AGG_STATE_COMP[],C$1,0),"ERROR")</f>
        <v>4191</v>
      </c>
      <c r="D35" s="101">
        <f>IFERROR(VLOOKUP($B35,MMWR_TRAD_AGG_STATE_COMP[],D$1,0),"ERROR")</f>
        <v>288.88117394419999</v>
      </c>
      <c r="E35" s="102">
        <f>IFERROR(VLOOKUP($B35,MMWR_TRAD_AGG_STATE_COMP[],E$1,0),"ERROR")</f>
        <v>3835</v>
      </c>
      <c r="F35" s="103">
        <f>IFERROR(VLOOKUP($B35,MMWR_TRAD_AGG_STATE_COMP[],F$1,0),"ERROR")</f>
        <v>762</v>
      </c>
      <c r="G35" s="104">
        <f t="shared" si="0"/>
        <v>0.1986962190352021</v>
      </c>
      <c r="H35" s="102">
        <f>IFERROR(VLOOKUP($B35,MMWR_TRAD_AGG_STATE_COMP[],H$1,0),"ERROR")</f>
        <v>6292</v>
      </c>
      <c r="I35" s="103">
        <f>IFERROR(VLOOKUP($B35,MMWR_TRAD_AGG_STATE_COMP[],I$1,0),"ERROR")</f>
        <v>3305</v>
      </c>
      <c r="J35" s="105">
        <f t="shared" si="1"/>
        <v>0.52527018436109341</v>
      </c>
      <c r="K35" s="102">
        <f>IFERROR(VLOOKUP($B35,MMWR_TRAD_AGG_STATE_COMP[],K$1,0),"ERROR")</f>
        <v>706</v>
      </c>
      <c r="L35" s="103">
        <f>IFERROR(VLOOKUP($B35,MMWR_TRAD_AGG_STATE_COMP[],L$1,0),"ERROR")</f>
        <v>468</v>
      </c>
      <c r="M35" s="105">
        <f t="shared" si="2"/>
        <v>0.66288951841359778</v>
      </c>
      <c r="N35" s="102">
        <f>IFERROR(VLOOKUP($B35,MMWR_TRAD_AGG_STATE_COMP[],N$1,0),"ERROR")</f>
        <v>914</v>
      </c>
      <c r="O35" s="103">
        <f>IFERROR(VLOOKUP($B35,MMWR_TRAD_AGG_STATE_COMP[],O$1,0),"ERROR")</f>
        <v>512</v>
      </c>
      <c r="P35" s="105">
        <f t="shared" si="3"/>
        <v>0.56017505470459517</v>
      </c>
      <c r="Q35" s="106">
        <f>IFERROR(VLOOKUP($B35,MMWR_TRAD_AGG_STATE_COMP[],Q$1,0),"ERROR")</f>
        <v>419</v>
      </c>
      <c r="R35" s="106">
        <f>IFERROR(VLOOKUP($B35,MMWR_TRAD_AGG_STATE_COMP[],R$1,0),"ERROR")</f>
        <v>6</v>
      </c>
      <c r="S35" s="106">
        <f>IFERROR(VLOOKUP($B35,MMWR_APP_STATE_COMP[],S$1,0),"ERROR")</f>
        <v>3405</v>
      </c>
      <c r="T35" s="28"/>
    </row>
    <row r="36" spans="1:20" s="114" customFormat="1" x14ac:dyDescent="0.2">
      <c r="A36" s="28"/>
      <c r="B36" s="117" t="s">
        <v>381</v>
      </c>
      <c r="C36" s="93">
        <f>IF(SUM(C37:C45)&lt;&gt;VLOOKUP($B36,MMWR_TRAD_AGG_ST_DISTRICT_COMP[],C$1,0),"ERROR",
VLOOKUP($B36,MMWR_TRAD_AGG_ST_DISTRICT_COMP[],C$1,0))</f>
        <v>59153</v>
      </c>
      <c r="D36" s="94">
        <f>IFERROR(VLOOKUP($B36,MMWR_TRAD_AGG_ST_DISTRICT_COMP[],D$1,0),"ERROR")</f>
        <v>375.11901340589998</v>
      </c>
      <c r="E36" s="93">
        <f>IFERROR(VLOOKUP($B36,MMWR_TRAD_AGG_ST_DISTRICT_COMP[],E$1,0),"ERROR")</f>
        <v>66613</v>
      </c>
      <c r="F36" s="93">
        <f>IFERROR(VLOOKUP($B36,MMWR_TRAD_AGG_ST_DISTRICT_COMP[],F$1,0),"ERROR")</f>
        <v>14344</v>
      </c>
      <c r="G36" s="95">
        <f t="shared" si="0"/>
        <v>0.21533334334138982</v>
      </c>
      <c r="H36" s="93">
        <f>IFERROR(VLOOKUP($B36,MMWR_TRAD_AGG_ST_DISTRICT_COMP[],H$1,0),"ERROR")</f>
        <v>82860</v>
      </c>
      <c r="I36" s="93">
        <f>IFERROR(VLOOKUP($B36,MMWR_TRAD_AGG_ST_DISTRICT_COMP[],I$1,0),"ERROR")</f>
        <v>53705</v>
      </c>
      <c r="J36" s="96">
        <f t="shared" si="1"/>
        <v>0.64814144339850355</v>
      </c>
      <c r="K36" s="93">
        <f>IFERROR(VLOOKUP($B36,MMWR_TRAD_AGG_ST_DISTRICT_COMP[],K$1,0),"ERROR")</f>
        <v>20837</v>
      </c>
      <c r="L36" s="93">
        <f>IFERROR(VLOOKUP($B36,MMWR_TRAD_AGG_ST_DISTRICT_COMP[],L$1,0),"ERROR")</f>
        <v>12710</v>
      </c>
      <c r="M36" s="96">
        <f t="shared" si="2"/>
        <v>0.60997264481451263</v>
      </c>
      <c r="N36" s="93">
        <f>IFERROR(VLOOKUP($B36,MMWR_TRAD_AGG_ST_DISTRICT_COMP[],N$1,0),"ERROR")</f>
        <v>25691</v>
      </c>
      <c r="O36" s="93">
        <f>IFERROR(VLOOKUP($B36,MMWR_TRAD_AGG_ST_DISTRICT_COMP[],O$1,0),"ERROR")</f>
        <v>14128</v>
      </c>
      <c r="P36" s="96">
        <f t="shared" si="3"/>
        <v>0.54992020551944265</v>
      </c>
      <c r="Q36" s="93">
        <f>IFERROR(VLOOKUP($B36,MMWR_TRAD_AGG_ST_DISTRICT_COMP[],Q$1,0),"ERROR")</f>
        <v>893</v>
      </c>
      <c r="R36" s="97">
        <f>IFERROR(VLOOKUP($B36,MMWR_TRAD_AGG_ST_DISTRICT_COMP[],R$1,0),"ERROR")</f>
        <v>1057</v>
      </c>
      <c r="S36" s="97">
        <f>SUM(S37:S45)</f>
        <v>69514</v>
      </c>
      <c r="T36" s="28"/>
    </row>
    <row r="37" spans="1:20" s="114" customFormat="1" x14ac:dyDescent="0.2">
      <c r="A37" s="28"/>
      <c r="B37" s="118" t="s">
        <v>407</v>
      </c>
      <c r="C37" s="100">
        <f>IFERROR(VLOOKUP($B37,MMWR_TRAD_AGG_STATE_COMP[],C$1,0),"ERROR")</f>
        <v>5037</v>
      </c>
      <c r="D37" s="101">
        <f>IFERROR(VLOOKUP($B37,MMWR_TRAD_AGG_STATE_COMP[],D$1,0),"ERROR")</f>
        <v>382.54993051420001</v>
      </c>
      <c r="E37" s="102">
        <f>IFERROR(VLOOKUP($B37,MMWR_TRAD_AGG_STATE_COMP[],E$1,0),"ERROR")</f>
        <v>3729</v>
      </c>
      <c r="F37" s="103">
        <f>IFERROR(VLOOKUP($B37,MMWR_TRAD_AGG_STATE_COMP[],F$1,0),"ERROR")</f>
        <v>636</v>
      </c>
      <c r="G37" s="104">
        <f t="shared" si="0"/>
        <v>0.17055510860820594</v>
      </c>
      <c r="H37" s="102">
        <f>IFERROR(VLOOKUP($B37,MMWR_TRAD_AGG_STATE_COMP[],H$1,0),"ERROR")</f>
        <v>6622</v>
      </c>
      <c r="I37" s="103">
        <f>IFERROR(VLOOKUP($B37,MMWR_TRAD_AGG_STATE_COMP[],I$1,0),"ERROR")</f>
        <v>4629</v>
      </c>
      <c r="J37" s="105">
        <f t="shared" si="1"/>
        <v>0.69903352461491997</v>
      </c>
      <c r="K37" s="102">
        <f>IFERROR(VLOOKUP($B37,MMWR_TRAD_AGG_STATE_COMP[],K$1,0),"ERROR")</f>
        <v>1976</v>
      </c>
      <c r="L37" s="103">
        <f>IFERROR(VLOOKUP($B37,MMWR_TRAD_AGG_STATE_COMP[],L$1,0),"ERROR")</f>
        <v>1518</v>
      </c>
      <c r="M37" s="105">
        <f t="shared" si="2"/>
        <v>0.76821862348178138</v>
      </c>
      <c r="N37" s="102">
        <f>IFERROR(VLOOKUP($B37,MMWR_TRAD_AGG_STATE_COMP[],N$1,0),"ERROR")</f>
        <v>2143</v>
      </c>
      <c r="O37" s="103">
        <f>IFERROR(VLOOKUP($B37,MMWR_TRAD_AGG_STATE_COMP[],O$1,0),"ERROR")</f>
        <v>1162</v>
      </c>
      <c r="P37" s="105">
        <f t="shared" si="3"/>
        <v>0.54223051796546895</v>
      </c>
      <c r="Q37" s="106">
        <f>IFERROR(VLOOKUP($B37,MMWR_TRAD_AGG_STATE_COMP[],Q$1,0),"ERROR")</f>
        <v>288</v>
      </c>
      <c r="R37" s="106">
        <f>IFERROR(VLOOKUP($B37,MMWR_TRAD_AGG_STATE_COMP[],R$1,0),"ERROR")</f>
        <v>117</v>
      </c>
      <c r="S37" s="106">
        <f>IFERROR(VLOOKUP($B37,MMWR_APP_STATE_COMP[],S$1,0),"ERROR")</f>
        <v>5340</v>
      </c>
      <c r="T37" s="28"/>
    </row>
    <row r="38" spans="1:20" s="114" customFormat="1" x14ac:dyDescent="0.2">
      <c r="A38" s="28"/>
      <c r="B38" s="118" t="s">
        <v>399</v>
      </c>
      <c r="C38" s="100">
        <f>IFERROR(VLOOKUP($B38,MMWR_TRAD_AGG_STATE_COMP[],C$1,0),"ERROR")</f>
        <v>7019</v>
      </c>
      <c r="D38" s="101">
        <f>IFERROR(VLOOKUP($B38,MMWR_TRAD_AGG_STATE_COMP[],D$1,0),"ERROR")</f>
        <v>417.8628009688</v>
      </c>
      <c r="E38" s="102">
        <f>IFERROR(VLOOKUP($B38,MMWR_TRAD_AGG_STATE_COMP[],E$1,0),"ERROR")</f>
        <v>7399</v>
      </c>
      <c r="F38" s="103">
        <f>IFERROR(VLOOKUP($B38,MMWR_TRAD_AGG_STATE_COMP[],F$1,0),"ERROR")</f>
        <v>1698</v>
      </c>
      <c r="G38" s="104">
        <f t="shared" ref="G38:G64" si="4">IFERROR(F38/E38,"0%")</f>
        <v>0.22949047168536288</v>
      </c>
      <c r="H38" s="102">
        <f>IFERROR(VLOOKUP($B38,MMWR_TRAD_AGG_STATE_COMP[],H$1,0),"ERROR")</f>
        <v>10502</v>
      </c>
      <c r="I38" s="103">
        <f>IFERROR(VLOOKUP($B38,MMWR_TRAD_AGG_STATE_COMP[],I$1,0),"ERROR")</f>
        <v>6772</v>
      </c>
      <c r="J38" s="105">
        <f t="shared" ref="J38:J64" si="5">IFERROR(I38/H38,"0%")</f>
        <v>0.64482955627499527</v>
      </c>
      <c r="K38" s="102">
        <f>IFERROR(VLOOKUP($B38,MMWR_TRAD_AGG_STATE_COMP[],K$1,0),"ERROR")</f>
        <v>3327</v>
      </c>
      <c r="L38" s="103">
        <f>IFERROR(VLOOKUP($B38,MMWR_TRAD_AGG_STATE_COMP[],L$1,0),"ERROR")</f>
        <v>2314</v>
      </c>
      <c r="M38" s="105">
        <f t="shared" ref="M38:M64" si="6">IFERROR(L38/K38,"0%")</f>
        <v>0.69552149083258186</v>
      </c>
      <c r="N38" s="102">
        <f>IFERROR(VLOOKUP($B38,MMWR_TRAD_AGG_STATE_COMP[],N$1,0),"ERROR")</f>
        <v>1594</v>
      </c>
      <c r="O38" s="103">
        <f>IFERROR(VLOOKUP($B38,MMWR_TRAD_AGG_STATE_COMP[],O$1,0),"ERROR")</f>
        <v>904</v>
      </c>
      <c r="P38" s="105">
        <f t="shared" ref="P38:P64" si="7">IFERROR(O38/N38,"0%")</f>
        <v>0.56712672521957341</v>
      </c>
      <c r="Q38" s="106">
        <f>IFERROR(VLOOKUP($B38,MMWR_TRAD_AGG_STATE_COMP[],Q$1,0),"ERROR")</f>
        <v>15</v>
      </c>
      <c r="R38" s="106">
        <f>IFERROR(VLOOKUP($B38,MMWR_TRAD_AGG_STATE_COMP[],R$1,0),"ERROR")</f>
        <v>59</v>
      </c>
      <c r="S38" s="106">
        <f>IFERROR(VLOOKUP($B38,MMWR_APP_STATE_COMP[],S$1,0),"ERROR")</f>
        <v>6413</v>
      </c>
      <c r="T38" s="28"/>
    </row>
    <row r="39" spans="1:20" s="114" customFormat="1" x14ac:dyDescent="0.2">
      <c r="A39" s="28"/>
      <c r="B39" s="118" t="s">
        <v>383</v>
      </c>
      <c r="C39" s="100">
        <f>IFERROR(VLOOKUP($B39,MMWR_TRAD_AGG_STATE_COMP[],C$1,0),"ERROR")</f>
        <v>5545</v>
      </c>
      <c r="D39" s="101">
        <f>IFERROR(VLOOKUP($B39,MMWR_TRAD_AGG_STATE_COMP[],D$1,0),"ERROR")</f>
        <v>444.31505861139999</v>
      </c>
      <c r="E39" s="102">
        <f>IFERROR(VLOOKUP($B39,MMWR_TRAD_AGG_STATE_COMP[],E$1,0),"ERROR")</f>
        <v>5901</v>
      </c>
      <c r="F39" s="103">
        <f>IFERROR(VLOOKUP($B39,MMWR_TRAD_AGG_STATE_COMP[],F$1,0),"ERROR")</f>
        <v>1365</v>
      </c>
      <c r="G39" s="104">
        <f t="shared" si="4"/>
        <v>0.23131672597864769</v>
      </c>
      <c r="H39" s="102">
        <f>IFERROR(VLOOKUP($B39,MMWR_TRAD_AGG_STATE_COMP[],H$1,0),"ERROR")</f>
        <v>7995</v>
      </c>
      <c r="I39" s="103">
        <f>IFERROR(VLOOKUP($B39,MMWR_TRAD_AGG_STATE_COMP[],I$1,0),"ERROR")</f>
        <v>5385</v>
      </c>
      <c r="J39" s="105">
        <f t="shared" si="5"/>
        <v>0.67354596622889307</v>
      </c>
      <c r="K39" s="102">
        <f>IFERROR(VLOOKUP($B39,MMWR_TRAD_AGG_STATE_COMP[],K$1,0),"ERROR")</f>
        <v>1854</v>
      </c>
      <c r="L39" s="103">
        <f>IFERROR(VLOOKUP($B39,MMWR_TRAD_AGG_STATE_COMP[],L$1,0),"ERROR")</f>
        <v>1280</v>
      </c>
      <c r="M39" s="105">
        <f t="shared" si="6"/>
        <v>0.6903991370010788</v>
      </c>
      <c r="N39" s="102">
        <f>IFERROR(VLOOKUP($B39,MMWR_TRAD_AGG_STATE_COMP[],N$1,0),"ERROR")</f>
        <v>2170</v>
      </c>
      <c r="O39" s="103">
        <f>IFERROR(VLOOKUP($B39,MMWR_TRAD_AGG_STATE_COMP[],O$1,0),"ERROR")</f>
        <v>1302</v>
      </c>
      <c r="P39" s="105">
        <f t="shared" si="7"/>
        <v>0.6</v>
      </c>
      <c r="Q39" s="106">
        <f>IFERROR(VLOOKUP($B39,MMWR_TRAD_AGG_STATE_COMP[],Q$1,0),"ERROR")</f>
        <v>255</v>
      </c>
      <c r="R39" s="106">
        <f>IFERROR(VLOOKUP($B39,MMWR_TRAD_AGG_STATE_COMP[],R$1,0),"ERROR")</f>
        <v>248</v>
      </c>
      <c r="S39" s="106">
        <f>IFERROR(VLOOKUP($B39,MMWR_APP_STATE_COMP[],S$1,0),"ERROR")</f>
        <v>5877</v>
      </c>
      <c r="T39" s="28"/>
    </row>
    <row r="40" spans="1:20" s="114" customFormat="1" x14ac:dyDescent="0.2">
      <c r="A40" s="28"/>
      <c r="B40" s="118" t="s">
        <v>385</v>
      </c>
      <c r="C40" s="100">
        <f>IFERROR(VLOOKUP($B40,MMWR_TRAD_AGG_STATE_COMP[],C$1,0),"ERROR")</f>
        <v>4887</v>
      </c>
      <c r="D40" s="101">
        <f>IFERROR(VLOOKUP($B40,MMWR_TRAD_AGG_STATE_COMP[],D$1,0),"ERROR")</f>
        <v>408.33537957850001</v>
      </c>
      <c r="E40" s="102">
        <f>IFERROR(VLOOKUP($B40,MMWR_TRAD_AGG_STATE_COMP[],E$1,0),"ERROR")</f>
        <v>4423</v>
      </c>
      <c r="F40" s="103">
        <f>IFERROR(VLOOKUP($B40,MMWR_TRAD_AGG_STATE_COMP[],F$1,0),"ERROR")</f>
        <v>1307</v>
      </c>
      <c r="G40" s="104">
        <f t="shared" si="4"/>
        <v>0.29550079131810986</v>
      </c>
      <c r="H40" s="102">
        <f>IFERROR(VLOOKUP($B40,MMWR_TRAD_AGG_STATE_COMP[],H$1,0),"ERROR")</f>
        <v>7192</v>
      </c>
      <c r="I40" s="103">
        <f>IFERROR(VLOOKUP($B40,MMWR_TRAD_AGG_STATE_COMP[],I$1,0),"ERROR")</f>
        <v>5040</v>
      </c>
      <c r="J40" s="105">
        <f t="shared" si="5"/>
        <v>0.7007786429365962</v>
      </c>
      <c r="K40" s="102">
        <f>IFERROR(VLOOKUP($B40,MMWR_TRAD_AGG_STATE_COMP[],K$1,0),"ERROR")</f>
        <v>1434</v>
      </c>
      <c r="L40" s="103">
        <f>IFERROR(VLOOKUP($B40,MMWR_TRAD_AGG_STATE_COMP[],L$1,0),"ERROR")</f>
        <v>1021</v>
      </c>
      <c r="M40" s="105">
        <f t="shared" si="6"/>
        <v>0.71199442119944212</v>
      </c>
      <c r="N40" s="102">
        <f>IFERROR(VLOOKUP($B40,MMWR_TRAD_AGG_STATE_COMP[],N$1,0),"ERROR")</f>
        <v>2848</v>
      </c>
      <c r="O40" s="103">
        <f>IFERROR(VLOOKUP($B40,MMWR_TRAD_AGG_STATE_COMP[],O$1,0),"ERROR")</f>
        <v>2093</v>
      </c>
      <c r="P40" s="105">
        <f t="shared" si="7"/>
        <v>0.7349016853932584</v>
      </c>
      <c r="Q40" s="106">
        <f>IFERROR(VLOOKUP($B40,MMWR_TRAD_AGG_STATE_COMP[],Q$1,0),"ERROR")</f>
        <v>291</v>
      </c>
      <c r="R40" s="106">
        <f>IFERROR(VLOOKUP($B40,MMWR_TRAD_AGG_STATE_COMP[],R$1,0),"ERROR")</f>
        <v>152</v>
      </c>
      <c r="S40" s="106">
        <f>IFERROR(VLOOKUP($B40,MMWR_APP_STATE_COMP[],S$1,0),"ERROR")</f>
        <v>4880</v>
      </c>
      <c r="T40" s="28"/>
    </row>
    <row r="41" spans="1:20" s="114" customFormat="1" x14ac:dyDescent="0.2">
      <c r="A41" s="28"/>
      <c r="B41" s="118" t="s">
        <v>414</v>
      </c>
      <c r="C41" s="100">
        <f>IFERROR(VLOOKUP($B41,MMWR_TRAD_AGG_STATE_COMP[],C$1,0),"ERROR")</f>
        <v>886</v>
      </c>
      <c r="D41" s="101">
        <f>IFERROR(VLOOKUP($B41,MMWR_TRAD_AGG_STATE_COMP[],D$1,0),"ERROR")</f>
        <v>264.22686230250002</v>
      </c>
      <c r="E41" s="102">
        <f>IFERROR(VLOOKUP($B41,MMWR_TRAD_AGG_STATE_COMP[],E$1,0),"ERROR")</f>
        <v>718</v>
      </c>
      <c r="F41" s="103">
        <f>IFERROR(VLOOKUP($B41,MMWR_TRAD_AGG_STATE_COMP[],F$1,0),"ERROR")</f>
        <v>65</v>
      </c>
      <c r="G41" s="104">
        <f t="shared" si="4"/>
        <v>9.0529247910863503E-2</v>
      </c>
      <c r="H41" s="102">
        <f>IFERROR(VLOOKUP($B41,MMWR_TRAD_AGG_STATE_COMP[],H$1,0),"ERROR")</f>
        <v>1363</v>
      </c>
      <c r="I41" s="103">
        <f>IFERROR(VLOOKUP($B41,MMWR_TRAD_AGG_STATE_COMP[],I$1,0),"ERROR")</f>
        <v>706</v>
      </c>
      <c r="J41" s="105">
        <f t="shared" si="5"/>
        <v>0.51797505502567864</v>
      </c>
      <c r="K41" s="102">
        <f>IFERROR(VLOOKUP($B41,MMWR_TRAD_AGG_STATE_COMP[],K$1,0),"ERROR")</f>
        <v>509</v>
      </c>
      <c r="L41" s="103">
        <f>IFERROR(VLOOKUP($B41,MMWR_TRAD_AGG_STATE_COMP[],L$1,0),"ERROR")</f>
        <v>241</v>
      </c>
      <c r="M41" s="105">
        <f t="shared" si="6"/>
        <v>0.47347740667976423</v>
      </c>
      <c r="N41" s="102">
        <f>IFERROR(VLOOKUP($B41,MMWR_TRAD_AGG_STATE_COMP[],N$1,0),"ERROR")</f>
        <v>329</v>
      </c>
      <c r="O41" s="103">
        <f>IFERROR(VLOOKUP($B41,MMWR_TRAD_AGG_STATE_COMP[],O$1,0),"ERROR")</f>
        <v>150</v>
      </c>
      <c r="P41" s="105">
        <f t="shared" si="7"/>
        <v>0.45592705167173253</v>
      </c>
      <c r="Q41" s="106">
        <f>IFERROR(VLOOKUP($B41,MMWR_TRAD_AGG_STATE_COMP[],Q$1,0),"ERROR")</f>
        <v>2</v>
      </c>
      <c r="R41" s="106">
        <f>IFERROR(VLOOKUP($B41,MMWR_TRAD_AGG_STATE_COMP[],R$1,0),"ERROR")</f>
        <v>7</v>
      </c>
      <c r="S41" s="106">
        <f>IFERROR(VLOOKUP($B41,MMWR_APP_STATE_COMP[],S$1,0),"ERROR")</f>
        <v>417</v>
      </c>
      <c r="T41" s="28"/>
    </row>
    <row r="42" spans="1:20" s="114" customFormat="1" x14ac:dyDescent="0.2">
      <c r="A42" s="28"/>
      <c r="B42" s="118" t="s">
        <v>408</v>
      </c>
      <c r="C42" s="100">
        <f>IFERROR(VLOOKUP($B42,MMWR_TRAD_AGG_STATE_COMP[],C$1,0),"ERROR")</f>
        <v>3060</v>
      </c>
      <c r="D42" s="101">
        <f>IFERROR(VLOOKUP($B42,MMWR_TRAD_AGG_STATE_COMP[],D$1,0),"ERROR")</f>
        <v>340.31274509799999</v>
      </c>
      <c r="E42" s="102">
        <f>IFERROR(VLOOKUP($B42,MMWR_TRAD_AGG_STATE_COMP[],E$1,0),"ERROR")</f>
        <v>6398</v>
      </c>
      <c r="F42" s="103">
        <f>IFERROR(VLOOKUP($B42,MMWR_TRAD_AGG_STATE_COMP[],F$1,0),"ERROR")</f>
        <v>947</v>
      </c>
      <c r="G42" s="104">
        <f t="shared" si="4"/>
        <v>0.14801500468896531</v>
      </c>
      <c r="H42" s="102">
        <f>IFERROR(VLOOKUP($B42,MMWR_TRAD_AGG_STATE_COMP[],H$1,0),"ERROR")</f>
        <v>4594</v>
      </c>
      <c r="I42" s="103">
        <f>IFERROR(VLOOKUP($B42,MMWR_TRAD_AGG_STATE_COMP[],I$1,0),"ERROR")</f>
        <v>2377</v>
      </c>
      <c r="J42" s="105">
        <f t="shared" si="5"/>
        <v>0.51741401828471922</v>
      </c>
      <c r="K42" s="102">
        <f>IFERROR(VLOOKUP($B42,MMWR_TRAD_AGG_STATE_COMP[],K$1,0),"ERROR")</f>
        <v>1545</v>
      </c>
      <c r="L42" s="103">
        <f>IFERROR(VLOOKUP($B42,MMWR_TRAD_AGG_STATE_COMP[],L$1,0),"ERROR")</f>
        <v>708</v>
      </c>
      <c r="M42" s="105">
        <f t="shared" si="6"/>
        <v>0.45825242718446602</v>
      </c>
      <c r="N42" s="102">
        <f>IFERROR(VLOOKUP($B42,MMWR_TRAD_AGG_STATE_COMP[],N$1,0),"ERROR")</f>
        <v>2473</v>
      </c>
      <c r="O42" s="103">
        <f>IFERROR(VLOOKUP($B42,MMWR_TRAD_AGG_STATE_COMP[],O$1,0),"ERROR")</f>
        <v>1138</v>
      </c>
      <c r="P42" s="105">
        <f t="shared" si="7"/>
        <v>0.46016983420946217</v>
      </c>
      <c r="Q42" s="106">
        <f>IFERROR(VLOOKUP($B42,MMWR_TRAD_AGG_STATE_COMP[],Q$1,0),"ERROR")</f>
        <v>7</v>
      </c>
      <c r="R42" s="106">
        <f>IFERROR(VLOOKUP($B42,MMWR_TRAD_AGG_STATE_COMP[],R$1,0),"ERROR")</f>
        <v>67</v>
      </c>
      <c r="S42" s="106">
        <f>IFERROR(VLOOKUP($B42,MMWR_APP_STATE_COMP[],S$1,0),"ERROR")</f>
        <v>4830</v>
      </c>
      <c r="T42" s="28"/>
    </row>
    <row r="43" spans="1:20" s="114" customFormat="1" x14ac:dyDescent="0.2">
      <c r="A43" s="28"/>
      <c r="B43" s="118" t="s">
        <v>406</v>
      </c>
      <c r="C43" s="100">
        <f>IFERROR(VLOOKUP($B43,MMWR_TRAD_AGG_STATE_COMP[],C$1,0),"ERROR")</f>
        <v>30229</v>
      </c>
      <c r="D43" s="101">
        <f>IFERROR(VLOOKUP($B43,MMWR_TRAD_AGG_STATE_COMP[],D$1,0),"ERROR")</f>
        <v>358.2684839062</v>
      </c>
      <c r="E43" s="102">
        <f>IFERROR(VLOOKUP($B43,MMWR_TRAD_AGG_STATE_COMP[],E$1,0),"ERROR")</f>
        <v>35072</v>
      </c>
      <c r="F43" s="103">
        <f>IFERROR(VLOOKUP($B43,MMWR_TRAD_AGG_STATE_COMP[],F$1,0),"ERROR")</f>
        <v>7687</v>
      </c>
      <c r="G43" s="104">
        <f t="shared" si="4"/>
        <v>0.21917769160583941</v>
      </c>
      <c r="H43" s="102">
        <f>IFERROR(VLOOKUP($B43,MMWR_TRAD_AGG_STATE_COMP[],H$1,0),"ERROR")</f>
        <v>41047</v>
      </c>
      <c r="I43" s="103">
        <f>IFERROR(VLOOKUP($B43,MMWR_TRAD_AGG_STATE_COMP[],I$1,0),"ERROR")</f>
        <v>26652</v>
      </c>
      <c r="J43" s="105">
        <f t="shared" si="5"/>
        <v>0.64930445586766394</v>
      </c>
      <c r="K43" s="102">
        <f>IFERROR(VLOOKUP($B43,MMWR_TRAD_AGG_STATE_COMP[],K$1,0),"ERROR")</f>
        <v>9343</v>
      </c>
      <c r="L43" s="103">
        <f>IFERROR(VLOOKUP($B43,MMWR_TRAD_AGG_STATE_COMP[],L$1,0),"ERROR")</f>
        <v>5188</v>
      </c>
      <c r="M43" s="105">
        <f t="shared" si="6"/>
        <v>0.55528202932676873</v>
      </c>
      <c r="N43" s="102">
        <f>IFERROR(VLOOKUP($B43,MMWR_TRAD_AGG_STATE_COMP[],N$1,0),"ERROR")</f>
        <v>13572</v>
      </c>
      <c r="O43" s="103">
        <f>IFERROR(VLOOKUP($B43,MMWR_TRAD_AGG_STATE_COMP[],O$1,0),"ERROR")</f>
        <v>7123</v>
      </c>
      <c r="P43" s="105">
        <f t="shared" si="7"/>
        <v>0.5248305334512231</v>
      </c>
      <c r="Q43" s="106">
        <f>IFERROR(VLOOKUP($B43,MMWR_TRAD_AGG_STATE_COMP[],Q$1,0),"ERROR")</f>
        <v>32</v>
      </c>
      <c r="R43" s="106">
        <f>IFERROR(VLOOKUP($B43,MMWR_TRAD_AGG_STATE_COMP[],R$1,0),"ERROR")</f>
        <v>404</v>
      </c>
      <c r="S43" s="106">
        <f>IFERROR(VLOOKUP($B43,MMWR_APP_STATE_COMP[],S$1,0),"ERROR")</f>
        <v>40871</v>
      </c>
      <c r="T43" s="28"/>
    </row>
    <row r="44" spans="1:20" s="114" customFormat="1" x14ac:dyDescent="0.2">
      <c r="A44" s="28"/>
      <c r="B44" s="118" t="s">
        <v>402</v>
      </c>
      <c r="C44" s="100">
        <f>IFERROR(VLOOKUP($B44,MMWR_TRAD_AGG_STATE_COMP[],C$1,0),"ERROR")</f>
        <v>2019</v>
      </c>
      <c r="D44" s="101">
        <f>IFERROR(VLOOKUP($B44,MMWR_TRAD_AGG_STATE_COMP[],D$1,0),"ERROR")</f>
        <v>300.67756315010001</v>
      </c>
      <c r="E44" s="102">
        <f>IFERROR(VLOOKUP($B44,MMWR_TRAD_AGG_STATE_COMP[],E$1,0),"ERROR")</f>
        <v>2125</v>
      </c>
      <c r="F44" s="103">
        <f>IFERROR(VLOOKUP($B44,MMWR_TRAD_AGG_STATE_COMP[],F$1,0),"ERROR")</f>
        <v>529</v>
      </c>
      <c r="G44" s="104">
        <f t="shared" si="4"/>
        <v>0.24894117647058825</v>
      </c>
      <c r="H44" s="102">
        <f>IFERROR(VLOOKUP($B44,MMWR_TRAD_AGG_STATE_COMP[],H$1,0),"ERROR")</f>
        <v>2716</v>
      </c>
      <c r="I44" s="103">
        <f>IFERROR(VLOOKUP($B44,MMWR_TRAD_AGG_STATE_COMP[],I$1,0),"ERROR")</f>
        <v>1681</v>
      </c>
      <c r="J44" s="105">
        <f t="shared" si="5"/>
        <v>0.61892488954344627</v>
      </c>
      <c r="K44" s="102">
        <f>IFERROR(VLOOKUP($B44,MMWR_TRAD_AGG_STATE_COMP[],K$1,0),"ERROR")</f>
        <v>669</v>
      </c>
      <c r="L44" s="103">
        <f>IFERROR(VLOOKUP($B44,MMWR_TRAD_AGG_STATE_COMP[],L$1,0),"ERROR")</f>
        <v>346</v>
      </c>
      <c r="M44" s="105">
        <f t="shared" si="6"/>
        <v>0.51718983557548581</v>
      </c>
      <c r="N44" s="102">
        <f>IFERROR(VLOOKUP($B44,MMWR_TRAD_AGG_STATE_COMP[],N$1,0),"ERROR")</f>
        <v>396</v>
      </c>
      <c r="O44" s="103">
        <f>IFERROR(VLOOKUP($B44,MMWR_TRAD_AGG_STATE_COMP[],O$1,0),"ERROR")</f>
        <v>175</v>
      </c>
      <c r="P44" s="105">
        <f t="shared" si="7"/>
        <v>0.44191919191919193</v>
      </c>
      <c r="Q44" s="106">
        <f>IFERROR(VLOOKUP($B44,MMWR_TRAD_AGG_STATE_COMP[],Q$1,0),"ERROR")</f>
        <v>1</v>
      </c>
      <c r="R44" s="106">
        <f>IFERROR(VLOOKUP($B44,MMWR_TRAD_AGG_STATE_COMP[],R$1,0),"ERROR")</f>
        <v>1</v>
      </c>
      <c r="S44" s="106">
        <f>IFERROR(VLOOKUP($B44,MMWR_APP_STATE_COMP[],S$1,0),"ERROR")</f>
        <v>541</v>
      </c>
      <c r="T44" s="28"/>
    </row>
    <row r="45" spans="1:20" s="114" customFormat="1" x14ac:dyDescent="0.2">
      <c r="A45" s="28"/>
      <c r="B45" s="118" t="s">
        <v>417</v>
      </c>
      <c r="C45" s="100">
        <f>IFERROR(VLOOKUP($B45,MMWR_TRAD_AGG_STATE_COMP[],C$1,0),"ERROR")</f>
        <v>471</v>
      </c>
      <c r="D45" s="101">
        <f>IFERROR(VLOOKUP($B45,MMWR_TRAD_AGG_STATE_COMP[],D$1,0),"ERROR")</f>
        <v>334.69639065820002</v>
      </c>
      <c r="E45" s="102">
        <f>IFERROR(VLOOKUP($B45,MMWR_TRAD_AGG_STATE_COMP[],E$1,0),"ERROR")</f>
        <v>848</v>
      </c>
      <c r="F45" s="103">
        <f>IFERROR(VLOOKUP($B45,MMWR_TRAD_AGG_STATE_COMP[],F$1,0),"ERROR")</f>
        <v>110</v>
      </c>
      <c r="G45" s="104">
        <f t="shared" si="4"/>
        <v>0.12971698113207547</v>
      </c>
      <c r="H45" s="102">
        <f>IFERROR(VLOOKUP($B45,MMWR_TRAD_AGG_STATE_COMP[],H$1,0),"ERROR")</f>
        <v>829</v>
      </c>
      <c r="I45" s="103">
        <f>IFERROR(VLOOKUP($B45,MMWR_TRAD_AGG_STATE_COMP[],I$1,0),"ERROR")</f>
        <v>463</v>
      </c>
      <c r="J45" s="105">
        <f t="shared" si="5"/>
        <v>0.55850422195416161</v>
      </c>
      <c r="K45" s="102">
        <f>IFERROR(VLOOKUP($B45,MMWR_TRAD_AGG_STATE_COMP[],K$1,0),"ERROR")</f>
        <v>180</v>
      </c>
      <c r="L45" s="103">
        <f>IFERROR(VLOOKUP($B45,MMWR_TRAD_AGG_STATE_COMP[],L$1,0),"ERROR")</f>
        <v>94</v>
      </c>
      <c r="M45" s="105">
        <f t="shared" si="6"/>
        <v>0.52222222222222225</v>
      </c>
      <c r="N45" s="102">
        <f>IFERROR(VLOOKUP($B45,MMWR_TRAD_AGG_STATE_COMP[],N$1,0),"ERROR")</f>
        <v>166</v>
      </c>
      <c r="O45" s="103">
        <f>IFERROR(VLOOKUP($B45,MMWR_TRAD_AGG_STATE_COMP[],O$1,0),"ERROR")</f>
        <v>81</v>
      </c>
      <c r="P45" s="105">
        <f t="shared" si="7"/>
        <v>0.48795180722891568</v>
      </c>
      <c r="Q45" s="106">
        <f>IFERROR(VLOOKUP($B45,MMWR_TRAD_AGG_STATE_COMP[],Q$1,0),"ERROR")</f>
        <v>2</v>
      </c>
      <c r="R45" s="106">
        <f>IFERROR(VLOOKUP($B45,MMWR_TRAD_AGG_STATE_COMP[],R$1,0),"ERROR")</f>
        <v>2</v>
      </c>
      <c r="S45" s="106">
        <f>IFERROR(VLOOKUP($B45,MMWR_APP_STATE_COMP[],S$1,0),"ERROR")</f>
        <v>345</v>
      </c>
      <c r="T45" s="28"/>
    </row>
    <row r="46" spans="1:20" s="114" customFormat="1" x14ac:dyDescent="0.2">
      <c r="A46" s="28"/>
      <c r="B46" s="117" t="s">
        <v>400</v>
      </c>
      <c r="C46" s="93">
        <f>IFERROR(VLOOKUP($B46,MMWR_TRAD_AGG_ST_DISTRICT_COMP[],C$1,0),"ERROR")</f>
        <v>63809</v>
      </c>
      <c r="D46" s="94">
        <f>IFERROR(VLOOKUP($B46,MMWR_TRAD_AGG_ST_DISTRICT_COMP[],D$1,0),"ERROR")</f>
        <v>401.34383864350002</v>
      </c>
      <c r="E46" s="93">
        <f>IFERROR(VLOOKUP($B46,MMWR_TRAD_AGG_ST_DISTRICT_COMP[],E$1,0),"ERROR")</f>
        <v>59464</v>
      </c>
      <c r="F46" s="93">
        <f>IFERROR(VLOOKUP($B46,MMWR_TRAD_AGG_ST_DISTRICT_COMP[],F$1,0),"ERROR")</f>
        <v>12619</v>
      </c>
      <c r="G46" s="95">
        <f t="shared" si="4"/>
        <v>0.21221243105071977</v>
      </c>
      <c r="H46" s="93">
        <f>IFERROR(VLOOKUP($B46,MMWR_TRAD_AGG_ST_DISTRICT_COMP[],H$1,0),"ERROR")</f>
        <v>92280</v>
      </c>
      <c r="I46" s="93">
        <f>IFERROR(VLOOKUP($B46,MMWR_TRAD_AGG_ST_DISTRICT_COMP[],I$1,0),"ERROR")</f>
        <v>63258</v>
      </c>
      <c r="J46" s="96">
        <f t="shared" si="5"/>
        <v>0.68550065019505857</v>
      </c>
      <c r="K46" s="93">
        <f>IFERROR(VLOOKUP($B46,MMWR_TRAD_AGG_ST_DISTRICT_COMP[],K$1,0),"ERROR")</f>
        <v>23269</v>
      </c>
      <c r="L46" s="93">
        <f>IFERROR(VLOOKUP($B46,MMWR_TRAD_AGG_ST_DISTRICT_COMP[],L$1,0),"ERROR")</f>
        <v>16180</v>
      </c>
      <c r="M46" s="96">
        <f t="shared" si="6"/>
        <v>0.69534573896600627</v>
      </c>
      <c r="N46" s="93">
        <f>IFERROR(VLOOKUP($B46,MMWR_TRAD_AGG_ST_DISTRICT_COMP[],N$1,0),"ERROR")</f>
        <v>31745</v>
      </c>
      <c r="O46" s="93">
        <f>IFERROR(VLOOKUP($B46,MMWR_TRAD_AGG_ST_DISTRICT_COMP[],O$1,0),"ERROR")</f>
        <v>20085</v>
      </c>
      <c r="P46" s="96">
        <f t="shared" si="7"/>
        <v>0.63269806268703732</v>
      </c>
      <c r="Q46" s="93">
        <f>IFERROR(VLOOKUP($B46,MMWR_TRAD_AGG_ST_DISTRICT_COMP[],Q$1,0),"ERROR")</f>
        <v>97</v>
      </c>
      <c r="R46" s="97">
        <f>IFERROR(VLOOKUP($B46,MMWR_TRAD_AGG_ST_DISTRICT_COMP[],R$1,0),"ERROR")</f>
        <v>560</v>
      </c>
      <c r="S46" s="97">
        <f>SUM(S47:S55)</f>
        <v>44202</v>
      </c>
      <c r="T46" s="28"/>
    </row>
    <row r="47" spans="1:20" s="114" customFormat="1" x14ac:dyDescent="0.2">
      <c r="A47" s="28"/>
      <c r="B47" s="118" t="s">
        <v>420</v>
      </c>
      <c r="C47" s="100">
        <f>IFERROR(VLOOKUP($B47,MMWR_TRAD_AGG_STATE_COMP[],C$1,0),"ERROR")</f>
        <v>1972</v>
      </c>
      <c r="D47" s="101">
        <f>IFERROR(VLOOKUP($B47,MMWR_TRAD_AGG_STATE_COMP[],D$1,0),"ERROR")</f>
        <v>444.44726166330003</v>
      </c>
      <c r="E47" s="102">
        <f>IFERROR(VLOOKUP($B47,MMWR_TRAD_AGG_STATE_COMP[],E$1,0),"ERROR")</f>
        <v>1221</v>
      </c>
      <c r="F47" s="103">
        <f>IFERROR(VLOOKUP($B47,MMWR_TRAD_AGG_STATE_COMP[],F$1,0),"ERROR")</f>
        <v>296</v>
      </c>
      <c r="G47" s="104">
        <f t="shared" si="4"/>
        <v>0.24242424242424243</v>
      </c>
      <c r="H47" s="102">
        <f>IFERROR(VLOOKUP($B47,MMWR_TRAD_AGG_STATE_COMP[],H$1,0),"ERROR")</f>
        <v>2870</v>
      </c>
      <c r="I47" s="103">
        <f>IFERROR(VLOOKUP($B47,MMWR_TRAD_AGG_STATE_COMP[],I$1,0),"ERROR")</f>
        <v>1992</v>
      </c>
      <c r="J47" s="105">
        <f t="shared" si="5"/>
        <v>0.69407665505226479</v>
      </c>
      <c r="K47" s="102">
        <f>IFERROR(VLOOKUP($B47,MMWR_TRAD_AGG_STATE_COMP[],K$1,0),"ERROR")</f>
        <v>1891</v>
      </c>
      <c r="L47" s="103">
        <f>IFERROR(VLOOKUP($B47,MMWR_TRAD_AGG_STATE_COMP[],L$1,0),"ERROR")</f>
        <v>1551</v>
      </c>
      <c r="M47" s="105">
        <f t="shared" si="6"/>
        <v>0.82020095187731357</v>
      </c>
      <c r="N47" s="102">
        <f>IFERROR(VLOOKUP($B47,MMWR_TRAD_AGG_STATE_COMP[],N$1,0),"ERROR")</f>
        <v>633</v>
      </c>
      <c r="O47" s="103">
        <f>IFERROR(VLOOKUP($B47,MMWR_TRAD_AGG_STATE_COMP[],O$1,0),"ERROR")</f>
        <v>335</v>
      </c>
      <c r="P47" s="105">
        <f t="shared" si="7"/>
        <v>0.52922590837282779</v>
      </c>
      <c r="Q47" s="106">
        <f>IFERROR(VLOOKUP($B47,MMWR_TRAD_AGG_STATE_COMP[],Q$1,0),"ERROR")</f>
        <v>1</v>
      </c>
      <c r="R47" s="106">
        <f>IFERROR(VLOOKUP($B47,MMWR_TRAD_AGG_STATE_COMP[],R$1,0),"ERROR")</f>
        <v>2</v>
      </c>
      <c r="S47" s="106">
        <f>IFERROR(VLOOKUP($B47,MMWR_APP_STATE_COMP[],S$1,0),"ERROR")</f>
        <v>293</v>
      </c>
      <c r="T47" s="28"/>
    </row>
    <row r="48" spans="1:20" s="114" customFormat="1" x14ac:dyDescent="0.2">
      <c r="A48" s="28"/>
      <c r="B48" s="118" t="s">
        <v>422</v>
      </c>
      <c r="C48" s="100">
        <f>IFERROR(VLOOKUP($B48,MMWR_TRAD_AGG_STATE_COMP[],C$1,0),"ERROR")</f>
        <v>6413</v>
      </c>
      <c r="D48" s="101">
        <f>IFERROR(VLOOKUP($B48,MMWR_TRAD_AGG_STATE_COMP[],D$1,0),"ERROR")</f>
        <v>410.590675191</v>
      </c>
      <c r="E48" s="102">
        <f>IFERROR(VLOOKUP($B48,MMWR_TRAD_AGG_STATE_COMP[],E$1,0),"ERROR")</f>
        <v>6244</v>
      </c>
      <c r="F48" s="103">
        <f>IFERROR(VLOOKUP($B48,MMWR_TRAD_AGG_STATE_COMP[],F$1,0),"ERROR")</f>
        <v>1395</v>
      </c>
      <c r="G48" s="104">
        <f t="shared" si="4"/>
        <v>0.22341447789878283</v>
      </c>
      <c r="H48" s="102">
        <f>IFERROR(VLOOKUP($B48,MMWR_TRAD_AGG_STATE_COMP[],H$1,0),"ERROR")</f>
        <v>8898</v>
      </c>
      <c r="I48" s="103">
        <f>IFERROR(VLOOKUP($B48,MMWR_TRAD_AGG_STATE_COMP[],I$1,0),"ERROR")</f>
        <v>5563</v>
      </c>
      <c r="J48" s="105">
        <f t="shared" si="5"/>
        <v>0.62519667340975504</v>
      </c>
      <c r="K48" s="102">
        <f>IFERROR(VLOOKUP($B48,MMWR_TRAD_AGG_STATE_COMP[],K$1,0),"ERROR")</f>
        <v>1525</v>
      </c>
      <c r="L48" s="103">
        <f>IFERROR(VLOOKUP($B48,MMWR_TRAD_AGG_STATE_COMP[],L$1,0),"ERROR")</f>
        <v>740</v>
      </c>
      <c r="M48" s="105">
        <f t="shared" si="6"/>
        <v>0.48524590163934428</v>
      </c>
      <c r="N48" s="102">
        <f>IFERROR(VLOOKUP($B48,MMWR_TRAD_AGG_STATE_COMP[],N$1,0),"ERROR")</f>
        <v>3669</v>
      </c>
      <c r="O48" s="103">
        <f>IFERROR(VLOOKUP($B48,MMWR_TRAD_AGG_STATE_COMP[],O$1,0),"ERROR")</f>
        <v>2715</v>
      </c>
      <c r="P48" s="105">
        <f t="shared" si="7"/>
        <v>0.73998364677023709</v>
      </c>
      <c r="Q48" s="106">
        <f>IFERROR(VLOOKUP($B48,MMWR_TRAD_AGG_STATE_COMP[],Q$1,0),"ERROR")</f>
        <v>4</v>
      </c>
      <c r="R48" s="106">
        <f>IFERROR(VLOOKUP($B48,MMWR_TRAD_AGG_STATE_COMP[],R$1,0),"ERROR")</f>
        <v>77</v>
      </c>
      <c r="S48" s="106">
        <f>IFERROR(VLOOKUP($B48,MMWR_APP_STATE_COMP[],S$1,0),"ERROR")</f>
        <v>7260</v>
      </c>
      <c r="T48" s="28"/>
    </row>
    <row r="49" spans="1:20" s="114" customFormat="1" x14ac:dyDescent="0.2">
      <c r="A49" s="28"/>
      <c r="B49" s="118" t="s">
        <v>403</v>
      </c>
      <c r="C49" s="100">
        <f>IFERROR(VLOOKUP($B49,MMWR_TRAD_AGG_STATE_COMP[],C$1,0),"ERROR")</f>
        <v>27551</v>
      </c>
      <c r="D49" s="101">
        <f>IFERROR(VLOOKUP($B49,MMWR_TRAD_AGG_STATE_COMP[],D$1,0),"ERROR")</f>
        <v>404.19084606730001</v>
      </c>
      <c r="E49" s="102">
        <f>IFERROR(VLOOKUP($B49,MMWR_TRAD_AGG_STATE_COMP[],E$1,0),"ERROR")</f>
        <v>31175</v>
      </c>
      <c r="F49" s="103">
        <f>IFERROR(VLOOKUP($B49,MMWR_TRAD_AGG_STATE_COMP[],F$1,0),"ERROR")</f>
        <v>6493</v>
      </c>
      <c r="G49" s="104">
        <f t="shared" si="4"/>
        <v>0.20827586206896551</v>
      </c>
      <c r="H49" s="102">
        <f>IFERROR(VLOOKUP($B49,MMWR_TRAD_AGG_STATE_COMP[],H$1,0),"ERROR")</f>
        <v>40713</v>
      </c>
      <c r="I49" s="103">
        <f>IFERROR(VLOOKUP($B49,MMWR_TRAD_AGG_STATE_COMP[],I$1,0),"ERROR")</f>
        <v>28024</v>
      </c>
      <c r="J49" s="105">
        <f t="shared" si="5"/>
        <v>0.68833050868273038</v>
      </c>
      <c r="K49" s="102">
        <f>IFERROR(VLOOKUP($B49,MMWR_TRAD_AGG_STATE_COMP[],K$1,0),"ERROR")</f>
        <v>9099</v>
      </c>
      <c r="L49" s="103">
        <f>IFERROR(VLOOKUP($B49,MMWR_TRAD_AGG_STATE_COMP[],L$1,0),"ERROR")</f>
        <v>6376</v>
      </c>
      <c r="M49" s="105">
        <f t="shared" si="6"/>
        <v>0.70073634465325862</v>
      </c>
      <c r="N49" s="102">
        <f>IFERROR(VLOOKUP($B49,MMWR_TRAD_AGG_STATE_COMP[],N$1,0),"ERROR")</f>
        <v>15144</v>
      </c>
      <c r="O49" s="103">
        <f>IFERROR(VLOOKUP($B49,MMWR_TRAD_AGG_STATE_COMP[],O$1,0),"ERROR")</f>
        <v>9452</v>
      </c>
      <c r="P49" s="105">
        <f t="shared" si="7"/>
        <v>0.62414157422081351</v>
      </c>
      <c r="Q49" s="106">
        <f>IFERROR(VLOOKUP($B49,MMWR_TRAD_AGG_STATE_COMP[],Q$1,0),"ERROR")</f>
        <v>53</v>
      </c>
      <c r="R49" s="106">
        <f>IFERROR(VLOOKUP($B49,MMWR_TRAD_AGG_STATE_COMP[],R$1,0),"ERROR")</f>
        <v>136</v>
      </c>
      <c r="S49" s="106">
        <f>IFERROR(VLOOKUP($B49,MMWR_APP_STATE_COMP[],S$1,0),"ERROR")</f>
        <v>18552</v>
      </c>
      <c r="T49" s="28"/>
    </row>
    <row r="50" spans="1:20" s="114" customFormat="1" x14ac:dyDescent="0.2">
      <c r="A50" s="28"/>
      <c r="B50" s="118" t="s">
        <v>424</v>
      </c>
      <c r="C50" s="100">
        <f>IFERROR(VLOOKUP($B50,MMWR_TRAD_AGG_STATE_COMP[],C$1,0),"ERROR")</f>
        <v>1665</v>
      </c>
      <c r="D50" s="101">
        <f>IFERROR(VLOOKUP($B50,MMWR_TRAD_AGG_STATE_COMP[],D$1,0),"ERROR")</f>
        <v>311.53153153149998</v>
      </c>
      <c r="E50" s="102">
        <f>IFERROR(VLOOKUP($B50,MMWR_TRAD_AGG_STATE_COMP[],E$1,0),"ERROR")</f>
        <v>1908</v>
      </c>
      <c r="F50" s="103">
        <f>IFERROR(VLOOKUP($B50,MMWR_TRAD_AGG_STATE_COMP[],F$1,0),"ERROR")</f>
        <v>308</v>
      </c>
      <c r="G50" s="104">
        <f t="shared" si="4"/>
        <v>0.16142557651991615</v>
      </c>
      <c r="H50" s="102">
        <f>IFERROR(VLOOKUP($B50,MMWR_TRAD_AGG_STATE_COMP[],H$1,0),"ERROR")</f>
        <v>2346</v>
      </c>
      <c r="I50" s="103">
        <f>IFERROR(VLOOKUP($B50,MMWR_TRAD_AGG_STATE_COMP[],I$1,0),"ERROR")</f>
        <v>1567</v>
      </c>
      <c r="J50" s="105">
        <f t="shared" si="5"/>
        <v>0.66794543904518333</v>
      </c>
      <c r="K50" s="102">
        <f>IFERROR(VLOOKUP($B50,MMWR_TRAD_AGG_STATE_COMP[],K$1,0),"ERROR")</f>
        <v>1038</v>
      </c>
      <c r="L50" s="103">
        <f>IFERROR(VLOOKUP($B50,MMWR_TRAD_AGG_STATE_COMP[],L$1,0),"ERROR")</f>
        <v>540</v>
      </c>
      <c r="M50" s="105">
        <f t="shared" si="6"/>
        <v>0.52023121387283233</v>
      </c>
      <c r="N50" s="102">
        <f>IFERROR(VLOOKUP($B50,MMWR_TRAD_AGG_STATE_COMP[],N$1,0),"ERROR")</f>
        <v>520</v>
      </c>
      <c r="O50" s="103">
        <f>IFERROR(VLOOKUP($B50,MMWR_TRAD_AGG_STATE_COMP[],O$1,0),"ERROR")</f>
        <v>264</v>
      </c>
      <c r="P50" s="105">
        <f t="shared" si="7"/>
        <v>0.50769230769230766</v>
      </c>
      <c r="Q50" s="106">
        <f>IFERROR(VLOOKUP($B50,MMWR_TRAD_AGG_STATE_COMP[],Q$1,0),"ERROR")</f>
        <v>4</v>
      </c>
      <c r="R50" s="106">
        <f>IFERROR(VLOOKUP($B50,MMWR_TRAD_AGG_STATE_COMP[],R$1,0),"ERROR")</f>
        <v>4</v>
      </c>
      <c r="S50" s="106">
        <f>IFERROR(VLOOKUP($B50,MMWR_APP_STATE_COMP[],S$1,0),"ERROR")</f>
        <v>1173</v>
      </c>
      <c r="T50" s="28"/>
    </row>
    <row r="51" spans="1:20" s="114" customFormat="1" x14ac:dyDescent="0.2">
      <c r="A51" s="28"/>
      <c r="B51" s="118" t="s">
        <v>404</v>
      </c>
      <c r="C51" s="100">
        <f>IFERROR(VLOOKUP($B51,MMWR_TRAD_AGG_STATE_COMP[],C$1,0),"ERROR")</f>
        <v>714</v>
      </c>
      <c r="D51" s="101">
        <f>IFERROR(VLOOKUP($B51,MMWR_TRAD_AGG_STATE_COMP[],D$1,0),"ERROR")</f>
        <v>313.13305322129997</v>
      </c>
      <c r="E51" s="102">
        <f>IFERROR(VLOOKUP($B51,MMWR_TRAD_AGG_STATE_COMP[],E$1,0),"ERROR")</f>
        <v>1539</v>
      </c>
      <c r="F51" s="103">
        <f>IFERROR(VLOOKUP($B51,MMWR_TRAD_AGG_STATE_COMP[],F$1,0),"ERROR")</f>
        <v>323</v>
      </c>
      <c r="G51" s="104">
        <f t="shared" si="4"/>
        <v>0.20987654320987653</v>
      </c>
      <c r="H51" s="102">
        <f>IFERROR(VLOOKUP($B51,MMWR_TRAD_AGG_STATE_COMP[],H$1,0),"ERROR")</f>
        <v>1133</v>
      </c>
      <c r="I51" s="103">
        <f>IFERROR(VLOOKUP($B51,MMWR_TRAD_AGG_STATE_COMP[],I$1,0),"ERROR")</f>
        <v>622</v>
      </c>
      <c r="J51" s="105">
        <f t="shared" si="5"/>
        <v>0.54898499558693736</v>
      </c>
      <c r="K51" s="102">
        <f>IFERROR(VLOOKUP($B51,MMWR_TRAD_AGG_STATE_COMP[],K$1,0),"ERROR")</f>
        <v>392</v>
      </c>
      <c r="L51" s="103">
        <f>IFERROR(VLOOKUP($B51,MMWR_TRAD_AGG_STATE_COMP[],L$1,0),"ERROR")</f>
        <v>160</v>
      </c>
      <c r="M51" s="105">
        <f t="shared" si="6"/>
        <v>0.40816326530612246</v>
      </c>
      <c r="N51" s="102">
        <f>IFERROR(VLOOKUP($B51,MMWR_TRAD_AGG_STATE_COMP[],N$1,0),"ERROR")</f>
        <v>401</v>
      </c>
      <c r="O51" s="103">
        <f>IFERROR(VLOOKUP($B51,MMWR_TRAD_AGG_STATE_COMP[],O$1,0),"ERROR")</f>
        <v>229</v>
      </c>
      <c r="P51" s="105">
        <f t="shared" si="7"/>
        <v>0.57107231920199497</v>
      </c>
      <c r="Q51" s="106">
        <f>IFERROR(VLOOKUP($B51,MMWR_TRAD_AGG_STATE_COMP[],Q$1,0),"ERROR")</f>
        <v>1</v>
      </c>
      <c r="R51" s="106">
        <f>IFERROR(VLOOKUP($B51,MMWR_TRAD_AGG_STATE_COMP[],R$1,0),"ERROR")</f>
        <v>3</v>
      </c>
      <c r="S51" s="106">
        <f>IFERROR(VLOOKUP($B51,MMWR_APP_STATE_COMP[],S$1,0),"ERROR")</f>
        <v>1004</v>
      </c>
      <c r="T51" s="28"/>
    </row>
    <row r="52" spans="1:20" s="114" customFormat="1" x14ac:dyDescent="0.2">
      <c r="A52" s="28"/>
      <c r="B52" s="118" t="s">
        <v>409</v>
      </c>
      <c r="C52" s="100">
        <f>IFERROR(VLOOKUP($B52,MMWR_TRAD_AGG_STATE_COMP[],C$1,0),"ERROR")</f>
        <v>3732</v>
      </c>
      <c r="D52" s="101">
        <f>IFERROR(VLOOKUP($B52,MMWR_TRAD_AGG_STATE_COMP[],D$1,0),"ERROR")</f>
        <v>433.97561629149999</v>
      </c>
      <c r="E52" s="102">
        <f>IFERROR(VLOOKUP($B52,MMWR_TRAD_AGG_STATE_COMP[],E$1,0),"ERROR")</f>
        <v>3567</v>
      </c>
      <c r="F52" s="103">
        <f>IFERROR(VLOOKUP($B52,MMWR_TRAD_AGG_STATE_COMP[],F$1,0),"ERROR")</f>
        <v>795</v>
      </c>
      <c r="G52" s="104">
        <f t="shared" si="4"/>
        <v>0.22287636669470143</v>
      </c>
      <c r="H52" s="102">
        <f>IFERROR(VLOOKUP($B52,MMWR_TRAD_AGG_STATE_COMP[],H$1,0),"ERROR")</f>
        <v>5041</v>
      </c>
      <c r="I52" s="103">
        <f>IFERROR(VLOOKUP($B52,MMWR_TRAD_AGG_STATE_COMP[],I$1,0),"ERROR")</f>
        <v>3364</v>
      </c>
      <c r="J52" s="105">
        <f t="shared" si="5"/>
        <v>0.66732791112874434</v>
      </c>
      <c r="K52" s="102">
        <f>IFERROR(VLOOKUP($B52,MMWR_TRAD_AGG_STATE_COMP[],K$1,0),"ERROR")</f>
        <v>1010</v>
      </c>
      <c r="L52" s="103">
        <f>IFERROR(VLOOKUP($B52,MMWR_TRAD_AGG_STATE_COMP[],L$1,0),"ERROR")</f>
        <v>596</v>
      </c>
      <c r="M52" s="105">
        <f t="shared" si="6"/>
        <v>0.59009900990099007</v>
      </c>
      <c r="N52" s="102">
        <f>IFERROR(VLOOKUP($B52,MMWR_TRAD_AGG_STATE_COMP[],N$1,0),"ERROR")</f>
        <v>1866</v>
      </c>
      <c r="O52" s="103">
        <f>IFERROR(VLOOKUP($B52,MMWR_TRAD_AGG_STATE_COMP[],O$1,0),"ERROR")</f>
        <v>1224</v>
      </c>
      <c r="P52" s="105">
        <f t="shared" si="7"/>
        <v>0.65594855305466238</v>
      </c>
      <c r="Q52" s="106">
        <f>IFERROR(VLOOKUP($B52,MMWR_TRAD_AGG_STATE_COMP[],Q$1,0),"ERROR")</f>
        <v>9</v>
      </c>
      <c r="R52" s="106">
        <f>IFERROR(VLOOKUP($B52,MMWR_TRAD_AGG_STATE_COMP[],R$1,0),"ERROR")</f>
        <v>115</v>
      </c>
      <c r="S52" s="106">
        <f>IFERROR(VLOOKUP($B52,MMWR_APP_STATE_COMP[],S$1,0),"ERROR")</f>
        <v>3077</v>
      </c>
      <c r="T52" s="28"/>
    </row>
    <row r="53" spans="1:20" s="114" customFormat="1" x14ac:dyDescent="0.2">
      <c r="A53" s="28"/>
      <c r="B53" s="118" t="s">
        <v>401</v>
      </c>
      <c r="C53" s="100">
        <f>IFERROR(VLOOKUP($B53,MMWR_TRAD_AGG_STATE_COMP[],C$1,0),"ERROR")</f>
        <v>1570</v>
      </c>
      <c r="D53" s="101">
        <f>IFERROR(VLOOKUP($B53,MMWR_TRAD_AGG_STATE_COMP[],D$1,0),"ERROR")</f>
        <v>227.46751592359999</v>
      </c>
      <c r="E53" s="102">
        <f>IFERROR(VLOOKUP($B53,MMWR_TRAD_AGG_STATE_COMP[],E$1,0),"ERROR")</f>
        <v>2776</v>
      </c>
      <c r="F53" s="103">
        <f>IFERROR(VLOOKUP($B53,MMWR_TRAD_AGG_STATE_COMP[],F$1,0),"ERROR")</f>
        <v>580</v>
      </c>
      <c r="G53" s="104">
        <f t="shared" si="4"/>
        <v>0.20893371757925072</v>
      </c>
      <c r="H53" s="102">
        <f>IFERROR(VLOOKUP($B53,MMWR_TRAD_AGG_STATE_COMP[],H$1,0),"ERROR")</f>
        <v>2398</v>
      </c>
      <c r="I53" s="103">
        <f>IFERROR(VLOOKUP($B53,MMWR_TRAD_AGG_STATE_COMP[],I$1,0),"ERROR")</f>
        <v>1060</v>
      </c>
      <c r="J53" s="105">
        <f t="shared" si="5"/>
        <v>0.44203502919099247</v>
      </c>
      <c r="K53" s="102">
        <f>IFERROR(VLOOKUP($B53,MMWR_TRAD_AGG_STATE_COMP[],K$1,0),"ERROR")</f>
        <v>543</v>
      </c>
      <c r="L53" s="103">
        <f>IFERROR(VLOOKUP($B53,MMWR_TRAD_AGG_STATE_COMP[],L$1,0),"ERROR")</f>
        <v>261</v>
      </c>
      <c r="M53" s="105">
        <f t="shared" si="6"/>
        <v>0.48066298342541436</v>
      </c>
      <c r="N53" s="102">
        <f>IFERROR(VLOOKUP($B53,MMWR_TRAD_AGG_STATE_COMP[],N$1,0),"ERROR")</f>
        <v>820</v>
      </c>
      <c r="O53" s="103">
        <f>IFERROR(VLOOKUP($B53,MMWR_TRAD_AGG_STATE_COMP[],O$1,0),"ERROR")</f>
        <v>455</v>
      </c>
      <c r="P53" s="105">
        <f t="shared" si="7"/>
        <v>0.55487804878048785</v>
      </c>
      <c r="Q53" s="106">
        <f>IFERROR(VLOOKUP($B53,MMWR_TRAD_AGG_STATE_COMP[],Q$1,0),"ERROR")</f>
        <v>6</v>
      </c>
      <c r="R53" s="106">
        <f>IFERROR(VLOOKUP($B53,MMWR_TRAD_AGG_STATE_COMP[],R$1,0),"ERROR")</f>
        <v>8</v>
      </c>
      <c r="S53" s="106">
        <f>IFERROR(VLOOKUP($B53,MMWR_APP_STATE_COMP[],S$1,0),"ERROR")</f>
        <v>1933</v>
      </c>
      <c r="T53" s="28"/>
    </row>
    <row r="54" spans="1:20" s="114" customFormat="1" x14ac:dyDescent="0.2">
      <c r="A54" s="28"/>
      <c r="B54" s="118" t="s">
        <v>405</v>
      </c>
      <c r="C54" s="100">
        <f>IFERROR(VLOOKUP($B54,MMWR_TRAD_AGG_STATE_COMP[],C$1,0),"ERROR")</f>
        <v>7904</v>
      </c>
      <c r="D54" s="101">
        <f>IFERROR(VLOOKUP($B54,MMWR_TRAD_AGG_STATE_COMP[],D$1,0),"ERROR")</f>
        <v>434.438638664</v>
      </c>
      <c r="E54" s="102">
        <f>IFERROR(VLOOKUP($B54,MMWR_TRAD_AGG_STATE_COMP[],E$1,0),"ERROR")</f>
        <v>4734</v>
      </c>
      <c r="F54" s="103">
        <f>IFERROR(VLOOKUP($B54,MMWR_TRAD_AGG_STATE_COMP[],F$1,0),"ERROR")</f>
        <v>1236</v>
      </c>
      <c r="G54" s="104">
        <f t="shared" si="4"/>
        <v>0.26108998732572875</v>
      </c>
      <c r="H54" s="102">
        <f>IFERROR(VLOOKUP($B54,MMWR_TRAD_AGG_STATE_COMP[],H$1,0),"ERROR")</f>
        <v>10603</v>
      </c>
      <c r="I54" s="103">
        <f>IFERROR(VLOOKUP($B54,MMWR_TRAD_AGG_STATE_COMP[],I$1,0),"ERROR")</f>
        <v>7824</v>
      </c>
      <c r="J54" s="105">
        <f t="shared" si="5"/>
        <v>0.73790436668867299</v>
      </c>
      <c r="K54" s="102">
        <f>IFERROR(VLOOKUP($B54,MMWR_TRAD_AGG_STATE_COMP[],K$1,0),"ERROR")</f>
        <v>3222</v>
      </c>
      <c r="L54" s="103">
        <f>IFERROR(VLOOKUP($B54,MMWR_TRAD_AGG_STATE_COMP[],L$1,0),"ERROR")</f>
        <v>2684</v>
      </c>
      <c r="M54" s="105">
        <f t="shared" si="6"/>
        <v>0.8330229671011794</v>
      </c>
      <c r="N54" s="102">
        <f>IFERROR(VLOOKUP($B54,MMWR_TRAD_AGG_STATE_COMP[],N$1,0),"ERROR")</f>
        <v>2742</v>
      </c>
      <c r="O54" s="103">
        <f>IFERROR(VLOOKUP($B54,MMWR_TRAD_AGG_STATE_COMP[],O$1,0),"ERROR")</f>
        <v>1409</v>
      </c>
      <c r="P54" s="105">
        <f t="shared" si="7"/>
        <v>0.51385849744711887</v>
      </c>
      <c r="Q54" s="106">
        <f>IFERROR(VLOOKUP($B54,MMWR_TRAD_AGG_STATE_COMP[],Q$1,0),"ERROR")</f>
        <v>8</v>
      </c>
      <c r="R54" s="106">
        <f>IFERROR(VLOOKUP($B54,MMWR_TRAD_AGG_STATE_COMP[],R$1,0),"ERROR")</f>
        <v>75</v>
      </c>
      <c r="S54" s="106">
        <f>IFERROR(VLOOKUP($B54,MMWR_APP_STATE_COMP[],S$1,0),"ERROR")</f>
        <v>5527</v>
      </c>
      <c r="T54" s="28"/>
    </row>
    <row r="55" spans="1:20" s="114" customFormat="1" x14ac:dyDescent="0.2">
      <c r="A55" s="28"/>
      <c r="B55" s="118" t="s">
        <v>83</v>
      </c>
      <c r="C55" s="100">
        <f>IFERROR(VLOOKUP($B55,MMWR_TRAD_AGG_STATE_COMP[],C$1,0),"ERROR")</f>
        <v>12288</v>
      </c>
      <c r="D55" s="101">
        <f>IFERROR(VLOOKUP($B55,MMWR_TRAD_AGG_STATE_COMP[],D$1,0),"ERROR")</f>
        <v>391.52978515630002</v>
      </c>
      <c r="E55" s="102">
        <f>IFERROR(VLOOKUP($B55,MMWR_TRAD_AGG_STATE_COMP[],E$1,0),"ERROR")</f>
        <v>6300</v>
      </c>
      <c r="F55" s="103">
        <f>IFERROR(VLOOKUP($B55,MMWR_TRAD_AGG_STATE_COMP[],F$1,0),"ERROR")</f>
        <v>1193</v>
      </c>
      <c r="G55" s="104">
        <f t="shared" si="4"/>
        <v>0.18936507936507938</v>
      </c>
      <c r="H55" s="102">
        <f>IFERROR(VLOOKUP($B55,MMWR_TRAD_AGG_STATE_COMP[],H$1,0),"ERROR")</f>
        <v>18278</v>
      </c>
      <c r="I55" s="103">
        <f>IFERROR(VLOOKUP($B55,MMWR_TRAD_AGG_STATE_COMP[],I$1,0),"ERROR")</f>
        <v>13242</v>
      </c>
      <c r="J55" s="105">
        <f t="shared" si="5"/>
        <v>0.72447751395119819</v>
      </c>
      <c r="K55" s="102">
        <f>IFERROR(VLOOKUP($B55,MMWR_TRAD_AGG_STATE_COMP[],K$1,0),"ERROR")</f>
        <v>4549</v>
      </c>
      <c r="L55" s="103">
        <f>IFERROR(VLOOKUP($B55,MMWR_TRAD_AGG_STATE_COMP[],L$1,0),"ERROR")</f>
        <v>3272</v>
      </c>
      <c r="M55" s="105">
        <f t="shared" si="6"/>
        <v>0.71927896240932077</v>
      </c>
      <c r="N55" s="102">
        <f>IFERROR(VLOOKUP($B55,MMWR_TRAD_AGG_STATE_COMP[],N$1,0),"ERROR")</f>
        <v>5950</v>
      </c>
      <c r="O55" s="103">
        <f>IFERROR(VLOOKUP($B55,MMWR_TRAD_AGG_STATE_COMP[],O$1,0),"ERROR")</f>
        <v>4002</v>
      </c>
      <c r="P55" s="105">
        <f t="shared" si="7"/>
        <v>0.67260504201680671</v>
      </c>
      <c r="Q55" s="106">
        <f>IFERROR(VLOOKUP($B55,MMWR_TRAD_AGG_STATE_COMP[],Q$1,0),"ERROR")</f>
        <v>11</v>
      </c>
      <c r="R55" s="106">
        <f>IFERROR(VLOOKUP($B55,MMWR_TRAD_AGG_STATE_COMP[],R$1,0),"ERROR")</f>
        <v>140</v>
      </c>
      <c r="S55" s="106">
        <f>IFERROR(VLOOKUP($B55,MMWR_APP_STATE_COMP[],S$1,0),"ERROR")</f>
        <v>5383</v>
      </c>
      <c r="T55" s="28"/>
    </row>
    <row r="56" spans="1:20" s="114" customFormat="1" x14ac:dyDescent="0.2">
      <c r="A56" s="28"/>
      <c r="B56" s="117" t="s">
        <v>376</v>
      </c>
      <c r="C56" s="93">
        <f>IFERROR(VLOOKUP($B56,MMWR_TRAD_AGG_ST_DISTRICT_COMP[],C$1,0),"ERROR")</f>
        <v>76458</v>
      </c>
      <c r="D56" s="94">
        <f>IFERROR(VLOOKUP($B56,MMWR_TRAD_AGG_ST_DISTRICT_COMP[],D$1,0),"ERROR")</f>
        <v>363.8382249078</v>
      </c>
      <c r="E56" s="93">
        <f>IFERROR(VLOOKUP($B56,MMWR_TRAD_AGG_ST_DISTRICT_COMP[],E$1,0),"ERROR")</f>
        <v>75288</v>
      </c>
      <c r="F56" s="93">
        <f>IFERROR(VLOOKUP($B56,MMWR_TRAD_AGG_ST_DISTRICT_COMP[],F$1,0),"ERROR")</f>
        <v>18753</v>
      </c>
      <c r="G56" s="95">
        <f t="shared" si="4"/>
        <v>0.249083519285942</v>
      </c>
      <c r="H56" s="93">
        <f>IFERROR(VLOOKUP($B56,MMWR_TRAD_AGG_ST_DISTRICT_COMP[],H$1,0),"ERROR")</f>
        <v>111154</v>
      </c>
      <c r="I56" s="93">
        <f>IFERROR(VLOOKUP($B56,MMWR_TRAD_AGG_ST_DISTRICT_COMP[],I$1,0),"ERROR")</f>
        <v>73038</v>
      </c>
      <c r="J56" s="96">
        <f t="shared" si="5"/>
        <v>0.65708836389153791</v>
      </c>
      <c r="K56" s="93">
        <f>IFERROR(VLOOKUP($B56,MMWR_TRAD_AGG_ST_DISTRICT_COMP[],K$1,0),"ERROR")</f>
        <v>30510</v>
      </c>
      <c r="L56" s="93">
        <f>IFERROR(VLOOKUP($B56,MMWR_TRAD_AGG_ST_DISTRICT_COMP[],L$1,0),"ERROR")</f>
        <v>20480</v>
      </c>
      <c r="M56" s="96">
        <f t="shared" si="6"/>
        <v>0.67125532612258276</v>
      </c>
      <c r="N56" s="93">
        <f>IFERROR(VLOOKUP($B56,MMWR_TRAD_AGG_ST_DISTRICT_COMP[],N$1,0),"ERROR")</f>
        <v>41858</v>
      </c>
      <c r="O56" s="93">
        <f>IFERROR(VLOOKUP($B56,MMWR_TRAD_AGG_ST_DISTRICT_COMP[],O$1,0),"ERROR")</f>
        <v>27302</v>
      </c>
      <c r="P56" s="96">
        <f t="shared" si="7"/>
        <v>0.65225285489034357</v>
      </c>
      <c r="Q56" s="93">
        <f>IFERROR(VLOOKUP($B56,MMWR_TRAD_AGG_ST_DISTRICT_COMP[],Q$1,0),"ERROR")</f>
        <v>5718</v>
      </c>
      <c r="R56" s="97">
        <f>IFERROR(VLOOKUP($B56,MMWR_TRAD_AGG_ST_DISTRICT_COMP[],R$1,0),"ERROR")</f>
        <v>1126</v>
      </c>
      <c r="S56" s="97">
        <f>SUM(S57:S63)</f>
        <v>89609</v>
      </c>
      <c r="T56" s="28"/>
    </row>
    <row r="57" spans="1:20" s="114" customFormat="1" x14ac:dyDescent="0.2">
      <c r="A57" s="28"/>
      <c r="B57" s="118" t="s">
        <v>384</v>
      </c>
      <c r="C57" s="100">
        <f>IFERROR(VLOOKUP($B57,MMWR_TRAD_AGG_STATE_COMP[],C$1,0),"ERROR")</f>
        <v>13447</v>
      </c>
      <c r="D57" s="101">
        <f>IFERROR(VLOOKUP($B57,MMWR_TRAD_AGG_STATE_COMP[],D$1,0),"ERROR")</f>
        <v>393.6138915743</v>
      </c>
      <c r="E57" s="102">
        <f>IFERROR(VLOOKUP($B57,MMWR_TRAD_AGG_STATE_COMP[],E$1,0),"ERROR")</f>
        <v>7553</v>
      </c>
      <c r="F57" s="103">
        <f>IFERROR(VLOOKUP($B57,MMWR_TRAD_AGG_STATE_COMP[],F$1,0),"ERROR")</f>
        <v>1573</v>
      </c>
      <c r="G57" s="104">
        <f t="shared" si="4"/>
        <v>0.20826161790017211</v>
      </c>
      <c r="H57" s="102">
        <f>IFERROR(VLOOKUP($B57,MMWR_TRAD_AGG_STATE_COMP[],H$1,0),"ERROR")</f>
        <v>17325</v>
      </c>
      <c r="I57" s="103">
        <f>IFERROR(VLOOKUP($B57,MMWR_TRAD_AGG_STATE_COMP[],I$1,0),"ERROR")</f>
        <v>11704</v>
      </c>
      <c r="J57" s="105">
        <f t="shared" si="5"/>
        <v>0.67555555555555558</v>
      </c>
      <c r="K57" s="102">
        <f>IFERROR(VLOOKUP($B57,MMWR_TRAD_AGG_STATE_COMP[],K$1,0),"ERROR")</f>
        <v>5165</v>
      </c>
      <c r="L57" s="103">
        <f>IFERROR(VLOOKUP($B57,MMWR_TRAD_AGG_STATE_COMP[],L$1,0),"ERROR")</f>
        <v>3911</v>
      </c>
      <c r="M57" s="105">
        <f t="shared" si="6"/>
        <v>0.75721200387221688</v>
      </c>
      <c r="N57" s="102">
        <f>IFERROR(VLOOKUP($B57,MMWR_TRAD_AGG_STATE_COMP[],N$1,0),"ERROR")</f>
        <v>3496</v>
      </c>
      <c r="O57" s="103">
        <f>IFERROR(VLOOKUP($B57,MMWR_TRAD_AGG_STATE_COMP[],O$1,0),"ERROR")</f>
        <v>2160</v>
      </c>
      <c r="P57" s="105">
        <f t="shared" si="7"/>
        <v>0.61784897025171626</v>
      </c>
      <c r="Q57" s="106">
        <f>IFERROR(VLOOKUP($B57,MMWR_TRAD_AGG_STATE_COMP[],Q$1,0),"ERROR")</f>
        <v>389</v>
      </c>
      <c r="R57" s="106">
        <f>IFERROR(VLOOKUP($B57,MMWR_TRAD_AGG_STATE_COMP[],R$1,0),"ERROR")</f>
        <v>375</v>
      </c>
      <c r="S57" s="106">
        <f>IFERROR(VLOOKUP($B57,MMWR_APP_STATE_COMP[],S$1,0),"ERROR")</f>
        <v>10703</v>
      </c>
      <c r="T57" s="28"/>
    </row>
    <row r="58" spans="1:20" s="114" customFormat="1" x14ac:dyDescent="0.2">
      <c r="A58" s="28"/>
      <c r="B58" s="118" t="s">
        <v>421</v>
      </c>
      <c r="C58" s="100">
        <f>IFERROR(VLOOKUP($B58,MMWR_TRAD_AGG_STATE_COMP[],C$1,0),"ERROR")</f>
        <v>21030</v>
      </c>
      <c r="D58" s="101">
        <f>IFERROR(VLOOKUP($B58,MMWR_TRAD_AGG_STATE_COMP[],D$1,0),"ERROR")</f>
        <v>328.47237280079997</v>
      </c>
      <c r="E58" s="102">
        <f>IFERROR(VLOOKUP($B58,MMWR_TRAD_AGG_STATE_COMP[],E$1,0),"ERROR")</f>
        <v>23095</v>
      </c>
      <c r="F58" s="103">
        <f>IFERROR(VLOOKUP($B58,MMWR_TRAD_AGG_STATE_COMP[],F$1,0),"ERROR")</f>
        <v>5928</v>
      </c>
      <c r="G58" s="104">
        <f t="shared" si="4"/>
        <v>0.25667893483437976</v>
      </c>
      <c r="H58" s="102">
        <f>IFERROR(VLOOKUP($B58,MMWR_TRAD_AGG_STATE_COMP[],H$1,0),"ERROR")</f>
        <v>29281</v>
      </c>
      <c r="I58" s="103">
        <f>IFERROR(VLOOKUP($B58,MMWR_TRAD_AGG_STATE_COMP[],I$1,0),"ERROR")</f>
        <v>18899</v>
      </c>
      <c r="J58" s="105">
        <f t="shared" si="5"/>
        <v>0.64543560670742117</v>
      </c>
      <c r="K58" s="102">
        <f>IFERROR(VLOOKUP($B58,MMWR_TRAD_AGG_STATE_COMP[],K$1,0),"ERROR")</f>
        <v>6970</v>
      </c>
      <c r="L58" s="103">
        <f>IFERROR(VLOOKUP($B58,MMWR_TRAD_AGG_STATE_COMP[],L$1,0),"ERROR")</f>
        <v>3877</v>
      </c>
      <c r="M58" s="105">
        <f t="shared" si="6"/>
        <v>0.55624103299856531</v>
      </c>
      <c r="N58" s="102">
        <f>IFERROR(VLOOKUP($B58,MMWR_TRAD_AGG_STATE_COMP[],N$1,0),"ERROR")</f>
        <v>16318</v>
      </c>
      <c r="O58" s="103">
        <f>IFERROR(VLOOKUP($B58,MMWR_TRAD_AGG_STATE_COMP[],O$1,0),"ERROR")</f>
        <v>9898</v>
      </c>
      <c r="P58" s="105">
        <f t="shared" si="7"/>
        <v>0.60656943252849616</v>
      </c>
      <c r="Q58" s="106">
        <f>IFERROR(VLOOKUP($B58,MMWR_TRAD_AGG_STATE_COMP[],Q$1,0),"ERROR")</f>
        <v>2175</v>
      </c>
      <c r="R58" s="106">
        <f>IFERROR(VLOOKUP($B58,MMWR_TRAD_AGG_STATE_COMP[],R$1,0),"ERROR")</f>
        <v>269</v>
      </c>
      <c r="S58" s="106">
        <f>IFERROR(VLOOKUP($B58,MMWR_APP_STATE_COMP[],S$1,0),"ERROR")</f>
        <v>31070</v>
      </c>
      <c r="T58" s="28"/>
    </row>
    <row r="59" spans="1:20" s="114" customFormat="1" x14ac:dyDescent="0.2">
      <c r="A59" s="28"/>
      <c r="B59" s="118" t="s">
        <v>377</v>
      </c>
      <c r="C59" s="100">
        <f>IFERROR(VLOOKUP($B59,MMWR_TRAD_AGG_STATE_COMP[],C$1,0),"ERROR")</f>
        <v>16447</v>
      </c>
      <c r="D59" s="101">
        <f>IFERROR(VLOOKUP($B59,MMWR_TRAD_AGG_STATE_COMP[],D$1,0),"ERROR")</f>
        <v>354.92940961879998</v>
      </c>
      <c r="E59" s="102">
        <f>IFERROR(VLOOKUP($B59,MMWR_TRAD_AGG_STATE_COMP[],E$1,0),"ERROR")</f>
        <v>18318</v>
      </c>
      <c r="F59" s="103">
        <f>IFERROR(VLOOKUP($B59,MMWR_TRAD_AGG_STATE_COMP[],F$1,0),"ERROR")</f>
        <v>4430</v>
      </c>
      <c r="G59" s="104">
        <f t="shared" si="4"/>
        <v>0.24183862867125233</v>
      </c>
      <c r="H59" s="102">
        <f>IFERROR(VLOOKUP($B59,MMWR_TRAD_AGG_STATE_COMP[],H$1,0),"ERROR")</f>
        <v>24199</v>
      </c>
      <c r="I59" s="103">
        <f>IFERROR(VLOOKUP($B59,MMWR_TRAD_AGG_STATE_COMP[],I$1,0),"ERROR")</f>
        <v>16884</v>
      </c>
      <c r="J59" s="105">
        <f t="shared" si="5"/>
        <v>0.69771478160254552</v>
      </c>
      <c r="K59" s="102">
        <f>IFERROR(VLOOKUP($B59,MMWR_TRAD_AGG_STATE_COMP[],K$1,0),"ERROR")</f>
        <v>8202</v>
      </c>
      <c r="L59" s="103">
        <f>IFERROR(VLOOKUP($B59,MMWR_TRAD_AGG_STATE_COMP[],L$1,0),"ERROR")</f>
        <v>5559</v>
      </c>
      <c r="M59" s="105">
        <f t="shared" si="6"/>
        <v>0.67776152158010239</v>
      </c>
      <c r="N59" s="102">
        <f>IFERROR(VLOOKUP($B59,MMWR_TRAD_AGG_STATE_COMP[],N$1,0),"ERROR")</f>
        <v>13343</v>
      </c>
      <c r="O59" s="103">
        <f>IFERROR(VLOOKUP($B59,MMWR_TRAD_AGG_STATE_COMP[],O$1,0),"ERROR")</f>
        <v>10214</v>
      </c>
      <c r="P59" s="105">
        <f t="shared" si="7"/>
        <v>0.76549501611331783</v>
      </c>
      <c r="Q59" s="106">
        <f>IFERROR(VLOOKUP($B59,MMWR_TRAD_AGG_STATE_COMP[],Q$1,0),"ERROR")</f>
        <v>1069</v>
      </c>
      <c r="R59" s="106">
        <f>IFERROR(VLOOKUP($B59,MMWR_TRAD_AGG_STATE_COMP[],R$1,0),"ERROR")</f>
        <v>21</v>
      </c>
      <c r="S59" s="106">
        <f>IFERROR(VLOOKUP($B59,MMWR_APP_STATE_COMP[],S$1,0),"ERROR")</f>
        <v>18033</v>
      </c>
      <c r="T59" s="28"/>
    </row>
    <row r="60" spans="1:20" s="114" customFormat="1" x14ac:dyDescent="0.2">
      <c r="A60" s="28"/>
      <c r="B60" s="118" t="s">
        <v>389</v>
      </c>
      <c r="C60" s="100">
        <f>IFERROR(VLOOKUP($B60,MMWR_TRAD_AGG_STATE_COMP[],C$1,0),"ERROR")</f>
        <v>6726</v>
      </c>
      <c r="D60" s="101">
        <f>IFERROR(VLOOKUP($B60,MMWR_TRAD_AGG_STATE_COMP[],D$1,0),"ERROR")</f>
        <v>536.12786202799998</v>
      </c>
      <c r="E60" s="102">
        <f>IFERROR(VLOOKUP($B60,MMWR_TRAD_AGG_STATE_COMP[],E$1,0),"ERROR")</f>
        <v>3962</v>
      </c>
      <c r="F60" s="103">
        <f>IFERROR(VLOOKUP($B60,MMWR_TRAD_AGG_STATE_COMP[],F$1,0),"ERROR")</f>
        <v>815</v>
      </c>
      <c r="G60" s="104">
        <f t="shared" si="4"/>
        <v>0.20570418980312974</v>
      </c>
      <c r="H60" s="102">
        <f>IFERROR(VLOOKUP($B60,MMWR_TRAD_AGG_STATE_COMP[],H$1,0),"ERROR")</f>
        <v>10034</v>
      </c>
      <c r="I60" s="103">
        <f>IFERROR(VLOOKUP($B60,MMWR_TRAD_AGG_STATE_COMP[],I$1,0),"ERROR")</f>
        <v>6649</v>
      </c>
      <c r="J60" s="105">
        <f t="shared" si="5"/>
        <v>0.66264700019932232</v>
      </c>
      <c r="K60" s="102">
        <f>IFERROR(VLOOKUP($B60,MMWR_TRAD_AGG_STATE_COMP[],K$1,0),"ERROR")</f>
        <v>2744</v>
      </c>
      <c r="L60" s="103">
        <f>IFERROR(VLOOKUP($B60,MMWR_TRAD_AGG_STATE_COMP[],L$1,0),"ERROR")</f>
        <v>2171</v>
      </c>
      <c r="M60" s="105">
        <f t="shared" si="6"/>
        <v>0.79118075801749266</v>
      </c>
      <c r="N60" s="102">
        <f>IFERROR(VLOOKUP($B60,MMWR_TRAD_AGG_STATE_COMP[],N$1,0),"ERROR")</f>
        <v>1465</v>
      </c>
      <c r="O60" s="103">
        <f>IFERROR(VLOOKUP($B60,MMWR_TRAD_AGG_STATE_COMP[],O$1,0),"ERROR")</f>
        <v>717</v>
      </c>
      <c r="P60" s="105">
        <f t="shared" si="7"/>
        <v>0.48941979522184298</v>
      </c>
      <c r="Q60" s="106">
        <f>IFERROR(VLOOKUP($B60,MMWR_TRAD_AGG_STATE_COMP[],Q$1,0),"ERROR")</f>
        <v>523</v>
      </c>
      <c r="R60" s="106">
        <f>IFERROR(VLOOKUP($B60,MMWR_TRAD_AGG_STATE_COMP[],R$1,0),"ERROR")</f>
        <v>144</v>
      </c>
      <c r="S60" s="106">
        <f>IFERROR(VLOOKUP($B60,MMWR_APP_STATE_COMP[],S$1,0),"ERROR")</f>
        <v>3381</v>
      </c>
      <c r="T60" s="28"/>
    </row>
    <row r="61" spans="1:20" s="114" customFormat="1" x14ac:dyDescent="0.2">
      <c r="A61" s="28"/>
      <c r="B61" s="118" t="s">
        <v>423</v>
      </c>
      <c r="C61" s="100">
        <f>IFERROR(VLOOKUP($B61,MMWR_TRAD_AGG_STATE_COMP[],C$1,0),"ERROR")</f>
        <v>2064</v>
      </c>
      <c r="D61" s="101">
        <f>IFERROR(VLOOKUP($B61,MMWR_TRAD_AGG_STATE_COMP[],D$1,0),"ERROR")</f>
        <v>303.35125968990002</v>
      </c>
      <c r="E61" s="102">
        <f>IFERROR(VLOOKUP($B61,MMWR_TRAD_AGG_STATE_COMP[],E$1,0),"ERROR")</f>
        <v>3476</v>
      </c>
      <c r="F61" s="103">
        <f>IFERROR(VLOOKUP($B61,MMWR_TRAD_AGG_STATE_COMP[],F$1,0),"ERROR")</f>
        <v>946</v>
      </c>
      <c r="G61" s="104">
        <f t="shared" si="4"/>
        <v>0.27215189873417722</v>
      </c>
      <c r="H61" s="102">
        <f>IFERROR(VLOOKUP($B61,MMWR_TRAD_AGG_STATE_COMP[],H$1,0),"ERROR")</f>
        <v>5001</v>
      </c>
      <c r="I61" s="103">
        <f>IFERROR(VLOOKUP($B61,MMWR_TRAD_AGG_STATE_COMP[],I$1,0),"ERROR")</f>
        <v>2687</v>
      </c>
      <c r="J61" s="105">
        <f t="shared" si="5"/>
        <v>0.53729254149170169</v>
      </c>
      <c r="K61" s="102">
        <f>IFERROR(VLOOKUP($B61,MMWR_TRAD_AGG_STATE_COMP[],K$1,0),"ERROR")</f>
        <v>950</v>
      </c>
      <c r="L61" s="103">
        <f>IFERROR(VLOOKUP($B61,MMWR_TRAD_AGG_STATE_COMP[],L$1,0),"ERROR")</f>
        <v>695</v>
      </c>
      <c r="M61" s="105">
        <f t="shared" si="6"/>
        <v>0.73157894736842111</v>
      </c>
      <c r="N61" s="102">
        <f>IFERROR(VLOOKUP($B61,MMWR_TRAD_AGG_STATE_COMP[],N$1,0),"ERROR")</f>
        <v>1556</v>
      </c>
      <c r="O61" s="103">
        <f>IFERROR(VLOOKUP($B61,MMWR_TRAD_AGG_STATE_COMP[],O$1,0),"ERROR")</f>
        <v>1083</v>
      </c>
      <c r="P61" s="105">
        <f t="shared" si="7"/>
        <v>0.69601542416452444</v>
      </c>
      <c r="Q61" s="106">
        <f>IFERROR(VLOOKUP($B61,MMWR_TRAD_AGG_STATE_COMP[],Q$1,0),"ERROR")</f>
        <v>369</v>
      </c>
      <c r="R61" s="106">
        <f>IFERROR(VLOOKUP($B61,MMWR_TRAD_AGG_STATE_COMP[],R$1,0),"ERROR")</f>
        <v>2</v>
      </c>
      <c r="S61" s="106">
        <f>IFERROR(VLOOKUP($B61,MMWR_APP_STATE_COMP[],S$1,0),"ERROR")</f>
        <v>6186</v>
      </c>
      <c r="T61" s="28"/>
    </row>
    <row r="62" spans="1:20" s="114" customFormat="1" x14ac:dyDescent="0.2">
      <c r="A62" s="28"/>
      <c r="B62" s="118" t="s">
        <v>379</v>
      </c>
      <c r="C62" s="100">
        <f>IFERROR(VLOOKUP($B62,MMWR_TRAD_AGG_STATE_COMP[],C$1,0),"ERROR")</f>
        <v>10237</v>
      </c>
      <c r="D62" s="101">
        <f>IFERROR(VLOOKUP($B62,MMWR_TRAD_AGG_STATE_COMP[],D$1,0),"ERROR")</f>
        <v>353.50190485489998</v>
      </c>
      <c r="E62" s="102">
        <f>IFERROR(VLOOKUP($B62,MMWR_TRAD_AGG_STATE_COMP[],E$1,0),"ERROR")</f>
        <v>9130</v>
      </c>
      <c r="F62" s="103">
        <f>IFERROR(VLOOKUP($B62,MMWR_TRAD_AGG_STATE_COMP[],F$1,0),"ERROR")</f>
        <v>2679</v>
      </c>
      <c r="G62" s="104">
        <f t="shared" si="4"/>
        <v>0.29342825848849946</v>
      </c>
      <c r="H62" s="102">
        <f>IFERROR(VLOOKUP($B62,MMWR_TRAD_AGG_STATE_COMP[],H$1,0),"ERROR")</f>
        <v>14252</v>
      </c>
      <c r="I62" s="103">
        <f>IFERROR(VLOOKUP($B62,MMWR_TRAD_AGG_STATE_COMP[],I$1,0),"ERROR")</f>
        <v>10498</v>
      </c>
      <c r="J62" s="105">
        <f t="shared" si="5"/>
        <v>0.7365983721582936</v>
      </c>
      <c r="K62" s="102">
        <f>IFERROR(VLOOKUP($B62,MMWR_TRAD_AGG_STATE_COMP[],K$1,0),"ERROR")</f>
        <v>2928</v>
      </c>
      <c r="L62" s="103">
        <f>IFERROR(VLOOKUP($B62,MMWR_TRAD_AGG_STATE_COMP[],L$1,0),"ERROR")</f>
        <v>1847</v>
      </c>
      <c r="M62" s="105">
        <f t="shared" si="6"/>
        <v>0.63080601092896171</v>
      </c>
      <c r="N62" s="102">
        <f>IFERROR(VLOOKUP($B62,MMWR_TRAD_AGG_STATE_COMP[],N$1,0),"ERROR")</f>
        <v>3154</v>
      </c>
      <c r="O62" s="103">
        <f>IFERROR(VLOOKUP($B62,MMWR_TRAD_AGG_STATE_COMP[],O$1,0),"ERROR")</f>
        <v>1694</v>
      </c>
      <c r="P62" s="105">
        <f t="shared" si="7"/>
        <v>0.53709575142675969</v>
      </c>
      <c r="Q62" s="106">
        <f>IFERROR(VLOOKUP($B62,MMWR_TRAD_AGG_STATE_COMP[],Q$1,0),"ERROR")</f>
        <v>619</v>
      </c>
      <c r="R62" s="106">
        <f>IFERROR(VLOOKUP($B62,MMWR_TRAD_AGG_STATE_COMP[],R$1,0),"ERROR")</f>
        <v>60</v>
      </c>
      <c r="S62" s="106">
        <f>IFERROR(VLOOKUP($B62,MMWR_APP_STATE_COMP[],S$1,0),"ERROR")</f>
        <v>13104</v>
      </c>
      <c r="T62" s="28"/>
    </row>
    <row r="63" spans="1:20" s="114" customFormat="1" x14ac:dyDescent="0.2">
      <c r="A63" s="28"/>
      <c r="B63" s="118" t="s">
        <v>380</v>
      </c>
      <c r="C63" s="100">
        <f>IFERROR(VLOOKUP($B63,MMWR_TRAD_AGG_STATE_COMP[],C$1,0),"ERROR")</f>
        <v>6507</v>
      </c>
      <c r="D63" s="101">
        <f>IFERROR(VLOOKUP($B63,MMWR_TRAD_AGG_STATE_COMP[],D$1,0),"ERROR")</f>
        <v>296.48178884279997</v>
      </c>
      <c r="E63" s="102">
        <f>IFERROR(VLOOKUP($B63,MMWR_TRAD_AGG_STATE_COMP[],E$1,0),"ERROR")</f>
        <v>9754</v>
      </c>
      <c r="F63" s="103">
        <f>IFERROR(VLOOKUP($B63,MMWR_TRAD_AGG_STATE_COMP[],F$1,0),"ERROR")</f>
        <v>2382</v>
      </c>
      <c r="G63" s="104">
        <f t="shared" si="4"/>
        <v>0.24420750461349189</v>
      </c>
      <c r="H63" s="102">
        <f>IFERROR(VLOOKUP($B63,MMWR_TRAD_AGG_STATE_COMP[],H$1,0),"ERROR")</f>
        <v>11062</v>
      </c>
      <c r="I63" s="103">
        <f>IFERROR(VLOOKUP($B63,MMWR_TRAD_AGG_STATE_COMP[],I$1,0),"ERROR")</f>
        <v>5717</v>
      </c>
      <c r="J63" s="105">
        <f t="shared" si="5"/>
        <v>0.51681431929126742</v>
      </c>
      <c r="K63" s="102">
        <f>IFERROR(VLOOKUP($B63,MMWR_TRAD_AGG_STATE_COMP[],K$1,0),"ERROR")</f>
        <v>3551</v>
      </c>
      <c r="L63" s="103">
        <f>IFERROR(VLOOKUP($B63,MMWR_TRAD_AGG_STATE_COMP[],L$1,0),"ERROR")</f>
        <v>2420</v>
      </c>
      <c r="M63" s="105">
        <f t="shared" si="6"/>
        <v>0.68149816952970999</v>
      </c>
      <c r="N63" s="102">
        <f>IFERROR(VLOOKUP($B63,MMWR_TRAD_AGG_STATE_COMP[],N$1,0),"ERROR")</f>
        <v>2526</v>
      </c>
      <c r="O63" s="103">
        <f>IFERROR(VLOOKUP($B63,MMWR_TRAD_AGG_STATE_COMP[],O$1,0),"ERROR")</f>
        <v>1536</v>
      </c>
      <c r="P63" s="105">
        <f t="shared" si="7"/>
        <v>0.60807600950118768</v>
      </c>
      <c r="Q63" s="106">
        <f>IFERROR(VLOOKUP($B63,MMWR_TRAD_AGG_STATE_COMP[],Q$1,0),"ERROR")</f>
        <v>574</v>
      </c>
      <c r="R63" s="106">
        <f>IFERROR(VLOOKUP($B63,MMWR_TRAD_AGG_STATE_COMP[],R$1,0),"ERROR")</f>
        <v>255</v>
      </c>
      <c r="S63" s="106">
        <f>IFERROR(VLOOKUP($B63,MMWR_APP_STATE_COMP[],S$1,0),"ERROR")</f>
        <v>7132</v>
      </c>
      <c r="T63" s="28"/>
    </row>
    <row r="64" spans="1:20" s="114" customFormat="1" x14ac:dyDescent="0.2">
      <c r="A64" s="28"/>
      <c r="B64" s="119" t="s">
        <v>8</v>
      </c>
      <c r="C64" s="93">
        <f>IFERROR(VLOOKUP($B64,MMWR_TRAD_AGG_ST_DISTRICT_COMP[],C$1,0),"ERROR")</f>
        <v>4229</v>
      </c>
      <c r="D64" s="94">
        <f>IFERROR(VLOOKUP($B64,MMWR_TRAD_AGG_ST_DISTRICT_COMP[],D$1,0),"ERROR")</f>
        <v>384.31567746510001</v>
      </c>
      <c r="E64" s="93">
        <f>IFERROR(VLOOKUP($B64,MMWR_TRAD_AGG_ST_DISTRICT_COMP[],E$1,0),"ERROR")</f>
        <v>4212</v>
      </c>
      <c r="F64" s="93">
        <f>IFERROR(VLOOKUP($B64,MMWR_TRAD_AGG_ST_DISTRICT_COMP[],F$1,0),"ERROR")</f>
        <v>1730</v>
      </c>
      <c r="G64" s="95">
        <f t="shared" si="4"/>
        <v>0.41073124406457739</v>
      </c>
      <c r="H64" s="93">
        <f>IFERROR(VLOOKUP($B64,MMWR_TRAD_AGG_ST_DISTRICT_COMP[],H$1,0),"ERROR")</f>
        <v>5820</v>
      </c>
      <c r="I64" s="93">
        <f>IFERROR(VLOOKUP($B64,MMWR_TRAD_AGG_ST_DISTRICT_COMP[],I$1,0),"ERROR")</f>
        <v>3996</v>
      </c>
      <c r="J64" s="96">
        <f t="shared" si="5"/>
        <v>0.6865979381443299</v>
      </c>
      <c r="K64" s="93">
        <f>IFERROR(VLOOKUP($B64,MMWR_TRAD_AGG_ST_DISTRICT_COMP[],K$1,0),"ERROR")</f>
        <v>1460</v>
      </c>
      <c r="L64" s="93">
        <f>IFERROR(VLOOKUP($B64,MMWR_TRAD_AGG_ST_DISTRICT_COMP[],L$1,0),"ERROR")</f>
        <v>795</v>
      </c>
      <c r="M64" s="96">
        <f t="shared" si="6"/>
        <v>0.54452054794520544</v>
      </c>
      <c r="N64" s="93">
        <f>IFERROR(VLOOKUP($B64,MMWR_TRAD_AGG_ST_DISTRICT_COMP[],N$1,0),"ERROR")</f>
        <v>1851</v>
      </c>
      <c r="O64" s="93">
        <f>IFERROR(VLOOKUP($B64,MMWR_TRAD_AGG_ST_DISTRICT_COMP[],O$1,0),"ERROR")</f>
        <v>1124</v>
      </c>
      <c r="P64" s="96">
        <f t="shared" si="7"/>
        <v>0.60723933009184228</v>
      </c>
      <c r="Q64" s="93">
        <f>IFERROR(VLOOKUP($B64,MMWR_TRAD_AGG_ST_DISTRICT_COMP[],Q$1,0),"ERROR")</f>
        <v>435</v>
      </c>
      <c r="R64" s="97">
        <f>IFERROR(VLOOKUP($B64,MMWR_TRAD_AGG_ST_DISTRICT_COMP[],R$1,0),"ERROR")</f>
        <v>136</v>
      </c>
      <c r="S64" s="97">
        <f>IFERROR(VLOOKUP($B64,MMWR_APP_STATE_COMP[],S$1,0),"ERROR")</f>
        <v>423</v>
      </c>
      <c r="T64" s="28"/>
    </row>
    <row r="65" spans="1:20" s="114" customFormat="1" x14ac:dyDescent="0.2">
      <c r="A65" s="28"/>
      <c r="B65" s="28"/>
      <c r="C65" s="28"/>
      <c r="D65" s="28"/>
      <c r="E65" s="28"/>
      <c r="F65" s="28"/>
      <c r="G65" s="28"/>
      <c r="H65" s="28"/>
      <c r="I65" s="28"/>
      <c r="J65" s="28"/>
      <c r="K65" s="28"/>
      <c r="L65" s="28"/>
      <c r="M65" s="28"/>
      <c r="N65" s="28"/>
      <c r="O65" s="28"/>
      <c r="P65" s="28"/>
      <c r="Q65" s="28"/>
      <c r="R65" s="28"/>
      <c r="S65" s="28"/>
      <c r="T65" s="28"/>
    </row>
    <row r="66" spans="1:20" s="114" customFormat="1" ht="26.25" x14ac:dyDescent="0.4">
      <c r="A66" s="28"/>
      <c r="B66" s="26"/>
      <c r="C66" s="446" t="s">
        <v>483</v>
      </c>
      <c r="D66" s="447"/>
      <c r="E66" s="447"/>
      <c r="F66" s="447"/>
      <c r="G66" s="447"/>
      <c r="H66" s="447"/>
      <c r="I66" s="447"/>
      <c r="J66" s="447"/>
      <c r="K66" s="447"/>
      <c r="L66" s="447"/>
      <c r="M66" s="447"/>
      <c r="N66" s="447"/>
      <c r="O66" s="447"/>
      <c r="P66" s="447"/>
      <c r="Q66" s="447"/>
      <c r="R66" s="447"/>
      <c r="S66" s="448"/>
      <c r="T66" s="28"/>
    </row>
    <row r="67" spans="1:20" s="114" customFormat="1" x14ac:dyDescent="0.2">
      <c r="A67" s="28"/>
      <c r="B67" s="26"/>
      <c r="C67" s="454" t="s">
        <v>228</v>
      </c>
      <c r="D67" s="454"/>
      <c r="E67" s="451" t="s">
        <v>208</v>
      </c>
      <c r="F67" s="452"/>
      <c r="G67" s="453"/>
      <c r="H67" s="451" t="s">
        <v>7</v>
      </c>
      <c r="I67" s="452"/>
      <c r="J67" s="453"/>
      <c r="K67" s="451" t="s">
        <v>33</v>
      </c>
      <c r="L67" s="452"/>
      <c r="M67" s="453"/>
      <c r="N67" s="451" t="s">
        <v>8</v>
      </c>
      <c r="O67" s="452"/>
      <c r="P67" s="453"/>
      <c r="Q67" s="72" t="s">
        <v>9</v>
      </c>
      <c r="R67" s="73" t="s">
        <v>10</v>
      </c>
      <c r="S67" s="73" t="s">
        <v>11</v>
      </c>
      <c r="T67" s="28"/>
    </row>
    <row r="68" spans="1:20" s="114" customFormat="1" ht="38.25" x14ac:dyDescent="0.2">
      <c r="A68" s="28"/>
      <c r="B68" s="54"/>
      <c r="C68" s="75" t="s">
        <v>12</v>
      </c>
      <c r="D68" s="76" t="s">
        <v>137</v>
      </c>
      <c r="E68" s="77" t="s">
        <v>12</v>
      </c>
      <c r="F68" s="78" t="s">
        <v>3</v>
      </c>
      <c r="G68" s="79" t="s">
        <v>4</v>
      </c>
      <c r="H68" s="77" t="s">
        <v>12</v>
      </c>
      <c r="I68" s="78" t="s">
        <v>3</v>
      </c>
      <c r="J68" s="79" t="s">
        <v>4</v>
      </c>
      <c r="K68" s="77" t="s">
        <v>12</v>
      </c>
      <c r="L68" s="78" t="s">
        <v>3</v>
      </c>
      <c r="M68" s="79" t="s">
        <v>4</v>
      </c>
      <c r="N68" s="77" t="s">
        <v>12</v>
      </c>
      <c r="O68" s="78" t="s">
        <v>3</v>
      </c>
      <c r="P68" s="79" t="s">
        <v>4</v>
      </c>
      <c r="Q68" s="80" t="s">
        <v>12</v>
      </c>
      <c r="R68" s="80" t="s">
        <v>12</v>
      </c>
      <c r="S68" s="80" t="s">
        <v>484</v>
      </c>
      <c r="T68" s="28"/>
    </row>
    <row r="69" spans="1:20" s="114" customFormat="1" x14ac:dyDescent="0.2">
      <c r="A69" s="28"/>
      <c r="B69" s="120" t="s">
        <v>458</v>
      </c>
      <c r="C69" s="110">
        <f>IFERROR(VLOOKUP($B69,MMWR_TRAD_AGG_RO_PEN[],C$1,0),"ERROR")</f>
        <v>20299</v>
      </c>
      <c r="D69" s="111">
        <f>IFERROR(VLOOKUP($B69,MMWR_TRAD_AGG_RO_PEN[],D$1,0),"ERROR")</f>
        <v>79.3132666634</v>
      </c>
      <c r="E69" s="110">
        <f>IFERROR(VLOOKUP($B69,MMWR_TRAD_AGG_RO_PEN[],E$1,0),"ERROR")</f>
        <v>33010</v>
      </c>
      <c r="F69" s="110">
        <f>IFERROR(VLOOKUP($B69,MMWR_TRAD_AGG_RO_PEN[],F$1,0),"ERROR")</f>
        <v>5196</v>
      </c>
      <c r="G69" s="89">
        <f t="shared" ref="G69:G100" si="8">IFERROR(F69/E69,"0%")</f>
        <v>0.15740684641017874</v>
      </c>
      <c r="H69" s="110">
        <f>IFERROR(VLOOKUP($B69,MMWR_TRAD_AGG_RO_PEN[],H$1,0),"ERROR")</f>
        <v>28577</v>
      </c>
      <c r="I69" s="110">
        <f>IFERROR(VLOOKUP($B69,MMWR_TRAD_AGG_RO_PEN[],I$1,0),"ERROR")</f>
        <v>6943</v>
      </c>
      <c r="J69" s="89">
        <f t="shared" ref="J69:J100" si="9">IFERROR(I69/H69,"0%")</f>
        <v>0.24295762326346362</v>
      </c>
      <c r="K69" s="110">
        <f>IFERROR(VLOOKUP($B69,MMWR_TRAD_AGG_RO_PEN[],K$1,0),"ERROR")</f>
        <v>607</v>
      </c>
      <c r="L69" s="110">
        <f>IFERROR(VLOOKUP($B69,MMWR_TRAD_AGG_RO_PEN[],L$1,0),"ERROR")</f>
        <v>579</v>
      </c>
      <c r="M69" s="89">
        <f t="shared" ref="M69:M100" si="10">IFERROR(L69/K69,"0%")</f>
        <v>0.95387149917627678</v>
      </c>
      <c r="N69" s="110">
        <f>IFERROR(VLOOKUP($B69,MMWR_TRAD_AGG_RO_PEN[],N$1,0),"ERROR")</f>
        <v>1601</v>
      </c>
      <c r="O69" s="110">
        <f>IFERROR(VLOOKUP($B69,MMWR_TRAD_AGG_RO_PEN[],O$1,0),"ERROR")</f>
        <v>561</v>
      </c>
      <c r="P69" s="89">
        <f t="shared" ref="P69:P100" si="11">IFERROR(O69/N69,"0%")</f>
        <v>0.35040599625234231</v>
      </c>
      <c r="Q69" s="110">
        <f>IFERROR(VLOOKUP($B69,MMWR_TRAD_AGG_RO_PEN[],Q$1,0),"ERROR")</f>
        <v>9446</v>
      </c>
      <c r="R69" s="112">
        <f>IFERROR(VLOOKUP($B69,MMWR_TRAD_AGG_RO_PEN[],R$1,0),"ERROR")</f>
        <v>5953</v>
      </c>
      <c r="S69" s="112">
        <f>S70+S86+S99+S109+S119+S127</f>
        <v>7404</v>
      </c>
      <c r="T69" s="28"/>
    </row>
    <row r="70" spans="1:20" s="114" customFormat="1" x14ac:dyDescent="0.2">
      <c r="A70" s="28"/>
      <c r="B70" s="117" t="s">
        <v>365</v>
      </c>
      <c r="C70" s="93">
        <f>IFERROR(VLOOKUP($B70,MMWR_TRAD_AGG_ST_DISTRICT_PEN[],C$1,0),"ERROR")</f>
        <v>7417</v>
      </c>
      <c r="D70" s="94">
        <f>IFERROR(VLOOKUP($B70,MMWR_TRAD_AGG_ST_DISTRICT_PEN[],D$1,0),"ERROR")</f>
        <v>93.735877039200005</v>
      </c>
      <c r="E70" s="93">
        <f>IFERROR(VLOOKUP($B70,MMWR_TRAD_AGG_ST_DISTRICT_PEN[],E$1,0),"ERROR")</f>
        <v>11111</v>
      </c>
      <c r="F70" s="93">
        <f>IFERROR(VLOOKUP($B70,MMWR_TRAD_AGG_ST_DISTRICT_PEN[],F$1,0),"ERROR")</f>
        <v>2420</v>
      </c>
      <c r="G70" s="95">
        <f t="shared" si="8"/>
        <v>0.21780217802178023</v>
      </c>
      <c r="H70" s="93">
        <f>IFERROR(VLOOKUP($B70,MMWR_TRAD_AGG_ST_DISTRICT_PEN[],H$1,0),"ERROR")</f>
        <v>10061</v>
      </c>
      <c r="I70" s="93">
        <f>IFERROR(VLOOKUP($B70,MMWR_TRAD_AGG_ST_DISTRICT_PEN[],I$1,0),"ERROR")</f>
        <v>3374</v>
      </c>
      <c r="J70" s="95">
        <f t="shared" si="9"/>
        <v>0.3353543385349369</v>
      </c>
      <c r="K70" s="93">
        <f>IFERROR(VLOOKUP($B70,MMWR_TRAD_AGG_ST_DISTRICT_PEN[],K$1,0),"ERROR")</f>
        <v>353</v>
      </c>
      <c r="L70" s="93">
        <f>IFERROR(VLOOKUP($B70,MMWR_TRAD_AGG_ST_DISTRICT_PEN[],L$1,0),"ERROR")</f>
        <v>347</v>
      </c>
      <c r="M70" s="95">
        <f t="shared" si="10"/>
        <v>0.98300283286118983</v>
      </c>
      <c r="N70" s="93">
        <f>IFERROR(VLOOKUP($B70,MMWR_TRAD_AGG_ST_DISTRICT_PEN[],N$1,0),"ERROR")</f>
        <v>538</v>
      </c>
      <c r="O70" s="93">
        <f>IFERROR(VLOOKUP($B70,MMWR_TRAD_AGG_ST_DISTRICT_PEN[],O$1,0),"ERROR")</f>
        <v>173</v>
      </c>
      <c r="P70" s="95">
        <f t="shared" si="11"/>
        <v>0.32156133828996281</v>
      </c>
      <c r="Q70" s="93">
        <f>IFERROR(VLOOKUP($B70,MMWR_TRAD_AGG_ST_DISTRICT_PEN[],Q$1,0),"ERROR")</f>
        <v>1244</v>
      </c>
      <c r="R70" s="97">
        <f>IFERROR(VLOOKUP($B70,MMWR_TRAD_AGG_ST_DISTRICT_PEN[],R$1,0),"ERROR")</f>
        <v>2548</v>
      </c>
      <c r="S70" s="97">
        <f>IFERROR(VLOOKUP($B70,MMWR_APP_STATE_PEN[],S$1,0),"ERROR")</f>
        <v>1472</v>
      </c>
      <c r="T70" s="28"/>
    </row>
    <row r="71" spans="1:20" s="114" customFormat="1" x14ac:dyDescent="0.2">
      <c r="A71" s="28"/>
      <c r="B71" s="118" t="s">
        <v>369</v>
      </c>
      <c r="C71" s="100">
        <f>IFERROR(VLOOKUP($B71,MMWR_TRAD_AGG_STATE_PEN[],C$1,0),"ERROR")</f>
        <v>205</v>
      </c>
      <c r="D71" s="101">
        <f>IFERROR(VLOOKUP($B71,MMWR_TRAD_AGG_STATE_PEN[],D$1,0),"ERROR")</f>
        <v>101.4829268293</v>
      </c>
      <c r="E71" s="102">
        <f>IFERROR(VLOOKUP($B71,MMWR_TRAD_AGG_STATE_PEN[],E$1,0),"ERROR")</f>
        <v>401</v>
      </c>
      <c r="F71" s="103">
        <f>IFERROR(VLOOKUP($B71,MMWR_TRAD_AGG_STATE_PEN[],F$1,0),"ERROR")</f>
        <v>92</v>
      </c>
      <c r="G71" s="104">
        <f t="shared" si="8"/>
        <v>0.22942643391521197</v>
      </c>
      <c r="H71" s="102">
        <f>IFERROR(VLOOKUP($B71,MMWR_TRAD_AGG_STATE_PEN[],H$1,0),"ERROR")</f>
        <v>285</v>
      </c>
      <c r="I71" s="103">
        <f>IFERROR(VLOOKUP($B71,MMWR_TRAD_AGG_STATE_PEN[],I$1,0),"ERROR")</f>
        <v>99</v>
      </c>
      <c r="J71" s="105">
        <f t="shared" si="9"/>
        <v>0.3473684210526316</v>
      </c>
      <c r="K71" s="102">
        <f>IFERROR(VLOOKUP($B71,MMWR_TRAD_AGG_STATE_PEN[],K$1,0),"ERROR")</f>
        <v>3</v>
      </c>
      <c r="L71" s="103">
        <f>IFERROR(VLOOKUP($B71,MMWR_TRAD_AGG_STATE_PEN[],L$1,0),"ERROR")</f>
        <v>3</v>
      </c>
      <c r="M71" s="105">
        <f t="shared" si="10"/>
        <v>1</v>
      </c>
      <c r="N71" s="102">
        <f>IFERROR(VLOOKUP($B71,MMWR_TRAD_AGG_STATE_PEN[],N$1,0),"ERROR")</f>
        <v>22</v>
      </c>
      <c r="O71" s="103">
        <f>IFERROR(VLOOKUP($B71,MMWR_TRAD_AGG_STATE_PEN[],O$1,0),"ERROR")</f>
        <v>4</v>
      </c>
      <c r="P71" s="105">
        <f t="shared" si="11"/>
        <v>0.18181818181818182</v>
      </c>
      <c r="Q71" s="106">
        <f>IFERROR(VLOOKUP($B71,MMWR_TRAD_AGG_STATE_PEN[],Q$1,0),"ERROR")</f>
        <v>31</v>
      </c>
      <c r="R71" s="106">
        <f>IFERROR(VLOOKUP($B71,MMWR_TRAD_AGG_STATE_PEN[],R$1,0),"ERROR")</f>
        <v>73</v>
      </c>
      <c r="S71" s="106">
        <f>IFERROR(VLOOKUP($B71,MMWR_APP_STATE_PEN[],S$1,0),"ERROR")</f>
        <v>49</v>
      </c>
      <c r="T71" s="28"/>
    </row>
    <row r="72" spans="1:20" s="114" customFormat="1" x14ac:dyDescent="0.2">
      <c r="A72" s="28"/>
      <c r="B72" s="118" t="s">
        <v>419</v>
      </c>
      <c r="C72" s="100">
        <f>IFERROR(VLOOKUP($B72,MMWR_TRAD_AGG_STATE_PEN[],C$1,0),"ERROR")</f>
        <v>54</v>
      </c>
      <c r="D72" s="101">
        <f>IFERROR(VLOOKUP($B72,MMWR_TRAD_AGG_STATE_PEN[],D$1,0),"ERROR")</f>
        <v>94</v>
      </c>
      <c r="E72" s="102">
        <f>IFERROR(VLOOKUP($B72,MMWR_TRAD_AGG_STATE_PEN[],E$1,0),"ERROR")</f>
        <v>111</v>
      </c>
      <c r="F72" s="103">
        <f>IFERROR(VLOOKUP($B72,MMWR_TRAD_AGG_STATE_PEN[],F$1,0),"ERROR")</f>
        <v>17</v>
      </c>
      <c r="G72" s="104">
        <f t="shared" si="8"/>
        <v>0.15315315315315314</v>
      </c>
      <c r="H72" s="102">
        <f>IFERROR(VLOOKUP($B72,MMWR_TRAD_AGG_STATE_PEN[],H$1,0),"ERROR")</f>
        <v>79</v>
      </c>
      <c r="I72" s="103">
        <f>IFERROR(VLOOKUP($B72,MMWR_TRAD_AGG_STATE_PEN[],I$1,0),"ERROR")</f>
        <v>27</v>
      </c>
      <c r="J72" s="105">
        <f t="shared" si="9"/>
        <v>0.34177215189873417</v>
      </c>
      <c r="K72" s="102">
        <f>IFERROR(VLOOKUP($B72,MMWR_TRAD_AGG_STATE_PEN[],K$1,0),"ERROR")</f>
        <v>5</v>
      </c>
      <c r="L72" s="103">
        <f>IFERROR(VLOOKUP($B72,MMWR_TRAD_AGG_STATE_PEN[],L$1,0),"ERROR")</f>
        <v>4</v>
      </c>
      <c r="M72" s="105">
        <f t="shared" si="10"/>
        <v>0.8</v>
      </c>
      <c r="N72" s="102">
        <f>IFERROR(VLOOKUP($B72,MMWR_TRAD_AGG_STATE_PEN[],N$1,0),"ERROR")</f>
        <v>8</v>
      </c>
      <c r="O72" s="103">
        <f>IFERROR(VLOOKUP($B72,MMWR_TRAD_AGG_STATE_PEN[],O$1,0),"ERROR")</f>
        <v>3</v>
      </c>
      <c r="P72" s="105">
        <f t="shared" si="11"/>
        <v>0.375</v>
      </c>
      <c r="Q72" s="106">
        <f>IFERROR(VLOOKUP($B72,MMWR_TRAD_AGG_STATE_PEN[],Q$1,0),"ERROR")</f>
        <v>14</v>
      </c>
      <c r="R72" s="106">
        <f>IFERROR(VLOOKUP($B72,MMWR_TRAD_AGG_STATE_PEN[],R$1,0),"ERROR")</f>
        <v>28</v>
      </c>
      <c r="S72" s="106">
        <f>IFERROR(VLOOKUP($B72,MMWR_APP_STATE_PEN[],S$1,0),"ERROR")</f>
        <v>18</v>
      </c>
      <c r="T72" s="28"/>
    </row>
    <row r="73" spans="1:20" s="114" customFormat="1" x14ac:dyDescent="0.2">
      <c r="A73" s="28"/>
      <c r="B73" s="118" t="s">
        <v>410</v>
      </c>
      <c r="C73" s="100">
        <f>IFERROR(VLOOKUP($B73,MMWR_TRAD_AGG_STATE_PEN[],C$1,0),"ERROR")</f>
        <v>47</v>
      </c>
      <c r="D73" s="101">
        <f>IFERROR(VLOOKUP($B73,MMWR_TRAD_AGG_STATE_PEN[],D$1,0),"ERROR")</f>
        <v>102.42553191490001</v>
      </c>
      <c r="E73" s="102">
        <f>IFERROR(VLOOKUP($B73,MMWR_TRAD_AGG_STATE_PEN[],E$1,0),"ERROR")</f>
        <v>76</v>
      </c>
      <c r="F73" s="103">
        <f>IFERROR(VLOOKUP($B73,MMWR_TRAD_AGG_STATE_PEN[],F$1,0),"ERROR")</f>
        <v>14</v>
      </c>
      <c r="G73" s="104">
        <f t="shared" si="8"/>
        <v>0.18421052631578946</v>
      </c>
      <c r="H73" s="102">
        <f>IFERROR(VLOOKUP($B73,MMWR_TRAD_AGG_STATE_PEN[],H$1,0),"ERROR")</f>
        <v>63</v>
      </c>
      <c r="I73" s="103">
        <f>IFERROR(VLOOKUP($B73,MMWR_TRAD_AGG_STATE_PEN[],I$1,0),"ERROR")</f>
        <v>22</v>
      </c>
      <c r="J73" s="105">
        <f t="shared" si="9"/>
        <v>0.34920634920634919</v>
      </c>
      <c r="K73" s="102">
        <f>IFERROR(VLOOKUP($B73,MMWR_TRAD_AGG_STATE_PEN[],K$1,0),"ERROR")</f>
        <v>4</v>
      </c>
      <c r="L73" s="103">
        <f>IFERROR(VLOOKUP($B73,MMWR_TRAD_AGG_STATE_PEN[],L$1,0),"ERROR")</f>
        <v>4</v>
      </c>
      <c r="M73" s="105">
        <f t="shared" si="10"/>
        <v>1</v>
      </c>
      <c r="N73" s="102">
        <f>IFERROR(VLOOKUP($B73,MMWR_TRAD_AGG_STATE_PEN[],N$1,0),"ERROR")</f>
        <v>1</v>
      </c>
      <c r="O73" s="103">
        <f>IFERROR(VLOOKUP($B73,MMWR_TRAD_AGG_STATE_PEN[],O$1,0),"ERROR")</f>
        <v>0</v>
      </c>
      <c r="P73" s="105">
        <f t="shared" si="11"/>
        <v>0</v>
      </c>
      <c r="Q73" s="106">
        <f>IFERROR(VLOOKUP($B73,MMWR_TRAD_AGG_STATE_PEN[],Q$1,0),"ERROR")</f>
        <v>11</v>
      </c>
      <c r="R73" s="106">
        <f>IFERROR(VLOOKUP($B73,MMWR_TRAD_AGG_STATE_PEN[],R$1,0),"ERROR")</f>
        <v>18</v>
      </c>
      <c r="S73" s="106">
        <f>IFERROR(VLOOKUP($B73,MMWR_APP_STATE_PEN[],S$1,0),"ERROR")</f>
        <v>16</v>
      </c>
      <c r="T73" s="28"/>
    </row>
    <row r="74" spans="1:20" s="114" customFormat="1" x14ac:dyDescent="0.2">
      <c r="A74" s="28"/>
      <c r="B74" s="118" t="s">
        <v>412</v>
      </c>
      <c r="C74" s="100">
        <f>IFERROR(VLOOKUP($B74,MMWR_TRAD_AGG_STATE_PEN[],C$1,0),"ERROR")</f>
        <v>152</v>
      </c>
      <c r="D74" s="101">
        <f>IFERROR(VLOOKUP($B74,MMWR_TRAD_AGG_STATE_PEN[],D$1,0),"ERROR")</f>
        <v>101.5</v>
      </c>
      <c r="E74" s="102">
        <f>IFERROR(VLOOKUP($B74,MMWR_TRAD_AGG_STATE_PEN[],E$1,0),"ERROR")</f>
        <v>146</v>
      </c>
      <c r="F74" s="103">
        <f>IFERROR(VLOOKUP($B74,MMWR_TRAD_AGG_STATE_PEN[],F$1,0),"ERROR")</f>
        <v>33</v>
      </c>
      <c r="G74" s="104">
        <f t="shared" si="8"/>
        <v>0.22602739726027396</v>
      </c>
      <c r="H74" s="102">
        <f>IFERROR(VLOOKUP($B74,MMWR_TRAD_AGG_STATE_PEN[],H$1,0),"ERROR")</f>
        <v>194</v>
      </c>
      <c r="I74" s="103">
        <f>IFERROR(VLOOKUP($B74,MMWR_TRAD_AGG_STATE_PEN[],I$1,0),"ERROR")</f>
        <v>64</v>
      </c>
      <c r="J74" s="105">
        <f t="shared" si="9"/>
        <v>0.32989690721649484</v>
      </c>
      <c r="K74" s="102">
        <f>IFERROR(VLOOKUP($B74,MMWR_TRAD_AGG_STATE_PEN[],K$1,0),"ERROR")</f>
        <v>4</v>
      </c>
      <c r="L74" s="103">
        <f>IFERROR(VLOOKUP($B74,MMWR_TRAD_AGG_STATE_PEN[],L$1,0),"ERROR")</f>
        <v>4</v>
      </c>
      <c r="M74" s="105">
        <f t="shared" si="10"/>
        <v>1</v>
      </c>
      <c r="N74" s="102">
        <f>IFERROR(VLOOKUP($B74,MMWR_TRAD_AGG_STATE_PEN[],N$1,0),"ERROR")</f>
        <v>11</v>
      </c>
      <c r="O74" s="103">
        <f>IFERROR(VLOOKUP($B74,MMWR_TRAD_AGG_STATE_PEN[],O$1,0),"ERROR")</f>
        <v>4</v>
      </c>
      <c r="P74" s="105">
        <f t="shared" si="11"/>
        <v>0.36363636363636365</v>
      </c>
      <c r="Q74" s="106">
        <f>IFERROR(VLOOKUP($B74,MMWR_TRAD_AGG_STATE_PEN[],Q$1,0),"ERROR")</f>
        <v>27</v>
      </c>
      <c r="R74" s="106">
        <f>IFERROR(VLOOKUP($B74,MMWR_TRAD_AGG_STATE_PEN[],R$1,0),"ERROR")</f>
        <v>35</v>
      </c>
      <c r="S74" s="106">
        <f>IFERROR(VLOOKUP($B74,MMWR_APP_STATE_PEN[],S$1,0),"ERROR")</f>
        <v>25</v>
      </c>
      <c r="T74" s="28"/>
    </row>
    <row r="75" spans="1:20" s="114" customFormat="1" x14ac:dyDescent="0.2">
      <c r="A75" s="28"/>
      <c r="B75" s="118" t="s">
        <v>372</v>
      </c>
      <c r="C75" s="100">
        <f>IFERROR(VLOOKUP($B75,MMWR_TRAD_AGG_STATE_PEN[],C$1,0),"ERROR")</f>
        <v>381</v>
      </c>
      <c r="D75" s="101">
        <f>IFERROR(VLOOKUP($B75,MMWR_TRAD_AGG_STATE_PEN[],D$1,0),"ERROR")</f>
        <v>94.2467191601</v>
      </c>
      <c r="E75" s="102">
        <f>IFERROR(VLOOKUP($B75,MMWR_TRAD_AGG_STATE_PEN[],E$1,0),"ERROR")</f>
        <v>666</v>
      </c>
      <c r="F75" s="103">
        <f>IFERROR(VLOOKUP($B75,MMWR_TRAD_AGG_STATE_PEN[],F$1,0),"ERROR")</f>
        <v>125</v>
      </c>
      <c r="G75" s="104">
        <f t="shared" si="8"/>
        <v>0.18768768768768768</v>
      </c>
      <c r="H75" s="102">
        <f>IFERROR(VLOOKUP($B75,MMWR_TRAD_AGG_STATE_PEN[],H$1,0),"ERROR")</f>
        <v>507</v>
      </c>
      <c r="I75" s="103">
        <f>IFERROR(VLOOKUP($B75,MMWR_TRAD_AGG_STATE_PEN[],I$1,0),"ERROR")</f>
        <v>187</v>
      </c>
      <c r="J75" s="105">
        <f t="shared" si="9"/>
        <v>0.36883629191321499</v>
      </c>
      <c r="K75" s="102">
        <f>IFERROR(VLOOKUP($B75,MMWR_TRAD_AGG_STATE_PEN[],K$1,0),"ERROR")</f>
        <v>18</v>
      </c>
      <c r="L75" s="103">
        <f>IFERROR(VLOOKUP($B75,MMWR_TRAD_AGG_STATE_PEN[],L$1,0),"ERROR")</f>
        <v>17</v>
      </c>
      <c r="M75" s="105">
        <f t="shared" si="10"/>
        <v>0.94444444444444442</v>
      </c>
      <c r="N75" s="102">
        <f>IFERROR(VLOOKUP($B75,MMWR_TRAD_AGG_STATE_PEN[],N$1,0),"ERROR")</f>
        <v>34</v>
      </c>
      <c r="O75" s="103">
        <f>IFERROR(VLOOKUP($B75,MMWR_TRAD_AGG_STATE_PEN[],O$1,0),"ERROR")</f>
        <v>17</v>
      </c>
      <c r="P75" s="105">
        <f t="shared" si="11"/>
        <v>0.5</v>
      </c>
      <c r="Q75" s="106">
        <f>IFERROR(VLOOKUP($B75,MMWR_TRAD_AGG_STATE_PEN[],Q$1,0),"ERROR")</f>
        <v>78</v>
      </c>
      <c r="R75" s="106">
        <f>IFERROR(VLOOKUP($B75,MMWR_TRAD_AGG_STATE_PEN[],R$1,0),"ERROR")</f>
        <v>176</v>
      </c>
      <c r="S75" s="106">
        <f>IFERROR(VLOOKUP($B75,MMWR_APP_STATE_PEN[],S$1,0),"ERROR")</f>
        <v>93</v>
      </c>
      <c r="T75" s="28"/>
    </row>
    <row r="76" spans="1:20" s="114" customFormat="1" x14ac:dyDescent="0.2">
      <c r="A76" s="28"/>
      <c r="B76" s="118" t="s">
        <v>367</v>
      </c>
      <c r="C76" s="100">
        <f>IFERROR(VLOOKUP($B76,MMWR_TRAD_AGG_STATE_PEN[],C$1,0),"ERROR")</f>
        <v>412</v>
      </c>
      <c r="D76" s="101">
        <f>IFERROR(VLOOKUP($B76,MMWR_TRAD_AGG_STATE_PEN[],D$1,0),"ERROR")</f>
        <v>93.225728155300004</v>
      </c>
      <c r="E76" s="102">
        <f>IFERROR(VLOOKUP($B76,MMWR_TRAD_AGG_STATE_PEN[],E$1,0),"ERROR")</f>
        <v>659</v>
      </c>
      <c r="F76" s="103">
        <f>IFERROR(VLOOKUP($B76,MMWR_TRAD_AGG_STATE_PEN[],F$1,0),"ERROR")</f>
        <v>160</v>
      </c>
      <c r="G76" s="104">
        <f t="shared" si="8"/>
        <v>0.24279210925644917</v>
      </c>
      <c r="H76" s="102">
        <f>IFERROR(VLOOKUP($B76,MMWR_TRAD_AGG_STATE_PEN[],H$1,0),"ERROR")</f>
        <v>553</v>
      </c>
      <c r="I76" s="103">
        <f>IFERROR(VLOOKUP($B76,MMWR_TRAD_AGG_STATE_PEN[],I$1,0),"ERROR")</f>
        <v>196</v>
      </c>
      <c r="J76" s="105">
        <f t="shared" si="9"/>
        <v>0.35443037974683544</v>
      </c>
      <c r="K76" s="102">
        <f>IFERROR(VLOOKUP($B76,MMWR_TRAD_AGG_STATE_PEN[],K$1,0),"ERROR")</f>
        <v>10</v>
      </c>
      <c r="L76" s="103">
        <f>IFERROR(VLOOKUP($B76,MMWR_TRAD_AGG_STATE_PEN[],L$1,0),"ERROR")</f>
        <v>10</v>
      </c>
      <c r="M76" s="105">
        <f t="shared" si="10"/>
        <v>1</v>
      </c>
      <c r="N76" s="102">
        <f>IFERROR(VLOOKUP($B76,MMWR_TRAD_AGG_STATE_PEN[],N$1,0),"ERROR")</f>
        <v>26</v>
      </c>
      <c r="O76" s="103">
        <f>IFERROR(VLOOKUP($B76,MMWR_TRAD_AGG_STATE_PEN[],O$1,0),"ERROR")</f>
        <v>6</v>
      </c>
      <c r="P76" s="105">
        <f t="shared" si="11"/>
        <v>0.23076923076923078</v>
      </c>
      <c r="Q76" s="106">
        <f>IFERROR(VLOOKUP($B76,MMWR_TRAD_AGG_STATE_PEN[],Q$1,0),"ERROR")</f>
        <v>60</v>
      </c>
      <c r="R76" s="106">
        <f>IFERROR(VLOOKUP($B76,MMWR_TRAD_AGG_STATE_PEN[],R$1,0),"ERROR")</f>
        <v>175</v>
      </c>
      <c r="S76" s="106">
        <f>IFERROR(VLOOKUP($B76,MMWR_APP_STATE_PEN[],S$1,0),"ERROR")</f>
        <v>107</v>
      </c>
      <c r="T76" s="28"/>
    </row>
    <row r="77" spans="1:20" s="114" customFormat="1" x14ac:dyDescent="0.2">
      <c r="A77" s="28"/>
      <c r="B77" s="118" t="s">
        <v>411</v>
      </c>
      <c r="C77" s="100">
        <f>IFERROR(VLOOKUP($B77,MMWR_TRAD_AGG_STATE_PEN[],C$1,0),"ERROR")</f>
        <v>117</v>
      </c>
      <c r="D77" s="101">
        <f>IFERROR(VLOOKUP($B77,MMWR_TRAD_AGG_STATE_PEN[],D$1,0),"ERROR")</f>
        <v>87.264957265000007</v>
      </c>
      <c r="E77" s="102">
        <f>IFERROR(VLOOKUP($B77,MMWR_TRAD_AGG_STATE_PEN[],E$1,0),"ERROR")</f>
        <v>169</v>
      </c>
      <c r="F77" s="103">
        <f>IFERROR(VLOOKUP($B77,MMWR_TRAD_AGG_STATE_PEN[],F$1,0),"ERROR")</f>
        <v>44</v>
      </c>
      <c r="G77" s="104">
        <f t="shared" si="8"/>
        <v>0.26035502958579881</v>
      </c>
      <c r="H77" s="102">
        <f>IFERROR(VLOOKUP($B77,MMWR_TRAD_AGG_STATE_PEN[],H$1,0),"ERROR")</f>
        <v>160</v>
      </c>
      <c r="I77" s="103">
        <f>IFERROR(VLOOKUP($B77,MMWR_TRAD_AGG_STATE_PEN[],I$1,0),"ERROR")</f>
        <v>46</v>
      </c>
      <c r="J77" s="105">
        <f t="shared" si="9"/>
        <v>0.28749999999999998</v>
      </c>
      <c r="K77" s="102">
        <f>IFERROR(VLOOKUP($B77,MMWR_TRAD_AGG_STATE_PEN[],K$1,0),"ERROR")</f>
        <v>2</v>
      </c>
      <c r="L77" s="103">
        <f>IFERROR(VLOOKUP($B77,MMWR_TRAD_AGG_STATE_PEN[],L$1,0),"ERROR")</f>
        <v>2</v>
      </c>
      <c r="M77" s="105">
        <f t="shared" si="10"/>
        <v>1</v>
      </c>
      <c r="N77" s="102">
        <f>IFERROR(VLOOKUP($B77,MMWR_TRAD_AGG_STATE_PEN[],N$1,0),"ERROR")</f>
        <v>17</v>
      </c>
      <c r="O77" s="103">
        <f>IFERROR(VLOOKUP($B77,MMWR_TRAD_AGG_STATE_PEN[],O$1,0),"ERROR")</f>
        <v>4</v>
      </c>
      <c r="P77" s="105">
        <f t="shared" si="11"/>
        <v>0.23529411764705882</v>
      </c>
      <c r="Q77" s="106">
        <f>IFERROR(VLOOKUP($B77,MMWR_TRAD_AGG_STATE_PEN[],Q$1,0),"ERROR")</f>
        <v>22</v>
      </c>
      <c r="R77" s="106">
        <f>IFERROR(VLOOKUP($B77,MMWR_TRAD_AGG_STATE_PEN[],R$1,0),"ERROR")</f>
        <v>37</v>
      </c>
      <c r="S77" s="106">
        <f>IFERROR(VLOOKUP($B77,MMWR_APP_STATE_PEN[],S$1,0),"ERROR")</f>
        <v>13</v>
      </c>
      <c r="T77" s="28"/>
    </row>
    <row r="78" spans="1:20" s="114" customFormat="1" x14ac:dyDescent="0.2">
      <c r="A78" s="28"/>
      <c r="B78" s="118" t="s">
        <v>370</v>
      </c>
      <c r="C78" s="100">
        <f>IFERROR(VLOOKUP($B78,MMWR_TRAD_AGG_STATE_PEN[],C$1,0),"ERROR")</f>
        <v>464</v>
      </c>
      <c r="D78" s="101">
        <f>IFERROR(VLOOKUP($B78,MMWR_TRAD_AGG_STATE_PEN[],D$1,0),"ERROR")</f>
        <v>103.14008620689999</v>
      </c>
      <c r="E78" s="102">
        <f>IFERROR(VLOOKUP($B78,MMWR_TRAD_AGG_STATE_PEN[],E$1,0),"ERROR")</f>
        <v>819</v>
      </c>
      <c r="F78" s="103">
        <f>IFERROR(VLOOKUP($B78,MMWR_TRAD_AGG_STATE_PEN[],F$1,0),"ERROR")</f>
        <v>202</v>
      </c>
      <c r="G78" s="104">
        <f t="shared" si="8"/>
        <v>0.24664224664224665</v>
      </c>
      <c r="H78" s="102">
        <f>IFERROR(VLOOKUP($B78,MMWR_TRAD_AGG_STATE_PEN[],H$1,0),"ERROR")</f>
        <v>603</v>
      </c>
      <c r="I78" s="103">
        <f>IFERROR(VLOOKUP($B78,MMWR_TRAD_AGG_STATE_PEN[],I$1,0),"ERROR")</f>
        <v>234</v>
      </c>
      <c r="J78" s="105">
        <f t="shared" si="9"/>
        <v>0.38805970149253732</v>
      </c>
      <c r="K78" s="102">
        <f>IFERROR(VLOOKUP($B78,MMWR_TRAD_AGG_STATE_PEN[],K$1,0),"ERROR")</f>
        <v>12</v>
      </c>
      <c r="L78" s="103">
        <f>IFERROR(VLOOKUP($B78,MMWR_TRAD_AGG_STATE_PEN[],L$1,0),"ERROR")</f>
        <v>12</v>
      </c>
      <c r="M78" s="105">
        <f t="shared" si="10"/>
        <v>1</v>
      </c>
      <c r="N78" s="102">
        <f>IFERROR(VLOOKUP($B78,MMWR_TRAD_AGG_STATE_PEN[],N$1,0),"ERROR")</f>
        <v>25</v>
      </c>
      <c r="O78" s="103">
        <f>IFERROR(VLOOKUP($B78,MMWR_TRAD_AGG_STATE_PEN[],O$1,0),"ERROR")</f>
        <v>8</v>
      </c>
      <c r="P78" s="105">
        <f t="shared" si="11"/>
        <v>0.32</v>
      </c>
      <c r="Q78" s="106">
        <f>IFERROR(VLOOKUP($B78,MMWR_TRAD_AGG_STATE_PEN[],Q$1,0),"ERROR")</f>
        <v>82</v>
      </c>
      <c r="R78" s="106">
        <f>IFERROR(VLOOKUP($B78,MMWR_TRAD_AGG_STATE_PEN[],R$1,0),"ERROR")</f>
        <v>210</v>
      </c>
      <c r="S78" s="106">
        <f>IFERROR(VLOOKUP($B78,MMWR_APP_STATE_PEN[],S$1,0),"ERROR")</f>
        <v>185</v>
      </c>
      <c r="T78" s="28"/>
    </row>
    <row r="79" spans="1:20" s="114" customFormat="1" x14ac:dyDescent="0.2">
      <c r="A79" s="28"/>
      <c r="B79" s="118" t="s">
        <v>63</v>
      </c>
      <c r="C79" s="100">
        <f>IFERROR(VLOOKUP($B79,MMWR_TRAD_AGG_STATE_PEN[],C$1,0),"ERROR")</f>
        <v>1270</v>
      </c>
      <c r="D79" s="101">
        <f>IFERROR(VLOOKUP($B79,MMWR_TRAD_AGG_STATE_PEN[],D$1,0),"ERROR")</f>
        <v>91.762992126</v>
      </c>
      <c r="E79" s="102">
        <f>IFERROR(VLOOKUP($B79,MMWR_TRAD_AGG_STATE_PEN[],E$1,0),"ERROR")</f>
        <v>2335</v>
      </c>
      <c r="F79" s="103">
        <f>IFERROR(VLOOKUP($B79,MMWR_TRAD_AGG_STATE_PEN[],F$1,0),"ERROR")</f>
        <v>503</v>
      </c>
      <c r="G79" s="104">
        <f t="shared" si="8"/>
        <v>0.21541755888650962</v>
      </c>
      <c r="H79" s="102">
        <f>IFERROR(VLOOKUP($B79,MMWR_TRAD_AGG_STATE_PEN[],H$1,0),"ERROR")</f>
        <v>1779</v>
      </c>
      <c r="I79" s="103">
        <f>IFERROR(VLOOKUP($B79,MMWR_TRAD_AGG_STATE_PEN[],I$1,0),"ERROR")</f>
        <v>578</v>
      </c>
      <c r="J79" s="105">
        <f t="shared" si="9"/>
        <v>0.32490163012928613</v>
      </c>
      <c r="K79" s="102">
        <f>IFERROR(VLOOKUP($B79,MMWR_TRAD_AGG_STATE_PEN[],K$1,0),"ERROR")</f>
        <v>40</v>
      </c>
      <c r="L79" s="103">
        <f>IFERROR(VLOOKUP($B79,MMWR_TRAD_AGG_STATE_PEN[],L$1,0),"ERROR")</f>
        <v>40</v>
      </c>
      <c r="M79" s="105">
        <f t="shared" si="10"/>
        <v>1</v>
      </c>
      <c r="N79" s="102">
        <f>IFERROR(VLOOKUP($B79,MMWR_TRAD_AGG_STATE_PEN[],N$1,0),"ERROR")</f>
        <v>74</v>
      </c>
      <c r="O79" s="103">
        <f>IFERROR(VLOOKUP($B79,MMWR_TRAD_AGG_STATE_PEN[],O$1,0),"ERROR")</f>
        <v>31</v>
      </c>
      <c r="P79" s="105">
        <f t="shared" si="11"/>
        <v>0.41891891891891891</v>
      </c>
      <c r="Q79" s="106">
        <f>IFERROR(VLOOKUP($B79,MMWR_TRAD_AGG_STATE_PEN[],Q$1,0),"ERROR")</f>
        <v>176</v>
      </c>
      <c r="R79" s="106">
        <f>IFERROR(VLOOKUP($B79,MMWR_TRAD_AGG_STATE_PEN[],R$1,0),"ERROR")</f>
        <v>400</v>
      </c>
      <c r="S79" s="106">
        <f>IFERROR(VLOOKUP($B79,MMWR_APP_STATE_PEN[],S$1,0),"ERROR")</f>
        <v>260</v>
      </c>
      <c r="T79" s="28"/>
    </row>
    <row r="80" spans="1:20" s="114" customFormat="1" x14ac:dyDescent="0.2">
      <c r="A80" s="28"/>
      <c r="B80" s="118" t="s">
        <v>378</v>
      </c>
      <c r="C80" s="100">
        <f>IFERROR(VLOOKUP($B80,MMWR_TRAD_AGG_STATE_PEN[],C$1,0),"ERROR")</f>
        <v>1453</v>
      </c>
      <c r="D80" s="101">
        <f>IFERROR(VLOOKUP($B80,MMWR_TRAD_AGG_STATE_PEN[],D$1,0),"ERROR")</f>
        <v>90.631108052299993</v>
      </c>
      <c r="E80" s="102">
        <f>IFERROR(VLOOKUP($B80,MMWR_TRAD_AGG_STATE_PEN[],E$1,0),"ERROR")</f>
        <v>1615</v>
      </c>
      <c r="F80" s="103">
        <f>IFERROR(VLOOKUP($B80,MMWR_TRAD_AGG_STATE_PEN[],F$1,0),"ERROR")</f>
        <v>352</v>
      </c>
      <c r="G80" s="104">
        <f t="shared" si="8"/>
        <v>0.21795665634674924</v>
      </c>
      <c r="H80" s="102">
        <f>IFERROR(VLOOKUP($B80,MMWR_TRAD_AGG_STATE_PEN[],H$1,0),"ERROR")</f>
        <v>1944</v>
      </c>
      <c r="I80" s="103">
        <f>IFERROR(VLOOKUP($B80,MMWR_TRAD_AGG_STATE_PEN[],I$1,0),"ERROR")</f>
        <v>616</v>
      </c>
      <c r="J80" s="105">
        <f t="shared" si="9"/>
        <v>0.3168724279835391</v>
      </c>
      <c r="K80" s="102">
        <f>IFERROR(VLOOKUP($B80,MMWR_TRAD_AGG_STATE_PEN[],K$1,0),"ERROR")</f>
        <v>52</v>
      </c>
      <c r="L80" s="103">
        <f>IFERROR(VLOOKUP($B80,MMWR_TRAD_AGG_STATE_PEN[],L$1,0),"ERROR")</f>
        <v>51</v>
      </c>
      <c r="M80" s="105">
        <f t="shared" si="10"/>
        <v>0.98076923076923073</v>
      </c>
      <c r="N80" s="102">
        <f>IFERROR(VLOOKUP($B80,MMWR_TRAD_AGG_STATE_PEN[],N$1,0),"ERROR")</f>
        <v>104</v>
      </c>
      <c r="O80" s="103">
        <f>IFERROR(VLOOKUP($B80,MMWR_TRAD_AGG_STATE_PEN[],O$1,0),"ERROR")</f>
        <v>36</v>
      </c>
      <c r="P80" s="105">
        <f t="shared" si="11"/>
        <v>0.34615384615384615</v>
      </c>
      <c r="Q80" s="106">
        <f>IFERROR(VLOOKUP($B80,MMWR_TRAD_AGG_STATE_PEN[],Q$1,0),"ERROR")</f>
        <v>301</v>
      </c>
      <c r="R80" s="106">
        <f>IFERROR(VLOOKUP($B80,MMWR_TRAD_AGG_STATE_PEN[],R$1,0),"ERROR")</f>
        <v>467</v>
      </c>
      <c r="S80" s="106">
        <f>IFERROR(VLOOKUP($B80,MMWR_APP_STATE_PEN[],S$1,0),"ERROR")</f>
        <v>210</v>
      </c>
      <c r="T80" s="28"/>
    </row>
    <row r="81" spans="1:20" s="114" customFormat="1" x14ac:dyDescent="0.2">
      <c r="A81" s="28"/>
      <c r="B81" s="118" t="s">
        <v>371</v>
      </c>
      <c r="C81" s="100">
        <f>IFERROR(VLOOKUP($B81,MMWR_TRAD_AGG_STATE_PEN[],C$1,0),"ERROR")</f>
        <v>1630</v>
      </c>
      <c r="D81" s="101">
        <f>IFERROR(VLOOKUP($B81,MMWR_TRAD_AGG_STATE_PEN[],D$1,0),"ERROR")</f>
        <v>96.199386503100001</v>
      </c>
      <c r="E81" s="102">
        <f>IFERROR(VLOOKUP($B81,MMWR_TRAD_AGG_STATE_PEN[],E$1,0),"ERROR")</f>
        <v>2703</v>
      </c>
      <c r="F81" s="103">
        <f>IFERROR(VLOOKUP($B81,MMWR_TRAD_AGG_STATE_PEN[],F$1,0),"ERROR")</f>
        <v>605</v>
      </c>
      <c r="G81" s="104">
        <f t="shared" si="8"/>
        <v>0.2238253792082871</v>
      </c>
      <c r="H81" s="102">
        <f>IFERROR(VLOOKUP($B81,MMWR_TRAD_AGG_STATE_PEN[],H$1,0),"ERROR")</f>
        <v>2270</v>
      </c>
      <c r="I81" s="103">
        <f>IFERROR(VLOOKUP($B81,MMWR_TRAD_AGG_STATE_PEN[],I$1,0),"ERROR")</f>
        <v>796</v>
      </c>
      <c r="J81" s="105">
        <f t="shared" si="9"/>
        <v>0.35066079295154184</v>
      </c>
      <c r="K81" s="102">
        <f>IFERROR(VLOOKUP($B81,MMWR_TRAD_AGG_STATE_PEN[],K$1,0),"ERROR")</f>
        <v>42</v>
      </c>
      <c r="L81" s="103">
        <f>IFERROR(VLOOKUP($B81,MMWR_TRAD_AGG_STATE_PEN[],L$1,0),"ERROR")</f>
        <v>40</v>
      </c>
      <c r="M81" s="105">
        <f t="shared" si="10"/>
        <v>0.95238095238095233</v>
      </c>
      <c r="N81" s="102">
        <f>IFERROR(VLOOKUP($B81,MMWR_TRAD_AGG_STATE_PEN[],N$1,0),"ERROR")</f>
        <v>124</v>
      </c>
      <c r="O81" s="103">
        <f>IFERROR(VLOOKUP($B81,MMWR_TRAD_AGG_STATE_PEN[],O$1,0),"ERROR")</f>
        <v>21</v>
      </c>
      <c r="P81" s="105">
        <f t="shared" si="11"/>
        <v>0.16935483870967741</v>
      </c>
      <c r="Q81" s="106">
        <f>IFERROR(VLOOKUP($B81,MMWR_TRAD_AGG_STATE_PEN[],Q$1,0),"ERROR")</f>
        <v>190</v>
      </c>
      <c r="R81" s="106">
        <f>IFERROR(VLOOKUP($B81,MMWR_TRAD_AGG_STATE_PEN[],R$1,0),"ERROR")</f>
        <v>481</v>
      </c>
      <c r="S81" s="106">
        <f>IFERROR(VLOOKUP($B81,MMWR_APP_STATE_PEN[],S$1,0),"ERROR")</f>
        <v>255</v>
      </c>
      <c r="T81" s="28"/>
    </row>
    <row r="82" spans="1:20" s="114" customFormat="1" x14ac:dyDescent="0.2">
      <c r="A82" s="28"/>
      <c r="B82" s="118" t="s">
        <v>368</v>
      </c>
      <c r="C82" s="100">
        <f>IFERROR(VLOOKUP($B82,MMWR_TRAD_AGG_STATE_PEN[],C$1,0),"ERROR")</f>
        <v>99</v>
      </c>
      <c r="D82" s="101">
        <f>IFERROR(VLOOKUP($B82,MMWR_TRAD_AGG_STATE_PEN[],D$1,0),"ERROR")</f>
        <v>86.898989899</v>
      </c>
      <c r="E82" s="102">
        <f>IFERROR(VLOOKUP($B82,MMWR_TRAD_AGG_STATE_PEN[],E$1,0),"ERROR")</f>
        <v>171</v>
      </c>
      <c r="F82" s="103">
        <f>IFERROR(VLOOKUP($B82,MMWR_TRAD_AGG_STATE_PEN[],F$1,0),"ERROR")</f>
        <v>35</v>
      </c>
      <c r="G82" s="104">
        <f t="shared" si="8"/>
        <v>0.2046783625730994</v>
      </c>
      <c r="H82" s="102">
        <f>IFERROR(VLOOKUP($B82,MMWR_TRAD_AGG_STATE_PEN[],H$1,0),"ERROR")</f>
        <v>145</v>
      </c>
      <c r="I82" s="103">
        <f>IFERROR(VLOOKUP($B82,MMWR_TRAD_AGG_STATE_PEN[],I$1,0),"ERROR")</f>
        <v>47</v>
      </c>
      <c r="J82" s="105">
        <f t="shared" si="9"/>
        <v>0.32413793103448274</v>
      </c>
      <c r="K82" s="102">
        <f>IFERROR(VLOOKUP($B82,MMWR_TRAD_AGG_STATE_PEN[],K$1,0),"ERROR")</f>
        <v>5</v>
      </c>
      <c r="L82" s="103">
        <f>IFERROR(VLOOKUP($B82,MMWR_TRAD_AGG_STATE_PEN[],L$1,0),"ERROR")</f>
        <v>5</v>
      </c>
      <c r="M82" s="105">
        <f t="shared" si="10"/>
        <v>1</v>
      </c>
      <c r="N82" s="102">
        <f>IFERROR(VLOOKUP($B82,MMWR_TRAD_AGG_STATE_PEN[],N$1,0),"ERROR")</f>
        <v>16</v>
      </c>
      <c r="O82" s="103">
        <f>IFERROR(VLOOKUP($B82,MMWR_TRAD_AGG_STATE_PEN[],O$1,0),"ERROR")</f>
        <v>3</v>
      </c>
      <c r="P82" s="105">
        <f t="shared" si="11"/>
        <v>0.1875</v>
      </c>
      <c r="Q82" s="106">
        <f>IFERROR(VLOOKUP($B82,MMWR_TRAD_AGG_STATE_PEN[],Q$1,0),"ERROR")</f>
        <v>17</v>
      </c>
      <c r="R82" s="106">
        <f>IFERROR(VLOOKUP($B82,MMWR_TRAD_AGG_STATE_PEN[],R$1,0),"ERROR")</f>
        <v>32</v>
      </c>
      <c r="S82" s="106">
        <f>IFERROR(VLOOKUP($B82,MMWR_APP_STATE_PEN[],S$1,0),"ERROR")</f>
        <v>22</v>
      </c>
      <c r="T82" s="28"/>
    </row>
    <row r="83" spans="1:20" s="114" customFormat="1" x14ac:dyDescent="0.2">
      <c r="A83" s="28"/>
      <c r="B83" s="118" t="s">
        <v>413</v>
      </c>
      <c r="C83" s="100">
        <f>IFERROR(VLOOKUP($B83,MMWR_TRAD_AGG_STATE_PEN[],C$1,0),"ERROR")</f>
        <v>37</v>
      </c>
      <c r="D83" s="101">
        <f>IFERROR(VLOOKUP($B83,MMWR_TRAD_AGG_STATE_PEN[],D$1,0),"ERROR")</f>
        <v>85.729729729699997</v>
      </c>
      <c r="E83" s="102">
        <f>IFERROR(VLOOKUP($B83,MMWR_TRAD_AGG_STATE_PEN[],E$1,0),"ERROR")</f>
        <v>56</v>
      </c>
      <c r="F83" s="103">
        <f>IFERROR(VLOOKUP($B83,MMWR_TRAD_AGG_STATE_PEN[],F$1,0),"ERROR")</f>
        <v>6</v>
      </c>
      <c r="G83" s="104">
        <f t="shared" si="8"/>
        <v>0.10714285714285714</v>
      </c>
      <c r="H83" s="102">
        <f>IFERROR(VLOOKUP($B83,MMWR_TRAD_AGG_STATE_PEN[],H$1,0),"ERROR")</f>
        <v>43</v>
      </c>
      <c r="I83" s="103">
        <f>IFERROR(VLOOKUP($B83,MMWR_TRAD_AGG_STATE_PEN[],I$1,0),"ERROR")</f>
        <v>12</v>
      </c>
      <c r="J83" s="105">
        <f t="shared" si="9"/>
        <v>0.27906976744186046</v>
      </c>
      <c r="K83" s="102">
        <f>IFERROR(VLOOKUP($B83,MMWR_TRAD_AGG_STATE_PEN[],K$1,0),"ERROR")</f>
        <v>1</v>
      </c>
      <c r="L83" s="103">
        <f>IFERROR(VLOOKUP($B83,MMWR_TRAD_AGG_STATE_PEN[],L$1,0),"ERROR")</f>
        <v>1</v>
      </c>
      <c r="M83" s="105">
        <f t="shared" si="10"/>
        <v>1</v>
      </c>
      <c r="N83" s="102">
        <f>IFERROR(VLOOKUP($B83,MMWR_TRAD_AGG_STATE_PEN[],N$1,0),"ERROR")</f>
        <v>3</v>
      </c>
      <c r="O83" s="103">
        <f>IFERROR(VLOOKUP($B83,MMWR_TRAD_AGG_STATE_PEN[],O$1,0),"ERROR")</f>
        <v>1</v>
      </c>
      <c r="P83" s="105">
        <f t="shared" si="11"/>
        <v>0.33333333333333331</v>
      </c>
      <c r="Q83" s="106">
        <f>IFERROR(VLOOKUP($B83,MMWR_TRAD_AGG_STATE_PEN[],Q$1,0),"ERROR")</f>
        <v>8</v>
      </c>
      <c r="R83" s="106">
        <f>IFERROR(VLOOKUP($B83,MMWR_TRAD_AGG_STATE_PEN[],R$1,0),"ERROR")</f>
        <v>9</v>
      </c>
      <c r="S83" s="106">
        <f>IFERROR(VLOOKUP($B83,MMWR_APP_STATE_PEN[],S$1,0),"ERROR")</f>
        <v>10</v>
      </c>
      <c r="T83" s="28"/>
    </row>
    <row r="84" spans="1:20" s="114" customFormat="1" x14ac:dyDescent="0.2">
      <c r="A84" s="28"/>
      <c r="B84" s="118" t="s">
        <v>374</v>
      </c>
      <c r="C84" s="100">
        <f>IFERROR(VLOOKUP($B84,MMWR_TRAD_AGG_STATE_PEN[],C$1,0),"ERROR")</f>
        <v>828</v>
      </c>
      <c r="D84" s="101">
        <f>IFERROR(VLOOKUP($B84,MMWR_TRAD_AGG_STATE_PEN[],D$1,0),"ERROR")</f>
        <v>91.233091787399999</v>
      </c>
      <c r="E84" s="102">
        <f>IFERROR(VLOOKUP($B84,MMWR_TRAD_AGG_STATE_PEN[],E$1,0),"ERROR")</f>
        <v>883</v>
      </c>
      <c r="F84" s="103">
        <f>IFERROR(VLOOKUP($B84,MMWR_TRAD_AGG_STATE_PEN[],F$1,0),"ERROR")</f>
        <v>177</v>
      </c>
      <c r="G84" s="104">
        <f t="shared" si="8"/>
        <v>0.20045300113250283</v>
      </c>
      <c r="H84" s="102">
        <f>IFERROR(VLOOKUP($B84,MMWR_TRAD_AGG_STATE_PEN[],H$1,0),"ERROR")</f>
        <v>1094</v>
      </c>
      <c r="I84" s="103">
        <f>IFERROR(VLOOKUP($B84,MMWR_TRAD_AGG_STATE_PEN[],I$1,0),"ERROR")</f>
        <v>342</v>
      </c>
      <c r="J84" s="105">
        <f t="shared" si="9"/>
        <v>0.3126142595978062</v>
      </c>
      <c r="K84" s="102">
        <f>IFERROR(VLOOKUP($B84,MMWR_TRAD_AGG_STATE_PEN[],K$1,0),"ERROR")</f>
        <v>148</v>
      </c>
      <c r="L84" s="103">
        <f>IFERROR(VLOOKUP($B84,MMWR_TRAD_AGG_STATE_PEN[],L$1,0),"ERROR")</f>
        <v>147</v>
      </c>
      <c r="M84" s="105">
        <f t="shared" si="10"/>
        <v>0.9932432432432432</v>
      </c>
      <c r="N84" s="102">
        <f>IFERROR(VLOOKUP($B84,MMWR_TRAD_AGG_STATE_PEN[],N$1,0),"ERROR")</f>
        <v>59</v>
      </c>
      <c r="O84" s="103">
        <f>IFERROR(VLOOKUP($B84,MMWR_TRAD_AGG_STATE_PEN[],O$1,0),"ERROR")</f>
        <v>26</v>
      </c>
      <c r="P84" s="105">
        <f t="shared" si="11"/>
        <v>0.44067796610169491</v>
      </c>
      <c r="Q84" s="106">
        <f>IFERROR(VLOOKUP($B84,MMWR_TRAD_AGG_STATE_PEN[],Q$1,0),"ERROR")</f>
        <v>179</v>
      </c>
      <c r="R84" s="106">
        <f>IFERROR(VLOOKUP($B84,MMWR_TRAD_AGG_STATE_PEN[],R$1,0),"ERROR")</f>
        <v>326</v>
      </c>
      <c r="S84" s="106">
        <f>IFERROR(VLOOKUP($B84,MMWR_APP_STATE_PEN[],S$1,0),"ERROR")</f>
        <v>163</v>
      </c>
      <c r="T84" s="28"/>
    </row>
    <row r="85" spans="1:20" s="114" customFormat="1" x14ac:dyDescent="0.2">
      <c r="A85" s="28"/>
      <c r="B85" s="118" t="s">
        <v>375</v>
      </c>
      <c r="C85" s="100">
        <f>IFERROR(VLOOKUP($B85,MMWR_TRAD_AGG_STATE_PEN[],C$1,0),"ERROR")</f>
        <v>268</v>
      </c>
      <c r="D85" s="101">
        <f>IFERROR(VLOOKUP($B85,MMWR_TRAD_AGG_STATE_PEN[],D$1,0),"ERROR")</f>
        <v>90.992537313400007</v>
      </c>
      <c r="E85" s="102">
        <f>IFERROR(VLOOKUP($B85,MMWR_TRAD_AGG_STATE_PEN[],E$1,0),"ERROR")</f>
        <v>301</v>
      </c>
      <c r="F85" s="103">
        <f>IFERROR(VLOOKUP($B85,MMWR_TRAD_AGG_STATE_PEN[],F$1,0),"ERROR")</f>
        <v>55</v>
      </c>
      <c r="G85" s="104">
        <f t="shared" si="8"/>
        <v>0.18272425249169436</v>
      </c>
      <c r="H85" s="102">
        <f>IFERROR(VLOOKUP($B85,MMWR_TRAD_AGG_STATE_PEN[],H$1,0),"ERROR")</f>
        <v>342</v>
      </c>
      <c r="I85" s="103">
        <f>IFERROR(VLOOKUP($B85,MMWR_TRAD_AGG_STATE_PEN[],I$1,0),"ERROR")</f>
        <v>108</v>
      </c>
      <c r="J85" s="105">
        <f t="shared" si="9"/>
        <v>0.31578947368421051</v>
      </c>
      <c r="K85" s="102">
        <f>IFERROR(VLOOKUP($B85,MMWR_TRAD_AGG_STATE_PEN[],K$1,0),"ERROR")</f>
        <v>7</v>
      </c>
      <c r="L85" s="103">
        <f>IFERROR(VLOOKUP($B85,MMWR_TRAD_AGG_STATE_PEN[],L$1,0),"ERROR")</f>
        <v>7</v>
      </c>
      <c r="M85" s="105">
        <f t="shared" si="10"/>
        <v>1</v>
      </c>
      <c r="N85" s="102">
        <f>IFERROR(VLOOKUP($B85,MMWR_TRAD_AGG_STATE_PEN[],N$1,0),"ERROR")</f>
        <v>14</v>
      </c>
      <c r="O85" s="103">
        <f>IFERROR(VLOOKUP($B85,MMWR_TRAD_AGG_STATE_PEN[],O$1,0),"ERROR")</f>
        <v>9</v>
      </c>
      <c r="P85" s="105">
        <f t="shared" si="11"/>
        <v>0.6428571428571429</v>
      </c>
      <c r="Q85" s="106">
        <f>IFERROR(VLOOKUP($B85,MMWR_TRAD_AGG_STATE_PEN[],Q$1,0),"ERROR")</f>
        <v>48</v>
      </c>
      <c r="R85" s="106">
        <f>IFERROR(VLOOKUP($B85,MMWR_TRAD_AGG_STATE_PEN[],R$1,0),"ERROR")</f>
        <v>81</v>
      </c>
      <c r="S85" s="106">
        <f>IFERROR(VLOOKUP($B85,MMWR_APP_STATE_PEN[],S$1,0),"ERROR")</f>
        <v>46</v>
      </c>
      <c r="T85" s="28"/>
    </row>
    <row r="86" spans="1:20" s="114" customFormat="1" x14ac:dyDescent="0.2">
      <c r="A86" s="28"/>
      <c r="B86" s="117" t="s">
        <v>386</v>
      </c>
      <c r="C86" s="93">
        <f>IFERROR(VLOOKUP($B86,MMWR_TRAD_AGG_ST_DISTRICT_PEN[],C$1,0),"ERROR")</f>
        <v>2293</v>
      </c>
      <c r="D86" s="94">
        <f>IFERROR(VLOOKUP($B86,MMWR_TRAD_AGG_ST_DISTRICT_PEN[],D$1,0),"ERROR")</f>
        <v>49.467073702599997</v>
      </c>
      <c r="E86" s="93">
        <f>IFERROR(VLOOKUP($B86,MMWR_TRAD_AGG_ST_DISTRICT_PEN[],E$1,0),"ERROR")</f>
        <v>5885</v>
      </c>
      <c r="F86" s="93">
        <f>IFERROR(VLOOKUP($B86,MMWR_TRAD_AGG_ST_DISTRICT_PEN[],F$1,0),"ERROR")</f>
        <v>589</v>
      </c>
      <c r="G86" s="95">
        <f t="shared" si="8"/>
        <v>0.10008496176720476</v>
      </c>
      <c r="H86" s="93">
        <f>IFERROR(VLOOKUP($B86,MMWR_TRAD_AGG_ST_DISTRICT_PEN[],H$1,0),"ERROR")</f>
        <v>3660</v>
      </c>
      <c r="I86" s="93">
        <f>IFERROR(VLOOKUP($B86,MMWR_TRAD_AGG_ST_DISTRICT_PEN[],I$1,0),"ERROR")</f>
        <v>204</v>
      </c>
      <c r="J86" s="95">
        <f t="shared" si="9"/>
        <v>5.5737704918032788E-2</v>
      </c>
      <c r="K86" s="93">
        <f>IFERROR(VLOOKUP($B86,MMWR_TRAD_AGG_ST_DISTRICT_PEN[],K$1,0),"ERROR")</f>
        <v>19</v>
      </c>
      <c r="L86" s="93">
        <f>IFERROR(VLOOKUP($B86,MMWR_TRAD_AGG_ST_DISTRICT_PEN[],L$1,0),"ERROR")</f>
        <v>16</v>
      </c>
      <c r="M86" s="95">
        <f t="shared" si="10"/>
        <v>0.84210526315789469</v>
      </c>
      <c r="N86" s="93">
        <f>IFERROR(VLOOKUP($B86,MMWR_TRAD_AGG_ST_DISTRICT_PEN[],N$1,0),"ERROR")</f>
        <v>268</v>
      </c>
      <c r="O86" s="93">
        <f>IFERROR(VLOOKUP($B86,MMWR_TRAD_AGG_ST_DISTRICT_PEN[],O$1,0),"ERROR")</f>
        <v>78</v>
      </c>
      <c r="P86" s="95">
        <f t="shared" si="11"/>
        <v>0.29104477611940299</v>
      </c>
      <c r="Q86" s="93">
        <f>IFERROR(VLOOKUP($B86,MMWR_TRAD_AGG_ST_DISTRICT_PEN[],Q$1,0),"ERROR")</f>
        <v>1879</v>
      </c>
      <c r="R86" s="97">
        <f>IFERROR(VLOOKUP($B86,MMWR_TRAD_AGG_ST_DISTRICT_PEN[],R$1,0),"ERROR")</f>
        <v>536</v>
      </c>
      <c r="S86" s="97">
        <f>IFERROR(VLOOKUP($B86,MMWR_APP_STATE_PEN[],S$1,0),"ERROR")</f>
        <v>1627</v>
      </c>
      <c r="T86" s="28"/>
    </row>
    <row r="87" spans="1:20" s="114" customFormat="1" x14ac:dyDescent="0.2">
      <c r="A87" s="28"/>
      <c r="B87" s="118" t="s">
        <v>390</v>
      </c>
      <c r="C87" s="100">
        <f>IFERROR(VLOOKUP($B87,MMWR_TRAD_AGG_STATE_PEN[],C$1,0),"ERROR")</f>
        <v>271</v>
      </c>
      <c r="D87" s="101">
        <f>IFERROR(VLOOKUP($B87,MMWR_TRAD_AGG_STATE_PEN[],D$1,0),"ERROR")</f>
        <v>58.416974169699998</v>
      </c>
      <c r="E87" s="102">
        <f>IFERROR(VLOOKUP($B87,MMWR_TRAD_AGG_STATE_PEN[],E$1,0),"ERROR")</f>
        <v>886</v>
      </c>
      <c r="F87" s="103">
        <f>IFERROR(VLOOKUP($B87,MMWR_TRAD_AGG_STATE_PEN[],F$1,0),"ERROR")</f>
        <v>108</v>
      </c>
      <c r="G87" s="104">
        <f t="shared" si="8"/>
        <v>0.12189616252821671</v>
      </c>
      <c r="H87" s="102">
        <f>IFERROR(VLOOKUP($B87,MMWR_TRAD_AGG_STATE_PEN[],H$1,0),"ERROR")</f>
        <v>446</v>
      </c>
      <c r="I87" s="103">
        <f>IFERROR(VLOOKUP($B87,MMWR_TRAD_AGG_STATE_PEN[],I$1,0),"ERROR")</f>
        <v>30</v>
      </c>
      <c r="J87" s="105">
        <f t="shared" si="9"/>
        <v>6.726457399103139E-2</v>
      </c>
      <c r="K87" s="102">
        <f>IFERROR(VLOOKUP($B87,MMWR_TRAD_AGG_STATE_PEN[],K$1,0),"ERROR")</f>
        <v>1</v>
      </c>
      <c r="L87" s="103">
        <f>IFERROR(VLOOKUP($B87,MMWR_TRAD_AGG_STATE_PEN[],L$1,0),"ERROR")</f>
        <v>1</v>
      </c>
      <c r="M87" s="105">
        <f t="shared" si="10"/>
        <v>1</v>
      </c>
      <c r="N87" s="102">
        <f>IFERROR(VLOOKUP($B87,MMWR_TRAD_AGG_STATE_PEN[],N$1,0),"ERROR")</f>
        <v>47</v>
      </c>
      <c r="O87" s="103">
        <f>IFERROR(VLOOKUP($B87,MMWR_TRAD_AGG_STATE_PEN[],O$1,0),"ERROR")</f>
        <v>12</v>
      </c>
      <c r="P87" s="105">
        <f t="shared" si="11"/>
        <v>0.25531914893617019</v>
      </c>
      <c r="Q87" s="106">
        <f>IFERROR(VLOOKUP($B87,MMWR_TRAD_AGG_STATE_PEN[],Q$1,0),"ERROR")</f>
        <v>79</v>
      </c>
      <c r="R87" s="106">
        <f>IFERROR(VLOOKUP($B87,MMWR_TRAD_AGG_STATE_PEN[],R$1,0),"ERROR")</f>
        <v>121</v>
      </c>
      <c r="S87" s="106">
        <f>IFERROR(VLOOKUP($B87,MMWR_APP_STATE_PEN[],S$1,0),"ERROR")</f>
        <v>350</v>
      </c>
      <c r="T87" s="28"/>
    </row>
    <row r="88" spans="1:20" s="114" customFormat="1" x14ac:dyDescent="0.2">
      <c r="A88" s="28"/>
      <c r="B88" s="118" t="s">
        <v>388</v>
      </c>
      <c r="C88" s="100">
        <f>IFERROR(VLOOKUP($B88,MMWR_TRAD_AGG_STATE_PEN[],C$1,0),"ERROR")</f>
        <v>193</v>
      </c>
      <c r="D88" s="101">
        <f>IFERROR(VLOOKUP($B88,MMWR_TRAD_AGG_STATE_PEN[],D$1,0),"ERROR")</f>
        <v>60.5751295337</v>
      </c>
      <c r="E88" s="102">
        <f>IFERROR(VLOOKUP($B88,MMWR_TRAD_AGG_STATE_PEN[],E$1,0),"ERROR")</f>
        <v>598</v>
      </c>
      <c r="F88" s="103">
        <f>IFERROR(VLOOKUP($B88,MMWR_TRAD_AGG_STATE_PEN[],F$1,0),"ERROR")</f>
        <v>76</v>
      </c>
      <c r="G88" s="104">
        <f t="shared" si="8"/>
        <v>0.12709030100334448</v>
      </c>
      <c r="H88" s="102">
        <f>IFERROR(VLOOKUP($B88,MMWR_TRAD_AGG_STATE_PEN[],H$1,0),"ERROR")</f>
        <v>332</v>
      </c>
      <c r="I88" s="103">
        <f>IFERROR(VLOOKUP($B88,MMWR_TRAD_AGG_STATE_PEN[],I$1,0),"ERROR")</f>
        <v>27</v>
      </c>
      <c r="J88" s="105">
        <f t="shared" si="9"/>
        <v>8.1325301204819275E-2</v>
      </c>
      <c r="K88" s="102">
        <f>IFERROR(VLOOKUP($B88,MMWR_TRAD_AGG_STATE_PEN[],K$1,0),"ERROR")</f>
        <v>3</v>
      </c>
      <c r="L88" s="103">
        <f>IFERROR(VLOOKUP($B88,MMWR_TRAD_AGG_STATE_PEN[],L$1,0),"ERROR")</f>
        <v>3</v>
      </c>
      <c r="M88" s="105">
        <f t="shared" si="10"/>
        <v>1</v>
      </c>
      <c r="N88" s="102">
        <f>IFERROR(VLOOKUP($B88,MMWR_TRAD_AGG_STATE_PEN[],N$1,0),"ERROR")</f>
        <v>27</v>
      </c>
      <c r="O88" s="103">
        <f>IFERROR(VLOOKUP($B88,MMWR_TRAD_AGG_STATE_PEN[],O$1,0),"ERROR")</f>
        <v>11</v>
      </c>
      <c r="P88" s="105">
        <f t="shared" si="11"/>
        <v>0.40740740740740738</v>
      </c>
      <c r="Q88" s="106">
        <f>IFERROR(VLOOKUP($B88,MMWR_TRAD_AGG_STATE_PEN[],Q$1,0),"ERROR")</f>
        <v>49</v>
      </c>
      <c r="R88" s="106">
        <f>IFERROR(VLOOKUP($B88,MMWR_TRAD_AGG_STATE_PEN[],R$1,0),"ERROR")</f>
        <v>63</v>
      </c>
      <c r="S88" s="106">
        <f>IFERROR(VLOOKUP($B88,MMWR_APP_STATE_PEN[],S$1,0),"ERROR")</f>
        <v>176</v>
      </c>
      <c r="T88" s="28"/>
    </row>
    <row r="89" spans="1:20" s="114" customFormat="1" x14ac:dyDescent="0.2">
      <c r="A89" s="28"/>
      <c r="B89" s="118" t="s">
        <v>395</v>
      </c>
      <c r="C89" s="100">
        <f>IFERROR(VLOOKUP($B89,MMWR_TRAD_AGG_STATE_PEN[],C$1,0),"ERROR")</f>
        <v>128</v>
      </c>
      <c r="D89" s="101">
        <f>IFERROR(VLOOKUP($B89,MMWR_TRAD_AGG_STATE_PEN[],D$1,0),"ERROR")</f>
        <v>40.546875</v>
      </c>
      <c r="E89" s="102">
        <f>IFERROR(VLOOKUP($B89,MMWR_TRAD_AGG_STATE_PEN[],E$1,0),"ERROR")</f>
        <v>266</v>
      </c>
      <c r="F89" s="103">
        <f>IFERROR(VLOOKUP($B89,MMWR_TRAD_AGG_STATE_PEN[],F$1,0),"ERROR")</f>
        <v>8</v>
      </c>
      <c r="G89" s="104">
        <f t="shared" si="8"/>
        <v>3.007518796992481E-2</v>
      </c>
      <c r="H89" s="102">
        <f>IFERROR(VLOOKUP($B89,MMWR_TRAD_AGG_STATE_PEN[],H$1,0),"ERROR")</f>
        <v>191</v>
      </c>
      <c r="I89" s="103">
        <f>IFERROR(VLOOKUP($B89,MMWR_TRAD_AGG_STATE_PEN[],I$1,0),"ERROR")</f>
        <v>2</v>
      </c>
      <c r="J89" s="105">
        <f t="shared" si="9"/>
        <v>1.0471204188481676E-2</v>
      </c>
      <c r="K89" s="102">
        <f>IFERROR(VLOOKUP($B89,MMWR_TRAD_AGG_STATE_PEN[],K$1,0),"ERROR")</f>
        <v>0</v>
      </c>
      <c r="L89" s="103">
        <f>IFERROR(VLOOKUP($B89,MMWR_TRAD_AGG_STATE_PEN[],L$1,0),"ERROR")</f>
        <v>0</v>
      </c>
      <c r="M89" s="105" t="str">
        <f t="shared" si="10"/>
        <v>0%</v>
      </c>
      <c r="N89" s="102">
        <f>IFERROR(VLOOKUP($B89,MMWR_TRAD_AGG_STATE_PEN[],N$1,0),"ERROR")</f>
        <v>9</v>
      </c>
      <c r="O89" s="103">
        <f>IFERROR(VLOOKUP($B89,MMWR_TRAD_AGG_STATE_PEN[],O$1,0),"ERROR")</f>
        <v>3</v>
      </c>
      <c r="P89" s="105">
        <f t="shared" si="11"/>
        <v>0.33333333333333331</v>
      </c>
      <c r="Q89" s="106">
        <f>IFERROR(VLOOKUP($B89,MMWR_TRAD_AGG_STATE_PEN[],Q$1,0),"ERROR")</f>
        <v>284</v>
      </c>
      <c r="R89" s="106">
        <f>IFERROR(VLOOKUP($B89,MMWR_TRAD_AGG_STATE_PEN[],R$1,0),"ERROR")</f>
        <v>26</v>
      </c>
      <c r="S89" s="106">
        <f>IFERROR(VLOOKUP($B89,MMWR_APP_STATE_PEN[],S$1,0),"ERROR")</f>
        <v>34</v>
      </c>
      <c r="T89" s="28"/>
    </row>
    <row r="90" spans="1:20" s="114" customFormat="1" x14ac:dyDescent="0.2">
      <c r="A90" s="28"/>
      <c r="B90" s="118" t="s">
        <v>418</v>
      </c>
      <c r="C90" s="100">
        <f>IFERROR(VLOOKUP($B90,MMWR_TRAD_AGG_STATE_PEN[],C$1,0),"ERROR")</f>
        <v>100</v>
      </c>
      <c r="D90" s="101">
        <f>IFERROR(VLOOKUP($B90,MMWR_TRAD_AGG_STATE_PEN[],D$1,0),"ERROR")</f>
        <v>43.61</v>
      </c>
      <c r="E90" s="102">
        <f>IFERROR(VLOOKUP($B90,MMWR_TRAD_AGG_STATE_PEN[],E$1,0),"ERROR")</f>
        <v>218</v>
      </c>
      <c r="F90" s="103">
        <f>IFERROR(VLOOKUP($B90,MMWR_TRAD_AGG_STATE_PEN[],F$1,0),"ERROR")</f>
        <v>9</v>
      </c>
      <c r="G90" s="104">
        <f t="shared" si="8"/>
        <v>4.1284403669724773E-2</v>
      </c>
      <c r="H90" s="102">
        <f>IFERROR(VLOOKUP($B90,MMWR_TRAD_AGG_STATE_PEN[],H$1,0),"ERROR")</f>
        <v>144</v>
      </c>
      <c r="I90" s="103">
        <f>IFERROR(VLOOKUP($B90,MMWR_TRAD_AGG_STATE_PEN[],I$1,0),"ERROR")</f>
        <v>4</v>
      </c>
      <c r="J90" s="105">
        <f t="shared" si="9"/>
        <v>2.7777777777777776E-2</v>
      </c>
      <c r="K90" s="102">
        <f>IFERROR(VLOOKUP($B90,MMWR_TRAD_AGG_STATE_PEN[],K$1,0),"ERROR")</f>
        <v>0</v>
      </c>
      <c r="L90" s="103">
        <f>IFERROR(VLOOKUP($B90,MMWR_TRAD_AGG_STATE_PEN[],L$1,0),"ERROR")</f>
        <v>0</v>
      </c>
      <c r="M90" s="105" t="str">
        <f t="shared" si="10"/>
        <v>0%</v>
      </c>
      <c r="N90" s="102">
        <f>IFERROR(VLOOKUP($B90,MMWR_TRAD_AGG_STATE_PEN[],N$1,0),"ERROR")</f>
        <v>5</v>
      </c>
      <c r="O90" s="103">
        <f>IFERROR(VLOOKUP($B90,MMWR_TRAD_AGG_STATE_PEN[],O$1,0),"ERROR")</f>
        <v>2</v>
      </c>
      <c r="P90" s="105">
        <f t="shared" si="11"/>
        <v>0.4</v>
      </c>
      <c r="Q90" s="106">
        <f>IFERROR(VLOOKUP($B90,MMWR_TRAD_AGG_STATE_PEN[],Q$1,0),"ERROR")</f>
        <v>152</v>
      </c>
      <c r="R90" s="106">
        <f>IFERROR(VLOOKUP($B90,MMWR_TRAD_AGG_STATE_PEN[],R$1,0),"ERROR")</f>
        <v>17</v>
      </c>
      <c r="S90" s="106">
        <f>IFERROR(VLOOKUP($B90,MMWR_APP_STATE_PEN[],S$1,0),"ERROR")</f>
        <v>31</v>
      </c>
      <c r="T90" s="28"/>
    </row>
    <row r="91" spans="1:20" s="114" customFormat="1" x14ac:dyDescent="0.2">
      <c r="A91" s="28"/>
      <c r="B91" s="118" t="s">
        <v>391</v>
      </c>
      <c r="C91" s="100">
        <f>IFERROR(VLOOKUP($B91,MMWR_TRAD_AGG_STATE_PEN[],C$1,0),"ERROR")</f>
        <v>393</v>
      </c>
      <c r="D91" s="101">
        <f>IFERROR(VLOOKUP($B91,MMWR_TRAD_AGG_STATE_PEN[],D$1,0),"ERROR")</f>
        <v>50.788804071199998</v>
      </c>
      <c r="E91" s="102">
        <f>IFERROR(VLOOKUP($B91,MMWR_TRAD_AGG_STATE_PEN[],E$1,0),"ERROR")</f>
        <v>1137</v>
      </c>
      <c r="F91" s="103">
        <f>IFERROR(VLOOKUP($B91,MMWR_TRAD_AGG_STATE_PEN[],F$1,0),"ERROR")</f>
        <v>107</v>
      </c>
      <c r="G91" s="104">
        <f t="shared" si="8"/>
        <v>9.4107299912049247E-2</v>
      </c>
      <c r="H91" s="102">
        <f>IFERROR(VLOOKUP($B91,MMWR_TRAD_AGG_STATE_PEN[],H$1,0),"ERROR")</f>
        <v>619</v>
      </c>
      <c r="I91" s="103">
        <f>IFERROR(VLOOKUP($B91,MMWR_TRAD_AGG_STATE_PEN[],I$1,0),"ERROR")</f>
        <v>36</v>
      </c>
      <c r="J91" s="105">
        <f t="shared" si="9"/>
        <v>5.8158319870759291E-2</v>
      </c>
      <c r="K91" s="102">
        <f>IFERROR(VLOOKUP($B91,MMWR_TRAD_AGG_STATE_PEN[],K$1,0),"ERROR")</f>
        <v>1</v>
      </c>
      <c r="L91" s="103">
        <f>IFERROR(VLOOKUP($B91,MMWR_TRAD_AGG_STATE_PEN[],L$1,0),"ERROR")</f>
        <v>1</v>
      </c>
      <c r="M91" s="105">
        <f t="shared" si="10"/>
        <v>1</v>
      </c>
      <c r="N91" s="102">
        <f>IFERROR(VLOOKUP($B91,MMWR_TRAD_AGG_STATE_PEN[],N$1,0),"ERROR")</f>
        <v>54</v>
      </c>
      <c r="O91" s="103">
        <f>IFERROR(VLOOKUP($B91,MMWR_TRAD_AGG_STATE_PEN[],O$1,0),"ERROR")</f>
        <v>9</v>
      </c>
      <c r="P91" s="105">
        <f t="shared" si="11"/>
        <v>0.16666666666666666</v>
      </c>
      <c r="Q91" s="106">
        <f>IFERROR(VLOOKUP($B91,MMWR_TRAD_AGG_STATE_PEN[],Q$1,0),"ERROR")</f>
        <v>105</v>
      </c>
      <c r="R91" s="106">
        <f>IFERROR(VLOOKUP($B91,MMWR_TRAD_AGG_STATE_PEN[],R$1,0),"ERROR")</f>
        <v>81</v>
      </c>
      <c r="S91" s="106">
        <f>IFERROR(VLOOKUP($B91,MMWR_APP_STATE_PEN[],S$1,0),"ERROR")</f>
        <v>259</v>
      </c>
      <c r="T91" s="28"/>
    </row>
    <row r="92" spans="1:20" s="114" customFormat="1" x14ac:dyDescent="0.2">
      <c r="A92" s="28"/>
      <c r="B92" s="118" t="s">
        <v>397</v>
      </c>
      <c r="C92" s="100">
        <f>IFERROR(VLOOKUP($B92,MMWR_TRAD_AGG_STATE_PEN[],C$1,0),"ERROR")</f>
        <v>165</v>
      </c>
      <c r="D92" s="101">
        <f>IFERROR(VLOOKUP($B92,MMWR_TRAD_AGG_STATE_PEN[],D$1,0),"ERROR")</f>
        <v>40.1575757576</v>
      </c>
      <c r="E92" s="102">
        <f>IFERROR(VLOOKUP($B92,MMWR_TRAD_AGG_STATE_PEN[],E$1,0),"ERROR")</f>
        <v>299</v>
      </c>
      <c r="F92" s="103">
        <f>IFERROR(VLOOKUP($B92,MMWR_TRAD_AGG_STATE_PEN[],F$1,0),"ERROR")</f>
        <v>9</v>
      </c>
      <c r="G92" s="104">
        <f t="shared" si="8"/>
        <v>3.0100334448160536E-2</v>
      </c>
      <c r="H92" s="102">
        <f>IFERROR(VLOOKUP($B92,MMWR_TRAD_AGG_STATE_PEN[],H$1,0),"ERROR")</f>
        <v>232</v>
      </c>
      <c r="I92" s="103">
        <f>IFERROR(VLOOKUP($B92,MMWR_TRAD_AGG_STATE_PEN[],I$1,0),"ERROR")</f>
        <v>7</v>
      </c>
      <c r="J92" s="105">
        <f t="shared" si="9"/>
        <v>3.017241379310345E-2</v>
      </c>
      <c r="K92" s="102">
        <f>IFERROR(VLOOKUP($B92,MMWR_TRAD_AGG_STATE_PEN[],K$1,0),"ERROR")</f>
        <v>2</v>
      </c>
      <c r="L92" s="103">
        <f>IFERROR(VLOOKUP($B92,MMWR_TRAD_AGG_STATE_PEN[],L$1,0),"ERROR")</f>
        <v>2</v>
      </c>
      <c r="M92" s="105">
        <f t="shared" si="10"/>
        <v>1</v>
      </c>
      <c r="N92" s="102">
        <f>IFERROR(VLOOKUP($B92,MMWR_TRAD_AGG_STATE_PEN[],N$1,0),"ERROR")</f>
        <v>7</v>
      </c>
      <c r="O92" s="103">
        <f>IFERROR(VLOOKUP($B92,MMWR_TRAD_AGG_STATE_PEN[],O$1,0),"ERROR")</f>
        <v>3</v>
      </c>
      <c r="P92" s="105">
        <f t="shared" si="11"/>
        <v>0.42857142857142855</v>
      </c>
      <c r="Q92" s="106">
        <f>IFERROR(VLOOKUP($B92,MMWR_TRAD_AGG_STATE_PEN[],Q$1,0),"ERROR")</f>
        <v>598</v>
      </c>
      <c r="R92" s="106">
        <f>IFERROR(VLOOKUP($B92,MMWR_TRAD_AGG_STATE_PEN[],R$1,0),"ERROR")</f>
        <v>23</v>
      </c>
      <c r="S92" s="106">
        <f>IFERROR(VLOOKUP($B92,MMWR_APP_STATE_PEN[],S$1,0),"ERROR")</f>
        <v>31</v>
      </c>
      <c r="T92" s="28"/>
    </row>
    <row r="93" spans="1:20" s="114" customFormat="1" x14ac:dyDescent="0.2">
      <c r="A93" s="28"/>
      <c r="B93" s="118" t="s">
        <v>393</v>
      </c>
      <c r="C93" s="100">
        <f>IFERROR(VLOOKUP($B93,MMWR_TRAD_AGG_STATE_PEN[],C$1,0),"ERROR")</f>
        <v>307</v>
      </c>
      <c r="D93" s="101">
        <f>IFERROR(VLOOKUP($B93,MMWR_TRAD_AGG_STATE_PEN[],D$1,0),"ERROR")</f>
        <v>44.501628664499997</v>
      </c>
      <c r="E93" s="102">
        <f>IFERROR(VLOOKUP($B93,MMWR_TRAD_AGG_STATE_PEN[],E$1,0),"ERROR")</f>
        <v>639</v>
      </c>
      <c r="F93" s="103">
        <f>IFERROR(VLOOKUP($B93,MMWR_TRAD_AGG_STATE_PEN[],F$1,0),"ERROR")</f>
        <v>74</v>
      </c>
      <c r="G93" s="104">
        <f t="shared" si="8"/>
        <v>0.11580594679186229</v>
      </c>
      <c r="H93" s="102">
        <f>IFERROR(VLOOKUP($B93,MMWR_TRAD_AGG_STATE_PEN[],H$1,0),"ERROR")</f>
        <v>496</v>
      </c>
      <c r="I93" s="103">
        <f>IFERROR(VLOOKUP($B93,MMWR_TRAD_AGG_STATE_PEN[],I$1,0),"ERROR")</f>
        <v>27</v>
      </c>
      <c r="J93" s="105">
        <f t="shared" si="9"/>
        <v>5.4435483870967742E-2</v>
      </c>
      <c r="K93" s="102">
        <f>IFERROR(VLOOKUP($B93,MMWR_TRAD_AGG_STATE_PEN[],K$1,0),"ERROR")</f>
        <v>2</v>
      </c>
      <c r="L93" s="103">
        <f>IFERROR(VLOOKUP($B93,MMWR_TRAD_AGG_STATE_PEN[],L$1,0),"ERROR")</f>
        <v>1</v>
      </c>
      <c r="M93" s="105">
        <f t="shared" si="10"/>
        <v>0.5</v>
      </c>
      <c r="N93" s="102">
        <f>IFERROR(VLOOKUP($B93,MMWR_TRAD_AGG_STATE_PEN[],N$1,0),"ERROR")</f>
        <v>42</v>
      </c>
      <c r="O93" s="103">
        <f>IFERROR(VLOOKUP($B93,MMWR_TRAD_AGG_STATE_PEN[],O$1,0),"ERROR")</f>
        <v>16</v>
      </c>
      <c r="P93" s="105">
        <f t="shared" si="11"/>
        <v>0.38095238095238093</v>
      </c>
      <c r="Q93" s="106">
        <f>IFERROR(VLOOKUP($B93,MMWR_TRAD_AGG_STATE_PEN[],Q$1,0),"ERROR")</f>
        <v>102</v>
      </c>
      <c r="R93" s="106">
        <f>IFERROR(VLOOKUP($B93,MMWR_TRAD_AGG_STATE_PEN[],R$1,0),"ERROR")</f>
        <v>43</v>
      </c>
      <c r="S93" s="106">
        <f>IFERROR(VLOOKUP($B93,MMWR_APP_STATE_PEN[],S$1,0),"ERROR")</f>
        <v>221</v>
      </c>
      <c r="T93" s="28"/>
    </row>
    <row r="94" spans="1:20" s="114" customFormat="1" x14ac:dyDescent="0.2">
      <c r="A94" s="28"/>
      <c r="B94" s="118" t="s">
        <v>396</v>
      </c>
      <c r="C94" s="100">
        <f>IFERROR(VLOOKUP($B94,MMWR_TRAD_AGG_STATE_PEN[],C$1,0),"ERROR")</f>
        <v>46</v>
      </c>
      <c r="D94" s="101">
        <f>IFERROR(VLOOKUP($B94,MMWR_TRAD_AGG_STATE_PEN[],D$1,0),"ERROR")</f>
        <v>29.608695652200002</v>
      </c>
      <c r="E94" s="102">
        <f>IFERROR(VLOOKUP($B94,MMWR_TRAD_AGG_STATE_PEN[],E$1,0),"ERROR")</f>
        <v>79</v>
      </c>
      <c r="F94" s="103">
        <f>IFERROR(VLOOKUP($B94,MMWR_TRAD_AGG_STATE_PEN[],F$1,0),"ERROR")</f>
        <v>6</v>
      </c>
      <c r="G94" s="104">
        <f t="shared" si="8"/>
        <v>7.5949367088607597E-2</v>
      </c>
      <c r="H94" s="102">
        <f>IFERROR(VLOOKUP($B94,MMWR_TRAD_AGG_STATE_PEN[],H$1,0),"ERROR")</f>
        <v>65</v>
      </c>
      <c r="I94" s="103">
        <f>IFERROR(VLOOKUP($B94,MMWR_TRAD_AGG_STATE_PEN[],I$1,0),"ERROR")</f>
        <v>2</v>
      </c>
      <c r="J94" s="105">
        <f t="shared" si="9"/>
        <v>3.0769230769230771E-2</v>
      </c>
      <c r="K94" s="102">
        <f>IFERROR(VLOOKUP($B94,MMWR_TRAD_AGG_STATE_PEN[],K$1,0),"ERROR")</f>
        <v>0</v>
      </c>
      <c r="L94" s="103">
        <f>IFERROR(VLOOKUP($B94,MMWR_TRAD_AGG_STATE_PEN[],L$1,0),"ERROR")</f>
        <v>0</v>
      </c>
      <c r="M94" s="105" t="str">
        <f t="shared" si="10"/>
        <v>0%</v>
      </c>
      <c r="N94" s="102">
        <f>IFERROR(VLOOKUP($B94,MMWR_TRAD_AGG_STATE_PEN[],N$1,0),"ERROR")</f>
        <v>1</v>
      </c>
      <c r="O94" s="103">
        <f>IFERROR(VLOOKUP($B94,MMWR_TRAD_AGG_STATE_PEN[],O$1,0),"ERROR")</f>
        <v>0</v>
      </c>
      <c r="P94" s="105">
        <f t="shared" si="11"/>
        <v>0</v>
      </c>
      <c r="Q94" s="106">
        <f>IFERROR(VLOOKUP($B94,MMWR_TRAD_AGG_STATE_PEN[],Q$1,0),"ERROR")</f>
        <v>183</v>
      </c>
      <c r="R94" s="106">
        <f>IFERROR(VLOOKUP($B94,MMWR_TRAD_AGG_STATE_PEN[],R$1,0),"ERROR")</f>
        <v>12</v>
      </c>
      <c r="S94" s="106">
        <f>IFERROR(VLOOKUP($B94,MMWR_APP_STATE_PEN[],S$1,0),"ERROR")</f>
        <v>25</v>
      </c>
      <c r="T94" s="28"/>
    </row>
    <row r="95" spans="1:20" s="114" customFormat="1" x14ac:dyDescent="0.2">
      <c r="A95" s="28"/>
      <c r="B95" s="118" t="s">
        <v>415</v>
      </c>
      <c r="C95" s="100">
        <f>IFERROR(VLOOKUP($B95,MMWR_TRAD_AGG_STATE_PEN[],C$1,0),"ERROR")</f>
        <v>19</v>
      </c>
      <c r="D95" s="101">
        <f>IFERROR(VLOOKUP($B95,MMWR_TRAD_AGG_STATE_PEN[],D$1,0),"ERROR")</f>
        <v>33</v>
      </c>
      <c r="E95" s="102">
        <f>IFERROR(VLOOKUP($B95,MMWR_TRAD_AGG_STATE_PEN[],E$1,0),"ERROR")</f>
        <v>39</v>
      </c>
      <c r="F95" s="103">
        <f>IFERROR(VLOOKUP($B95,MMWR_TRAD_AGG_STATE_PEN[],F$1,0),"ERROR")</f>
        <v>1</v>
      </c>
      <c r="G95" s="104">
        <f t="shared" si="8"/>
        <v>2.564102564102564E-2</v>
      </c>
      <c r="H95" s="102">
        <f>IFERROR(VLOOKUP($B95,MMWR_TRAD_AGG_STATE_PEN[],H$1,0),"ERROR")</f>
        <v>28</v>
      </c>
      <c r="I95" s="103">
        <f>IFERROR(VLOOKUP($B95,MMWR_TRAD_AGG_STATE_PEN[],I$1,0),"ERROR")</f>
        <v>0</v>
      </c>
      <c r="J95" s="105">
        <f t="shared" si="9"/>
        <v>0</v>
      </c>
      <c r="K95" s="102">
        <f>IFERROR(VLOOKUP($B95,MMWR_TRAD_AGG_STATE_PEN[],K$1,0),"ERROR")</f>
        <v>0</v>
      </c>
      <c r="L95" s="103">
        <f>IFERROR(VLOOKUP($B95,MMWR_TRAD_AGG_STATE_PEN[],L$1,0),"ERROR")</f>
        <v>0</v>
      </c>
      <c r="M95" s="105" t="str">
        <f t="shared" si="10"/>
        <v>0%</v>
      </c>
      <c r="N95" s="102">
        <f>IFERROR(VLOOKUP($B95,MMWR_TRAD_AGG_STATE_PEN[],N$1,0),"ERROR")</f>
        <v>0</v>
      </c>
      <c r="O95" s="103">
        <f>IFERROR(VLOOKUP($B95,MMWR_TRAD_AGG_STATE_PEN[],O$1,0),"ERROR")</f>
        <v>0</v>
      </c>
      <c r="P95" s="105" t="str">
        <f t="shared" si="11"/>
        <v>0%</v>
      </c>
      <c r="Q95" s="106">
        <f>IFERROR(VLOOKUP($B95,MMWR_TRAD_AGG_STATE_PEN[],Q$1,0),"ERROR")</f>
        <v>61</v>
      </c>
      <c r="R95" s="106">
        <f>IFERROR(VLOOKUP($B95,MMWR_TRAD_AGG_STATE_PEN[],R$1,0),"ERROR")</f>
        <v>4</v>
      </c>
      <c r="S95" s="106">
        <f>IFERROR(VLOOKUP($B95,MMWR_APP_STATE_PEN[],S$1,0),"ERROR")</f>
        <v>9</v>
      </c>
      <c r="T95" s="28"/>
    </row>
    <row r="96" spans="1:20" s="114" customFormat="1" x14ac:dyDescent="0.2">
      <c r="A96" s="28"/>
      <c r="B96" s="118" t="s">
        <v>387</v>
      </c>
      <c r="C96" s="100">
        <f>IFERROR(VLOOKUP($B96,MMWR_TRAD_AGG_STATE_PEN[],C$1,0),"ERROR")</f>
        <v>435</v>
      </c>
      <c r="D96" s="101">
        <f>IFERROR(VLOOKUP($B96,MMWR_TRAD_AGG_STATE_PEN[],D$1,0),"ERROR")</f>
        <v>55.264367816099998</v>
      </c>
      <c r="E96" s="102">
        <f>IFERROR(VLOOKUP($B96,MMWR_TRAD_AGG_STATE_PEN[],E$1,0),"ERROR")</f>
        <v>1276</v>
      </c>
      <c r="F96" s="103">
        <f>IFERROR(VLOOKUP($B96,MMWR_TRAD_AGG_STATE_PEN[],F$1,0),"ERROR")</f>
        <v>154</v>
      </c>
      <c r="G96" s="104">
        <f t="shared" si="8"/>
        <v>0.1206896551724138</v>
      </c>
      <c r="H96" s="102">
        <f>IFERROR(VLOOKUP($B96,MMWR_TRAD_AGG_STATE_PEN[],H$1,0),"ERROR")</f>
        <v>744</v>
      </c>
      <c r="I96" s="103">
        <f>IFERROR(VLOOKUP($B96,MMWR_TRAD_AGG_STATE_PEN[],I$1,0),"ERROR")</f>
        <v>58</v>
      </c>
      <c r="J96" s="105">
        <f t="shared" si="9"/>
        <v>7.7956989247311828E-2</v>
      </c>
      <c r="K96" s="102">
        <f>IFERROR(VLOOKUP($B96,MMWR_TRAD_AGG_STATE_PEN[],K$1,0),"ERROR")</f>
        <v>8</v>
      </c>
      <c r="L96" s="103">
        <f>IFERROR(VLOOKUP($B96,MMWR_TRAD_AGG_STATE_PEN[],L$1,0),"ERROR")</f>
        <v>7</v>
      </c>
      <c r="M96" s="105">
        <f t="shared" si="10"/>
        <v>0.875</v>
      </c>
      <c r="N96" s="102">
        <f>IFERROR(VLOOKUP($B96,MMWR_TRAD_AGG_STATE_PEN[],N$1,0),"ERROR")</f>
        <v>51</v>
      </c>
      <c r="O96" s="103">
        <f>IFERROR(VLOOKUP($B96,MMWR_TRAD_AGG_STATE_PEN[],O$1,0),"ERROR")</f>
        <v>13</v>
      </c>
      <c r="P96" s="105">
        <f t="shared" si="11"/>
        <v>0.25490196078431371</v>
      </c>
      <c r="Q96" s="106">
        <f>IFERROR(VLOOKUP($B96,MMWR_TRAD_AGG_STATE_PEN[],Q$1,0),"ERROR")</f>
        <v>113</v>
      </c>
      <c r="R96" s="106">
        <f>IFERROR(VLOOKUP($B96,MMWR_TRAD_AGG_STATE_PEN[],R$1,0),"ERROR")</f>
        <v>115</v>
      </c>
      <c r="S96" s="106">
        <f>IFERROR(VLOOKUP($B96,MMWR_APP_STATE_PEN[],S$1,0),"ERROR")</f>
        <v>381</v>
      </c>
      <c r="T96" s="28"/>
    </row>
    <row r="97" spans="1:20" s="114" customFormat="1" x14ac:dyDescent="0.2">
      <c r="A97" s="28"/>
      <c r="B97" s="118" t="s">
        <v>416</v>
      </c>
      <c r="C97" s="100">
        <f>IFERROR(VLOOKUP($B97,MMWR_TRAD_AGG_STATE_PEN[],C$1,0),"ERROR")</f>
        <v>41</v>
      </c>
      <c r="D97" s="101">
        <f>IFERROR(VLOOKUP($B97,MMWR_TRAD_AGG_STATE_PEN[],D$1,0),"ERROR")</f>
        <v>36.439024390199997</v>
      </c>
      <c r="E97" s="102">
        <f>IFERROR(VLOOKUP($B97,MMWR_TRAD_AGG_STATE_PEN[],E$1,0),"ERROR")</f>
        <v>55</v>
      </c>
      <c r="F97" s="103">
        <f>IFERROR(VLOOKUP($B97,MMWR_TRAD_AGG_STATE_PEN[],F$1,0),"ERROR")</f>
        <v>0</v>
      </c>
      <c r="G97" s="104">
        <f t="shared" si="8"/>
        <v>0</v>
      </c>
      <c r="H97" s="102">
        <f>IFERROR(VLOOKUP($B97,MMWR_TRAD_AGG_STATE_PEN[],H$1,0),"ERROR")</f>
        <v>55</v>
      </c>
      <c r="I97" s="103">
        <f>IFERROR(VLOOKUP($B97,MMWR_TRAD_AGG_STATE_PEN[],I$1,0),"ERROR")</f>
        <v>0</v>
      </c>
      <c r="J97" s="105">
        <f t="shared" si="9"/>
        <v>0</v>
      </c>
      <c r="K97" s="102">
        <f>IFERROR(VLOOKUP($B97,MMWR_TRAD_AGG_STATE_PEN[],K$1,0),"ERROR")</f>
        <v>0</v>
      </c>
      <c r="L97" s="103">
        <f>IFERROR(VLOOKUP($B97,MMWR_TRAD_AGG_STATE_PEN[],L$1,0),"ERROR")</f>
        <v>0</v>
      </c>
      <c r="M97" s="105" t="str">
        <f t="shared" si="10"/>
        <v>0%</v>
      </c>
      <c r="N97" s="102">
        <f>IFERROR(VLOOKUP($B97,MMWR_TRAD_AGG_STATE_PEN[],N$1,0),"ERROR")</f>
        <v>3</v>
      </c>
      <c r="O97" s="103">
        <f>IFERROR(VLOOKUP($B97,MMWR_TRAD_AGG_STATE_PEN[],O$1,0),"ERROR")</f>
        <v>0</v>
      </c>
      <c r="P97" s="105">
        <f t="shared" si="11"/>
        <v>0</v>
      </c>
      <c r="Q97" s="106">
        <f>IFERROR(VLOOKUP($B97,MMWR_TRAD_AGG_STATE_PEN[],Q$1,0),"ERROR")</f>
        <v>91</v>
      </c>
      <c r="R97" s="106">
        <f>IFERROR(VLOOKUP($B97,MMWR_TRAD_AGG_STATE_PEN[],R$1,0),"ERROR")</f>
        <v>4</v>
      </c>
      <c r="S97" s="106">
        <f>IFERROR(VLOOKUP($B97,MMWR_APP_STATE_PEN[],S$1,0),"ERROR")</f>
        <v>10</v>
      </c>
      <c r="T97" s="28"/>
    </row>
    <row r="98" spans="1:20" s="114" customFormat="1" x14ac:dyDescent="0.2">
      <c r="A98" s="28"/>
      <c r="B98" s="118" t="s">
        <v>392</v>
      </c>
      <c r="C98" s="100">
        <f>IFERROR(VLOOKUP($B98,MMWR_TRAD_AGG_STATE_PEN[],C$1,0),"ERROR")</f>
        <v>195</v>
      </c>
      <c r="D98" s="101">
        <f>IFERROR(VLOOKUP($B98,MMWR_TRAD_AGG_STATE_PEN[],D$1,0),"ERROR")</f>
        <v>44.020512820500002</v>
      </c>
      <c r="E98" s="102">
        <f>IFERROR(VLOOKUP($B98,MMWR_TRAD_AGG_STATE_PEN[],E$1,0),"ERROR")</f>
        <v>393</v>
      </c>
      <c r="F98" s="103">
        <f>IFERROR(VLOOKUP($B98,MMWR_TRAD_AGG_STATE_PEN[],F$1,0),"ERROR")</f>
        <v>37</v>
      </c>
      <c r="G98" s="104">
        <f t="shared" si="8"/>
        <v>9.4147582697201013E-2</v>
      </c>
      <c r="H98" s="102">
        <f>IFERROR(VLOOKUP($B98,MMWR_TRAD_AGG_STATE_PEN[],H$1,0),"ERROR")</f>
        <v>308</v>
      </c>
      <c r="I98" s="103">
        <f>IFERROR(VLOOKUP($B98,MMWR_TRAD_AGG_STATE_PEN[],I$1,0),"ERROR")</f>
        <v>11</v>
      </c>
      <c r="J98" s="105">
        <f t="shared" si="9"/>
        <v>3.5714285714285712E-2</v>
      </c>
      <c r="K98" s="102">
        <f>IFERROR(VLOOKUP($B98,MMWR_TRAD_AGG_STATE_PEN[],K$1,0),"ERROR")</f>
        <v>2</v>
      </c>
      <c r="L98" s="103">
        <f>IFERROR(VLOOKUP($B98,MMWR_TRAD_AGG_STATE_PEN[],L$1,0),"ERROR")</f>
        <v>1</v>
      </c>
      <c r="M98" s="105">
        <f t="shared" si="10"/>
        <v>0.5</v>
      </c>
      <c r="N98" s="102">
        <f>IFERROR(VLOOKUP($B98,MMWR_TRAD_AGG_STATE_PEN[],N$1,0),"ERROR")</f>
        <v>22</v>
      </c>
      <c r="O98" s="103">
        <f>IFERROR(VLOOKUP($B98,MMWR_TRAD_AGG_STATE_PEN[],O$1,0),"ERROR")</f>
        <v>9</v>
      </c>
      <c r="P98" s="105">
        <f t="shared" si="11"/>
        <v>0.40909090909090912</v>
      </c>
      <c r="Q98" s="106">
        <f>IFERROR(VLOOKUP($B98,MMWR_TRAD_AGG_STATE_PEN[],Q$1,0),"ERROR")</f>
        <v>62</v>
      </c>
      <c r="R98" s="106">
        <f>IFERROR(VLOOKUP($B98,MMWR_TRAD_AGG_STATE_PEN[],R$1,0),"ERROR")</f>
        <v>27</v>
      </c>
      <c r="S98" s="106">
        <f>IFERROR(VLOOKUP($B98,MMWR_APP_STATE_PEN[],S$1,0),"ERROR")</f>
        <v>100</v>
      </c>
      <c r="T98" s="28"/>
    </row>
    <row r="99" spans="1:20" s="114" customFormat="1" x14ac:dyDescent="0.2">
      <c r="A99" s="28"/>
      <c r="B99" s="117" t="s">
        <v>381</v>
      </c>
      <c r="C99" s="93">
        <f>IFERROR(VLOOKUP($B99,MMWR_TRAD_AGG_ST_DISTRICT_PEN[],C$1,0),"ERROR")</f>
        <v>1786</v>
      </c>
      <c r="D99" s="94">
        <f>IFERROR(VLOOKUP($B99,MMWR_TRAD_AGG_ST_DISTRICT_PEN[],D$1,0),"ERROR")</f>
        <v>46.475363941799998</v>
      </c>
      <c r="E99" s="93">
        <f>IFERROR(VLOOKUP($B99,MMWR_TRAD_AGG_ST_DISTRICT_PEN[],E$1,0),"ERROR")</f>
        <v>3204</v>
      </c>
      <c r="F99" s="93">
        <f>IFERROR(VLOOKUP($B99,MMWR_TRAD_AGG_ST_DISTRICT_PEN[],F$1,0),"ERROR")</f>
        <v>168</v>
      </c>
      <c r="G99" s="95">
        <f t="shared" si="8"/>
        <v>5.2434456928838954E-2</v>
      </c>
      <c r="H99" s="93">
        <f>IFERROR(VLOOKUP($B99,MMWR_TRAD_AGG_ST_DISTRICT_PEN[],H$1,0),"ERROR")</f>
        <v>2614</v>
      </c>
      <c r="I99" s="93">
        <f>IFERROR(VLOOKUP($B99,MMWR_TRAD_AGG_ST_DISTRICT_PEN[],I$1,0),"ERROR")</f>
        <v>147</v>
      </c>
      <c r="J99" s="95">
        <f t="shared" si="9"/>
        <v>5.6235654169854626E-2</v>
      </c>
      <c r="K99" s="93">
        <f>IFERROR(VLOOKUP($B99,MMWR_TRAD_AGG_ST_DISTRICT_PEN[],K$1,0),"ERROR")</f>
        <v>25</v>
      </c>
      <c r="L99" s="93">
        <f>IFERROR(VLOOKUP($B99,MMWR_TRAD_AGG_ST_DISTRICT_PEN[],L$1,0),"ERROR")</f>
        <v>19</v>
      </c>
      <c r="M99" s="95">
        <f t="shared" si="10"/>
        <v>0.76</v>
      </c>
      <c r="N99" s="93">
        <f>IFERROR(VLOOKUP($B99,MMWR_TRAD_AGG_ST_DISTRICT_PEN[],N$1,0),"ERROR")</f>
        <v>159</v>
      </c>
      <c r="O99" s="93">
        <f>IFERROR(VLOOKUP($B99,MMWR_TRAD_AGG_ST_DISTRICT_PEN[],O$1,0),"ERROR")</f>
        <v>65</v>
      </c>
      <c r="P99" s="95">
        <f t="shared" si="11"/>
        <v>0.4088050314465409</v>
      </c>
      <c r="Q99" s="93">
        <f>IFERROR(VLOOKUP($B99,MMWR_TRAD_AGG_ST_DISTRICT_PEN[],Q$1,0),"ERROR")</f>
        <v>2413</v>
      </c>
      <c r="R99" s="97">
        <f>IFERROR(VLOOKUP($B99,MMWR_TRAD_AGG_ST_DISTRICT_PEN[],R$1,0),"ERROR")</f>
        <v>451</v>
      </c>
      <c r="S99" s="97">
        <f>IFERROR(VLOOKUP($B99,MMWR_APP_STATE_PEN[],S$1,0),"ERROR")</f>
        <v>1496</v>
      </c>
      <c r="T99" s="28"/>
    </row>
    <row r="100" spans="1:20" s="114" customFormat="1" x14ac:dyDescent="0.2">
      <c r="A100" s="28"/>
      <c r="B100" s="118" t="s">
        <v>407</v>
      </c>
      <c r="C100" s="100">
        <f>IFERROR(VLOOKUP($B100,MMWR_TRAD_AGG_STATE_PEN[],C$1,0),"ERROR")</f>
        <v>151</v>
      </c>
      <c r="D100" s="101">
        <f>IFERROR(VLOOKUP($B100,MMWR_TRAD_AGG_STATE_PEN[],D$1,0),"ERROR")</f>
        <v>51.741721854300003</v>
      </c>
      <c r="E100" s="102">
        <f>IFERROR(VLOOKUP($B100,MMWR_TRAD_AGG_STATE_PEN[],E$1,0),"ERROR")</f>
        <v>262</v>
      </c>
      <c r="F100" s="103">
        <f>IFERROR(VLOOKUP($B100,MMWR_TRAD_AGG_STATE_PEN[],F$1,0),"ERROR")</f>
        <v>30</v>
      </c>
      <c r="G100" s="104">
        <f t="shared" si="8"/>
        <v>0.11450381679389313</v>
      </c>
      <c r="H100" s="102">
        <f>IFERROR(VLOOKUP($B100,MMWR_TRAD_AGG_STATE_PEN[],H$1,0),"ERROR")</f>
        <v>251</v>
      </c>
      <c r="I100" s="103">
        <f>IFERROR(VLOOKUP($B100,MMWR_TRAD_AGG_STATE_PEN[],I$1,0),"ERROR")</f>
        <v>18</v>
      </c>
      <c r="J100" s="105">
        <f t="shared" si="9"/>
        <v>7.1713147410358571E-2</v>
      </c>
      <c r="K100" s="102">
        <f>IFERROR(VLOOKUP($B100,MMWR_TRAD_AGG_STATE_PEN[],K$1,0),"ERROR")</f>
        <v>6</v>
      </c>
      <c r="L100" s="103">
        <f>IFERROR(VLOOKUP($B100,MMWR_TRAD_AGG_STATE_PEN[],L$1,0),"ERROR")</f>
        <v>4</v>
      </c>
      <c r="M100" s="105">
        <f t="shared" si="10"/>
        <v>0.66666666666666663</v>
      </c>
      <c r="N100" s="102">
        <f>IFERROR(VLOOKUP($B100,MMWR_TRAD_AGG_STATE_PEN[],N$1,0),"ERROR")</f>
        <v>9</v>
      </c>
      <c r="O100" s="103">
        <f>IFERROR(VLOOKUP($B100,MMWR_TRAD_AGG_STATE_PEN[],O$1,0),"ERROR")</f>
        <v>1</v>
      </c>
      <c r="P100" s="105">
        <f t="shared" si="11"/>
        <v>0.1111111111111111</v>
      </c>
      <c r="Q100" s="106">
        <f>IFERROR(VLOOKUP($B100,MMWR_TRAD_AGG_STATE_PEN[],Q$1,0),"ERROR")</f>
        <v>75</v>
      </c>
      <c r="R100" s="106">
        <f>IFERROR(VLOOKUP($B100,MMWR_TRAD_AGG_STATE_PEN[],R$1,0),"ERROR")</f>
        <v>30</v>
      </c>
      <c r="S100" s="106">
        <f>IFERROR(VLOOKUP($B100,MMWR_APP_STATE_PEN[],S$1,0),"ERROR")</f>
        <v>184</v>
      </c>
      <c r="T100" s="28"/>
    </row>
    <row r="101" spans="1:20" s="114" customFormat="1" x14ac:dyDescent="0.2">
      <c r="A101" s="28"/>
      <c r="B101" s="118" t="s">
        <v>399</v>
      </c>
      <c r="C101" s="100">
        <f>IFERROR(VLOOKUP($B101,MMWR_TRAD_AGG_STATE_PEN[],C$1,0),"ERROR")</f>
        <v>139</v>
      </c>
      <c r="D101" s="101">
        <f>IFERROR(VLOOKUP($B101,MMWR_TRAD_AGG_STATE_PEN[],D$1,0),"ERROR")</f>
        <v>46.7697841727</v>
      </c>
      <c r="E101" s="102">
        <f>IFERROR(VLOOKUP($B101,MMWR_TRAD_AGG_STATE_PEN[],E$1,0),"ERROR")</f>
        <v>226</v>
      </c>
      <c r="F101" s="103">
        <f>IFERROR(VLOOKUP($B101,MMWR_TRAD_AGG_STATE_PEN[],F$1,0),"ERROR")</f>
        <v>8</v>
      </c>
      <c r="G101" s="104">
        <f t="shared" ref="G101:G127" si="12">IFERROR(F101/E101,"0%")</f>
        <v>3.5398230088495575E-2</v>
      </c>
      <c r="H101" s="102">
        <f>IFERROR(VLOOKUP($B101,MMWR_TRAD_AGG_STATE_PEN[],H$1,0),"ERROR")</f>
        <v>190</v>
      </c>
      <c r="I101" s="103">
        <f>IFERROR(VLOOKUP($B101,MMWR_TRAD_AGG_STATE_PEN[],I$1,0),"ERROR")</f>
        <v>13</v>
      </c>
      <c r="J101" s="105">
        <f t="shared" ref="J101:J127" si="13">IFERROR(I101/H101,"0%")</f>
        <v>6.8421052631578952E-2</v>
      </c>
      <c r="K101" s="102">
        <f>IFERROR(VLOOKUP($B101,MMWR_TRAD_AGG_STATE_PEN[],K$1,0),"ERROR")</f>
        <v>2</v>
      </c>
      <c r="L101" s="103">
        <f>IFERROR(VLOOKUP($B101,MMWR_TRAD_AGG_STATE_PEN[],L$1,0),"ERROR")</f>
        <v>1</v>
      </c>
      <c r="M101" s="105">
        <f t="shared" ref="M101:M127" si="14">IFERROR(L101/K101,"0%")</f>
        <v>0.5</v>
      </c>
      <c r="N101" s="102">
        <f>IFERROR(VLOOKUP($B101,MMWR_TRAD_AGG_STATE_PEN[],N$1,0),"ERROR")</f>
        <v>16</v>
      </c>
      <c r="O101" s="103">
        <f>IFERROR(VLOOKUP($B101,MMWR_TRAD_AGG_STATE_PEN[],O$1,0),"ERROR")</f>
        <v>9</v>
      </c>
      <c r="P101" s="105">
        <f t="shared" ref="P101:P127" si="15">IFERROR(O101/N101,"0%")</f>
        <v>0.5625</v>
      </c>
      <c r="Q101" s="106">
        <f>IFERROR(VLOOKUP($B101,MMWR_TRAD_AGG_STATE_PEN[],Q$1,0),"ERROR")</f>
        <v>300</v>
      </c>
      <c r="R101" s="106">
        <f>IFERROR(VLOOKUP($B101,MMWR_TRAD_AGG_STATE_PEN[],R$1,0),"ERROR")</f>
        <v>37</v>
      </c>
      <c r="S101" s="106">
        <f>IFERROR(VLOOKUP($B101,MMWR_APP_STATE_PEN[],S$1,0),"ERROR")</f>
        <v>102</v>
      </c>
      <c r="T101" s="28"/>
    </row>
    <row r="102" spans="1:20" s="114" customFormat="1" x14ac:dyDescent="0.2">
      <c r="A102" s="28"/>
      <c r="B102" s="118" t="s">
        <v>383</v>
      </c>
      <c r="C102" s="100">
        <f>IFERROR(VLOOKUP($B102,MMWR_TRAD_AGG_STATE_PEN[],C$1,0),"ERROR")</f>
        <v>278</v>
      </c>
      <c r="D102" s="101">
        <f>IFERROR(VLOOKUP($B102,MMWR_TRAD_AGG_STATE_PEN[],D$1,0),"ERROR")</f>
        <v>50.050359712199999</v>
      </c>
      <c r="E102" s="102">
        <f>IFERROR(VLOOKUP($B102,MMWR_TRAD_AGG_STATE_PEN[],E$1,0),"ERROR")</f>
        <v>487</v>
      </c>
      <c r="F102" s="103">
        <f>IFERROR(VLOOKUP($B102,MMWR_TRAD_AGG_STATE_PEN[],F$1,0),"ERROR")</f>
        <v>33</v>
      </c>
      <c r="G102" s="104">
        <f t="shared" si="12"/>
        <v>6.7761806981519512E-2</v>
      </c>
      <c r="H102" s="102">
        <f>IFERROR(VLOOKUP($B102,MMWR_TRAD_AGG_STATE_PEN[],H$1,0),"ERROR")</f>
        <v>387</v>
      </c>
      <c r="I102" s="103">
        <f>IFERROR(VLOOKUP($B102,MMWR_TRAD_AGG_STATE_PEN[],I$1,0),"ERROR")</f>
        <v>24</v>
      </c>
      <c r="J102" s="105">
        <f t="shared" si="13"/>
        <v>6.2015503875968991E-2</v>
      </c>
      <c r="K102" s="102">
        <f>IFERROR(VLOOKUP($B102,MMWR_TRAD_AGG_STATE_PEN[],K$1,0),"ERROR")</f>
        <v>2</v>
      </c>
      <c r="L102" s="103">
        <f>IFERROR(VLOOKUP($B102,MMWR_TRAD_AGG_STATE_PEN[],L$1,0),"ERROR")</f>
        <v>1</v>
      </c>
      <c r="M102" s="105">
        <f t="shared" si="14"/>
        <v>0.5</v>
      </c>
      <c r="N102" s="102">
        <f>IFERROR(VLOOKUP($B102,MMWR_TRAD_AGG_STATE_PEN[],N$1,0),"ERROR")</f>
        <v>23</v>
      </c>
      <c r="O102" s="103">
        <f>IFERROR(VLOOKUP($B102,MMWR_TRAD_AGG_STATE_PEN[],O$1,0),"ERROR")</f>
        <v>4</v>
      </c>
      <c r="P102" s="105">
        <f t="shared" si="15"/>
        <v>0.17391304347826086</v>
      </c>
      <c r="Q102" s="106">
        <f>IFERROR(VLOOKUP($B102,MMWR_TRAD_AGG_STATE_PEN[],Q$1,0),"ERROR")</f>
        <v>65</v>
      </c>
      <c r="R102" s="106">
        <f>IFERROR(VLOOKUP($B102,MMWR_TRAD_AGG_STATE_PEN[],R$1,0),"ERROR")</f>
        <v>68</v>
      </c>
      <c r="S102" s="106">
        <f>IFERROR(VLOOKUP($B102,MMWR_APP_STATE_PEN[],S$1,0),"ERROR")</f>
        <v>199</v>
      </c>
      <c r="T102" s="28"/>
    </row>
    <row r="103" spans="1:20" s="114" customFormat="1" x14ac:dyDescent="0.2">
      <c r="A103" s="28"/>
      <c r="B103" s="118" t="s">
        <v>385</v>
      </c>
      <c r="C103" s="100">
        <f>IFERROR(VLOOKUP($B103,MMWR_TRAD_AGG_STATE_PEN[],C$1,0),"ERROR")</f>
        <v>169</v>
      </c>
      <c r="D103" s="101">
        <f>IFERROR(VLOOKUP($B103,MMWR_TRAD_AGG_STATE_PEN[],D$1,0),"ERROR")</f>
        <v>42.863905325399998</v>
      </c>
      <c r="E103" s="102">
        <f>IFERROR(VLOOKUP($B103,MMWR_TRAD_AGG_STATE_PEN[],E$1,0),"ERROR")</f>
        <v>321</v>
      </c>
      <c r="F103" s="103">
        <f>IFERROR(VLOOKUP($B103,MMWR_TRAD_AGG_STATE_PEN[],F$1,0),"ERROR")</f>
        <v>27</v>
      </c>
      <c r="G103" s="104">
        <f t="shared" si="12"/>
        <v>8.4112149532710276E-2</v>
      </c>
      <c r="H103" s="102">
        <f>IFERROR(VLOOKUP($B103,MMWR_TRAD_AGG_STATE_PEN[],H$1,0),"ERROR")</f>
        <v>237</v>
      </c>
      <c r="I103" s="103">
        <f>IFERROR(VLOOKUP($B103,MMWR_TRAD_AGG_STATE_PEN[],I$1,0),"ERROR")</f>
        <v>20</v>
      </c>
      <c r="J103" s="105">
        <f t="shared" si="13"/>
        <v>8.4388185654008435E-2</v>
      </c>
      <c r="K103" s="102">
        <f>IFERROR(VLOOKUP($B103,MMWR_TRAD_AGG_STATE_PEN[],K$1,0),"ERROR")</f>
        <v>3</v>
      </c>
      <c r="L103" s="103">
        <f>IFERROR(VLOOKUP($B103,MMWR_TRAD_AGG_STATE_PEN[],L$1,0),"ERROR")</f>
        <v>3</v>
      </c>
      <c r="M103" s="105">
        <f t="shared" si="14"/>
        <v>1</v>
      </c>
      <c r="N103" s="102">
        <f>IFERROR(VLOOKUP($B103,MMWR_TRAD_AGG_STATE_PEN[],N$1,0),"ERROR")</f>
        <v>27</v>
      </c>
      <c r="O103" s="103">
        <f>IFERROR(VLOOKUP($B103,MMWR_TRAD_AGG_STATE_PEN[],O$1,0),"ERROR")</f>
        <v>4</v>
      </c>
      <c r="P103" s="105">
        <f t="shared" si="15"/>
        <v>0.14814814814814814</v>
      </c>
      <c r="Q103" s="106">
        <f>IFERROR(VLOOKUP($B103,MMWR_TRAD_AGG_STATE_PEN[],Q$1,0),"ERROR")</f>
        <v>71</v>
      </c>
      <c r="R103" s="106">
        <f>IFERROR(VLOOKUP($B103,MMWR_TRAD_AGG_STATE_PEN[],R$1,0),"ERROR")</f>
        <v>21</v>
      </c>
      <c r="S103" s="106">
        <f>IFERROR(VLOOKUP($B103,MMWR_APP_STATE_PEN[],S$1,0),"ERROR")</f>
        <v>171</v>
      </c>
      <c r="T103" s="28"/>
    </row>
    <row r="104" spans="1:20" s="114" customFormat="1" x14ac:dyDescent="0.2">
      <c r="A104" s="28"/>
      <c r="B104" s="118" t="s">
        <v>414</v>
      </c>
      <c r="C104" s="100">
        <f>IFERROR(VLOOKUP($B104,MMWR_TRAD_AGG_STATE_PEN[],C$1,0),"ERROR")</f>
        <v>28</v>
      </c>
      <c r="D104" s="101">
        <f>IFERROR(VLOOKUP($B104,MMWR_TRAD_AGG_STATE_PEN[],D$1,0),"ERROR")</f>
        <v>52.857142857100001</v>
      </c>
      <c r="E104" s="102">
        <f>IFERROR(VLOOKUP($B104,MMWR_TRAD_AGG_STATE_PEN[],E$1,0),"ERROR")</f>
        <v>90</v>
      </c>
      <c r="F104" s="103">
        <f>IFERROR(VLOOKUP($B104,MMWR_TRAD_AGG_STATE_PEN[],F$1,0),"ERROR")</f>
        <v>5</v>
      </c>
      <c r="G104" s="104">
        <f t="shared" si="12"/>
        <v>5.5555555555555552E-2</v>
      </c>
      <c r="H104" s="102">
        <f>IFERROR(VLOOKUP($B104,MMWR_TRAD_AGG_STATE_PEN[],H$1,0),"ERROR")</f>
        <v>48</v>
      </c>
      <c r="I104" s="103">
        <f>IFERROR(VLOOKUP($B104,MMWR_TRAD_AGG_STATE_PEN[],I$1,0),"ERROR")</f>
        <v>3</v>
      </c>
      <c r="J104" s="105">
        <f t="shared" si="13"/>
        <v>6.25E-2</v>
      </c>
      <c r="K104" s="102">
        <f>IFERROR(VLOOKUP($B104,MMWR_TRAD_AGG_STATE_PEN[],K$1,0),"ERROR")</f>
        <v>0</v>
      </c>
      <c r="L104" s="103">
        <f>IFERROR(VLOOKUP($B104,MMWR_TRAD_AGG_STATE_PEN[],L$1,0),"ERROR")</f>
        <v>0</v>
      </c>
      <c r="M104" s="105" t="str">
        <f t="shared" si="14"/>
        <v>0%</v>
      </c>
      <c r="N104" s="102">
        <f>IFERROR(VLOOKUP($B104,MMWR_TRAD_AGG_STATE_PEN[],N$1,0),"ERROR")</f>
        <v>3</v>
      </c>
      <c r="O104" s="103">
        <f>IFERROR(VLOOKUP($B104,MMWR_TRAD_AGG_STATE_PEN[],O$1,0),"ERROR")</f>
        <v>1</v>
      </c>
      <c r="P104" s="105">
        <f t="shared" si="15"/>
        <v>0.33333333333333331</v>
      </c>
      <c r="Q104" s="106">
        <f>IFERROR(VLOOKUP($B104,MMWR_TRAD_AGG_STATE_PEN[],Q$1,0),"ERROR")</f>
        <v>86</v>
      </c>
      <c r="R104" s="106">
        <f>IFERROR(VLOOKUP($B104,MMWR_TRAD_AGG_STATE_PEN[],R$1,0),"ERROR")</f>
        <v>4</v>
      </c>
      <c r="S104" s="106">
        <f>IFERROR(VLOOKUP($B104,MMWR_APP_STATE_PEN[],S$1,0),"ERROR")</f>
        <v>6</v>
      </c>
      <c r="T104" s="28"/>
    </row>
    <row r="105" spans="1:20" s="114" customFormat="1" x14ac:dyDescent="0.2">
      <c r="A105" s="28"/>
      <c r="B105" s="118" t="s">
        <v>408</v>
      </c>
      <c r="C105" s="100">
        <f>IFERROR(VLOOKUP($B105,MMWR_TRAD_AGG_STATE_PEN[],C$1,0),"ERROR")</f>
        <v>163</v>
      </c>
      <c r="D105" s="101">
        <f>IFERROR(VLOOKUP($B105,MMWR_TRAD_AGG_STATE_PEN[],D$1,0),"ERROR")</f>
        <v>41.754601227000002</v>
      </c>
      <c r="E105" s="102">
        <f>IFERROR(VLOOKUP($B105,MMWR_TRAD_AGG_STATE_PEN[],E$1,0),"ERROR")</f>
        <v>298</v>
      </c>
      <c r="F105" s="103">
        <f>IFERROR(VLOOKUP($B105,MMWR_TRAD_AGG_STATE_PEN[],F$1,0),"ERROR")</f>
        <v>7</v>
      </c>
      <c r="G105" s="104">
        <f t="shared" si="12"/>
        <v>2.3489932885906041E-2</v>
      </c>
      <c r="H105" s="102">
        <f>IFERROR(VLOOKUP($B105,MMWR_TRAD_AGG_STATE_PEN[],H$1,0),"ERROR")</f>
        <v>211</v>
      </c>
      <c r="I105" s="103">
        <f>IFERROR(VLOOKUP($B105,MMWR_TRAD_AGG_STATE_PEN[],I$1,0),"ERROR")</f>
        <v>5</v>
      </c>
      <c r="J105" s="105">
        <f t="shared" si="13"/>
        <v>2.3696682464454975E-2</v>
      </c>
      <c r="K105" s="102">
        <f>IFERROR(VLOOKUP($B105,MMWR_TRAD_AGG_STATE_PEN[],K$1,0),"ERROR")</f>
        <v>2</v>
      </c>
      <c r="L105" s="103">
        <f>IFERROR(VLOOKUP($B105,MMWR_TRAD_AGG_STATE_PEN[],L$1,0),"ERROR")</f>
        <v>2</v>
      </c>
      <c r="M105" s="105">
        <f t="shared" si="14"/>
        <v>1</v>
      </c>
      <c r="N105" s="102">
        <f>IFERROR(VLOOKUP($B105,MMWR_TRAD_AGG_STATE_PEN[],N$1,0),"ERROR")</f>
        <v>12</v>
      </c>
      <c r="O105" s="103">
        <f>IFERROR(VLOOKUP($B105,MMWR_TRAD_AGG_STATE_PEN[],O$1,0),"ERROR")</f>
        <v>8</v>
      </c>
      <c r="P105" s="105">
        <f t="shared" si="15"/>
        <v>0.66666666666666663</v>
      </c>
      <c r="Q105" s="106">
        <f>IFERROR(VLOOKUP($B105,MMWR_TRAD_AGG_STATE_PEN[],Q$1,0),"ERROR")</f>
        <v>479</v>
      </c>
      <c r="R105" s="106">
        <f>IFERROR(VLOOKUP($B105,MMWR_TRAD_AGG_STATE_PEN[],R$1,0),"ERROR")</f>
        <v>40</v>
      </c>
      <c r="S105" s="106">
        <f>IFERROR(VLOOKUP($B105,MMWR_APP_STATE_PEN[],S$1,0),"ERROR")</f>
        <v>114</v>
      </c>
      <c r="T105" s="28"/>
    </row>
    <row r="106" spans="1:20" s="114" customFormat="1" x14ac:dyDescent="0.2">
      <c r="A106" s="28"/>
      <c r="B106" s="118" t="s">
        <v>406</v>
      </c>
      <c r="C106" s="100">
        <f>IFERROR(VLOOKUP($B106,MMWR_TRAD_AGG_STATE_PEN[],C$1,0),"ERROR")</f>
        <v>769</v>
      </c>
      <c r="D106" s="101">
        <f>IFERROR(VLOOKUP($B106,MMWR_TRAD_AGG_STATE_PEN[],D$1,0),"ERROR")</f>
        <v>45.713914174300001</v>
      </c>
      <c r="E106" s="102">
        <f>IFERROR(VLOOKUP($B106,MMWR_TRAD_AGG_STATE_PEN[],E$1,0),"ERROR")</f>
        <v>1352</v>
      </c>
      <c r="F106" s="103">
        <f>IFERROR(VLOOKUP($B106,MMWR_TRAD_AGG_STATE_PEN[],F$1,0),"ERROR")</f>
        <v>51</v>
      </c>
      <c r="G106" s="104">
        <f t="shared" si="12"/>
        <v>3.7721893491124259E-2</v>
      </c>
      <c r="H106" s="102">
        <f>IFERROR(VLOOKUP($B106,MMWR_TRAD_AGG_STATE_PEN[],H$1,0),"ERROR")</f>
        <v>1178</v>
      </c>
      <c r="I106" s="103">
        <f>IFERROR(VLOOKUP($B106,MMWR_TRAD_AGG_STATE_PEN[],I$1,0),"ERROR")</f>
        <v>58</v>
      </c>
      <c r="J106" s="105">
        <f t="shared" si="13"/>
        <v>4.9235993208828523E-2</v>
      </c>
      <c r="K106" s="102">
        <f>IFERROR(VLOOKUP($B106,MMWR_TRAD_AGG_STATE_PEN[],K$1,0),"ERROR")</f>
        <v>10</v>
      </c>
      <c r="L106" s="103">
        <f>IFERROR(VLOOKUP($B106,MMWR_TRAD_AGG_STATE_PEN[],L$1,0),"ERROR")</f>
        <v>8</v>
      </c>
      <c r="M106" s="105">
        <f t="shared" si="14"/>
        <v>0.8</v>
      </c>
      <c r="N106" s="102">
        <f>IFERROR(VLOOKUP($B106,MMWR_TRAD_AGG_STATE_PEN[],N$1,0),"ERROR")</f>
        <v>63</v>
      </c>
      <c r="O106" s="103">
        <f>IFERROR(VLOOKUP($B106,MMWR_TRAD_AGG_STATE_PEN[],O$1,0),"ERROR")</f>
        <v>37</v>
      </c>
      <c r="P106" s="105">
        <f t="shared" si="15"/>
        <v>0.58730158730158732</v>
      </c>
      <c r="Q106" s="106">
        <f>IFERROR(VLOOKUP($B106,MMWR_TRAD_AGG_STATE_PEN[],Q$1,0),"ERROR")</f>
        <v>1166</v>
      </c>
      <c r="R106" s="106">
        <f>IFERROR(VLOOKUP($B106,MMWR_TRAD_AGG_STATE_PEN[],R$1,0),"ERROR")</f>
        <v>238</v>
      </c>
      <c r="S106" s="106">
        <f>IFERROR(VLOOKUP($B106,MMWR_APP_STATE_PEN[],S$1,0),"ERROR")</f>
        <v>689</v>
      </c>
      <c r="T106" s="28"/>
    </row>
    <row r="107" spans="1:20" s="114" customFormat="1" x14ac:dyDescent="0.2">
      <c r="A107" s="28"/>
      <c r="B107" s="118" t="s">
        <v>402</v>
      </c>
      <c r="C107" s="100">
        <f>IFERROR(VLOOKUP($B107,MMWR_TRAD_AGG_STATE_PEN[],C$1,0),"ERROR")</f>
        <v>73</v>
      </c>
      <c r="D107" s="101">
        <f>IFERROR(VLOOKUP($B107,MMWR_TRAD_AGG_STATE_PEN[],D$1,0),"ERROR")</f>
        <v>45.424657534200001</v>
      </c>
      <c r="E107" s="102">
        <f>IFERROR(VLOOKUP($B107,MMWR_TRAD_AGG_STATE_PEN[],E$1,0),"ERROR")</f>
        <v>152</v>
      </c>
      <c r="F107" s="103">
        <f>IFERROR(VLOOKUP($B107,MMWR_TRAD_AGG_STATE_PEN[],F$1,0),"ERROR")</f>
        <v>7</v>
      </c>
      <c r="G107" s="104">
        <f t="shared" si="12"/>
        <v>4.6052631578947366E-2</v>
      </c>
      <c r="H107" s="102">
        <f>IFERROR(VLOOKUP($B107,MMWR_TRAD_AGG_STATE_PEN[],H$1,0),"ERROR")</f>
        <v>87</v>
      </c>
      <c r="I107" s="103">
        <f>IFERROR(VLOOKUP($B107,MMWR_TRAD_AGG_STATE_PEN[],I$1,0),"ERROR")</f>
        <v>3</v>
      </c>
      <c r="J107" s="105">
        <f t="shared" si="13"/>
        <v>3.4482758620689655E-2</v>
      </c>
      <c r="K107" s="102">
        <f>IFERROR(VLOOKUP($B107,MMWR_TRAD_AGG_STATE_PEN[],K$1,0),"ERROR")</f>
        <v>0</v>
      </c>
      <c r="L107" s="103">
        <f>IFERROR(VLOOKUP($B107,MMWR_TRAD_AGG_STATE_PEN[],L$1,0),"ERROR")</f>
        <v>0</v>
      </c>
      <c r="M107" s="105" t="str">
        <f t="shared" si="14"/>
        <v>0%</v>
      </c>
      <c r="N107" s="102">
        <f>IFERROR(VLOOKUP($B107,MMWR_TRAD_AGG_STATE_PEN[],N$1,0),"ERROR")</f>
        <v>5</v>
      </c>
      <c r="O107" s="103">
        <f>IFERROR(VLOOKUP($B107,MMWR_TRAD_AGG_STATE_PEN[],O$1,0),"ERROR")</f>
        <v>0</v>
      </c>
      <c r="P107" s="105">
        <f t="shared" si="15"/>
        <v>0</v>
      </c>
      <c r="Q107" s="106">
        <f>IFERROR(VLOOKUP($B107,MMWR_TRAD_AGG_STATE_PEN[],Q$1,0),"ERROR")</f>
        <v>113</v>
      </c>
      <c r="R107" s="106">
        <f>IFERROR(VLOOKUP($B107,MMWR_TRAD_AGG_STATE_PEN[],R$1,0),"ERROR")</f>
        <v>11</v>
      </c>
      <c r="S107" s="106">
        <f>IFERROR(VLOOKUP($B107,MMWR_APP_STATE_PEN[],S$1,0),"ERROR")</f>
        <v>24</v>
      </c>
      <c r="T107" s="28"/>
    </row>
    <row r="108" spans="1:20" s="114" customFormat="1" x14ac:dyDescent="0.2">
      <c r="A108" s="28"/>
      <c r="B108" s="118" t="s">
        <v>417</v>
      </c>
      <c r="C108" s="100">
        <f>IFERROR(VLOOKUP($B108,MMWR_TRAD_AGG_STATE_PEN[],C$1,0),"ERROR")</f>
        <v>16</v>
      </c>
      <c r="D108" s="101">
        <f>IFERROR(VLOOKUP($B108,MMWR_TRAD_AGG_STATE_PEN[],D$1,0),"ERROR")</f>
        <v>48.5625</v>
      </c>
      <c r="E108" s="102">
        <f>IFERROR(VLOOKUP($B108,MMWR_TRAD_AGG_STATE_PEN[],E$1,0),"ERROR")</f>
        <v>16</v>
      </c>
      <c r="F108" s="103">
        <f>IFERROR(VLOOKUP($B108,MMWR_TRAD_AGG_STATE_PEN[],F$1,0),"ERROR")</f>
        <v>0</v>
      </c>
      <c r="G108" s="104">
        <f t="shared" si="12"/>
        <v>0</v>
      </c>
      <c r="H108" s="102">
        <f>IFERROR(VLOOKUP($B108,MMWR_TRAD_AGG_STATE_PEN[],H$1,0),"ERROR")</f>
        <v>25</v>
      </c>
      <c r="I108" s="103">
        <f>IFERROR(VLOOKUP($B108,MMWR_TRAD_AGG_STATE_PEN[],I$1,0),"ERROR")</f>
        <v>3</v>
      </c>
      <c r="J108" s="105">
        <f t="shared" si="13"/>
        <v>0.12</v>
      </c>
      <c r="K108" s="102">
        <f>IFERROR(VLOOKUP($B108,MMWR_TRAD_AGG_STATE_PEN[],K$1,0),"ERROR")</f>
        <v>0</v>
      </c>
      <c r="L108" s="103">
        <f>IFERROR(VLOOKUP($B108,MMWR_TRAD_AGG_STATE_PEN[],L$1,0),"ERROR")</f>
        <v>0</v>
      </c>
      <c r="M108" s="105" t="str">
        <f t="shared" si="14"/>
        <v>0%</v>
      </c>
      <c r="N108" s="102">
        <f>IFERROR(VLOOKUP($B108,MMWR_TRAD_AGG_STATE_PEN[],N$1,0),"ERROR")</f>
        <v>1</v>
      </c>
      <c r="O108" s="103">
        <f>IFERROR(VLOOKUP($B108,MMWR_TRAD_AGG_STATE_PEN[],O$1,0),"ERROR")</f>
        <v>1</v>
      </c>
      <c r="P108" s="105">
        <f t="shared" si="15"/>
        <v>1</v>
      </c>
      <c r="Q108" s="106">
        <f>IFERROR(VLOOKUP($B108,MMWR_TRAD_AGG_STATE_PEN[],Q$1,0),"ERROR")</f>
        <v>58</v>
      </c>
      <c r="R108" s="106">
        <f>IFERROR(VLOOKUP($B108,MMWR_TRAD_AGG_STATE_PEN[],R$1,0),"ERROR")</f>
        <v>2</v>
      </c>
      <c r="S108" s="106">
        <f>IFERROR(VLOOKUP($B108,MMWR_APP_STATE_PEN[],S$1,0),"ERROR")</f>
        <v>7</v>
      </c>
      <c r="T108" s="28"/>
    </row>
    <row r="109" spans="1:20" s="114" customFormat="1" x14ac:dyDescent="0.2">
      <c r="A109" s="28"/>
      <c r="B109" s="117" t="s">
        <v>400</v>
      </c>
      <c r="C109" s="93">
        <f>IFERROR(VLOOKUP($B109,MMWR_TRAD_AGG_ST_DISTRICT_PEN[],C$1,0),"ERROR")</f>
        <v>1583</v>
      </c>
      <c r="D109" s="94">
        <f>IFERROR(VLOOKUP($B109,MMWR_TRAD_AGG_ST_DISTRICT_PEN[],D$1,0),"ERROR")</f>
        <v>45.149715729599997</v>
      </c>
      <c r="E109" s="93">
        <f>IFERROR(VLOOKUP($B109,MMWR_TRAD_AGG_ST_DISTRICT_PEN[],E$1,0),"ERROR")</f>
        <v>3386</v>
      </c>
      <c r="F109" s="93">
        <f>IFERROR(VLOOKUP($B109,MMWR_TRAD_AGG_ST_DISTRICT_PEN[],F$1,0),"ERROR")</f>
        <v>180</v>
      </c>
      <c r="G109" s="95">
        <f t="shared" si="12"/>
        <v>5.3160070880094508E-2</v>
      </c>
      <c r="H109" s="93">
        <f>IFERROR(VLOOKUP($B109,MMWR_TRAD_AGG_ST_DISTRICT_PEN[],H$1,0),"ERROR")</f>
        <v>2244</v>
      </c>
      <c r="I109" s="93">
        <f>IFERROR(VLOOKUP($B109,MMWR_TRAD_AGG_ST_DISTRICT_PEN[],I$1,0),"ERROR")</f>
        <v>104</v>
      </c>
      <c r="J109" s="95">
        <f t="shared" si="13"/>
        <v>4.6345811051693407E-2</v>
      </c>
      <c r="K109" s="93">
        <f>IFERROR(VLOOKUP($B109,MMWR_TRAD_AGG_ST_DISTRICT_PEN[],K$1,0),"ERROR")</f>
        <v>20</v>
      </c>
      <c r="L109" s="93">
        <f>IFERROR(VLOOKUP($B109,MMWR_TRAD_AGG_ST_DISTRICT_PEN[],L$1,0),"ERROR")</f>
        <v>14</v>
      </c>
      <c r="M109" s="95">
        <f t="shared" si="14"/>
        <v>0.7</v>
      </c>
      <c r="N109" s="93">
        <f>IFERROR(VLOOKUP($B109,MMWR_TRAD_AGG_ST_DISTRICT_PEN[],N$1,0),"ERROR")</f>
        <v>131</v>
      </c>
      <c r="O109" s="93">
        <f>IFERROR(VLOOKUP($B109,MMWR_TRAD_AGG_ST_DISTRICT_PEN[],O$1,0),"ERROR")</f>
        <v>66</v>
      </c>
      <c r="P109" s="95">
        <f t="shared" si="15"/>
        <v>0.50381679389312972</v>
      </c>
      <c r="Q109" s="93">
        <f>IFERROR(VLOOKUP($B109,MMWR_TRAD_AGG_ST_DISTRICT_PEN[],Q$1,0),"ERROR")</f>
        <v>2675</v>
      </c>
      <c r="R109" s="97">
        <f>IFERROR(VLOOKUP($B109,MMWR_TRAD_AGG_ST_DISTRICT_PEN[],R$1,0),"ERROR")</f>
        <v>448</v>
      </c>
      <c r="S109" s="97">
        <f>IFERROR(VLOOKUP($B109,MMWR_APP_STATE_PEN[],S$1,0),"ERROR")</f>
        <v>841</v>
      </c>
      <c r="T109" s="28"/>
    </row>
    <row r="110" spans="1:20" s="114" customFormat="1" x14ac:dyDescent="0.2">
      <c r="A110" s="28"/>
      <c r="B110" s="118" t="s">
        <v>420</v>
      </c>
      <c r="C110" s="100">
        <f>IFERROR(VLOOKUP($B110,MMWR_TRAD_AGG_STATE_PEN[],C$1,0),"ERROR")</f>
        <v>14</v>
      </c>
      <c r="D110" s="101">
        <f>IFERROR(VLOOKUP($B110,MMWR_TRAD_AGG_STATE_PEN[],D$1,0),"ERROR")</f>
        <v>44.428571428600002</v>
      </c>
      <c r="E110" s="102">
        <f>IFERROR(VLOOKUP($B110,MMWR_TRAD_AGG_STATE_PEN[],E$1,0),"ERROR")</f>
        <v>19</v>
      </c>
      <c r="F110" s="103">
        <f>IFERROR(VLOOKUP($B110,MMWR_TRAD_AGG_STATE_PEN[],F$1,0),"ERROR")</f>
        <v>0</v>
      </c>
      <c r="G110" s="104">
        <f t="shared" si="12"/>
        <v>0</v>
      </c>
      <c r="H110" s="102">
        <f>IFERROR(VLOOKUP($B110,MMWR_TRAD_AGG_STATE_PEN[],H$1,0),"ERROR")</f>
        <v>22</v>
      </c>
      <c r="I110" s="103">
        <f>IFERROR(VLOOKUP($B110,MMWR_TRAD_AGG_STATE_PEN[],I$1,0),"ERROR")</f>
        <v>0</v>
      </c>
      <c r="J110" s="105">
        <f t="shared" si="13"/>
        <v>0</v>
      </c>
      <c r="K110" s="102">
        <f>IFERROR(VLOOKUP($B110,MMWR_TRAD_AGG_STATE_PEN[],K$1,0),"ERROR")</f>
        <v>0</v>
      </c>
      <c r="L110" s="103">
        <f>IFERROR(VLOOKUP($B110,MMWR_TRAD_AGG_STATE_PEN[],L$1,0),"ERROR")</f>
        <v>0</v>
      </c>
      <c r="M110" s="105" t="str">
        <f t="shared" si="14"/>
        <v>0%</v>
      </c>
      <c r="N110" s="102">
        <f>IFERROR(VLOOKUP($B110,MMWR_TRAD_AGG_STATE_PEN[],N$1,0),"ERROR")</f>
        <v>0</v>
      </c>
      <c r="O110" s="103">
        <f>IFERROR(VLOOKUP($B110,MMWR_TRAD_AGG_STATE_PEN[],O$1,0),"ERROR")</f>
        <v>0</v>
      </c>
      <c r="P110" s="105" t="str">
        <f t="shared" si="15"/>
        <v>0%</v>
      </c>
      <c r="Q110" s="106">
        <f>IFERROR(VLOOKUP($B110,MMWR_TRAD_AGG_STATE_PEN[],Q$1,0),"ERROR")</f>
        <v>30</v>
      </c>
      <c r="R110" s="106">
        <f>IFERROR(VLOOKUP($B110,MMWR_TRAD_AGG_STATE_PEN[],R$1,0),"ERROR")</f>
        <v>5</v>
      </c>
      <c r="S110" s="106">
        <f>IFERROR(VLOOKUP($B110,MMWR_APP_STATE_PEN[],S$1,0),"ERROR")</f>
        <v>3</v>
      </c>
      <c r="T110" s="28"/>
    </row>
    <row r="111" spans="1:20" s="114" customFormat="1" x14ac:dyDescent="0.2">
      <c r="A111" s="28"/>
      <c r="B111" s="118" t="s">
        <v>422</v>
      </c>
      <c r="C111" s="100">
        <f>IFERROR(VLOOKUP($B111,MMWR_TRAD_AGG_STATE_PEN[],C$1,0),"ERROR")</f>
        <v>188</v>
      </c>
      <c r="D111" s="101">
        <f>IFERROR(VLOOKUP($B111,MMWR_TRAD_AGG_STATE_PEN[],D$1,0),"ERROR")</f>
        <v>45.792553191499998</v>
      </c>
      <c r="E111" s="102">
        <f>IFERROR(VLOOKUP($B111,MMWR_TRAD_AGG_STATE_PEN[],E$1,0),"ERROR")</f>
        <v>455</v>
      </c>
      <c r="F111" s="103">
        <f>IFERROR(VLOOKUP($B111,MMWR_TRAD_AGG_STATE_PEN[],F$1,0),"ERROR")</f>
        <v>33</v>
      </c>
      <c r="G111" s="104">
        <f t="shared" si="12"/>
        <v>7.2527472527472533E-2</v>
      </c>
      <c r="H111" s="102">
        <f>IFERROR(VLOOKUP($B111,MMWR_TRAD_AGG_STATE_PEN[],H$1,0),"ERROR")</f>
        <v>264</v>
      </c>
      <c r="I111" s="103">
        <f>IFERROR(VLOOKUP($B111,MMWR_TRAD_AGG_STATE_PEN[],I$1,0),"ERROR")</f>
        <v>12</v>
      </c>
      <c r="J111" s="105">
        <f t="shared" si="13"/>
        <v>4.5454545454545456E-2</v>
      </c>
      <c r="K111" s="102">
        <f>IFERROR(VLOOKUP($B111,MMWR_TRAD_AGG_STATE_PEN[],K$1,0),"ERROR")</f>
        <v>3</v>
      </c>
      <c r="L111" s="103">
        <f>IFERROR(VLOOKUP($B111,MMWR_TRAD_AGG_STATE_PEN[],L$1,0),"ERROR")</f>
        <v>3</v>
      </c>
      <c r="M111" s="105">
        <f t="shared" si="14"/>
        <v>1</v>
      </c>
      <c r="N111" s="102">
        <f>IFERROR(VLOOKUP($B111,MMWR_TRAD_AGG_STATE_PEN[],N$1,0),"ERROR")</f>
        <v>14</v>
      </c>
      <c r="O111" s="103">
        <f>IFERROR(VLOOKUP($B111,MMWR_TRAD_AGG_STATE_PEN[],O$1,0),"ERROR")</f>
        <v>6</v>
      </c>
      <c r="P111" s="105">
        <f t="shared" si="15"/>
        <v>0.42857142857142855</v>
      </c>
      <c r="Q111" s="106">
        <f>IFERROR(VLOOKUP($B111,MMWR_TRAD_AGG_STATE_PEN[],Q$1,0),"ERROR")</f>
        <v>374</v>
      </c>
      <c r="R111" s="106">
        <f>IFERROR(VLOOKUP($B111,MMWR_TRAD_AGG_STATE_PEN[],R$1,0),"ERROR")</f>
        <v>59</v>
      </c>
      <c r="S111" s="106">
        <f>IFERROR(VLOOKUP($B111,MMWR_APP_STATE_PEN[],S$1,0),"ERROR")</f>
        <v>139</v>
      </c>
      <c r="T111" s="28"/>
    </row>
    <row r="112" spans="1:20" s="114" customFormat="1" x14ac:dyDescent="0.2">
      <c r="A112" s="28"/>
      <c r="B112" s="118" t="s">
        <v>403</v>
      </c>
      <c r="C112" s="100">
        <f>IFERROR(VLOOKUP($B112,MMWR_TRAD_AGG_STATE_PEN[],C$1,0),"ERROR")</f>
        <v>861</v>
      </c>
      <c r="D112" s="101">
        <f>IFERROR(VLOOKUP($B112,MMWR_TRAD_AGG_STATE_PEN[],D$1,0),"ERROR")</f>
        <v>44.710801393700002</v>
      </c>
      <c r="E112" s="102">
        <f>IFERROR(VLOOKUP($B112,MMWR_TRAD_AGG_STATE_PEN[],E$1,0),"ERROR")</f>
        <v>1793</v>
      </c>
      <c r="F112" s="103">
        <f>IFERROR(VLOOKUP($B112,MMWR_TRAD_AGG_STATE_PEN[],F$1,0),"ERROR")</f>
        <v>104</v>
      </c>
      <c r="G112" s="104">
        <f t="shared" si="12"/>
        <v>5.8003346346904627E-2</v>
      </c>
      <c r="H112" s="102">
        <f>IFERROR(VLOOKUP($B112,MMWR_TRAD_AGG_STATE_PEN[],H$1,0),"ERROR")</f>
        <v>1168</v>
      </c>
      <c r="I112" s="103">
        <f>IFERROR(VLOOKUP($B112,MMWR_TRAD_AGG_STATE_PEN[],I$1,0),"ERROR")</f>
        <v>41</v>
      </c>
      <c r="J112" s="105">
        <f t="shared" si="13"/>
        <v>3.5102739726027399E-2</v>
      </c>
      <c r="K112" s="102">
        <f>IFERROR(VLOOKUP($B112,MMWR_TRAD_AGG_STATE_PEN[],K$1,0),"ERROR")</f>
        <v>12</v>
      </c>
      <c r="L112" s="103">
        <f>IFERROR(VLOOKUP($B112,MMWR_TRAD_AGG_STATE_PEN[],L$1,0),"ERROR")</f>
        <v>7</v>
      </c>
      <c r="M112" s="105">
        <f t="shared" si="14"/>
        <v>0.58333333333333337</v>
      </c>
      <c r="N112" s="102">
        <f>IFERROR(VLOOKUP($B112,MMWR_TRAD_AGG_STATE_PEN[],N$1,0),"ERROR")</f>
        <v>72</v>
      </c>
      <c r="O112" s="103">
        <f>IFERROR(VLOOKUP($B112,MMWR_TRAD_AGG_STATE_PEN[],O$1,0),"ERROR")</f>
        <v>38</v>
      </c>
      <c r="P112" s="105">
        <f t="shared" si="15"/>
        <v>0.52777777777777779</v>
      </c>
      <c r="Q112" s="106">
        <f>IFERROR(VLOOKUP($B112,MMWR_TRAD_AGG_STATE_PEN[],Q$1,0),"ERROR")</f>
        <v>1108</v>
      </c>
      <c r="R112" s="106">
        <f>IFERROR(VLOOKUP($B112,MMWR_TRAD_AGG_STATE_PEN[],R$1,0),"ERROR")</f>
        <v>234</v>
      </c>
      <c r="S112" s="106">
        <f>IFERROR(VLOOKUP($B112,MMWR_APP_STATE_PEN[],S$1,0),"ERROR")</f>
        <v>447</v>
      </c>
      <c r="T112" s="28"/>
    </row>
    <row r="113" spans="1:20" s="114" customFormat="1" x14ac:dyDescent="0.2">
      <c r="A113" s="28"/>
      <c r="B113" s="118" t="s">
        <v>424</v>
      </c>
      <c r="C113" s="100">
        <f>IFERROR(VLOOKUP($B113,MMWR_TRAD_AGG_STATE_PEN[],C$1,0),"ERROR")</f>
        <v>18</v>
      </c>
      <c r="D113" s="101">
        <f>IFERROR(VLOOKUP($B113,MMWR_TRAD_AGG_STATE_PEN[],D$1,0),"ERROR")</f>
        <v>47.833333333299997</v>
      </c>
      <c r="E113" s="102">
        <f>IFERROR(VLOOKUP($B113,MMWR_TRAD_AGG_STATE_PEN[],E$1,0),"ERROR")</f>
        <v>23</v>
      </c>
      <c r="F113" s="103">
        <f>IFERROR(VLOOKUP($B113,MMWR_TRAD_AGG_STATE_PEN[],F$1,0),"ERROR")</f>
        <v>4</v>
      </c>
      <c r="G113" s="104">
        <f t="shared" si="12"/>
        <v>0.17391304347826086</v>
      </c>
      <c r="H113" s="102">
        <f>IFERROR(VLOOKUP($B113,MMWR_TRAD_AGG_STATE_PEN[],H$1,0),"ERROR")</f>
        <v>30</v>
      </c>
      <c r="I113" s="103">
        <f>IFERROR(VLOOKUP($B113,MMWR_TRAD_AGG_STATE_PEN[],I$1,0),"ERROR")</f>
        <v>1</v>
      </c>
      <c r="J113" s="105">
        <f t="shared" si="13"/>
        <v>3.3333333333333333E-2</v>
      </c>
      <c r="K113" s="102">
        <f>IFERROR(VLOOKUP($B113,MMWR_TRAD_AGG_STATE_PEN[],K$1,0),"ERROR")</f>
        <v>2</v>
      </c>
      <c r="L113" s="103">
        <f>IFERROR(VLOOKUP($B113,MMWR_TRAD_AGG_STATE_PEN[],L$1,0),"ERROR")</f>
        <v>2</v>
      </c>
      <c r="M113" s="105">
        <f t="shared" si="14"/>
        <v>1</v>
      </c>
      <c r="N113" s="102">
        <f>IFERROR(VLOOKUP($B113,MMWR_TRAD_AGG_STATE_PEN[],N$1,0),"ERROR")</f>
        <v>2</v>
      </c>
      <c r="O113" s="103">
        <f>IFERROR(VLOOKUP($B113,MMWR_TRAD_AGG_STATE_PEN[],O$1,0),"ERROR")</f>
        <v>0</v>
      </c>
      <c r="P113" s="105">
        <f t="shared" si="15"/>
        <v>0</v>
      </c>
      <c r="Q113" s="106">
        <f>IFERROR(VLOOKUP($B113,MMWR_TRAD_AGG_STATE_PEN[],Q$1,0),"ERROR")</f>
        <v>57</v>
      </c>
      <c r="R113" s="106">
        <f>IFERROR(VLOOKUP($B113,MMWR_TRAD_AGG_STATE_PEN[],R$1,0),"ERROR")</f>
        <v>5</v>
      </c>
      <c r="S113" s="106">
        <f>IFERROR(VLOOKUP($B113,MMWR_APP_STATE_PEN[],S$1,0),"ERROR")</f>
        <v>13</v>
      </c>
      <c r="T113" s="28"/>
    </row>
    <row r="114" spans="1:20" s="114" customFormat="1" x14ac:dyDescent="0.2">
      <c r="A114" s="28"/>
      <c r="B114" s="118" t="s">
        <v>404</v>
      </c>
      <c r="C114" s="100">
        <f>IFERROR(VLOOKUP($B114,MMWR_TRAD_AGG_STATE_PEN[],C$1,0),"ERROR")</f>
        <v>46</v>
      </c>
      <c r="D114" s="101">
        <f>IFERROR(VLOOKUP($B114,MMWR_TRAD_AGG_STATE_PEN[],D$1,0),"ERROR")</f>
        <v>55.391304347800002</v>
      </c>
      <c r="E114" s="102">
        <f>IFERROR(VLOOKUP($B114,MMWR_TRAD_AGG_STATE_PEN[],E$1,0),"ERROR")</f>
        <v>112</v>
      </c>
      <c r="F114" s="103">
        <f>IFERROR(VLOOKUP($B114,MMWR_TRAD_AGG_STATE_PEN[],F$1,0),"ERROR")</f>
        <v>0</v>
      </c>
      <c r="G114" s="104">
        <f t="shared" si="12"/>
        <v>0</v>
      </c>
      <c r="H114" s="102">
        <f>IFERROR(VLOOKUP($B114,MMWR_TRAD_AGG_STATE_PEN[],H$1,0),"ERROR")</f>
        <v>72</v>
      </c>
      <c r="I114" s="103">
        <f>IFERROR(VLOOKUP($B114,MMWR_TRAD_AGG_STATE_PEN[],I$1,0),"ERROR")</f>
        <v>2</v>
      </c>
      <c r="J114" s="105">
        <f t="shared" si="13"/>
        <v>2.7777777777777776E-2</v>
      </c>
      <c r="K114" s="102">
        <f>IFERROR(VLOOKUP($B114,MMWR_TRAD_AGG_STATE_PEN[],K$1,0),"ERROR")</f>
        <v>1</v>
      </c>
      <c r="L114" s="103">
        <f>IFERROR(VLOOKUP($B114,MMWR_TRAD_AGG_STATE_PEN[],L$1,0),"ERROR")</f>
        <v>1</v>
      </c>
      <c r="M114" s="105">
        <f t="shared" si="14"/>
        <v>1</v>
      </c>
      <c r="N114" s="102">
        <f>IFERROR(VLOOKUP($B114,MMWR_TRAD_AGG_STATE_PEN[],N$1,0),"ERROR")</f>
        <v>0</v>
      </c>
      <c r="O114" s="103">
        <f>IFERROR(VLOOKUP($B114,MMWR_TRAD_AGG_STATE_PEN[],O$1,0),"ERROR")</f>
        <v>0</v>
      </c>
      <c r="P114" s="105" t="str">
        <f t="shared" si="15"/>
        <v>0%</v>
      </c>
      <c r="Q114" s="106">
        <f>IFERROR(VLOOKUP($B114,MMWR_TRAD_AGG_STATE_PEN[],Q$1,0),"ERROR")</f>
        <v>108</v>
      </c>
      <c r="R114" s="106">
        <f>IFERROR(VLOOKUP($B114,MMWR_TRAD_AGG_STATE_PEN[],R$1,0),"ERROR")</f>
        <v>12</v>
      </c>
      <c r="S114" s="106">
        <f>IFERROR(VLOOKUP($B114,MMWR_APP_STATE_PEN[],S$1,0),"ERROR")</f>
        <v>11</v>
      </c>
      <c r="T114" s="28"/>
    </row>
    <row r="115" spans="1:20" s="114" customFormat="1" x14ac:dyDescent="0.2">
      <c r="A115" s="28"/>
      <c r="B115" s="118" t="s">
        <v>409</v>
      </c>
      <c r="C115" s="100">
        <f>IFERROR(VLOOKUP($B115,MMWR_TRAD_AGG_STATE_PEN[],C$1,0),"ERROR")</f>
        <v>99</v>
      </c>
      <c r="D115" s="101">
        <f>IFERROR(VLOOKUP($B115,MMWR_TRAD_AGG_STATE_PEN[],D$1,0),"ERROR")</f>
        <v>50.969696969700003</v>
      </c>
      <c r="E115" s="102">
        <f>IFERROR(VLOOKUP($B115,MMWR_TRAD_AGG_STATE_PEN[],E$1,0),"ERROR")</f>
        <v>190</v>
      </c>
      <c r="F115" s="103">
        <f>IFERROR(VLOOKUP($B115,MMWR_TRAD_AGG_STATE_PEN[],F$1,0),"ERROR")</f>
        <v>7</v>
      </c>
      <c r="G115" s="104">
        <f t="shared" si="12"/>
        <v>3.6842105263157891E-2</v>
      </c>
      <c r="H115" s="102">
        <f>IFERROR(VLOOKUP($B115,MMWR_TRAD_AGG_STATE_PEN[],H$1,0),"ERROR")</f>
        <v>137</v>
      </c>
      <c r="I115" s="103">
        <f>IFERROR(VLOOKUP($B115,MMWR_TRAD_AGG_STATE_PEN[],I$1,0),"ERROR")</f>
        <v>6</v>
      </c>
      <c r="J115" s="105">
        <f t="shared" si="13"/>
        <v>4.3795620437956206E-2</v>
      </c>
      <c r="K115" s="102">
        <f>IFERROR(VLOOKUP($B115,MMWR_TRAD_AGG_STATE_PEN[],K$1,0),"ERROR")</f>
        <v>0</v>
      </c>
      <c r="L115" s="103">
        <f>IFERROR(VLOOKUP($B115,MMWR_TRAD_AGG_STATE_PEN[],L$1,0),"ERROR")</f>
        <v>0</v>
      </c>
      <c r="M115" s="105" t="str">
        <f t="shared" si="14"/>
        <v>0%</v>
      </c>
      <c r="N115" s="102">
        <f>IFERROR(VLOOKUP($B115,MMWR_TRAD_AGG_STATE_PEN[],N$1,0),"ERROR")</f>
        <v>5</v>
      </c>
      <c r="O115" s="103">
        <f>IFERROR(VLOOKUP($B115,MMWR_TRAD_AGG_STATE_PEN[],O$1,0),"ERROR")</f>
        <v>4</v>
      </c>
      <c r="P115" s="105">
        <f t="shared" si="15"/>
        <v>0.8</v>
      </c>
      <c r="Q115" s="106">
        <f>IFERROR(VLOOKUP($B115,MMWR_TRAD_AGG_STATE_PEN[],Q$1,0),"ERROR")</f>
        <v>127</v>
      </c>
      <c r="R115" s="106">
        <f>IFERROR(VLOOKUP($B115,MMWR_TRAD_AGG_STATE_PEN[],R$1,0),"ERROR")</f>
        <v>27</v>
      </c>
      <c r="S115" s="106">
        <f>IFERROR(VLOOKUP($B115,MMWR_APP_STATE_PEN[],S$1,0),"ERROR")</f>
        <v>44</v>
      </c>
      <c r="T115" s="28"/>
    </row>
    <row r="116" spans="1:20" s="114" customFormat="1" x14ac:dyDescent="0.2">
      <c r="A116" s="28"/>
      <c r="B116" s="118" t="s">
        <v>401</v>
      </c>
      <c r="C116" s="100">
        <f>IFERROR(VLOOKUP($B116,MMWR_TRAD_AGG_STATE_PEN[],C$1,0),"ERROR")</f>
        <v>61</v>
      </c>
      <c r="D116" s="101">
        <f>IFERROR(VLOOKUP($B116,MMWR_TRAD_AGG_STATE_PEN[],D$1,0),"ERROR")</f>
        <v>35.524590163900001</v>
      </c>
      <c r="E116" s="102">
        <f>IFERROR(VLOOKUP($B116,MMWR_TRAD_AGG_STATE_PEN[],E$1,0),"ERROR")</f>
        <v>127</v>
      </c>
      <c r="F116" s="103">
        <f>IFERROR(VLOOKUP($B116,MMWR_TRAD_AGG_STATE_PEN[],F$1,0),"ERROR")</f>
        <v>0</v>
      </c>
      <c r="G116" s="104">
        <f t="shared" si="12"/>
        <v>0</v>
      </c>
      <c r="H116" s="102">
        <f>IFERROR(VLOOKUP($B116,MMWR_TRAD_AGG_STATE_PEN[],H$1,0),"ERROR")</f>
        <v>87</v>
      </c>
      <c r="I116" s="103">
        <f>IFERROR(VLOOKUP($B116,MMWR_TRAD_AGG_STATE_PEN[],I$1,0),"ERROR")</f>
        <v>3</v>
      </c>
      <c r="J116" s="105">
        <f t="shared" si="13"/>
        <v>3.4482758620689655E-2</v>
      </c>
      <c r="K116" s="102">
        <f>IFERROR(VLOOKUP($B116,MMWR_TRAD_AGG_STATE_PEN[],K$1,0),"ERROR")</f>
        <v>0</v>
      </c>
      <c r="L116" s="103">
        <f>IFERROR(VLOOKUP($B116,MMWR_TRAD_AGG_STATE_PEN[],L$1,0),"ERROR")</f>
        <v>0</v>
      </c>
      <c r="M116" s="105" t="str">
        <f t="shared" si="14"/>
        <v>0%</v>
      </c>
      <c r="N116" s="102">
        <f>IFERROR(VLOOKUP($B116,MMWR_TRAD_AGG_STATE_PEN[],N$1,0),"ERROR")</f>
        <v>5</v>
      </c>
      <c r="O116" s="103">
        <f>IFERROR(VLOOKUP($B116,MMWR_TRAD_AGG_STATE_PEN[],O$1,0),"ERROR")</f>
        <v>3</v>
      </c>
      <c r="P116" s="105">
        <f t="shared" si="15"/>
        <v>0.6</v>
      </c>
      <c r="Q116" s="106">
        <f>IFERROR(VLOOKUP($B116,MMWR_TRAD_AGG_STATE_PEN[],Q$1,0),"ERROR")</f>
        <v>193</v>
      </c>
      <c r="R116" s="106">
        <f>IFERROR(VLOOKUP($B116,MMWR_TRAD_AGG_STATE_PEN[],R$1,0),"ERROR")</f>
        <v>13</v>
      </c>
      <c r="S116" s="106">
        <f>IFERROR(VLOOKUP($B116,MMWR_APP_STATE_PEN[],S$1,0),"ERROR")</f>
        <v>35</v>
      </c>
      <c r="T116" s="28"/>
    </row>
    <row r="117" spans="1:20" s="114" customFormat="1" x14ac:dyDescent="0.2">
      <c r="A117" s="28"/>
      <c r="B117" s="118" t="s">
        <v>405</v>
      </c>
      <c r="C117" s="100">
        <f>IFERROR(VLOOKUP($B117,MMWR_TRAD_AGG_STATE_PEN[],C$1,0),"ERROR")</f>
        <v>130</v>
      </c>
      <c r="D117" s="101">
        <f>IFERROR(VLOOKUP($B117,MMWR_TRAD_AGG_STATE_PEN[],D$1,0),"ERROR")</f>
        <v>43.361538461499997</v>
      </c>
      <c r="E117" s="102">
        <f>IFERROR(VLOOKUP($B117,MMWR_TRAD_AGG_STATE_PEN[],E$1,0),"ERROR")</f>
        <v>242</v>
      </c>
      <c r="F117" s="103">
        <f>IFERROR(VLOOKUP($B117,MMWR_TRAD_AGG_STATE_PEN[],F$1,0),"ERROR")</f>
        <v>11</v>
      </c>
      <c r="G117" s="104">
        <f t="shared" si="12"/>
        <v>4.5454545454545456E-2</v>
      </c>
      <c r="H117" s="102">
        <f>IFERROR(VLOOKUP($B117,MMWR_TRAD_AGG_STATE_PEN[],H$1,0),"ERROR")</f>
        <v>190</v>
      </c>
      <c r="I117" s="103">
        <f>IFERROR(VLOOKUP($B117,MMWR_TRAD_AGG_STATE_PEN[],I$1,0),"ERROR")</f>
        <v>9</v>
      </c>
      <c r="J117" s="105">
        <f t="shared" si="13"/>
        <v>4.736842105263158E-2</v>
      </c>
      <c r="K117" s="102">
        <f>IFERROR(VLOOKUP($B117,MMWR_TRAD_AGG_STATE_PEN[],K$1,0),"ERROR")</f>
        <v>1</v>
      </c>
      <c r="L117" s="103">
        <f>IFERROR(VLOOKUP($B117,MMWR_TRAD_AGG_STATE_PEN[],L$1,0),"ERROR")</f>
        <v>1</v>
      </c>
      <c r="M117" s="105">
        <f t="shared" si="14"/>
        <v>1</v>
      </c>
      <c r="N117" s="102">
        <f>IFERROR(VLOOKUP($B117,MMWR_TRAD_AGG_STATE_PEN[],N$1,0),"ERROR")</f>
        <v>13</v>
      </c>
      <c r="O117" s="103">
        <f>IFERROR(VLOOKUP($B117,MMWR_TRAD_AGG_STATE_PEN[],O$1,0),"ERROR")</f>
        <v>7</v>
      </c>
      <c r="P117" s="105">
        <f t="shared" si="15"/>
        <v>0.53846153846153844</v>
      </c>
      <c r="Q117" s="106">
        <f>IFERROR(VLOOKUP($B117,MMWR_TRAD_AGG_STATE_PEN[],Q$1,0),"ERROR")</f>
        <v>306</v>
      </c>
      <c r="R117" s="106">
        <f>IFERROR(VLOOKUP($B117,MMWR_TRAD_AGG_STATE_PEN[],R$1,0),"ERROR")</f>
        <v>42</v>
      </c>
      <c r="S117" s="106">
        <f>IFERROR(VLOOKUP($B117,MMWR_APP_STATE_PEN[],S$1,0),"ERROR")</f>
        <v>56</v>
      </c>
      <c r="T117" s="28"/>
    </row>
    <row r="118" spans="1:20" s="114" customFormat="1" x14ac:dyDescent="0.2">
      <c r="A118" s="28"/>
      <c r="B118" s="118" t="s">
        <v>83</v>
      </c>
      <c r="C118" s="100">
        <f>IFERROR(VLOOKUP($B118,MMWR_TRAD_AGG_STATE_PEN[],C$1,0),"ERROR")</f>
        <v>166</v>
      </c>
      <c r="D118" s="101">
        <f>IFERROR(VLOOKUP($B118,MMWR_TRAD_AGG_STATE_PEN[],D$1,0),"ERROR")</f>
        <v>45.096385542199997</v>
      </c>
      <c r="E118" s="102">
        <f>IFERROR(VLOOKUP($B118,MMWR_TRAD_AGG_STATE_PEN[],E$1,0),"ERROR")</f>
        <v>425</v>
      </c>
      <c r="F118" s="103">
        <f>IFERROR(VLOOKUP($B118,MMWR_TRAD_AGG_STATE_PEN[],F$1,0),"ERROR")</f>
        <v>21</v>
      </c>
      <c r="G118" s="104">
        <f t="shared" si="12"/>
        <v>4.9411764705882349E-2</v>
      </c>
      <c r="H118" s="102">
        <f>IFERROR(VLOOKUP($B118,MMWR_TRAD_AGG_STATE_PEN[],H$1,0),"ERROR")</f>
        <v>274</v>
      </c>
      <c r="I118" s="103">
        <f>IFERROR(VLOOKUP($B118,MMWR_TRAD_AGG_STATE_PEN[],I$1,0),"ERROR")</f>
        <v>30</v>
      </c>
      <c r="J118" s="105">
        <f t="shared" si="13"/>
        <v>0.10948905109489052</v>
      </c>
      <c r="K118" s="102">
        <f>IFERROR(VLOOKUP($B118,MMWR_TRAD_AGG_STATE_PEN[],K$1,0),"ERROR")</f>
        <v>1</v>
      </c>
      <c r="L118" s="103">
        <f>IFERROR(VLOOKUP($B118,MMWR_TRAD_AGG_STATE_PEN[],L$1,0),"ERROR")</f>
        <v>0</v>
      </c>
      <c r="M118" s="105">
        <f t="shared" si="14"/>
        <v>0</v>
      </c>
      <c r="N118" s="102">
        <f>IFERROR(VLOOKUP($B118,MMWR_TRAD_AGG_STATE_PEN[],N$1,0),"ERROR")</f>
        <v>20</v>
      </c>
      <c r="O118" s="103">
        <f>IFERROR(VLOOKUP($B118,MMWR_TRAD_AGG_STATE_PEN[],O$1,0),"ERROR")</f>
        <v>8</v>
      </c>
      <c r="P118" s="105">
        <f t="shared" si="15"/>
        <v>0.4</v>
      </c>
      <c r="Q118" s="106">
        <f>IFERROR(VLOOKUP($B118,MMWR_TRAD_AGG_STATE_PEN[],Q$1,0),"ERROR")</f>
        <v>372</v>
      </c>
      <c r="R118" s="106">
        <f>IFERROR(VLOOKUP($B118,MMWR_TRAD_AGG_STATE_PEN[],R$1,0),"ERROR")</f>
        <v>51</v>
      </c>
      <c r="S118" s="106">
        <f>IFERROR(VLOOKUP($B118,MMWR_APP_STATE_PEN[],S$1,0),"ERROR")</f>
        <v>93</v>
      </c>
      <c r="T118" s="28"/>
    </row>
    <row r="119" spans="1:20" s="114" customFormat="1" x14ac:dyDescent="0.2">
      <c r="A119" s="28"/>
      <c r="B119" s="117" t="s">
        <v>376</v>
      </c>
      <c r="C119" s="93">
        <f>IFERROR(VLOOKUP($B119,MMWR_TRAD_AGG_ST_DISTRICT_PEN[],C$1,0),"ERROR")</f>
        <v>7070</v>
      </c>
      <c r="D119" s="94">
        <f>IFERROR(VLOOKUP($B119,MMWR_TRAD_AGG_ST_DISTRICT_PEN[],D$1,0),"ERROR")</f>
        <v>89.522489391799994</v>
      </c>
      <c r="E119" s="93">
        <f>IFERROR(VLOOKUP($B119,MMWR_TRAD_AGG_ST_DISTRICT_PEN[],E$1,0),"ERROR")</f>
        <v>9218</v>
      </c>
      <c r="F119" s="93">
        <f>IFERROR(VLOOKUP($B119,MMWR_TRAD_AGG_ST_DISTRICT_PEN[],F$1,0),"ERROR")</f>
        <v>1749</v>
      </c>
      <c r="G119" s="95">
        <f t="shared" si="12"/>
        <v>0.18973747016706444</v>
      </c>
      <c r="H119" s="93">
        <f>IFERROR(VLOOKUP($B119,MMWR_TRAD_AGG_ST_DISTRICT_PEN[],H$1,0),"ERROR")</f>
        <v>9683</v>
      </c>
      <c r="I119" s="93">
        <f>IFERROR(VLOOKUP($B119,MMWR_TRAD_AGG_ST_DISTRICT_PEN[],I$1,0),"ERROR")</f>
        <v>2960</v>
      </c>
      <c r="J119" s="95">
        <f t="shared" si="13"/>
        <v>0.3056903852111949</v>
      </c>
      <c r="K119" s="93">
        <f>IFERROR(VLOOKUP($B119,MMWR_TRAD_AGG_ST_DISTRICT_PEN[],K$1,0),"ERROR")</f>
        <v>179</v>
      </c>
      <c r="L119" s="93">
        <f>IFERROR(VLOOKUP($B119,MMWR_TRAD_AGG_ST_DISTRICT_PEN[],L$1,0),"ERROR")</f>
        <v>173</v>
      </c>
      <c r="M119" s="95">
        <f t="shared" si="14"/>
        <v>0.96648044692737434</v>
      </c>
      <c r="N119" s="93">
        <f>IFERROR(VLOOKUP($B119,MMWR_TRAD_AGG_ST_DISTRICT_PEN[],N$1,0),"ERROR")</f>
        <v>498</v>
      </c>
      <c r="O119" s="93">
        <f>IFERROR(VLOOKUP($B119,MMWR_TRAD_AGG_ST_DISTRICT_PEN[],O$1,0),"ERROR")</f>
        <v>175</v>
      </c>
      <c r="P119" s="95">
        <f t="shared" si="15"/>
        <v>0.35140562248995982</v>
      </c>
      <c r="Q119" s="93">
        <f>IFERROR(VLOOKUP($B119,MMWR_TRAD_AGG_ST_DISTRICT_PEN[],Q$1,0),"ERROR")</f>
        <v>1195</v>
      </c>
      <c r="R119" s="97">
        <f>IFERROR(VLOOKUP($B119,MMWR_TRAD_AGG_ST_DISTRICT_PEN[],R$1,0),"ERROR")</f>
        <v>1949</v>
      </c>
      <c r="S119" s="97">
        <f>IFERROR(VLOOKUP($B119,MMWR_APP_STATE_PEN[],S$1,0),"ERROR")</f>
        <v>1960</v>
      </c>
      <c r="T119" s="28"/>
    </row>
    <row r="120" spans="1:20" s="114" customFormat="1" x14ac:dyDescent="0.2">
      <c r="A120" s="28"/>
      <c r="B120" s="118" t="s">
        <v>384</v>
      </c>
      <c r="C120" s="100">
        <f>IFERROR(VLOOKUP($B120,MMWR_TRAD_AGG_STATE_PEN[],C$1,0),"ERROR")</f>
        <v>459</v>
      </c>
      <c r="D120" s="101">
        <f>IFERROR(VLOOKUP($B120,MMWR_TRAD_AGG_STATE_PEN[],D$1,0),"ERROR")</f>
        <v>46.065359477100003</v>
      </c>
      <c r="E120" s="102">
        <f>IFERROR(VLOOKUP($B120,MMWR_TRAD_AGG_STATE_PEN[],E$1,0),"ERROR")</f>
        <v>924</v>
      </c>
      <c r="F120" s="103">
        <f>IFERROR(VLOOKUP($B120,MMWR_TRAD_AGG_STATE_PEN[],F$1,0),"ERROR")</f>
        <v>78</v>
      </c>
      <c r="G120" s="104">
        <f t="shared" si="12"/>
        <v>8.4415584415584416E-2</v>
      </c>
      <c r="H120" s="102">
        <f>IFERROR(VLOOKUP($B120,MMWR_TRAD_AGG_STATE_PEN[],H$1,0),"ERROR")</f>
        <v>668</v>
      </c>
      <c r="I120" s="103">
        <f>IFERROR(VLOOKUP($B120,MMWR_TRAD_AGG_STATE_PEN[],I$1,0),"ERROR")</f>
        <v>32</v>
      </c>
      <c r="J120" s="105">
        <f t="shared" si="13"/>
        <v>4.790419161676647E-2</v>
      </c>
      <c r="K120" s="102">
        <f>IFERROR(VLOOKUP($B120,MMWR_TRAD_AGG_STATE_PEN[],K$1,0),"ERROR")</f>
        <v>6</v>
      </c>
      <c r="L120" s="103">
        <f>IFERROR(VLOOKUP($B120,MMWR_TRAD_AGG_STATE_PEN[],L$1,0),"ERROR")</f>
        <v>6</v>
      </c>
      <c r="M120" s="105">
        <f t="shared" si="14"/>
        <v>1</v>
      </c>
      <c r="N120" s="102">
        <f>IFERROR(VLOOKUP($B120,MMWR_TRAD_AGG_STATE_PEN[],N$1,0),"ERROR")</f>
        <v>50</v>
      </c>
      <c r="O120" s="103">
        <f>IFERROR(VLOOKUP($B120,MMWR_TRAD_AGG_STATE_PEN[],O$1,0),"ERROR")</f>
        <v>14</v>
      </c>
      <c r="P120" s="105">
        <f t="shared" si="15"/>
        <v>0.28000000000000003</v>
      </c>
      <c r="Q120" s="106">
        <f>IFERROR(VLOOKUP($B120,MMWR_TRAD_AGG_STATE_PEN[],Q$1,0),"ERROR")</f>
        <v>128</v>
      </c>
      <c r="R120" s="106">
        <f>IFERROR(VLOOKUP($B120,MMWR_TRAD_AGG_STATE_PEN[],R$1,0),"ERROR")</f>
        <v>88</v>
      </c>
      <c r="S120" s="106">
        <f>IFERROR(VLOOKUP($B120,MMWR_APP_STATE_PEN[],S$1,0),"ERROR")</f>
        <v>286</v>
      </c>
      <c r="T120" s="28"/>
    </row>
    <row r="121" spans="1:20" s="114" customFormat="1" x14ac:dyDescent="0.2">
      <c r="A121" s="28"/>
      <c r="B121" s="118" t="s">
        <v>421</v>
      </c>
      <c r="C121" s="100">
        <f>IFERROR(VLOOKUP($B121,MMWR_TRAD_AGG_STATE_PEN[],C$1,0),"ERROR")</f>
        <v>2635</v>
      </c>
      <c r="D121" s="101">
        <f>IFERROR(VLOOKUP($B121,MMWR_TRAD_AGG_STATE_PEN[],D$1,0),"ERROR")</f>
        <v>95.307400379499995</v>
      </c>
      <c r="E121" s="102">
        <f>IFERROR(VLOOKUP($B121,MMWR_TRAD_AGG_STATE_PEN[],E$1,0),"ERROR")</f>
        <v>3759</v>
      </c>
      <c r="F121" s="103">
        <f>IFERROR(VLOOKUP($B121,MMWR_TRAD_AGG_STATE_PEN[],F$1,0),"ERROR")</f>
        <v>782</v>
      </c>
      <c r="G121" s="104">
        <f t="shared" si="12"/>
        <v>0.20803405160947061</v>
      </c>
      <c r="H121" s="102">
        <f>IFERROR(VLOOKUP($B121,MMWR_TRAD_AGG_STATE_PEN[],H$1,0),"ERROR")</f>
        <v>3522</v>
      </c>
      <c r="I121" s="103">
        <f>IFERROR(VLOOKUP($B121,MMWR_TRAD_AGG_STATE_PEN[],I$1,0),"ERROR")</f>
        <v>1203</v>
      </c>
      <c r="J121" s="105">
        <f t="shared" si="13"/>
        <v>0.34156729131175467</v>
      </c>
      <c r="K121" s="102">
        <f>IFERROR(VLOOKUP($B121,MMWR_TRAD_AGG_STATE_PEN[],K$1,0),"ERROR")</f>
        <v>85</v>
      </c>
      <c r="L121" s="103">
        <f>IFERROR(VLOOKUP($B121,MMWR_TRAD_AGG_STATE_PEN[],L$1,0),"ERROR")</f>
        <v>83</v>
      </c>
      <c r="M121" s="105">
        <f t="shared" si="14"/>
        <v>0.97647058823529409</v>
      </c>
      <c r="N121" s="102">
        <f>IFERROR(VLOOKUP($B121,MMWR_TRAD_AGG_STATE_PEN[],N$1,0),"ERROR")</f>
        <v>168</v>
      </c>
      <c r="O121" s="103">
        <f>IFERROR(VLOOKUP($B121,MMWR_TRAD_AGG_STATE_PEN[],O$1,0),"ERROR")</f>
        <v>69</v>
      </c>
      <c r="P121" s="105">
        <f t="shared" si="15"/>
        <v>0.4107142857142857</v>
      </c>
      <c r="Q121" s="106">
        <f>IFERROR(VLOOKUP($B121,MMWR_TRAD_AGG_STATE_PEN[],Q$1,0),"ERROR")</f>
        <v>453</v>
      </c>
      <c r="R121" s="106">
        <f>IFERROR(VLOOKUP($B121,MMWR_TRAD_AGG_STATE_PEN[],R$1,0),"ERROR")</f>
        <v>780</v>
      </c>
      <c r="S121" s="106">
        <f>IFERROR(VLOOKUP($B121,MMWR_APP_STATE_PEN[],S$1,0),"ERROR")</f>
        <v>610</v>
      </c>
      <c r="T121" s="28"/>
    </row>
    <row r="122" spans="1:20" s="114" customFormat="1" x14ac:dyDescent="0.2">
      <c r="A122" s="28"/>
      <c r="B122" s="118" t="s">
        <v>377</v>
      </c>
      <c r="C122" s="100">
        <f>IFERROR(VLOOKUP($B122,MMWR_TRAD_AGG_STATE_PEN[],C$1,0),"ERROR")</f>
        <v>1343</v>
      </c>
      <c r="D122" s="101">
        <f>IFERROR(VLOOKUP($B122,MMWR_TRAD_AGG_STATE_PEN[],D$1,0),"ERROR")</f>
        <v>102.905435592</v>
      </c>
      <c r="E122" s="102">
        <f>IFERROR(VLOOKUP($B122,MMWR_TRAD_AGG_STATE_PEN[],E$1,0),"ERROR")</f>
        <v>1756</v>
      </c>
      <c r="F122" s="103">
        <f>IFERROR(VLOOKUP($B122,MMWR_TRAD_AGG_STATE_PEN[],F$1,0),"ERROR")</f>
        <v>380</v>
      </c>
      <c r="G122" s="104">
        <f t="shared" si="12"/>
        <v>0.21640091116173121</v>
      </c>
      <c r="H122" s="102">
        <f>IFERROR(VLOOKUP($B122,MMWR_TRAD_AGG_STATE_PEN[],H$1,0),"ERROR")</f>
        <v>1781</v>
      </c>
      <c r="I122" s="103">
        <f>IFERROR(VLOOKUP($B122,MMWR_TRAD_AGG_STATE_PEN[],I$1,0),"ERROR")</f>
        <v>647</v>
      </c>
      <c r="J122" s="105">
        <f t="shared" si="13"/>
        <v>0.36327905670971367</v>
      </c>
      <c r="K122" s="102">
        <f>IFERROR(VLOOKUP($B122,MMWR_TRAD_AGG_STATE_PEN[],K$1,0),"ERROR")</f>
        <v>52</v>
      </c>
      <c r="L122" s="103">
        <f>IFERROR(VLOOKUP($B122,MMWR_TRAD_AGG_STATE_PEN[],L$1,0),"ERROR")</f>
        <v>51</v>
      </c>
      <c r="M122" s="105">
        <f t="shared" si="14"/>
        <v>0.98076923076923073</v>
      </c>
      <c r="N122" s="102">
        <f>IFERROR(VLOOKUP($B122,MMWR_TRAD_AGG_STATE_PEN[],N$1,0),"ERROR")</f>
        <v>130</v>
      </c>
      <c r="O122" s="103">
        <f>IFERROR(VLOOKUP($B122,MMWR_TRAD_AGG_STATE_PEN[],O$1,0),"ERROR")</f>
        <v>39</v>
      </c>
      <c r="P122" s="105">
        <f t="shared" si="15"/>
        <v>0.3</v>
      </c>
      <c r="Q122" s="106">
        <f>IFERROR(VLOOKUP($B122,MMWR_TRAD_AGG_STATE_PEN[],Q$1,0),"ERROR")</f>
        <v>204</v>
      </c>
      <c r="R122" s="106">
        <f>IFERROR(VLOOKUP($B122,MMWR_TRAD_AGG_STATE_PEN[],R$1,0),"ERROR")</f>
        <v>528</v>
      </c>
      <c r="S122" s="106">
        <f>IFERROR(VLOOKUP($B122,MMWR_APP_STATE_PEN[],S$1,0),"ERROR")</f>
        <v>378</v>
      </c>
      <c r="T122" s="28"/>
    </row>
    <row r="123" spans="1:20" s="114" customFormat="1" x14ac:dyDescent="0.2">
      <c r="A123" s="28"/>
      <c r="B123" s="118" t="s">
        <v>389</v>
      </c>
      <c r="C123" s="100">
        <f>IFERROR(VLOOKUP($B123,MMWR_TRAD_AGG_STATE_PEN[],C$1,0),"ERROR")</f>
        <v>182</v>
      </c>
      <c r="D123" s="101">
        <f>IFERROR(VLOOKUP($B123,MMWR_TRAD_AGG_STATE_PEN[],D$1,0),"ERROR")</f>
        <v>54.456043956000002</v>
      </c>
      <c r="E123" s="102">
        <f>IFERROR(VLOOKUP($B123,MMWR_TRAD_AGG_STATE_PEN[],E$1,0),"ERROR")</f>
        <v>409</v>
      </c>
      <c r="F123" s="103">
        <f>IFERROR(VLOOKUP($B123,MMWR_TRAD_AGG_STATE_PEN[],F$1,0),"ERROR")</f>
        <v>51</v>
      </c>
      <c r="G123" s="104">
        <f t="shared" si="12"/>
        <v>0.12469437652811736</v>
      </c>
      <c r="H123" s="102">
        <f>IFERROR(VLOOKUP($B123,MMWR_TRAD_AGG_STATE_PEN[],H$1,0),"ERROR")</f>
        <v>296</v>
      </c>
      <c r="I123" s="103">
        <f>IFERROR(VLOOKUP($B123,MMWR_TRAD_AGG_STATE_PEN[],I$1,0),"ERROR")</f>
        <v>26</v>
      </c>
      <c r="J123" s="105">
        <f t="shared" si="13"/>
        <v>8.7837837837837843E-2</v>
      </c>
      <c r="K123" s="102">
        <f>IFERROR(VLOOKUP($B123,MMWR_TRAD_AGG_STATE_PEN[],K$1,0),"ERROR")</f>
        <v>2</v>
      </c>
      <c r="L123" s="103">
        <f>IFERROR(VLOOKUP($B123,MMWR_TRAD_AGG_STATE_PEN[],L$1,0),"ERROR")</f>
        <v>1</v>
      </c>
      <c r="M123" s="105">
        <f t="shared" si="14"/>
        <v>0.5</v>
      </c>
      <c r="N123" s="102">
        <f>IFERROR(VLOOKUP($B123,MMWR_TRAD_AGG_STATE_PEN[],N$1,0),"ERROR")</f>
        <v>35</v>
      </c>
      <c r="O123" s="103">
        <f>IFERROR(VLOOKUP($B123,MMWR_TRAD_AGG_STATE_PEN[],O$1,0),"ERROR")</f>
        <v>10</v>
      </c>
      <c r="P123" s="105">
        <f t="shared" si="15"/>
        <v>0.2857142857142857</v>
      </c>
      <c r="Q123" s="106">
        <f>IFERROR(VLOOKUP($B123,MMWR_TRAD_AGG_STATE_PEN[],Q$1,0),"ERROR")</f>
        <v>64</v>
      </c>
      <c r="R123" s="106">
        <f>IFERROR(VLOOKUP($B123,MMWR_TRAD_AGG_STATE_PEN[],R$1,0),"ERROR")</f>
        <v>63</v>
      </c>
      <c r="S123" s="106">
        <f>IFERROR(VLOOKUP($B123,MMWR_APP_STATE_PEN[],S$1,0),"ERROR")</f>
        <v>132</v>
      </c>
      <c r="T123" s="28"/>
    </row>
    <row r="124" spans="1:20" s="114" customFormat="1" x14ac:dyDescent="0.2">
      <c r="A124" s="28"/>
      <c r="B124" s="118" t="s">
        <v>423</v>
      </c>
      <c r="C124" s="100">
        <f>IFERROR(VLOOKUP($B124,MMWR_TRAD_AGG_STATE_PEN[],C$1,0),"ERROR")</f>
        <v>1157</v>
      </c>
      <c r="D124" s="101">
        <f>IFERROR(VLOOKUP($B124,MMWR_TRAD_AGG_STATE_PEN[],D$1,0),"ERROR")</f>
        <v>86.305099394999999</v>
      </c>
      <c r="E124" s="102">
        <f>IFERROR(VLOOKUP($B124,MMWR_TRAD_AGG_STATE_PEN[],E$1,0),"ERROR")</f>
        <v>673</v>
      </c>
      <c r="F124" s="103">
        <f>IFERROR(VLOOKUP($B124,MMWR_TRAD_AGG_STATE_PEN[],F$1,0),"ERROR")</f>
        <v>133</v>
      </c>
      <c r="G124" s="104">
        <f t="shared" si="12"/>
        <v>0.1976225854383358</v>
      </c>
      <c r="H124" s="102">
        <f>IFERROR(VLOOKUP($B124,MMWR_TRAD_AGG_STATE_PEN[],H$1,0),"ERROR")</f>
        <v>1645</v>
      </c>
      <c r="I124" s="103">
        <f>IFERROR(VLOOKUP($B124,MMWR_TRAD_AGG_STATE_PEN[],I$1,0),"ERROR")</f>
        <v>532</v>
      </c>
      <c r="J124" s="105">
        <f t="shared" si="13"/>
        <v>0.32340425531914896</v>
      </c>
      <c r="K124" s="102">
        <f>IFERROR(VLOOKUP($B124,MMWR_TRAD_AGG_STATE_PEN[],K$1,0),"ERROR")</f>
        <v>14</v>
      </c>
      <c r="L124" s="103">
        <f>IFERROR(VLOOKUP($B124,MMWR_TRAD_AGG_STATE_PEN[],L$1,0),"ERROR")</f>
        <v>12</v>
      </c>
      <c r="M124" s="105">
        <f t="shared" si="14"/>
        <v>0.8571428571428571</v>
      </c>
      <c r="N124" s="102">
        <f>IFERROR(VLOOKUP($B124,MMWR_TRAD_AGG_STATE_PEN[],N$1,0),"ERROR")</f>
        <v>16</v>
      </c>
      <c r="O124" s="103">
        <f>IFERROR(VLOOKUP($B124,MMWR_TRAD_AGG_STATE_PEN[],O$1,0),"ERROR")</f>
        <v>13</v>
      </c>
      <c r="P124" s="105">
        <f t="shared" si="15"/>
        <v>0.8125</v>
      </c>
      <c r="Q124" s="106">
        <f>IFERROR(VLOOKUP($B124,MMWR_TRAD_AGG_STATE_PEN[],Q$1,0),"ERROR")</f>
        <v>87</v>
      </c>
      <c r="R124" s="106">
        <f>IFERROR(VLOOKUP($B124,MMWR_TRAD_AGG_STATE_PEN[],R$1,0),"ERROR")</f>
        <v>129</v>
      </c>
      <c r="S124" s="106">
        <f>IFERROR(VLOOKUP($B124,MMWR_APP_STATE_PEN[],S$1,0),"ERROR")</f>
        <v>127</v>
      </c>
      <c r="T124" s="28"/>
    </row>
    <row r="125" spans="1:20" s="114" customFormat="1" x14ac:dyDescent="0.2">
      <c r="A125" s="28"/>
      <c r="B125" s="118" t="s">
        <v>379</v>
      </c>
      <c r="C125" s="100">
        <f>IFERROR(VLOOKUP($B125,MMWR_TRAD_AGG_STATE_PEN[],C$1,0),"ERROR")</f>
        <v>942</v>
      </c>
      <c r="D125" s="101">
        <f>IFERROR(VLOOKUP($B125,MMWR_TRAD_AGG_STATE_PEN[],D$1,0),"ERROR")</f>
        <v>100.2781316348</v>
      </c>
      <c r="E125" s="102">
        <f>IFERROR(VLOOKUP($B125,MMWR_TRAD_AGG_STATE_PEN[],E$1,0),"ERROR")</f>
        <v>1005</v>
      </c>
      <c r="F125" s="103">
        <f>IFERROR(VLOOKUP($B125,MMWR_TRAD_AGG_STATE_PEN[],F$1,0),"ERROR")</f>
        <v>246</v>
      </c>
      <c r="G125" s="104">
        <f t="shared" si="12"/>
        <v>0.24477611940298508</v>
      </c>
      <c r="H125" s="102">
        <f>IFERROR(VLOOKUP($B125,MMWR_TRAD_AGG_STATE_PEN[],H$1,0),"ERROR")</f>
        <v>1250</v>
      </c>
      <c r="I125" s="103">
        <f>IFERROR(VLOOKUP($B125,MMWR_TRAD_AGG_STATE_PEN[],I$1,0),"ERROR")</f>
        <v>468</v>
      </c>
      <c r="J125" s="105">
        <f t="shared" si="13"/>
        <v>0.37440000000000001</v>
      </c>
      <c r="K125" s="102">
        <f>IFERROR(VLOOKUP($B125,MMWR_TRAD_AGG_STATE_PEN[],K$1,0),"ERROR")</f>
        <v>16</v>
      </c>
      <c r="L125" s="103">
        <f>IFERROR(VLOOKUP($B125,MMWR_TRAD_AGG_STATE_PEN[],L$1,0),"ERROR")</f>
        <v>16</v>
      </c>
      <c r="M125" s="105">
        <f t="shared" si="14"/>
        <v>1</v>
      </c>
      <c r="N125" s="102">
        <f>IFERROR(VLOOKUP($B125,MMWR_TRAD_AGG_STATE_PEN[],N$1,0),"ERROR")</f>
        <v>44</v>
      </c>
      <c r="O125" s="103">
        <f>IFERROR(VLOOKUP($B125,MMWR_TRAD_AGG_STATE_PEN[],O$1,0),"ERROR")</f>
        <v>18</v>
      </c>
      <c r="P125" s="105">
        <f t="shared" si="15"/>
        <v>0.40909090909090912</v>
      </c>
      <c r="Q125" s="106">
        <f>IFERROR(VLOOKUP($B125,MMWR_TRAD_AGG_STATE_PEN[],Q$1,0),"ERROR")</f>
        <v>161</v>
      </c>
      <c r="R125" s="106">
        <f>IFERROR(VLOOKUP($B125,MMWR_TRAD_AGG_STATE_PEN[],R$1,0),"ERROR")</f>
        <v>293</v>
      </c>
      <c r="S125" s="106">
        <f>IFERROR(VLOOKUP($B125,MMWR_APP_STATE_PEN[],S$1,0),"ERROR")</f>
        <v>169</v>
      </c>
      <c r="T125" s="28"/>
    </row>
    <row r="126" spans="1:20" s="114" customFormat="1" x14ac:dyDescent="0.2">
      <c r="A126" s="28"/>
      <c r="B126" s="118" t="s">
        <v>380</v>
      </c>
      <c r="C126" s="100">
        <f>IFERROR(VLOOKUP($B126,MMWR_TRAD_AGG_STATE_PEN[],C$1,0),"ERROR")</f>
        <v>352</v>
      </c>
      <c r="D126" s="101">
        <f>IFERROR(VLOOKUP($B126,MMWR_TRAD_AGG_STATE_PEN[],D$1,0),"ERROR")</f>
        <v>51.747159090899999</v>
      </c>
      <c r="E126" s="102">
        <f>IFERROR(VLOOKUP($B126,MMWR_TRAD_AGG_STATE_PEN[],E$1,0),"ERROR")</f>
        <v>692</v>
      </c>
      <c r="F126" s="103">
        <f>IFERROR(VLOOKUP($B126,MMWR_TRAD_AGG_STATE_PEN[],F$1,0),"ERROR")</f>
        <v>79</v>
      </c>
      <c r="G126" s="104">
        <f t="shared" si="12"/>
        <v>0.11416184971098266</v>
      </c>
      <c r="H126" s="102">
        <f>IFERROR(VLOOKUP($B126,MMWR_TRAD_AGG_STATE_PEN[],H$1,0),"ERROR")</f>
        <v>521</v>
      </c>
      <c r="I126" s="103">
        <f>IFERROR(VLOOKUP($B126,MMWR_TRAD_AGG_STATE_PEN[],I$1,0),"ERROR")</f>
        <v>52</v>
      </c>
      <c r="J126" s="105">
        <f t="shared" si="13"/>
        <v>9.9808061420345484E-2</v>
      </c>
      <c r="K126" s="102">
        <f>IFERROR(VLOOKUP($B126,MMWR_TRAD_AGG_STATE_PEN[],K$1,0),"ERROR")</f>
        <v>4</v>
      </c>
      <c r="L126" s="103">
        <f>IFERROR(VLOOKUP($B126,MMWR_TRAD_AGG_STATE_PEN[],L$1,0),"ERROR")</f>
        <v>4</v>
      </c>
      <c r="M126" s="105">
        <f t="shared" si="14"/>
        <v>1</v>
      </c>
      <c r="N126" s="102">
        <f>IFERROR(VLOOKUP($B126,MMWR_TRAD_AGG_STATE_PEN[],N$1,0),"ERROR")</f>
        <v>55</v>
      </c>
      <c r="O126" s="103">
        <f>IFERROR(VLOOKUP($B126,MMWR_TRAD_AGG_STATE_PEN[],O$1,0),"ERROR")</f>
        <v>12</v>
      </c>
      <c r="P126" s="105">
        <f t="shared" si="15"/>
        <v>0.21818181818181817</v>
      </c>
      <c r="Q126" s="106">
        <f>IFERROR(VLOOKUP($B126,MMWR_TRAD_AGG_STATE_PEN[],Q$1,0),"ERROR")</f>
        <v>98</v>
      </c>
      <c r="R126" s="106">
        <f>IFERROR(VLOOKUP($B126,MMWR_TRAD_AGG_STATE_PEN[],R$1,0),"ERROR")</f>
        <v>68</v>
      </c>
      <c r="S126" s="106">
        <f>IFERROR(VLOOKUP($B126,MMWR_APP_STATE_PEN[],S$1,0),"ERROR")</f>
        <v>258</v>
      </c>
      <c r="T126" s="28"/>
    </row>
    <row r="127" spans="1:20" s="114" customFormat="1" x14ac:dyDescent="0.2">
      <c r="A127" s="28"/>
      <c r="B127" s="119" t="s">
        <v>8</v>
      </c>
      <c r="C127" s="93">
        <f>IFERROR(VLOOKUP($B127,MMWR_TRAD_AGG_ST_DISTRICT_PEN[],C$1,0),"ERROR")</f>
        <v>150</v>
      </c>
      <c r="D127" s="94">
        <f>IFERROR(VLOOKUP($B127,MMWR_TRAD_AGG_ST_DISTRICT_PEN[],D$1,0),"ERROR")</f>
        <v>92.746666666699994</v>
      </c>
      <c r="E127" s="93">
        <f>IFERROR(VLOOKUP($B127,MMWR_TRAD_AGG_ST_DISTRICT_PEN[],E$1,0),"ERROR")</f>
        <v>206</v>
      </c>
      <c r="F127" s="93">
        <f>IFERROR(VLOOKUP($B127,MMWR_TRAD_AGG_ST_DISTRICT_PEN[],F$1,0),"ERROR")</f>
        <v>90</v>
      </c>
      <c r="G127" s="95">
        <f t="shared" si="12"/>
        <v>0.43689320388349512</v>
      </c>
      <c r="H127" s="93">
        <f>IFERROR(VLOOKUP($B127,MMWR_TRAD_AGG_ST_DISTRICT_PEN[],H$1,0),"ERROR")</f>
        <v>315</v>
      </c>
      <c r="I127" s="93">
        <f>IFERROR(VLOOKUP($B127,MMWR_TRAD_AGG_ST_DISTRICT_PEN[],I$1,0),"ERROR")</f>
        <v>154</v>
      </c>
      <c r="J127" s="95">
        <f t="shared" si="13"/>
        <v>0.48888888888888887</v>
      </c>
      <c r="K127" s="93">
        <f>IFERROR(VLOOKUP($B127,MMWR_TRAD_AGG_ST_DISTRICT_PEN[],K$1,0),"ERROR")</f>
        <v>11</v>
      </c>
      <c r="L127" s="93">
        <f>IFERROR(VLOOKUP($B127,MMWR_TRAD_AGG_ST_DISTRICT_PEN[],L$1,0),"ERROR")</f>
        <v>10</v>
      </c>
      <c r="M127" s="95">
        <f t="shared" si="14"/>
        <v>0.90909090909090906</v>
      </c>
      <c r="N127" s="93">
        <f>IFERROR(VLOOKUP($B127,MMWR_TRAD_AGG_ST_DISTRICT_PEN[],N$1,0),"ERROR")</f>
        <v>7</v>
      </c>
      <c r="O127" s="93">
        <f>IFERROR(VLOOKUP($B127,MMWR_TRAD_AGG_ST_DISTRICT_PEN[],O$1,0),"ERROR")</f>
        <v>4</v>
      </c>
      <c r="P127" s="95">
        <f t="shared" si="15"/>
        <v>0.5714285714285714</v>
      </c>
      <c r="Q127" s="93">
        <f>IFERROR(VLOOKUP($B127,MMWR_TRAD_AGG_ST_DISTRICT_PEN[],Q$1,0),"ERROR")</f>
        <v>40</v>
      </c>
      <c r="R127" s="97">
        <f>IFERROR(VLOOKUP($B127,MMWR_TRAD_AGG_ST_DISTRICT_PEN[],R$1,0),"ERROR")</f>
        <v>21</v>
      </c>
      <c r="S127" s="97">
        <f>IFERROR(VLOOKUP($B127,MMWR_APP_STATE_PEN[],S$1,0),"ERROR")</f>
        <v>8</v>
      </c>
      <c r="T127" s="28"/>
    </row>
    <row r="128" spans="1:20" x14ac:dyDescent="0.2">
      <c r="B128" s="26"/>
      <c r="C128" s="26"/>
      <c r="D128" s="26"/>
      <c r="E128" s="66"/>
      <c r="F128" s="66"/>
      <c r="G128" s="66"/>
      <c r="H128" s="66"/>
      <c r="I128" s="66"/>
      <c r="J128" s="66"/>
      <c r="K128" s="66"/>
      <c r="L128" s="66"/>
      <c r="M128" s="66"/>
      <c r="N128" s="66"/>
      <c r="O128" s="66"/>
      <c r="P128" s="66"/>
      <c r="Q128" s="66"/>
      <c r="R128" s="66"/>
      <c r="S128" s="66"/>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649</v>
      </c>
      <c r="C2" t="s">
        <v>452</v>
      </c>
      <c r="D2" t="s">
        <v>454</v>
      </c>
      <c r="F2" t="s">
        <v>648</v>
      </c>
      <c r="G2" t="s">
        <v>304</v>
      </c>
      <c r="H2" t="s">
        <v>136</v>
      </c>
      <c r="I2" t="s">
        <v>217</v>
      </c>
      <c r="J2" t="s">
        <v>218</v>
      </c>
      <c r="K2" t="s">
        <v>219</v>
      </c>
      <c r="L2" t="s">
        <v>220</v>
      </c>
      <c r="M2" t="s">
        <v>221</v>
      </c>
      <c r="N2" t="s">
        <v>222</v>
      </c>
      <c r="O2" t="s">
        <v>223</v>
      </c>
      <c r="P2" t="s">
        <v>224</v>
      </c>
      <c r="Q2" t="s">
        <v>225</v>
      </c>
      <c r="R2" t="s">
        <v>226</v>
      </c>
      <c r="T2" t="s">
        <v>647</v>
      </c>
      <c r="U2" t="s">
        <v>304</v>
      </c>
      <c r="V2" t="s">
        <v>136</v>
      </c>
      <c r="W2" t="s">
        <v>217</v>
      </c>
      <c r="X2" t="s">
        <v>455</v>
      </c>
      <c r="Y2" t="s">
        <v>219</v>
      </c>
      <c r="Z2" t="s">
        <v>220</v>
      </c>
      <c r="AA2" t="s">
        <v>221</v>
      </c>
      <c r="AB2" t="s">
        <v>456</v>
      </c>
      <c r="AC2" t="s">
        <v>223</v>
      </c>
      <c r="AD2" t="s">
        <v>224</v>
      </c>
      <c r="AE2" t="s">
        <v>225</v>
      </c>
      <c r="AF2" t="s">
        <v>226</v>
      </c>
      <c r="AH2" t="s">
        <v>646</v>
      </c>
      <c r="AI2" t="s">
        <v>304</v>
      </c>
      <c r="AJ2" t="s">
        <v>136</v>
      </c>
      <c r="AK2" t="s">
        <v>217</v>
      </c>
      <c r="AL2" t="s">
        <v>218</v>
      </c>
      <c r="AM2" t="s">
        <v>219</v>
      </c>
      <c r="AN2" t="s">
        <v>220</v>
      </c>
      <c r="AO2" t="s">
        <v>221</v>
      </c>
      <c r="AP2" t="s">
        <v>222</v>
      </c>
      <c r="AQ2" t="s">
        <v>223</v>
      </c>
      <c r="AR2" t="s">
        <v>224</v>
      </c>
      <c r="AS2" t="s">
        <v>225</v>
      </c>
      <c r="AT2" t="s">
        <v>226</v>
      </c>
      <c r="AV2" t="s">
        <v>645</v>
      </c>
      <c r="AW2" t="s">
        <v>304</v>
      </c>
      <c r="AX2" t="s">
        <v>136</v>
      </c>
      <c r="AY2" t="s">
        <v>217</v>
      </c>
      <c r="AZ2" t="s">
        <v>455</v>
      </c>
      <c r="BA2" t="s">
        <v>219</v>
      </c>
      <c r="BB2" t="s">
        <v>220</v>
      </c>
      <c r="BC2" t="s">
        <v>221</v>
      </c>
      <c r="BD2" t="s">
        <v>456</v>
      </c>
      <c r="BE2" t="s">
        <v>223</v>
      </c>
      <c r="BF2" t="s">
        <v>224</v>
      </c>
      <c r="BG2" t="s">
        <v>225</v>
      </c>
      <c r="BH2" t="s">
        <v>226</v>
      </c>
      <c r="BJ2" t="s">
        <v>707</v>
      </c>
      <c r="BK2" t="s">
        <v>726</v>
      </c>
      <c r="BL2" t="s">
        <v>695</v>
      </c>
      <c r="BM2" t="s">
        <v>696</v>
      </c>
      <c r="BN2" t="s">
        <v>697</v>
      </c>
      <c r="BO2" t="s">
        <v>698</v>
      </c>
      <c r="BP2" t="s">
        <v>699</v>
      </c>
      <c r="BQ2" t="s">
        <v>708</v>
      </c>
      <c r="BR2" t="s">
        <v>709</v>
      </c>
      <c r="BS2" t="s">
        <v>700</v>
      </c>
      <c r="BT2" t="s">
        <v>701</v>
      </c>
      <c r="BU2" t="s">
        <v>702</v>
      </c>
      <c r="BV2" t="s">
        <v>703</v>
      </c>
      <c r="BW2" t="s">
        <v>704</v>
      </c>
      <c r="BX2" t="s">
        <v>705</v>
      </c>
      <c r="BY2" t="s">
        <v>706</v>
      </c>
      <c r="CA2" t="s">
        <v>1027</v>
      </c>
      <c r="CB2" t="s">
        <v>731</v>
      </c>
      <c r="CC2" t="s">
        <v>732</v>
      </c>
      <c r="CD2" t="s">
        <v>710</v>
      </c>
      <c r="CE2" t="s">
        <v>711</v>
      </c>
      <c r="CF2" t="s">
        <v>712</v>
      </c>
      <c r="CG2" t="s">
        <v>713</v>
      </c>
      <c r="CH2" t="s">
        <v>714</v>
      </c>
      <c r="CI2" t="s">
        <v>715</v>
      </c>
      <c r="CJ2" t="s">
        <v>716</v>
      </c>
      <c r="CL2" t="s">
        <v>1028</v>
      </c>
      <c r="CM2" t="s">
        <v>731</v>
      </c>
      <c r="CN2" t="s">
        <v>732</v>
      </c>
      <c r="CO2" t="s">
        <v>710</v>
      </c>
      <c r="CP2" t="s">
        <v>711</v>
      </c>
      <c r="CQ2" t="s">
        <v>712</v>
      </c>
      <c r="CR2" t="s">
        <v>713</v>
      </c>
      <c r="CS2" t="s">
        <v>714</v>
      </c>
      <c r="CT2" t="s">
        <v>715</v>
      </c>
      <c r="CU2" t="s">
        <v>716</v>
      </c>
      <c r="CW2" t="s">
        <v>1029</v>
      </c>
      <c r="CX2" t="s">
        <v>731</v>
      </c>
      <c r="CY2" t="s">
        <v>732</v>
      </c>
      <c r="CZ2" t="s">
        <v>710</v>
      </c>
      <c r="DA2" t="s">
        <v>711</v>
      </c>
      <c r="DB2" t="s">
        <v>712</v>
      </c>
      <c r="DC2" t="s">
        <v>713</v>
      </c>
      <c r="DD2" t="s">
        <v>714</v>
      </c>
      <c r="DE2" t="s">
        <v>715</v>
      </c>
      <c r="DF2" t="s">
        <v>716</v>
      </c>
      <c r="DH2" t="s">
        <v>1030</v>
      </c>
      <c r="DI2" t="s">
        <v>731</v>
      </c>
      <c r="DJ2" t="s">
        <v>732</v>
      </c>
      <c r="DK2" t="s">
        <v>710</v>
      </c>
      <c r="DL2" t="s">
        <v>711</v>
      </c>
      <c r="DM2" t="s">
        <v>712</v>
      </c>
      <c r="DN2" t="s">
        <v>713</v>
      </c>
      <c r="DO2" t="s">
        <v>714</v>
      </c>
      <c r="DP2" t="s">
        <v>715</v>
      </c>
      <c r="DQ2" t="s">
        <v>716</v>
      </c>
    </row>
    <row r="3" spans="2:121" x14ac:dyDescent="0.2">
      <c r="C3">
        <v>346419</v>
      </c>
      <c r="D3">
        <v>281213</v>
      </c>
      <c r="F3" t="s">
        <v>34</v>
      </c>
      <c r="G3">
        <v>1079</v>
      </c>
      <c r="H3">
        <v>132.36422613529999</v>
      </c>
      <c r="I3">
        <v>3076</v>
      </c>
      <c r="J3">
        <v>551</v>
      </c>
      <c r="K3">
        <v>1520</v>
      </c>
      <c r="L3">
        <v>468</v>
      </c>
      <c r="M3">
        <v>314</v>
      </c>
      <c r="N3">
        <v>99</v>
      </c>
      <c r="O3">
        <v>411</v>
      </c>
      <c r="P3">
        <v>218</v>
      </c>
      <c r="Q3">
        <v>0</v>
      </c>
      <c r="R3">
        <v>7</v>
      </c>
      <c r="T3" t="s">
        <v>212</v>
      </c>
      <c r="U3">
        <v>3218</v>
      </c>
      <c r="V3">
        <v>47.481044126800001</v>
      </c>
      <c r="W3">
        <v>7960</v>
      </c>
      <c r="X3">
        <v>844</v>
      </c>
      <c r="Y3">
        <v>5088</v>
      </c>
      <c r="Z3">
        <v>209</v>
      </c>
      <c r="AA3">
        <v>7</v>
      </c>
      <c r="AB3">
        <v>6</v>
      </c>
      <c r="AC3">
        <v>403</v>
      </c>
      <c r="AD3">
        <v>75</v>
      </c>
      <c r="AE3">
        <v>954</v>
      </c>
      <c r="AF3">
        <v>737</v>
      </c>
      <c r="AH3" t="s">
        <v>384</v>
      </c>
      <c r="AI3">
        <v>13447</v>
      </c>
      <c r="AJ3">
        <v>393.6138915743</v>
      </c>
      <c r="AK3">
        <v>7553</v>
      </c>
      <c r="AL3">
        <v>1573</v>
      </c>
      <c r="AM3">
        <v>17325</v>
      </c>
      <c r="AN3">
        <v>11704</v>
      </c>
      <c r="AO3">
        <v>5165</v>
      </c>
      <c r="AP3">
        <v>3911</v>
      </c>
      <c r="AQ3">
        <v>3496</v>
      </c>
      <c r="AR3">
        <v>2160</v>
      </c>
      <c r="AS3">
        <v>389</v>
      </c>
      <c r="AT3">
        <v>375</v>
      </c>
      <c r="AV3" t="s">
        <v>409</v>
      </c>
      <c r="AW3">
        <v>99</v>
      </c>
      <c r="AX3">
        <v>50.969696969700003</v>
      </c>
      <c r="AY3">
        <v>190</v>
      </c>
      <c r="AZ3">
        <v>7</v>
      </c>
      <c r="BA3">
        <v>137</v>
      </c>
      <c r="BB3">
        <v>6</v>
      </c>
      <c r="BC3">
        <v>0</v>
      </c>
      <c r="BE3">
        <v>5</v>
      </c>
      <c r="BF3">
        <v>4</v>
      </c>
      <c r="BG3">
        <v>127</v>
      </c>
      <c r="BH3">
        <v>27</v>
      </c>
      <c r="BJ3" t="s">
        <v>724</v>
      </c>
      <c r="BK3" t="s">
        <v>727</v>
      </c>
      <c r="BL3">
        <v>311542</v>
      </c>
      <c r="BM3">
        <v>70099</v>
      </c>
      <c r="BN3">
        <v>95.114594500899997</v>
      </c>
      <c r="BO3">
        <v>303641</v>
      </c>
      <c r="BP3">
        <v>42755</v>
      </c>
      <c r="BQ3">
        <v>135.9875741418</v>
      </c>
      <c r="BR3">
        <v>136.5486843644</v>
      </c>
      <c r="BS3">
        <v>311542</v>
      </c>
      <c r="BT3">
        <v>70099</v>
      </c>
      <c r="BU3">
        <v>95.114594500899997</v>
      </c>
      <c r="BV3">
        <v>303641</v>
      </c>
      <c r="BW3">
        <v>42755</v>
      </c>
      <c r="BX3">
        <v>135.9875741418</v>
      </c>
      <c r="BY3">
        <v>136.5486843644</v>
      </c>
      <c r="CA3" t="s">
        <v>1033</v>
      </c>
      <c r="CB3" t="s">
        <v>727</v>
      </c>
      <c r="CC3" t="s">
        <v>913</v>
      </c>
      <c r="CD3">
        <v>11382</v>
      </c>
      <c r="CE3">
        <v>2672</v>
      </c>
      <c r="CF3">
        <v>87.093744508900002</v>
      </c>
      <c r="CG3">
        <v>6882</v>
      </c>
      <c r="CH3">
        <v>995</v>
      </c>
      <c r="CI3">
        <v>135.64399883749999</v>
      </c>
      <c r="CJ3">
        <v>148.26331658289999</v>
      </c>
      <c r="CL3" t="s">
        <v>1033</v>
      </c>
      <c r="CM3" t="s">
        <v>727</v>
      </c>
      <c r="CN3" t="s">
        <v>913</v>
      </c>
      <c r="CO3">
        <v>11382</v>
      </c>
      <c r="CP3">
        <v>2672</v>
      </c>
      <c r="CQ3">
        <v>87.093744508900002</v>
      </c>
      <c r="CR3">
        <v>6882</v>
      </c>
      <c r="CS3">
        <v>995</v>
      </c>
      <c r="CT3">
        <v>135.64399883749999</v>
      </c>
      <c r="CU3">
        <v>148.26331658289999</v>
      </c>
      <c r="CW3" t="s">
        <v>1033</v>
      </c>
      <c r="CX3" t="s">
        <v>727</v>
      </c>
      <c r="CY3" t="s">
        <v>913</v>
      </c>
      <c r="CZ3">
        <v>11382</v>
      </c>
      <c r="DA3">
        <v>2672</v>
      </c>
      <c r="DB3">
        <v>87.093744508900002</v>
      </c>
      <c r="DC3">
        <v>6882</v>
      </c>
      <c r="DD3">
        <v>995</v>
      </c>
      <c r="DE3">
        <v>135.64399883749999</v>
      </c>
      <c r="DF3">
        <v>148.26331658289999</v>
      </c>
      <c r="DH3" t="s">
        <v>1033</v>
      </c>
      <c r="DI3" t="s">
        <v>727</v>
      </c>
      <c r="DJ3" t="s">
        <v>913</v>
      </c>
      <c r="DK3">
        <v>11382</v>
      </c>
      <c r="DL3">
        <v>2672</v>
      </c>
      <c r="DM3">
        <v>87.093744508900002</v>
      </c>
      <c r="DN3">
        <v>6882</v>
      </c>
      <c r="DO3">
        <v>995</v>
      </c>
      <c r="DP3">
        <v>135.64399883749999</v>
      </c>
      <c r="DQ3">
        <v>148.26331658289999</v>
      </c>
    </row>
    <row r="4" spans="2:121" x14ac:dyDescent="0.2">
      <c r="B4" t="s">
        <v>101</v>
      </c>
      <c r="C4">
        <v>103714</v>
      </c>
      <c r="D4">
        <v>82383</v>
      </c>
      <c r="F4" t="s">
        <v>80</v>
      </c>
      <c r="G4">
        <v>15888</v>
      </c>
      <c r="H4">
        <v>302.23936304130001</v>
      </c>
      <c r="I4">
        <v>20861</v>
      </c>
      <c r="J4">
        <v>5432</v>
      </c>
      <c r="K4">
        <v>19223</v>
      </c>
      <c r="L4">
        <v>12204</v>
      </c>
      <c r="M4">
        <v>4523</v>
      </c>
      <c r="N4">
        <v>2300</v>
      </c>
      <c r="O4">
        <v>11879</v>
      </c>
      <c r="P4">
        <v>7358</v>
      </c>
      <c r="Q4">
        <v>11</v>
      </c>
      <c r="R4">
        <v>254</v>
      </c>
      <c r="T4" t="s">
        <v>227</v>
      </c>
      <c r="U4">
        <v>0</v>
      </c>
      <c r="W4">
        <v>263</v>
      </c>
      <c r="X4">
        <v>120</v>
      </c>
      <c r="Y4">
        <v>466</v>
      </c>
      <c r="Z4">
        <v>336</v>
      </c>
      <c r="AA4">
        <v>225</v>
      </c>
      <c r="AB4">
        <v>221</v>
      </c>
      <c r="AC4">
        <v>203</v>
      </c>
      <c r="AD4">
        <v>155</v>
      </c>
      <c r="AE4">
        <v>14</v>
      </c>
      <c r="AF4">
        <v>0</v>
      </c>
      <c r="AH4" t="s">
        <v>420</v>
      </c>
      <c r="AI4">
        <v>1972</v>
      </c>
      <c r="AJ4">
        <v>444.44726166330003</v>
      </c>
      <c r="AK4">
        <v>1221</v>
      </c>
      <c r="AL4">
        <v>296</v>
      </c>
      <c r="AM4">
        <v>2870</v>
      </c>
      <c r="AN4">
        <v>1992</v>
      </c>
      <c r="AO4">
        <v>1891</v>
      </c>
      <c r="AP4">
        <v>1551</v>
      </c>
      <c r="AQ4">
        <v>633</v>
      </c>
      <c r="AR4">
        <v>335</v>
      </c>
      <c r="AS4">
        <v>1</v>
      </c>
      <c r="AT4">
        <v>2</v>
      </c>
      <c r="AV4" t="s">
        <v>423</v>
      </c>
      <c r="AW4">
        <v>1157</v>
      </c>
      <c r="AX4">
        <v>86.305099394999999</v>
      </c>
      <c r="AY4">
        <v>673</v>
      </c>
      <c r="AZ4">
        <v>133</v>
      </c>
      <c r="BA4">
        <v>1645</v>
      </c>
      <c r="BB4">
        <v>532</v>
      </c>
      <c r="BC4">
        <v>14</v>
      </c>
      <c r="BD4">
        <v>12</v>
      </c>
      <c r="BE4">
        <v>16</v>
      </c>
      <c r="BF4">
        <v>13</v>
      </c>
      <c r="BG4">
        <v>87</v>
      </c>
      <c r="BH4">
        <v>129</v>
      </c>
      <c r="BJ4" t="s">
        <v>633</v>
      </c>
      <c r="BK4" t="s">
        <v>381</v>
      </c>
      <c r="BL4">
        <v>802</v>
      </c>
      <c r="BM4">
        <v>93</v>
      </c>
      <c r="BN4">
        <v>77.553615960100004</v>
      </c>
      <c r="BO4">
        <v>728</v>
      </c>
      <c r="BP4">
        <v>113</v>
      </c>
      <c r="BQ4">
        <v>141.9271978022</v>
      </c>
      <c r="BR4">
        <v>148.814159292</v>
      </c>
      <c r="BS4">
        <v>849</v>
      </c>
      <c r="BT4">
        <v>131</v>
      </c>
      <c r="BU4">
        <v>83.217903415799995</v>
      </c>
      <c r="BV4">
        <v>840</v>
      </c>
      <c r="BW4">
        <v>125</v>
      </c>
      <c r="BX4">
        <v>143.9892857143</v>
      </c>
      <c r="BY4">
        <v>149.16800000000001</v>
      </c>
      <c r="CA4" t="s">
        <v>1032</v>
      </c>
      <c r="CB4" t="s">
        <v>727</v>
      </c>
      <c r="CC4" t="s">
        <v>913</v>
      </c>
      <c r="CD4">
        <v>311542</v>
      </c>
      <c r="CE4">
        <v>70099</v>
      </c>
      <c r="CF4">
        <v>95.114594500899997</v>
      </c>
      <c r="CG4">
        <v>303641</v>
      </c>
      <c r="CH4">
        <v>42755</v>
      </c>
      <c r="CI4">
        <v>135.9875741418</v>
      </c>
      <c r="CJ4">
        <v>136.5486843644</v>
      </c>
      <c r="CL4" t="s">
        <v>1032</v>
      </c>
      <c r="CM4" t="s">
        <v>727</v>
      </c>
      <c r="CN4" t="s">
        <v>913</v>
      </c>
      <c r="CO4">
        <v>311542</v>
      </c>
      <c r="CP4">
        <v>70099</v>
      </c>
      <c r="CQ4">
        <v>95.114594500899997</v>
      </c>
      <c r="CR4">
        <v>303641</v>
      </c>
      <c r="CS4">
        <v>42755</v>
      </c>
      <c r="CT4">
        <v>135.9875741418</v>
      </c>
      <c r="CU4">
        <v>136.5486843644</v>
      </c>
      <c r="CW4" t="s">
        <v>1032</v>
      </c>
      <c r="CX4" t="s">
        <v>727</v>
      </c>
      <c r="CY4" t="s">
        <v>913</v>
      </c>
      <c r="CZ4">
        <v>311542</v>
      </c>
      <c r="DA4">
        <v>70099</v>
      </c>
      <c r="DB4">
        <v>95.114594500899997</v>
      </c>
      <c r="DC4">
        <v>303641</v>
      </c>
      <c r="DD4">
        <v>42755</v>
      </c>
      <c r="DE4">
        <v>135.9875741418</v>
      </c>
      <c r="DF4">
        <v>136.5486843644</v>
      </c>
      <c r="DH4" t="s">
        <v>1032</v>
      </c>
      <c r="DI4" t="s">
        <v>727</v>
      </c>
      <c r="DJ4" t="s">
        <v>913</v>
      </c>
      <c r="DK4">
        <v>311542</v>
      </c>
      <c r="DL4">
        <v>70099</v>
      </c>
      <c r="DM4">
        <v>95.114594500899997</v>
      </c>
      <c r="DN4">
        <v>303641</v>
      </c>
      <c r="DO4">
        <v>42755</v>
      </c>
      <c r="DP4">
        <v>135.9875741418</v>
      </c>
      <c r="DQ4">
        <v>136.5486843644</v>
      </c>
    </row>
    <row r="5" spans="2:121" x14ac:dyDescent="0.2">
      <c r="B5" t="s">
        <v>110</v>
      </c>
      <c r="C5">
        <v>75901</v>
      </c>
      <c r="D5">
        <v>56608</v>
      </c>
      <c r="F5" t="s">
        <v>54</v>
      </c>
      <c r="G5">
        <v>4703</v>
      </c>
      <c r="H5">
        <v>378.18881564959997</v>
      </c>
      <c r="I5">
        <v>3395</v>
      </c>
      <c r="J5">
        <v>556</v>
      </c>
      <c r="K5">
        <v>8527</v>
      </c>
      <c r="L5">
        <v>4538</v>
      </c>
      <c r="M5">
        <v>4237</v>
      </c>
      <c r="N5">
        <v>3636</v>
      </c>
      <c r="O5">
        <v>1356</v>
      </c>
      <c r="P5">
        <v>682</v>
      </c>
      <c r="Q5">
        <v>1</v>
      </c>
      <c r="R5">
        <v>117</v>
      </c>
      <c r="T5" t="s">
        <v>213</v>
      </c>
      <c r="U5">
        <v>13913</v>
      </c>
      <c r="V5">
        <v>95.448501401599998</v>
      </c>
      <c r="W5">
        <v>18362</v>
      </c>
      <c r="X5">
        <v>3959</v>
      </c>
      <c r="Y5">
        <v>18649</v>
      </c>
      <c r="Z5">
        <v>6367</v>
      </c>
      <c r="AA5">
        <v>344</v>
      </c>
      <c r="AB5">
        <v>341</v>
      </c>
      <c r="AC5">
        <v>831</v>
      </c>
      <c r="AD5">
        <v>264</v>
      </c>
      <c r="AE5">
        <v>2159</v>
      </c>
      <c r="AF5">
        <v>4381</v>
      </c>
      <c r="AH5" t="s">
        <v>422</v>
      </c>
      <c r="AI5">
        <v>6413</v>
      </c>
      <c r="AJ5">
        <v>410.590675191</v>
      </c>
      <c r="AK5">
        <v>6244</v>
      </c>
      <c r="AL5">
        <v>1395</v>
      </c>
      <c r="AM5">
        <v>8898</v>
      </c>
      <c r="AN5">
        <v>5563</v>
      </c>
      <c r="AO5">
        <v>1525</v>
      </c>
      <c r="AP5">
        <v>740</v>
      </c>
      <c r="AQ5">
        <v>3669</v>
      </c>
      <c r="AR5">
        <v>2715</v>
      </c>
      <c r="AS5">
        <v>4</v>
      </c>
      <c r="AT5">
        <v>77</v>
      </c>
      <c r="AV5" t="s">
        <v>396</v>
      </c>
      <c r="AW5">
        <v>46</v>
      </c>
      <c r="AX5">
        <v>29.608695652200002</v>
      </c>
      <c r="AY5">
        <v>79</v>
      </c>
      <c r="AZ5">
        <v>6</v>
      </c>
      <c r="BA5">
        <v>65</v>
      </c>
      <c r="BB5">
        <v>2</v>
      </c>
      <c r="BC5">
        <v>0</v>
      </c>
      <c r="BE5">
        <v>1</v>
      </c>
      <c r="BG5">
        <v>183</v>
      </c>
      <c r="BH5">
        <v>12</v>
      </c>
      <c r="BJ5" t="s">
        <v>381</v>
      </c>
      <c r="BK5" t="s">
        <v>381</v>
      </c>
      <c r="BL5">
        <v>61698</v>
      </c>
      <c r="BM5">
        <v>13165</v>
      </c>
      <c r="BN5">
        <v>92.741839281699995</v>
      </c>
      <c r="BO5">
        <v>58733</v>
      </c>
      <c r="BP5">
        <v>8006</v>
      </c>
      <c r="BQ5">
        <v>142.1950692115</v>
      </c>
      <c r="BR5">
        <v>140.2626779915</v>
      </c>
      <c r="BS5">
        <v>61522</v>
      </c>
      <c r="BT5">
        <v>13331</v>
      </c>
      <c r="BU5">
        <v>93.156529371600001</v>
      </c>
      <c r="BV5">
        <v>59070</v>
      </c>
      <c r="BW5">
        <v>8151</v>
      </c>
      <c r="BX5">
        <v>141.6082444557</v>
      </c>
      <c r="BY5">
        <v>140.67427309530001</v>
      </c>
      <c r="CA5" t="s">
        <v>1034</v>
      </c>
      <c r="CB5" t="s">
        <v>727</v>
      </c>
      <c r="CC5" t="s">
        <v>913</v>
      </c>
      <c r="CD5">
        <v>26933</v>
      </c>
      <c r="CE5">
        <v>2832</v>
      </c>
      <c r="CF5">
        <v>69.481602495100006</v>
      </c>
      <c r="CG5">
        <v>41792</v>
      </c>
      <c r="CH5">
        <v>5599</v>
      </c>
      <c r="CI5">
        <v>72.376435681499999</v>
      </c>
      <c r="CJ5">
        <v>79.032505804600007</v>
      </c>
      <c r="CL5" t="s">
        <v>1034</v>
      </c>
      <c r="CM5" t="s">
        <v>727</v>
      </c>
      <c r="CN5" t="s">
        <v>913</v>
      </c>
      <c r="CO5">
        <v>26933</v>
      </c>
      <c r="CP5">
        <v>2832</v>
      </c>
      <c r="CQ5">
        <v>69.481602495100006</v>
      </c>
      <c r="CR5">
        <v>41792</v>
      </c>
      <c r="CS5">
        <v>5599</v>
      </c>
      <c r="CT5">
        <v>72.376435681499999</v>
      </c>
      <c r="CU5">
        <v>79.032505804600007</v>
      </c>
      <c r="CW5" t="s">
        <v>1034</v>
      </c>
      <c r="CX5" t="s">
        <v>727</v>
      </c>
      <c r="CY5" t="s">
        <v>913</v>
      </c>
      <c r="CZ5">
        <v>26933</v>
      </c>
      <c r="DA5">
        <v>2832</v>
      </c>
      <c r="DB5">
        <v>69.481602495100006</v>
      </c>
      <c r="DC5">
        <v>41792</v>
      </c>
      <c r="DD5">
        <v>5599</v>
      </c>
      <c r="DE5">
        <v>72.376435681499999</v>
      </c>
      <c r="DF5">
        <v>79.032505804600007</v>
      </c>
      <c r="DH5" t="s">
        <v>1034</v>
      </c>
      <c r="DI5" t="s">
        <v>727</v>
      </c>
      <c r="DJ5" t="s">
        <v>913</v>
      </c>
      <c r="DK5">
        <v>26933</v>
      </c>
      <c r="DL5">
        <v>2832</v>
      </c>
      <c r="DM5">
        <v>69.481602495100006</v>
      </c>
      <c r="DN5">
        <v>41792</v>
      </c>
      <c r="DO5">
        <v>5599</v>
      </c>
      <c r="DP5">
        <v>72.376435681499999</v>
      </c>
      <c r="DQ5">
        <v>79.032505804600007</v>
      </c>
    </row>
    <row r="6" spans="2:121" x14ac:dyDescent="0.2">
      <c r="B6" t="s">
        <v>93</v>
      </c>
      <c r="C6">
        <v>8370</v>
      </c>
      <c r="D6">
        <v>1509</v>
      </c>
      <c r="F6" t="s">
        <v>184</v>
      </c>
      <c r="G6">
        <v>576</v>
      </c>
      <c r="H6">
        <v>169.1354166667</v>
      </c>
      <c r="I6">
        <v>626</v>
      </c>
      <c r="J6">
        <v>51</v>
      </c>
      <c r="K6">
        <v>767</v>
      </c>
      <c r="L6">
        <v>306</v>
      </c>
      <c r="M6">
        <v>494</v>
      </c>
      <c r="N6">
        <v>170</v>
      </c>
      <c r="O6">
        <v>168</v>
      </c>
      <c r="P6">
        <v>59</v>
      </c>
      <c r="Q6">
        <v>0</v>
      </c>
      <c r="R6">
        <v>6</v>
      </c>
      <c r="T6" t="s">
        <v>215</v>
      </c>
      <c r="U6">
        <v>3168</v>
      </c>
      <c r="V6">
        <v>40.786300505100002</v>
      </c>
      <c r="W6">
        <v>6425</v>
      </c>
      <c r="X6">
        <v>273</v>
      </c>
      <c r="Y6">
        <v>4374</v>
      </c>
      <c r="Z6">
        <v>31</v>
      </c>
      <c r="AA6">
        <v>31</v>
      </c>
      <c r="AB6">
        <v>11</v>
      </c>
      <c r="AC6">
        <v>164</v>
      </c>
      <c r="AD6">
        <v>67</v>
      </c>
      <c r="AE6">
        <v>6319</v>
      </c>
      <c r="AF6">
        <v>835</v>
      </c>
      <c r="AH6" t="s">
        <v>407</v>
      </c>
      <c r="AI6">
        <v>5037</v>
      </c>
      <c r="AJ6">
        <v>382.54993051420001</v>
      </c>
      <c r="AK6">
        <v>3729</v>
      </c>
      <c r="AL6">
        <v>636</v>
      </c>
      <c r="AM6">
        <v>6622</v>
      </c>
      <c r="AN6">
        <v>4629</v>
      </c>
      <c r="AO6">
        <v>1976</v>
      </c>
      <c r="AP6">
        <v>1518</v>
      </c>
      <c r="AQ6">
        <v>2143</v>
      </c>
      <c r="AR6">
        <v>1162</v>
      </c>
      <c r="AS6">
        <v>288</v>
      </c>
      <c r="AT6">
        <v>117</v>
      </c>
      <c r="AV6" t="s">
        <v>416</v>
      </c>
      <c r="AW6">
        <v>41</v>
      </c>
      <c r="AX6">
        <v>36.439024390199997</v>
      </c>
      <c r="AY6">
        <v>55</v>
      </c>
      <c r="BA6">
        <v>55</v>
      </c>
      <c r="BC6">
        <v>0</v>
      </c>
      <c r="BE6">
        <v>3</v>
      </c>
      <c r="BG6">
        <v>91</v>
      </c>
      <c r="BH6">
        <v>4</v>
      </c>
      <c r="BJ6" t="s">
        <v>580</v>
      </c>
      <c r="BK6" t="s">
        <v>381</v>
      </c>
      <c r="BL6">
        <v>6962</v>
      </c>
      <c r="BM6">
        <v>1581</v>
      </c>
      <c r="BN6">
        <v>98.945130709599994</v>
      </c>
      <c r="BO6">
        <v>5166</v>
      </c>
      <c r="BP6">
        <v>758</v>
      </c>
      <c r="BQ6">
        <v>164.72648083620001</v>
      </c>
      <c r="BR6">
        <v>165.44063324539999</v>
      </c>
      <c r="BS6">
        <v>6800</v>
      </c>
      <c r="BT6">
        <v>1563</v>
      </c>
      <c r="BU6">
        <v>98.996617647099995</v>
      </c>
      <c r="BV6">
        <v>5072</v>
      </c>
      <c r="BW6">
        <v>730</v>
      </c>
      <c r="BX6">
        <v>161.25</v>
      </c>
      <c r="BY6">
        <v>163.15753424659999</v>
      </c>
      <c r="CA6" t="s">
        <v>1035</v>
      </c>
      <c r="CB6" t="s">
        <v>727</v>
      </c>
      <c r="CC6" t="s">
        <v>913</v>
      </c>
      <c r="CD6">
        <v>10736</v>
      </c>
      <c r="CE6">
        <v>2510</v>
      </c>
      <c r="CF6">
        <v>88.494970193699999</v>
      </c>
      <c r="CG6">
        <v>5559</v>
      </c>
      <c r="CH6">
        <v>823</v>
      </c>
      <c r="CI6">
        <v>143.17880913830001</v>
      </c>
      <c r="CJ6">
        <v>159.86269744840001</v>
      </c>
      <c r="CL6" t="s">
        <v>1035</v>
      </c>
      <c r="CM6" t="s">
        <v>727</v>
      </c>
      <c r="CN6" t="s">
        <v>913</v>
      </c>
      <c r="CO6">
        <v>10736</v>
      </c>
      <c r="CP6">
        <v>2510</v>
      </c>
      <c r="CQ6">
        <v>88.494970193699999</v>
      </c>
      <c r="CR6">
        <v>5559</v>
      </c>
      <c r="CS6">
        <v>823</v>
      </c>
      <c r="CT6">
        <v>143.17880913830001</v>
      </c>
      <c r="CU6">
        <v>159.86269744840001</v>
      </c>
      <c r="CW6" t="s">
        <v>1035</v>
      </c>
      <c r="CX6" t="s">
        <v>727</v>
      </c>
      <c r="CY6" t="s">
        <v>913</v>
      </c>
      <c r="CZ6">
        <v>10736</v>
      </c>
      <c r="DA6">
        <v>2510</v>
      </c>
      <c r="DB6">
        <v>88.494970193699999</v>
      </c>
      <c r="DC6">
        <v>5559</v>
      </c>
      <c r="DD6">
        <v>823</v>
      </c>
      <c r="DE6">
        <v>143.17880913830001</v>
      </c>
      <c r="DF6">
        <v>159.86269744840001</v>
      </c>
      <c r="DH6" t="s">
        <v>1035</v>
      </c>
      <c r="DI6" t="s">
        <v>727</v>
      </c>
      <c r="DJ6" t="s">
        <v>913</v>
      </c>
      <c r="DK6">
        <v>10736</v>
      </c>
      <c r="DL6">
        <v>2510</v>
      </c>
      <c r="DM6">
        <v>88.494970193699999</v>
      </c>
      <c r="DN6">
        <v>5559</v>
      </c>
      <c r="DO6">
        <v>823</v>
      </c>
      <c r="DP6">
        <v>143.17880913830001</v>
      </c>
      <c r="DQ6">
        <v>159.86269744840001</v>
      </c>
    </row>
    <row r="7" spans="2:121" x14ac:dyDescent="0.2">
      <c r="B7" t="s">
        <v>94</v>
      </c>
      <c r="C7">
        <v>1447</v>
      </c>
      <c r="D7">
        <v>792</v>
      </c>
      <c r="F7" t="s">
        <v>61</v>
      </c>
      <c r="G7">
        <v>4825</v>
      </c>
      <c r="H7">
        <v>233.698238342</v>
      </c>
      <c r="I7">
        <v>10342</v>
      </c>
      <c r="J7">
        <v>2538</v>
      </c>
      <c r="K7">
        <v>8248</v>
      </c>
      <c r="L7">
        <v>3980</v>
      </c>
      <c r="M7">
        <v>3169</v>
      </c>
      <c r="N7">
        <v>1896</v>
      </c>
      <c r="O7">
        <v>1725</v>
      </c>
      <c r="P7">
        <v>1102</v>
      </c>
      <c r="Q7">
        <v>1</v>
      </c>
      <c r="R7">
        <v>253</v>
      </c>
      <c r="T7" t="s">
        <v>458</v>
      </c>
      <c r="U7">
        <v>20299</v>
      </c>
      <c r="V7">
        <v>79.3132666634</v>
      </c>
      <c r="W7">
        <v>33010</v>
      </c>
      <c r="X7">
        <v>5196</v>
      </c>
      <c r="Y7">
        <v>28577</v>
      </c>
      <c r="Z7">
        <v>6943</v>
      </c>
      <c r="AA7">
        <v>607</v>
      </c>
      <c r="AB7">
        <v>579</v>
      </c>
      <c r="AC7">
        <v>1601</v>
      </c>
      <c r="AD7">
        <v>561</v>
      </c>
      <c r="AE7">
        <v>9446</v>
      </c>
      <c r="AF7">
        <v>5953</v>
      </c>
      <c r="AH7" t="s">
        <v>403</v>
      </c>
      <c r="AI7">
        <v>27551</v>
      </c>
      <c r="AJ7">
        <v>404.19084606730001</v>
      </c>
      <c r="AK7">
        <v>31175</v>
      </c>
      <c r="AL7">
        <v>6493</v>
      </c>
      <c r="AM7">
        <v>40713</v>
      </c>
      <c r="AN7">
        <v>28024</v>
      </c>
      <c r="AO7">
        <v>9099</v>
      </c>
      <c r="AP7">
        <v>6376</v>
      </c>
      <c r="AQ7">
        <v>15144</v>
      </c>
      <c r="AR7">
        <v>9452</v>
      </c>
      <c r="AS7">
        <v>53</v>
      </c>
      <c r="AT7">
        <v>136</v>
      </c>
      <c r="AV7" t="s">
        <v>384</v>
      </c>
      <c r="AW7">
        <v>459</v>
      </c>
      <c r="AX7">
        <v>46.065359477100003</v>
      </c>
      <c r="AY7">
        <v>924</v>
      </c>
      <c r="AZ7">
        <v>78</v>
      </c>
      <c r="BA7">
        <v>668</v>
      </c>
      <c r="BB7">
        <v>32</v>
      </c>
      <c r="BC7">
        <v>6</v>
      </c>
      <c r="BD7">
        <v>6</v>
      </c>
      <c r="BE7">
        <v>50</v>
      </c>
      <c r="BF7">
        <v>14</v>
      </c>
      <c r="BG7">
        <v>128</v>
      </c>
      <c r="BH7">
        <v>88</v>
      </c>
      <c r="BJ7" t="s">
        <v>627</v>
      </c>
      <c r="BK7" t="s">
        <v>381</v>
      </c>
      <c r="BL7">
        <v>653</v>
      </c>
      <c r="BM7">
        <v>48</v>
      </c>
      <c r="BN7">
        <v>60.3644716692</v>
      </c>
      <c r="BO7">
        <v>1181</v>
      </c>
      <c r="BP7">
        <v>120</v>
      </c>
      <c r="BQ7">
        <v>88.767146486000001</v>
      </c>
      <c r="BR7">
        <v>80.566666666700002</v>
      </c>
      <c r="BS7">
        <v>1578</v>
      </c>
      <c r="BT7">
        <v>201</v>
      </c>
      <c r="BU7">
        <v>73.104562737600006</v>
      </c>
      <c r="BV7">
        <v>1840</v>
      </c>
      <c r="BW7">
        <v>231</v>
      </c>
      <c r="BX7">
        <v>124.7347826087</v>
      </c>
      <c r="BY7">
        <v>114.79653679650001</v>
      </c>
      <c r="CA7" t="s">
        <v>407</v>
      </c>
      <c r="CB7" t="s">
        <v>763</v>
      </c>
      <c r="CC7" t="s">
        <v>990</v>
      </c>
      <c r="CD7">
        <v>3835</v>
      </c>
      <c r="CE7">
        <v>619</v>
      </c>
      <c r="CF7">
        <v>82.483702737900003</v>
      </c>
      <c r="CG7">
        <v>3701</v>
      </c>
      <c r="CH7">
        <v>611</v>
      </c>
      <c r="CI7">
        <v>125.1761686031</v>
      </c>
      <c r="CJ7">
        <v>132.5875613748</v>
      </c>
      <c r="CL7" t="s">
        <v>407</v>
      </c>
      <c r="CM7" t="s">
        <v>744</v>
      </c>
      <c r="CN7" t="s">
        <v>743</v>
      </c>
      <c r="CO7">
        <v>324</v>
      </c>
      <c r="CP7">
        <v>41</v>
      </c>
      <c r="CQ7">
        <v>68.793209876500001</v>
      </c>
      <c r="CR7">
        <v>551</v>
      </c>
      <c r="CS7">
        <v>83</v>
      </c>
      <c r="CT7">
        <v>61.4954627949</v>
      </c>
      <c r="CU7">
        <v>68.349397590400002</v>
      </c>
      <c r="CW7" t="s">
        <v>407</v>
      </c>
      <c r="CX7" t="s">
        <v>754</v>
      </c>
      <c r="CY7" t="s">
        <v>753</v>
      </c>
      <c r="CZ7">
        <v>68</v>
      </c>
      <c r="DA7">
        <v>8</v>
      </c>
      <c r="DB7">
        <v>75.058823529400001</v>
      </c>
      <c r="DC7">
        <v>27</v>
      </c>
      <c r="DD7">
        <v>4</v>
      </c>
      <c r="DE7">
        <v>140.1851851852</v>
      </c>
      <c r="DF7">
        <v>150.75</v>
      </c>
      <c r="DH7" t="s">
        <v>407</v>
      </c>
      <c r="DI7" t="s">
        <v>734</v>
      </c>
      <c r="DJ7" t="s">
        <v>733</v>
      </c>
      <c r="DK7">
        <v>47</v>
      </c>
      <c r="DL7">
        <v>8</v>
      </c>
      <c r="DM7">
        <v>79.914893617000004</v>
      </c>
      <c r="DN7">
        <v>28</v>
      </c>
      <c r="DO7">
        <v>2</v>
      </c>
      <c r="DP7">
        <v>132.1428571429</v>
      </c>
      <c r="DQ7">
        <v>105.5</v>
      </c>
    </row>
    <row r="8" spans="2:121" x14ac:dyDescent="0.2">
      <c r="B8" t="s">
        <v>103</v>
      </c>
      <c r="C8">
        <v>302</v>
      </c>
      <c r="D8">
        <v>215</v>
      </c>
      <c r="F8" t="s">
        <v>27</v>
      </c>
      <c r="G8">
        <v>1281</v>
      </c>
      <c r="H8">
        <v>94.517564402800005</v>
      </c>
      <c r="I8">
        <v>6113</v>
      </c>
      <c r="J8">
        <v>884</v>
      </c>
      <c r="K8">
        <v>7642</v>
      </c>
      <c r="L8">
        <v>2967</v>
      </c>
      <c r="M8">
        <v>1642</v>
      </c>
      <c r="N8">
        <v>657</v>
      </c>
      <c r="O8">
        <v>1418</v>
      </c>
      <c r="P8">
        <v>556</v>
      </c>
      <c r="Q8">
        <v>0</v>
      </c>
      <c r="R8">
        <v>67</v>
      </c>
      <c r="AH8" t="s">
        <v>399</v>
      </c>
      <c r="AI8">
        <v>7019</v>
      </c>
      <c r="AJ8">
        <v>417.8628009688</v>
      </c>
      <c r="AK8">
        <v>7399</v>
      </c>
      <c r="AL8">
        <v>1698</v>
      </c>
      <c r="AM8">
        <v>10502</v>
      </c>
      <c r="AN8">
        <v>6772</v>
      </c>
      <c r="AO8">
        <v>3327</v>
      </c>
      <c r="AP8">
        <v>2314</v>
      </c>
      <c r="AQ8">
        <v>1594</v>
      </c>
      <c r="AR8">
        <v>904</v>
      </c>
      <c r="AS8">
        <v>15</v>
      </c>
      <c r="AT8">
        <v>59</v>
      </c>
      <c r="AV8" t="s">
        <v>405</v>
      </c>
      <c r="AW8">
        <v>130</v>
      </c>
      <c r="AX8">
        <v>43.361538461499997</v>
      </c>
      <c r="AY8">
        <v>242</v>
      </c>
      <c r="AZ8">
        <v>11</v>
      </c>
      <c r="BA8">
        <v>190</v>
      </c>
      <c r="BB8">
        <v>9</v>
      </c>
      <c r="BC8">
        <v>1</v>
      </c>
      <c r="BD8">
        <v>1</v>
      </c>
      <c r="BE8">
        <v>13</v>
      </c>
      <c r="BF8">
        <v>7</v>
      </c>
      <c r="BG8">
        <v>306</v>
      </c>
      <c r="BH8">
        <v>42</v>
      </c>
      <c r="BJ8" t="s">
        <v>615</v>
      </c>
      <c r="BK8" t="s">
        <v>381</v>
      </c>
      <c r="BL8">
        <v>15095</v>
      </c>
      <c r="BM8">
        <v>3907</v>
      </c>
      <c r="BN8">
        <v>101.5242795628</v>
      </c>
      <c r="BO8">
        <v>15843</v>
      </c>
      <c r="BP8">
        <v>2051</v>
      </c>
      <c r="BQ8">
        <v>147.69241936500001</v>
      </c>
      <c r="BR8">
        <v>146.9478303267</v>
      </c>
      <c r="BS8">
        <v>12462</v>
      </c>
      <c r="BT8">
        <v>2521</v>
      </c>
      <c r="BU8">
        <v>91.022307815800005</v>
      </c>
      <c r="BV8">
        <v>10472</v>
      </c>
      <c r="BW8">
        <v>1587</v>
      </c>
      <c r="BX8">
        <v>137.70731474409999</v>
      </c>
      <c r="BY8">
        <v>136.16383112790001</v>
      </c>
      <c r="CA8" t="s">
        <v>399</v>
      </c>
      <c r="CB8" t="s">
        <v>763</v>
      </c>
      <c r="CC8" t="s">
        <v>991</v>
      </c>
      <c r="CD8">
        <v>7071</v>
      </c>
      <c r="CE8">
        <v>1594</v>
      </c>
      <c r="CF8">
        <v>97.661999717200004</v>
      </c>
      <c r="CG8">
        <v>5792</v>
      </c>
      <c r="CH8">
        <v>850</v>
      </c>
      <c r="CI8">
        <v>150.58183701659999</v>
      </c>
      <c r="CJ8">
        <v>146.54941176470001</v>
      </c>
      <c r="CL8" t="s">
        <v>399</v>
      </c>
      <c r="CM8" t="s">
        <v>744</v>
      </c>
      <c r="CN8" t="s">
        <v>745</v>
      </c>
      <c r="CO8">
        <v>286</v>
      </c>
      <c r="CP8">
        <v>30</v>
      </c>
      <c r="CQ8">
        <v>66.447552447600003</v>
      </c>
      <c r="CR8">
        <v>588</v>
      </c>
      <c r="CS8">
        <v>86</v>
      </c>
      <c r="CT8">
        <v>61.221088435399999</v>
      </c>
      <c r="CU8">
        <v>66.488372092999995</v>
      </c>
      <c r="CW8" t="s">
        <v>399</v>
      </c>
      <c r="CX8" t="s">
        <v>754</v>
      </c>
      <c r="CY8" t="s">
        <v>755</v>
      </c>
      <c r="CZ8">
        <v>337</v>
      </c>
      <c r="DA8">
        <v>51</v>
      </c>
      <c r="DB8">
        <v>79.646884272999998</v>
      </c>
      <c r="DC8">
        <v>156</v>
      </c>
      <c r="DD8">
        <v>23</v>
      </c>
      <c r="DE8">
        <v>140.53205128210001</v>
      </c>
      <c r="DF8">
        <v>146.82608695650001</v>
      </c>
      <c r="DH8" t="s">
        <v>399</v>
      </c>
      <c r="DI8" t="s">
        <v>734</v>
      </c>
      <c r="DJ8" t="s">
        <v>735</v>
      </c>
      <c r="DK8">
        <v>474</v>
      </c>
      <c r="DL8">
        <v>69</v>
      </c>
      <c r="DM8">
        <v>78.405063291100006</v>
      </c>
      <c r="DN8">
        <v>257</v>
      </c>
      <c r="DO8">
        <v>45</v>
      </c>
      <c r="DP8">
        <v>124.3540856031</v>
      </c>
      <c r="DQ8">
        <v>131.9333333333</v>
      </c>
    </row>
    <row r="9" spans="2:121" x14ac:dyDescent="0.2">
      <c r="B9" t="s">
        <v>95</v>
      </c>
      <c r="C9">
        <v>26</v>
      </c>
      <c r="D9">
        <v>2</v>
      </c>
      <c r="F9" t="s">
        <v>62</v>
      </c>
      <c r="G9">
        <v>4619</v>
      </c>
      <c r="H9">
        <v>445.65836761200001</v>
      </c>
      <c r="I9">
        <v>5760</v>
      </c>
      <c r="J9">
        <v>1297</v>
      </c>
      <c r="K9">
        <v>5796</v>
      </c>
      <c r="L9">
        <v>4187</v>
      </c>
      <c r="M9">
        <v>1032</v>
      </c>
      <c r="N9">
        <v>645</v>
      </c>
      <c r="O9">
        <v>1287</v>
      </c>
      <c r="P9">
        <v>778</v>
      </c>
      <c r="Q9">
        <v>1</v>
      </c>
      <c r="R9">
        <v>252</v>
      </c>
      <c r="AH9" t="s">
        <v>369</v>
      </c>
      <c r="AI9">
        <v>1478</v>
      </c>
      <c r="AJ9">
        <v>317.27334235450002</v>
      </c>
      <c r="AK9">
        <v>2019</v>
      </c>
      <c r="AL9">
        <v>405</v>
      </c>
      <c r="AM9">
        <v>3130</v>
      </c>
      <c r="AN9">
        <v>2108</v>
      </c>
      <c r="AO9">
        <v>615</v>
      </c>
      <c r="AP9">
        <v>375</v>
      </c>
      <c r="AQ9">
        <v>1035</v>
      </c>
      <c r="AR9">
        <v>698</v>
      </c>
      <c r="AS9">
        <v>321</v>
      </c>
      <c r="AT9">
        <v>5</v>
      </c>
      <c r="AV9" t="s">
        <v>413</v>
      </c>
      <c r="AW9">
        <v>37</v>
      </c>
      <c r="AX9">
        <v>85.729729729699997</v>
      </c>
      <c r="AY9">
        <v>56</v>
      </c>
      <c r="AZ9">
        <v>6</v>
      </c>
      <c r="BA9">
        <v>43</v>
      </c>
      <c r="BB9">
        <v>12</v>
      </c>
      <c r="BC9">
        <v>1</v>
      </c>
      <c r="BD9">
        <v>1</v>
      </c>
      <c r="BE9">
        <v>3</v>
      </c>
      <c r="BF9">
        <v>1</v>
      </c>
      <c r="BG9">
        <v>8</v>
      </c>
      <c r="BH9">
        <v>9</v>
      </c>
      <c r="BJ9" t="s">
        <v>551</v>
      </c>
      <c r="BK9" t="s">
        <v>381</v>
      </c>
      <c r="BL9">
        <v>3924</v>
      </c>
      <c r="BM9">
        <v>1179</v>
      </c>
      <c r="BN9">
        <v>108.9571865443</v>
      </c>
      <c r="BO9">
        <v>2970</v>
      </c>
      <c r="BP9">
        <v>519</v>
      </c>
      <c r="BQ9">
        <v>150.4740740741</v>
      </c>
      <c r="BR9">
        <v>140.6666666667</v>
      </c>
      <c r="BS9">
        <v>4510</v>
      </c>
      <c r="BT9">
        <v>1671</v>
      </c>
      <c r="BU9">
        <v>130.15942350329999</v>
      </c>
      <c r="BV9">
        <v>3926</v>
      </c>
      <c r="BW9">
        <v>579</v>
      </c>
      <c r="BX9">
        <v>148.21777890979999</v>
      </c>
      <c r="BY9">
        <v>153.00690846289999</v>
      </c>
      <c r="CA9" t="s">
        <v>383</v>
      </c>
      <c r="CB9" t="s">
        <v>763</v>
      </c>
      <c r="CC9" t="s">
        <v>992</v>
      </c>
      <c r="CD9">
        <v>5798</v>
      </c>
      <c r="CE9">
        <v>1280</v>
      </c>
      <c r="CF9">
        <v>94.165056916200001</v>
      </c>
      <c r="CG9">
        <v>5526</v>
      </c>
      <c r="CH9">
        <v>634</v>
      </c>
      <c r="CI9">
        <v>129.2736156352</v>
      </c>
      <c r="CJ9">
        <v>124.4810725552</v>
      </c>
      <c r="CL9" t="s">
        <v>383</v>
      </c>
      <c r="CM9" t="s">
        <v>744</v>
      </c>
      <c r="CN9" t="s">
        <v>746</v>
      </c>
      <c r="CO9">
        <v>427</v>
      </c>
      <c r="CP9">
        <v>40</v>
      </c>
      <c r="CQ9">
        <v>70.8056206089</v>
      </c>
      <c r="CR9">
        <v>794</v>
      </c>
      <c r="CS9">
        <v>112</v>
      </c>
      <c r="CT9">
        <v>68.156171284600006</v>
      </c>
      <c r="CU9">
        <v>75.142857142899999</v>
      </c>
      <c r="CW9" t="s">
        <v>383</v>
      </c>
      <c r="CX9" t="s">
        <v>754</v>
      </c>
      <c r="CY9" t="s">
        <v>756</v>
      </c>
      <c r="CZ9">
        <v>95</v>
      </c>
      <c r="DA9">
        <v>22</v>
      </c>
      <c r="DB9">
        <v>88.505263157900004</v>
      </c>
      <c r="DC9">
        <v>32</v>
      </c>
      <c r="DD9">
        <v>5</v>
      </c>
      <c r="DE9">
        <v>147.625</v>
      </c>
      <c r="DF9">
        <v>148.4</v>
      </c>
      <c r="DH9" t="s">
        <v>383</v>
      </c>
      <c r="DI9" t="s">
        <v>734</v>
      </c>
      <c r="DJ9" t="s">
        <v>736</v>
      </c>
      <c r="DK9">
        <v>185</v>
      </c>
      <c r="DL9">
        <v>36</v>
      </c>
      <c r="DM9">
        <v>82.708108108100006</v>
      </c>
      <c r="DN9">
        <v>90</v>
      </c>
      <c r="DO9">
        <v>12</v>
      </c>
      <c r="DP9">
        <v>110.87777777780001</v>
      </c>
      <c r="DQ9">
        <v>142.0833333333</v>
      </c>
    </row>
    <row r="10" spans="2:121" x14ac:dyDescent="0.2">
      <c r="B10" t="s">
        <v>309</v>
      </c>
      <c r="C10">
        <v>2</v>
      </c>
      <c r="F10" t="s">
        <v>24</v>
      </c>
      <c r="G10">
        <v>1547</v>
      </c>
      <c r="H10">
        <v>162.10989010989999</v>
      </c>
      <c r="I10">
        <v>4077</v>
      </c>
      <c r="J10">
        <v>710</v>
      </c>
      <c r="K10">
        <v>2642</v>
      </c>
      <c r="L10">
        <v>1036</v>
      </c>
      <c r="M10">
        <v>1028</v>
      </c>
      <c r="N10">
        <v>515</v>
      </c>
      <c r="O10">
        <v>458</v>
      </c>
      <c r="P10">
        <v>235</v>
      </c>
      <c r="Q10">
        <v>0</v>
      </c>
      <c r="R10">
        <v>0</v>
      </c>
      <c r="AH10" t="s">
        <v>419</v>
      </c>
      <c r="AI10">
        <v>851</v>
      </c>
      <c r="AJ10">
        <v>401.09870740309998</v>
      </c>
      <c r="AK10">
        <v>874</v>
      </c>
      <c r="AL10">
        <v>263</v>
      </c>
      <c r="AM10">
        <v>1147</v>
      </c>
      <c r="AN10">
        <v>792</v>
      </c>
      <c r="AO10">
        <v>246</v>
      </c>
      <c r="AP10">
        <v>154</v>
      </c>
      <c r="AQ10">
        <v>344</v>
      </c>
      <c r="AR10">
        <v>211</v>
      </c>
      <c r="AS10">
        <v>78</v>
      </c>
      <c r="AT10">
        <v>1</v>
      </c>
      <c r="AV10" t="s">
        <v>367</v>
      </c>
      <c r="AW10">
        <v>412</v>
      </c>
      <c r="AX10">
        <v>93.225728155300004</v>
      </c>
      <c r="AY10">
        <v>659</v>
      </c>
      <c r="AZ10">
        <v>160</v>
      </c>
      <c r="BA10">
        <v>553</v>
      </c>
      <c r="BB10">
        <v>196</v>
      </c>
      <c r="BC10">
        <v>10</v>
      </c>
      <c r="BD10">
        <v>10</v>
      </c>
      <c r="BE10">
        <v>26</v>
      </c>
      <c r="BF10">
        <v>6</v>
      </c>
      <c r="BG10">
        <v>60</v>
      </c>
      <c r="BH10">
        <v>175</v>
      </c>
      <c r="BJ10" t="s">
        <v>603</v>
      </c>
      <c r="BK10" t="s">
        <v>381</v>
      </c>
      <c r="BL10">
        <v>3758</v>
      </c>
      <c r="BM10">
        <v>586</v>
      </c>
      <c r="BN10">
        <v>81.384513038899996</v>
      </c>
      <c r="BO10">
        <v>3563</v>
      </c>
      <c r="BP10">
        <v>602</v>
      </c>
      <c r="BQ10">
        <v>126.6901487511</v>
      </c>
      <c r="BR10">
        <v>131.3438538206</v>
      </c>
      <c r="BS10">
        <v>3877</v>
      </c>
      <c r="BT10">
        <v>758</v>
      </c>
      <c r="BU10">
        <v>87.199638896099998</v>
      </c>
      <c r="BV10">
        <v>4258</v>
      </c>
      <c r="BW10">
        <v>680</v>
      </c>
      <c r="BX10">
        <v>137.02747768910001</v>
      </c>
      <c r="BY10">
        <v>141.37352941180001</v>
      </c>
      <c r="CA10" t="s">
        <v>385</v>
      </c>
      <c r="CB10" t="s">
        <v>763</v>
      </c>
      <c r="CC10" t="s">
        <v>993</v>
      </c>
      <c r="CD10">
        <v>4140</v>
      </c>
      <c r="CE10">
        <v>1237</v>
      </c>
      <c r="CF10">
        <v>108.8574879227</v>
      </c>
      <c r="CG10">
        <v>3233</v>
      </c>
      <c r="CH10">
        <v>549</v>
      </c>
      <c r="CI10">
        <v>144.48190535110001</v>
      </c>
      <c r="CJ10">
        <v>138.51001821489999</v>
      </c>
      <c r="CL10" t="s">
        <v>385</v>
      </c>
      <c r="CM10" t="s">
        <v>744</v>
      </c>
      <c r="CN10" t="s">
        <v>747</v>
      </c>
      <c r="CO10">
        <v>378</v>
      </c>
      <c r="CP10">
        <v>45</v>
      </c>
      <c r="CQ10">
        <v>70.042328042299999</v>
      </c>
      <c r="CR10">
        <v>553</v>
      </c>
      <c r="CS10">
        <v>85</v>
      </c>
      <c r="CT10">
        <v>74.323688969299994</v>
      </c>
      <c r="CU10">
        <v>97.4</v>
      </c>
      <c r="CW10" t="s">
        <v>385</v>
      </c>
      <c r="CX10" t="s">
        <v>754</v>
      </c>
      <c r="CY10" t="s">
        <v>757</v>
      </c>
      <c r="CZ10">
        <v>87</v>
      </c>
      <c r="DA10">
        <v>25</v>
      </c>
      <c r="DB10">
        <v>95.126436781600006</v>
      </c>
      <c r="DC10">
        <v>51</v>
      </c>
      <c r="DD10">
        <v>6</v>
      </c>
      <c r="DE10">
        <v>148.9019607843</v>
      </c>
      <c r="DF10">
        <v>157.5</v>
      </c>
      <c r="DH10" t="s">
        <v>385</v>
      </c>
      <c r="DI10" t="s">
        <v>734</v>
      </c>
      <c r="DJ10" t="s">
        <v>737</v>
      </c>
      <c r="DK10">
        <v>85</v>
      </c>
      <c r="DL10">
        <v>21</v>
      </c>
      <c r="DM10">
        <v>87.741176470599996</v>
      </c>
      <c r="DN10">
        <v>51</v>
      </c>
      <c r="DO10">
        <v>11</v>
      </c>
      <c r="DP10">
        <v>145.23529411760001</v>
      </c>
      <c r="DQ10">
        <v>155.7272727273</v>
      </c>
    </row>
    <row r="11" spans="2:121" x14ac:dyDescent="0.2">
      <c r="B11" t="s">
        <v>100</v>
      </c>
      <c r="C11">
        <v>218</v>
      </c>
      <c r="D11">
        <v>149</v>
      </c>
      <c r="F11" t="s">
        <v>36</v>
      </c>
      <c r="G11">
        <v>7966</v>
      </c>
      <c r="H11">
        <v>715.80881245290004</v>
      </c>
      <c r="I11">
        <v>4869</v>
      </c>
      <c r="J11">
        <v>1014</v>
      </c>
      <c r="K11">
        <v>9299</v>
      </c>
      <c r="L11">
        <v>7652</v>
      </c>
      <c r="M11">
        <v>1374</v>
      </c>
      <c r="N11">
        <v>1107</v>
      </c>
      <c r="O11">
        <v>4059</v>
      </c>
      <c r="P11">
        <v>3618</v>
      </c>
      <c r="Q11">
        <v>0</v>
      </c>
      <c r="R11">
        <v>4</v>
      </c>
      <c r="AH11" t="s">
        <v>410</v>
      </c>
      <c r="AI11">
        <v>481</v>
      </c>
      <c r="AJ11">
        <v>530.38669438670001</v>
      </c>
      <c r="AK11">
        <v>443</v>
      </c>
      <c r="AL11">
        <v>108</v>
      </c>
      <c r="AM11">
        <v>670</v>
      </c>
      <c r="AN11">
        <v>487</v>
      </c>
      <c r="AO11">
        <v>216</v>
      </c>
      <c r="AP11">
        <v>167</v>
      </c>
      <c r="AQ11">
        <v>376</v>
      </c>
      <c r="AR11">
        <v>285</v>
      </c>
      <c r="AS11">
        <v>27</v>
      </c>
      <c r="AT11">
        <v>0</v>
      </c>
      <c r="AV11" t="s">
        <v>383</v>
      </c>
      <c r="AW11">
        <v>278</v>
      </c>
      <c r="AX11">
        <v>50.050359712199999</v>
      </c>
      <c r="AY11">
        <v>487</v>
      </c>
      <c r="AZ11">
        <v>33</v>
      </c>
      <c r="BA11">
        <v>387</v>
      </c>
      <c r="BB11">
        <v>24</v>
      </c>
      <c r="BC11">
        <v>2</v>
      </c>
      <c r="BD11">
        <v>1</v>
      </c>
      <c r="BE11">
        <v>23</v>
      </c>
      <c r="BF11">
        <v>4</v>
      </c>
      <c r="BG11">
        <v>65</v>
      </c>
      <c r="BH11">
        <v>68</v>
      </c>
      <c r="BJ11" t="s">
        <v>605</v>
      </c>
      <c r="BK11" t="s">
        <v>381</v>
      </c>
      <c r="BL11">
        <v>5894</v>
      </c>
      <c r="BM11">
        <v>814</v>
      </c>
      <c r="BN11">
        <v>77.712419409600002</v>
      </c>
      <c r="BO11">
        <v>6935</v>
      </c>
      <c r="BP11">
        <v>784</v>
      </c>
      <c r="BQ11">
        <v>137.6344628695</v>
      </c>
      <c r="BR11">
        <v>135.00255102040001</v>
      </c>
      <c r="BS11">
        <v>7081</v>
      </c>
      <c r="BT11">
        <v>1565</v>
      </c>
      <c r="BU11">
        <v>91.181189097599997</v>
      </c>
      <c r="BV11">
        <v>10232</v>
      </c>
      <c r="BW11">
        <v>1121</v>
      </c>
      <c r="BX11">
        <v>141.8570172009</v>
      </c>
      <c r="BY11">
        <v>146.8180196253</v>
      </c>
      <c r="CA11" t="s">
        <v>414</v>
      </c>
      <c r="CB11" t="s">
        <v>763</v>
      </c>
      <c r="CC11" t="s">
        <v>994</v>
      </c>
      <c r="CD11">
        <v>705</v>
      </c>
      <c r="CE11">
        <v>56</v>
      </c>
      <c r="CF11">
        <v>61.727659574500002</v>
      </c>
      <c r="CG11">
        <v>1287</v>
      </c>
      <c r="CH11">
        <v>144</v>
      </c>
      <c r="CI11">
        <v>91.509712509699995</v>
      </c>
      <c r="CJ11">
        <v>83.3125</v>
      </c>
      <c r="CL11" t="s">
        <v>414</v>
      </c>
      <c r="CM11" t="s">
        <v>744</v>
      </c>
      <c r="CN11" t="s">
        <v>748</v>
      </c>
      <c r="CO11">
        <v>86</v>
      </c>
      <c r="CP11">
        <v>7</v>
      </c>
      <c r="CQ11">
        <v>55.430232558100002</v>
      </c>
      <c r="CR11">
        <v>189</v>
      </c>
      <c r="CS11">
        <v>29</v>
      </c>
      <c r="CT11">
        <v>57</v>
      </c>
      <c r="CU11">
        <v>76.965517241399994</v>
      </c>
      <c r="CW11" t="s">
        <v>414</v>
      </c>
      <c r="CX11" t="s">
        <v>754</v>
      </c>
      <c r="CY11" t="s">
        <v>758</v>
      </c>
      <c r="CZ11">
        <v>28</v>
      </c>
      <c r="DA11">
        <v>1</v>
      </c>
      <c r="DB11">
        <v>76.714285714300004</v>
      </c>
      <c r="DC11">
        <v>13</v>
      </c>
      <c r="DD11">
        <v>1</v>
      </c>
      <c r="DE11">
        <v>131.4615384615</v>
      </c>
      <c r="DF11">
        <v>234</v>
      </c>
      <c r="DH11" t="s">
        <v>414</v>
      </c>
      <c r="DI11" t="s">
        <v>734</v>
      </c>
      <c r="DJ11" t="s">
        <v>738</v>
      </c>
      <c r="DK11">
        <v>22</v>
      </c>
      <c r="DL11">
        <v>4</v>
      </c>
      <c r="DM11">
        <v>77.681818181799997</v>
      </c>
      <c r="DN11">
        <v>11</v>
      </c>
      <c r="DO11">
        <v>3</v>
      </c>
      <c r="DP11">
        <v>110.9090909091</v>
      </c>
      <c r="DQ11">
        <v>130.6666666667</v>
      </c>
    </row>
    <row r="12" spans="2:121" x14ac:dyDescent="0.2">
      <c r="B12" t="s">
        <v>114</v>
      </c>
      <c r="C12">
        <v>8137</v>
      </c>
      <c r="D12">
        <v>431</v>
      </c>
      <c r="F12" t="s">
        <v>60</v>
      </c>
      <c r="G12">
        <v>12256</v>
      </c>
      <c r="H12">
        <v>377.4095953003</v>
      </c>
      <c r="I12">
        <v>7263</v>
      </c>
      <c r="J12">
        <v>1397</v>
      </c>
      <c r="K12">
        <v>13667</v>
      </c>
      <c r="L12">
        <v>9920</v>
      </c>
      <c r="M12">
        <v>4665</v>
      </c>
      <c r="N12">
        <v>3734</v>
      </c>
      <c r="O12">
        <v>1784</v>
      </c>
      <c r="P12">
        <v>1249</v>
      </c>
      <c r="Q12">
        <v>0</v>
      </c>
      <c r="R12">
        <v>373</v>
      </c>
      <c r="T12" t="s">
        <v>644</v>
      </c>
      <c r="U12" t="s">
        <v>304</v>
      </c>
      <c r="V12" t="s">
        <v>136</v>
      </c>
      <c r="W12" t="s">
        <v>217</v>
      </c>
      <c r="X12" t="s">
        <v>218</v>
      </c>
      <c r="Y12" t="s">
        <v>219</v>
      </c>
      <c r="Z12" t="s">
        <v>220</v>
      </c>
      <c r="AA12" t="s">
        <v>221</v>
      </c>
      <c r="AB12" t="s">
        <v>222</v>
      </c>
      <c r="AC12" t="s">
        <v>223</v>
      </c>
      <c r="AD12" t="s">
        <v>224</v>
      </c>
      <c r="AE12" t="s">
        <v>225</v>
      </c>
      <c r="AF12" t="s">
        <v>226</v>
      </c>
      <c r="AH12" t="s">
        <v>421</v>
      </c>
      <c r="AI12">
        <v>21030</v>
      </c>
      <c r="AJ12">
        <v>328.47237280079997</v>
      </c>
      <c r="AK12">
        <v>23095</v>
      </c>
      <c r="AL12">
        <v>5928</v>
      </c>
      <c r="AM12">
        <v>29281</v>
      </c>
      <c r="AN12">
        <v>18899</v>
      </c>
      <c r="AO12">
        <v>6970</v>
      </c>
      <c r="AP12">
        <v>3877</v>
      </c>
      <c r="AQ12">
        <v>16318</v>
      </c>
      <c r="AR12">
        <v>9898</v>
      </c>
      <c r="AS12">
        <v>2175</v>
      </c>
      <c r="AT12">
        <v>269</v>
      </c>
      <c r="AV12" t="s">
        <v>421</v>
      </c>
      <c r="AW12">
        <v>2635</v>
      </c>
      <c r="AX12">
        <v>95.307400379499995</v>
      </c>
      <c r="AY12">
        <v>3759</v>
      </c>
      <c r="AZ12">
        <v>782</v>
      </c>
      <c r="BA12">
        <v>3522</v>
      </c>
      <c r="BB12">
        <v>1203</v>
      </c>
      <c r="BC12">
        <v>85</v>
      </c>
      <c r="BD12">
        <v>83</v>
      </c>
      <c r="BE12">
        <v>168</v>
      </c>
      <c r="BF12">
        <v>69</v>
      </c>
      <c r="BG12">
        <v>453</v>
      </c>
      <c r="BH12">
        <v>780</v>
      </c>
      <c r="BJ12" t="s">
        <v>547</v>
      </c>
      <c r="BK12" t="s">
        <v>381</v>
      </c>
      <c r="BL12">
        <v>5685</v>
      </c>
      <c r="BM12">
        <v>1248</v>
      </c>
      <c r="BN12">
        <v>93.396481970099998</v>
      </c>
      <c r="BO12">
        <v>5118</v>
      </c>
      <c r="BP12">
        <v>579</v>
      </c>
      <c r="BQ12">
        <v>132.47186400940001</v>
      </c>
      <c r="BR12">
        <v>129.37305699480001</v>
      </c>
      <c r="BS12">
        <v>5304</v>
      </c>
      <c r="BT12">
        <v>917</v>
      </c>
      <c r="BU12">
        <v>82.1317873303</v>
      </c>
      <c r="BV12">
        <v>3998</v>
      </c>
      <c r="BW12">
        <v>520</v>
      </c>
      <c r="BX12">
        <v>124.4112056028</v>
      </c>
      <c r="BY12">
        <v>118.94038461540001</v>
      </c>
      <c r="CA12" t="s">
        <v>408</v>
      </c>
      <c r="CB12" t="s">
        <v>763</v>
      </c>
      <c r="CC12" t="s">
        <v>995</v>
      </c>
      <c r="CD12">
        <v>6020</v>
      </c>
      <c r="CE12">
        <v>850</v>
      </c>
      <c r="CF12">
        <v>77.854651162799996</v>
      </c>
      <c r="CG12">
        <v>7041</v>
      </c>
      <c r="CH12">
        <v>824</v>
      </c>
      <c r="CI12">
        <v>111.5943757989</v>
      </c>
      <c r="CJ12">
        <v>128.38349514559999</v>
      </c>
      <c r="CL12" t="s">
        <v>408</v>
      </c>
      <c r="CM12" t="s">
        <v>744</v>
      </c>
      <c r="CN12" t="s">
        <v>749</v>
      </c>
      <c r="CO12">
        <v>420</v>
      </c>
      <c r="CP12">
        <v>41</v>
      </c>
      <c r="CQ12">
        <v>63.983333333300003</v>
      </c>
      <c r="CR12">
        <v>886</v>
      </c>
      <c r="CS12">
        <v>121</v>
      </c>
      <c r="CT12">
        <v>63.130925507900002</v>
      </c>
      <c r="CU12">
        <v>62.793388429799997</v>
      </c>
      <c r="CW12" t="s">
        <v>408</v>
      </c>
      <c r="CX12" t="s">
        <v>754</v>
      </c>
      <c r="CY12" t="s">
        <v>759</v>
      </c>
      <c r="CZ12">
        <v>139</v>
      </c>
      <c r="DA12">
        <v>28</v>
      </c>
      <c r="DB12">
        <v>80.143884892100004</v>
      </c>
      <c r="DC12">
        <v>72</v>
      </c>
      <c r="DD12">
        <v>9</v>
      </c>
      <c r="DE12">
        <v>140.2083333333</v>
      </c>
      <c r="DF12">
        <v>161.55555555559999</v>
      </c>
      <c r="DH12" t="s">
        <v>408</v>
      </c>
      <c r="DI12" t="s">
        <v>734</v>
      </c>
      <c r="DJ12" t="s">
        <v>739</v>
      </c>
      <c r="DK12">
        <v>223</v>
      </c>
      <c r="DL12">
        <v>34</v>
      </c>
      <c r="DM12">
        <v>73.197309417</v>
      </c>
      <c r="DN12">
        <v>122</v>
      </c>
      <c r="DO12">
        <v>22</v>
      </c>
      <c r="DP12">
        <v>123.4098360656</v>
      </c>
      <c r="DQ12">
        <v>140.2727272727</v>
      </c>
    </row>
    <row r="13" spans="2:121" x14ac:dyDescent="0.2">
      <c r="B13" t="s">
        <v>124</v>
      </c>
      <c r="C13">
        <v>746</v>
      </c>
      <c r="D13">
        <v>412</v>
      </c>
      <c r="F13" t="s">
        <v>37</v>
      </c>
      <c r="G13">
        <v>189</v>
      </c>
      <c r="H13">
        <v>71.222222222200003</v>
      </c>
      <c r="I13">
        <v>1380</v>
      </c>
      <c r="J13">
        <v>276</v>
      </c>
      <c r="K13">
        <v>385</v>
      </c>
      <c r="L13">
        <v>48</v>
      </c>
      <c r="M13">
        <v>257</v>
      </c>
      <c r="N13">
        <v>25</v>
      </c>
      <c r="O13">
        <v>167</v>
      </c>
      <c r="P13">
        <v>57</v>
      </c>
      <c r="Q13">
        <v>0</v>
      </c>
      <c r="R13">
        <v>2</v>
      </c>
      <c r="T13" t="s">
        <v>381</v>
      </c>
      <c r="U13">
        <v>54003</v>
      </c>
      <c r="V13">
        <v>350.8134733256</v>
      </c>
      <c r="W13">
        <v>64172</v>
      </c>
      <c r="X13">
        <v>14289</v>
      </c>
      <c r="Y13">
        <v>84905</v>
      </c>
      <c r="Z13">
        <v>51664</v>
      </c>
      <c r="AA13">
        <v>22333</v>
      </c>
      <c r="AB13">
        <v>14020</v>
      </c>
      <c r="AC13">
        <v>16332</v>
      </c>
      <c r="AD13">
        <v>8612</v>
      </c>
      <c r="AE13">
        <v>47</v>
      </c>
      <c r="AF13">
        <v>1106</v>
      </c>
      <c r="AH13" t="s">
        <v>377</v>
      </c>
      <c r="AI13">
        <v>16447</v>
      </c>
      <c r="AJ13">
        <v>354.92940961879998</v>
      </c>
      <c r="AK13">
        <v>18318</v>
      </c>
      <c r="AL13">
        <v>4430</v>
      </c>
      <c r="AM13">
        <v>24199</v>
      </c>
      <c r="AN13">
        <v>16884</v>
      </c>
      <c r="AO13">
        <v>8202</v>
      </c>
      <c r="AP13">
        <v>5559</v>
      </c>
      <c r="AQ13">
        <v>13343</v>
      </c>
      <c r="AR13">
        <v>10214</v>
      </c>
      <c r="AS13">
        <v>1069</v>
      </c>
      <c r="AT13">
        <v>21</v>
      </c>
      <c r="AV13" t="s">
        <v>404</v>
      </c>
      <c r="AW13">
        <v>46</v>
      </c>
      <c r="AX13">
        <v>55.391304347800002</v>
      </c>
      <c r="AY13">
        <v>112</v>
      </c>
      <c r="BA13">
        <v>72</v>
      </c>
      <c r="BB13">
        <v>2</v>
      </c>
      <c r="BC13">
        <v>1</v>
      </c>
      <c r="BD13">
        <v>1</v>
      </c>
      <c r="BE13">
        <v>0</v>
      </c>
      <c r="BG13">
        <v>108</v>
      </c>
      <c r="BH13">
        <v>12</v>
      </c>
      <c r="BJ13" t="s">
        <v>584</v>
      </c>
      <c r="BK13" t="s">
        <v>381</v>
      </c>
      <c r="BL13">
        <v>2216</v>
      </c>
      <c r="BM13">
        <v>510</v>
      </c>
      <c r="BN13">
        <v>90.512184115500006</v>
      </c>
      <c r="BO13">
        <v>1783</v>
      </c>
      <c r="BP13">
        <v>307</v>
      </c>
      <c r="BQ13">
        <v>143.85417835109999</v>
      </c>
      <c r="BR13">
        <v>119.8697068404</v>
      </c>
      <c r="BS13">
        <v>3762</v>
      </c>
      <c r="BT13">
        <v>1019</v>
      </c>
      <c r="BU13">
        <v>104.42291334399999</v>
      </c>
      <c r="BV13">
        <v>3475</v>
      </c>
      <c r="BW13">
        <v>524</v>
      </c>
      <c r="BX13">
        <v>161.78474820139999</v>
      </c>
      <c r="BY13">
        <v>138.42748091600001</v>
      </c>
      <c r="CA13" t="s">
        <v>406</v>
      </c>
      <c r="CB13" t="s">
        <v>763</v>
      </c>
      <c r="CC13" t="s">
        <v>996</v>
      </c>
      <c r="CD13">
        <v>32948</v>
      </c>
      <c r="CE13">
        <v>7257</v>
      </c>
      <c r="CF13">
        <v>93.584587835400001</v>
      </c>
      <c r="CG13">
        <v>33642</v>
      </c>
      <c r="CH13">
        <v>4643</v>
      </c>
      <c r="CI13">
        <v>137.5995779086</v>
      </c>
      <c r="CJ13">
        <v>136.52659918160001</v>
      </c>
      <c r="CL13" t="s">
        <v>406</v>
      </c>
      <c r="CM13" t="s">
        <v>744</v>
      </c>
      <c r="CN13" t="s">
        <v>750</v>
      </c>
      <c r="CO13">
        <v>1738</v>
      </c>
      <c r="CP13">
        <v>176</v>
      </c>
      <c r="CQ13">
        <v>64.565592635200005</v>
      </c>
      <c r="CR13">
        <v>3415</v>
      </c>
      <c r="CS13">
        <v>455</v>
      </c>
      <c r="CT13">
        <v>63.601171303100003</v>
      </c>
      <c r="CU13">
        <v>63.413186813199999</v>
      </c>
      <c r="CW13" t="s">
        <v>406</v>
      </c>
      <c r="CX13" t="s">
        <v>754</v>
      </c>
      <c r="CY13" t="s">
        <v>760</v>
      </c>
      <c r="CZ13">
        <v>1282</v>
      </c>
      <c r="DA13">
        <v>226</v>
      </c>
      <c r="DB13">
        <v>84.102964118599999</v>
      </c>
      <c r="DC13">
        <v>637</v>
      </c>
      <c r="DD13">
        <v>97</v>
      </c>
      <c r="DE13">
        <v>138.72684458399999</v>
      </c>
      <c r="DF13">
        <v>157.22680412369999</v>
      </c>
      <c r="DH13" t="s">
        <v>406</v>
      </c>
      <c r="DI13" t="s">
        <v>734</v>
      </c>
      <c r="DJ13" t="s">
        <v>740</v>
      </c>
      <c r="DK13">
        <v>1139</v>
      </c>
      <c r="DL13">
        <v>217</v>
      </c>
      <c r="DM13">
        <v>83.931518876200002</v>
      </c>
      <c r="DN13">
        <v>758</v>
      </c>
      <c r="DO13">
        <v>99</v>
      </c>
      <c r="DP13">
        <v>133.22559366749999</v>
      </c>
      <c r="DQ13">
        <v>134.60606060609999</v>
      </c>
    </row>
    <row r="14" spans="2:121" x14ac:dyDescent="0.2">
      <c r="B14" t="s">
        <v>131</v>
      </c>
      <c r="C14">
        <v>1347</v>
      </c>
      <c r="D14">
        <v>288</v>
      </c>
      <c r="F14" t="s">
        <v>41</v>
      </c>
      <c r="G14">
        <v>5535</v>
      </c>
      <c r="H14">
        <v>412.5208672087</v>
      </c>
      <c r="I14">
        <v>8195</v>
      </c>
      <c r="J14">
        <v>2200</v>
      </c>
      <c r="K14">
        <v>7827</v>
      </c>
      <c r="L14">
        <v>4988</v>
      </c>
      <c r="M14">
        <v>1606</v>
      </c>
      <c r="N14">
        <v>811</v>
      </c>
      <c r="O14">
        <v>3183</v>
      </c>
      <c r="P14">
        <v>2153</v>
      </c>
      <c r="Q14">
        <v>0</v>
      </c>
      <c r="R14">
        <v>325</v>
      </c>
      <c r="T14" t="s">
        <v>386</v>
      </c>
      <c r="U14">
        <v>39411</v>
      </c>
      <c r="V14">
        <v>349.81819796500002</v>
      </c>
      <c r="W14">
        <v>56292</v>
      </c>
      <c r="X14">
        <v>11984</v>
      </c>
      <c r="Y14">
        <v>66534</v>
      </c>
      <c r="Z14">
        <v>36277</v>
      </c>
      <c r="AA14">
        <v>14092</v>
      </c>
      <c r="AB14">
        <v>8636</v>
      </c>
      <c r="AC14">
        <v>18659</v>
      </c>
      <c r="AD14">
        <v>10958</v>
      </c>
      <c r="AE14">
        <v>5888</v>
      </c>
      <c r="AF14">
        <v>1040</v>
      </c>
      <c r="AH14" t="s">
        <v>424</v>
      </c>
      <c r="AI14">
        <v>1665</v>
      </c>
      <c r="AJ14">
        <v>311.53153153149998</v>
      </c>
      <c r="AK14">
        <v>1908</v>
      </c>
      <c r="AL14">
        <v>308</v>
      </c>
      <c r="AM14">
        <v>2346</v>
      </c>
      <c r="AN14">
        <v>1567</v>
      </c>
      <c r="AO14">
        <v>1038</v>
      </c>
      <c r="AP14">
        <v>540</v>
      </c>
      <c r="AQ14">
        <v>520</v>
      </c>
      <c r="AR14">
        <v>264</v>
      </c>
      <c r="AS14">
        <v>4</v>
      </c>
      <c r="AT14">
        <v>4</v>
      </c>
      <c r="AV14" t="s">
        <v>389</v>
      </c>
      <c r="AW14">
        <v>182</v>
      </c>
      <c r="AX14">
        <v>54.456043956000002</v>
      </c>
      <c r="AY14">
        <v>409</v>
      </c>
      <c r="AZ14">
        <v>51</v>
      </c>
      <c r="BA14">
        <v>296</v>
      </c>
      <c r="BB14">
        <v>26</v>
      </c>
      <c r="BC14">
        <v>2</v>
      </c>
      <c r="BD14">
        <v>1</v>
      </c>
      <c r="BE14">
        <v>35</v>
      </c>
      <c r="BF14">
        <v>10</v>
      </c>
      <c r="BG14">
        <v>64</v>
      </c>
      <c r="BH14">
        <v>63</v>
      </c>
      <c r="BJ14" t="s">
        <v>601</v>
      </c>
      <c r="BK14" t="s">
        <v>381</v>
      </c>
      <c r="BL14">
        <v>16709</v>
      </c>
      <c r="BM14">
        <v>3199</v>
      </c>
      <c r="BN14">
        <v>88.338200969499994</v>
      </c>
      <c r="BO14">
        <v>15446</v>
      </c>
      <c r="BP14">
        <v>2173</v>
      </c>
      <c r="BQ14">
        <v>140.18095299749999</v>
      </c>
      <c r="BR14">
        <v>138.07685227799999</v>
      </c>
      <c r="BS14">
        <v>15299</v>
      </c>
      <c r="BT14">
        <v>2985</v>
      </c>
      <c r="BU14">
        <v>87.486502385799994</v>
      </c>
      <c r="BV14">
        <v>14957</v>
      </c>
      <c r="BW14">
        <v>2054</v>
      </c>
      <c r="BX14">
        <v>138.9289295982</v>
      </c>
      <c r="BY14">
        <v>137.57643622200001</v>
      </c>
      <c r="CA14" t="s">
        <v>402</v>
      </c>
      <c r="CB14" t="s">
        <v>763</v>
      </c>
      <c r="CC14" t="s">
        <v>997</v>
      </c>
      <c r="CD14">
        <v>1999</v>
      </c>
      <c r="CE14">
        <v>491</v>
      </c>
      <c r="CF14">
        <v>93.150075037500002</v>
      </c>
      <c r="CG14">
        <v>1533</v>
      </c>
      <c r="CH14">
        <v>258</v>
      </c>
      <c r="CI14">
        <v>141.94259621660001</v>
      </c>
      <c r="CJ14">
        <v>119.6860465116</v>
      </c>
      <c r="CL14" t="s">
        <v>402</v>
      </c>
      <c r="CM14" t="s">
        <v>744</v>
      </c>
      <c r="CN14" t="s">
        <v>751</v>
      </c>
      <c r="CO14">
        <v>157</v>
      </c>
      <c r="CP14">
        <v>14</v>
      </c>
      <c r="CQ14">
        <v>63.426751592400002</v>
      </c>
      <c r="CR14">
        <v>310</v>
      </c>
      <c r="CS14">
        <v>41</v>
      </c>
      <c r="CT14">
        <v>64.512903225800002</v>
      </c>
      <c r="CU14">
        <v>63.609756097599998</v>
      </c>
      <c r="CW14" t="s">
        <v>402</v>
      </c>
      <c r="CX14" t="s">
        <v>754</v>
      </c>
      <c r="CY14" t="s">
        <v>761</v>
      </c>
      <c r="CZ14">
        <v>60</v>
      </c>
      <c r="DA14">
        <v>14</v>
      </c>
      <c r="DB14">
        <v>82.633333333300001</v>
      </c>
      <c r="DC14">
        <v>50</v>
      </c>
      <c r="DD14">
        <v>4</v>
      </c>
      <c r="DE14">
        <v>143.19999999999999</v>
      </c>
      <c r="DF14">
        <v>193</v>
      </c>
      <c r="DH14" t="s">
        <v>402</v>
      </c>
      <c r="DI14" t="s">
        <v>734</v>
      </c>
      <c r="DJ14" t="s">
        <v>741</v>
      </c>
      <c r="DK14">
        <v>70</v>
      </c>
      <c r="DL14">
        <v>25</v>
      </c>
      <c r="DM14">
        <v>99.514285714300001</v>
      </c>
      <c r="DN14">
        <v>48</v>
      </c>
      <c r="DO14">
        <v>6</v>
      </c>
      <c r="DP14">
        <v>106</v>
      </c>
      <c r="DQ14">
        <v>132</v>
      </c>
    </row>
    <row r="15" spans="2:121" x14ac:dyDescent="0.2">
      <c r="B15" t="s">
        <v>121</v>
      </c>
      <c r="C15">
        <v>22</v>
      </c>
      <c r="D15">
        <v>14</v>
      </c>
      <c r="F15" t="s">
        <v>39</v>
      </c>
      <c r="G15">
        <v>351</v>
      </c>
      <c r="H15">
        <v>286.84330484330002</v>
      </c>
      <c r="I15">
        <v>783</v>
      </c>
      <c r="J15">
        <v>95</v>
      </c>
      <c r="K15">
        <v>578</v>
      </c>
      <c r="L15">
        <v>314</v>
      </c>
      <c r="M15">
        <v>154</v>
      </c>
      <c r="N15">
        <v>60</v>
      </c>
      <c r="O15">
        <v>88</v>
      </c>
      <c r="P15">
        <v>27</v>
      </c>
      <c r="Q15">
        <v>2</v>
      </c>
      <c r="R15">
        <v>2</v>
      </c>
      <c r="T15" t="s">
        <v>365</v>
      </c>
      <c r="U15">
        <v>103452</v>
      </c>
      <c r="V15">
        <v>463.95477129490001</v>
      </c>
      <c r="W15">
        <v>77196</v>
      </c>
      <c r="X15">
        <v>19045</v>
      </c>
      <c r="Y15">
        <v>137239</v>
      </c>
      <c r="Z15">
        <v>101712</v>
      </c>
      <c r="AA15">
        <v>38029</v>
      </c>
      <c r="AB15">
        <v>26254</v>
      </c>
      <c r="AC15">
        <v>30662</v>
      </c>
      <c r="AD15">
        <v>23082</v>
      </c>
      <c r="AE15">
        <v>13023</v>
      </c>
      <c r="AF15">
        <v>46</v>
      </c>
      <c r="AH15" t="s">
        <v>404</v>
      </c>
      <c r="AI15">
        <v>714</v>
      </c>
      <c r="AJ15">
        <v>313.13305322129997</v>
      </c>
      <c r="AK15">
        <v>1539</v>
      </c>
      <c r="AL15">
        <v>323</v>
      </c>
      <c r="AM15">
        <v>1133</v>
      </c>
      <c r="AN15">
        <v>622</v>
      </c>
      <c r="AO15">
        <v>392</v>
      </c>
      <c r="AP15">
        <v>160</v>
      </c>
      <c r="AQ15">
        <v>401</v>
      </c>
      <c r="AR15">
        <v>229</v>
      </c>
      <c r="AS15">
        <v>1</v>
      </c>
      <c r="AT15">
        <v>3</v>
      </c>
      <c r="AV15" t="s">
        <v>408</v>
      </c>
      <c r="AW15">
        <v>163</v>
      </c>
      <c r="AX15">
        <v>41.754601227000002</v>
      </c>
      <c r="AY15">
        <v>298</v>
      </c>
      <c r="AZ15">
        <v>7</v>
      </c>
      <c r="BA15">
        <v>211</v>
      </c>
      <c r="BB15">
        <v>5</v>
      </c>
      <c r="BC15">
        <v>2</v>
      </c>
      <c r="BD15">
        <v>2</v>
      </c>
      <c r="BE15">
        <v>12</v>
      </c>
      <c r="BF15">
        <v>8</v>
      </c>
      <c r="BG15">
        <v>479</v>
      </c>
      <c r="BH15">
        <v>40</v>
      </c>
      <c r="BJ15" t="s">
        <v>563</v>
      </c>
      <c r="BK15" t="s">
        <v>386</v>
      </c>
      <c r="BL15">
        <v>6890</v>
      </c>
      <c r="BM15">
        <v>1860</v>
      </c>
      <c r="BN15">
        <v>104.00870827289999</v>
      </c>
      <c r="BO15">
        <v>5608</v>
      </c>
      <c r="BP15">
        <v>862</v>
      </c>
      <c r="BQ15">
        <v>157.26604850210001</v>
      </c>
      <c r="BR15">
        <v>149.39443155449999</v>
      </c>
      <c r="BS15">
        <v>3437</v>
      </c>
      <c r="BT15">
        <v>850</v>
      </c>
      <c r="BU15">
        <v>90.569682862999997</v>
      </c>
      <c r="BV15">
        <v>3345</v>
      </c>
      <c r="BW15">
        <v>524</v>
      </c>
      <c r="BX15">
        <v>137.15426008969999</v>
      </c>
      <c r="BY15">
        <v>129.70419847330001</v>
      </c>
      <c r="CA15" t="s">
        <v>417</v>
      </c>
      <c r="CB15" t="s">
        <v>763</v>
      </c>
      <c r="CC15" t="s">
        <v>998</v>
      </c>
      <c r="CD15">
        <v>842</v>
      </c>
      <c r="CE15">
        <v>101</v>
      </c>
      <c r="CF15">
        <v>79.067695962000002</v>
      </c>
      <c r="CG15">
        <v>778</v>
      </c>
      <c r="CH15">
        <v>128</v>
      </c>
      <c r="CI15">
        <v>146.02827763499999</v>
      </c>
      <c r="CJ15">
        <v>153.6015625</v>
      </c>
      <c r="CL15" t="s">
        <v>417</v>
      </c>
      <c r="CM15" t="s">
        <v>744</v>
      </c>
      <c r="CN15" t="s">
        <v>752</v>
      </c>
      <c r="CO15">
        <v>19</v>
      </c>
      <c r="CP15">
        <v>0</v>
      </c>
      <c r="CQ15">
        <v>53.210526315800003</v>
      </c>
      <c r="CR15">
        <v>60</v>
      </c>
      <c r="CS15">
        <v>7</v>
      </c>
      <c r="CT15">
        <v>61.45</v>
      </c>
      <c r="CU15">
        <v>40.571428571399998</v>
      </c>
      <c r="CW15" t="s">
        <v>417</v>
      </c>
      <c r="CX15" t="s">
        <v>754</v>
      </c>
      <c r="CY15" t="s">
        <v>762</v>
      </c>
      <c r="CZ15">
        <v>17</v>
      </c>
      <c r="DA15">
        <v>5</v>
      </c>
      <c r="DB15">
        <v>93.764705882399994</v>
      </c>
      <c r="DC15">
        <v>15</v>
      </c>
      <c r="DD15">
        <v>2</v>
      </c>
      <c r="DE15">
        <v>154.26666666669999</v>
      </c>
      <c r="DF15">
        <v>203</v>
      </c>
      <c r="DH15" t="s">
        <v>417</v>
      </c>
      <c r="DI15" t="s">
        <v>734</v>
      </c>
      <c r="DJ15" t="s">
        <v>742</v>
      </c>
      <c r="DK15">
        <v>9</v>
      </c>
      <c r="DL15">
        <v>5</v>
      </c>
      <c r="DM15">
        <v>116.8888888889</v>
      </c>
      <c r="DN15">
        <v>19</v>
      </c>
      <c r="DO15">
        <v>2</v>
      </c>
      <c r="DP15">
        <v>112.2105263158</v>
      </c>
      <c r="DQ15">
        <v>154.5</v>
      </c>
    </row>
    <row r="16" spans="2:121" x14ac:dyDescent="0.2">
      <c r="B16" t="s">
        <v>972</v>
      </c>
      <c r="C16">
        <v>1</v>
      </c>
      <c r="F16" t="s">
        <v>64</v>
      </c>
      <c r="G16">
        <v>862</v>
      </c>
      <c r="H16">
        <v>143.19837587009999</v>
      </c>
      <c r="I16">
        <v>2440</v>
      </c>
      <c r="J16">
        <v>528</v>
      </c>
      <c r="K16">
        <v>1559</v>
      </c>
      <c r="L16">
        <v>806</v>
      </c>
      <c r="M16">
        <v>761</v>
      </c>
      <c r="N16">
        <v>560</v>
      </c>
      <c r="O16">
        <v>2050</v>
      </c>
      <c r="P16">
        <v>1553</v>
      </c>
      <c r="Q16">
        <v>0</v>
      </c>
      <c r="R16">
        <v>1</v>
      </c>
      <c r="T16" t="s">
        <v>8</v>
      </c>
      <c r="U16">
        <v>62</v>
      </c>
      <c r="V16">
        <v>746.27419354840004</v>
      </c>
      <c r="W16">
        <v>40</v>
      </c>
      <c r="X16">
        <v>3</v>
      </c>
      <c r="Y16">
        <v>65</v>
      </c>
      <c r="Z16">
        <v>51</v>
      </c>
      <c r="AA16">
        <v>9</v>
      </c>
      <c r="AB16">
        <v>8</v>
      </c>
      <c r="AC16">
        <v>49264</v>
      </c>
      <c r="AD16">
        <v>24514</v>
      </c>
      <c r="AE16">
        <v>0</v>
      </c>
      <c r="AF16">
        <v>1</v>
      </c>
      <c r="AH16" t="s">
        <v>390</v>
      </c>
      <c r="AI16">
        <v>7098</v>
      </c>
      <c r="AJ16">
        <v>483.86291913209999</v>
      </c>
      <c r="AK16">
        <v>7485</v>
      </c>
      <c r="AL16">
        <v>1878</v>
      </c>
      <c r="AM16">
        <v>9874</v>
      </c>
      <c r="AN16">
        <v>6971</v>
      </c>
      <c r="AO16">
        <v>2148</v>
      </c>
      <c r="AP16">
        <v>1667</v>
      </c>
      <c r="AQ16">
        <v>2867</v>
      </c>
      <c r="AR16">
        <v>1462</v>
      </c>
      <c r="AS16">
        <v>657</v>
      </c>
      <c r="AT16">
        <v>212</v>
      </c>
      <c r="AV16" t="s">
        <v>371</v>
      </c>
      <c r="AW16">
        <v>1630</v>
      </c>
      <c r="AX16">
        <v>96.199386503100001</v>
      </c>
      <c r="AY16">
        <v>2703</v>
      </c>
      <c r="AZ16">
        <v>605</v>
      </c>
      <c r="BA16">
        <v>2270</v>
      </c>
      <c r="BB16">
        <v>796</v>
      </c>
      <c r="BC16">
        <v>42</v>
      </c>
      <c r="BD16">
        <v>40</v>
      </c>
      <c r="BE16">
        <v>124</v>
      </c>
      <c r="BF16">
        <v>21</v>
      </c>
      <c r="BG16">
        <v>190</v>
      </c>
      <c r="BH16">
        <v>481</v>
      </c>
      <c r="BJ16" t="s">
        <v>555</v>
      </c>
      <c r="BK16" t="s">
        <v>386</v>
      </c>
      <c r="BL16">
        <v>8462</v>
      </c>
      <c r="BM16">
        <v>2209</v>
      </c>
      <c r="BN16">
        <v>102.25561333020001</v>
      </c>
      <c r="BO16">
        <v>8291</v>
      </c>
      <c r="BP16">
        <v>1103</v>
      </c>
      <c r="BQ16">
        <v>131.2806657822</v>
      </c>
      <c r="BR16">
        <v>150.76065276520001</v>
      </c>
      <c r="BS16">
        <v>8735</v>
      </c>
      <c r="BT16">
        <v>2551</v>
      </c>
      <c r="BU16">
        <v>108.5022323984</v>
      </c>
      <c r="BV16">
        <v>9482</v>
      </c>
      <c r="BW16">
        <v>1216</v>
      </c>
      <c r="BX16">
        <v>144.23739717359999</v>
      </c>
      <c r="BY16">
        <v>160.5230263158</v>
      </c>
      <c r="CA16" t="s">
        <v>381</v>
      </c>
      <c r="CB16" t="s">
        <v>763</v>
      </c>
      <c r="CD16">
        <v>63358</v>
      </c>
      <c r="CE16">
        <v>13485</v>
      </c>
      <c r="CF16">
        <v>92.363111209300001</v>
      </c>
      <c r="CG16">
        <v>62533</v>
      </c>
      <c r="CH16">
        <v>8641</v>
      </c>
      <c r="CI16">
        <v>134.02147666030001</v>
      </c>
      <c r="CJ16">
        <v>134.5630135401</v>
      </c>
      <c r="CL16" t="s">
        <v>381</v>
      </c>
      <c r="CM16" t="s">
        <v>744</v>
      </c>
      <c r="CO16">
        <v>3835</v>
      </c>
      <c r="CP16">
        <v>394</v>
      </c>
      <c r="CQ16">
        <v>65.926205997400004</v>
      </c>
      <c r="CR16">
        <v>7346</v>
      </c>
      <c r="CS16">
        <v>1019</v>
      </c>
      <c r="CT16">
        <v>64.346583174499997</v>
      </c>
      <c r="CU16">
        <v>68.362119725200003</v>
      </c>
      <c r="CW16" t="s">
        <v>381</v>
      </c>
      <c r="CX16" t="s">
        <v>754</v>
      </c>
      <c r="CZ16">
        <v>2113</v>
      </c>
      <c r="DA16">
        <v>380</v>
      </c>
      <c r="DB16">
        <v>83.430667297699998</v>
      </c>
      <c r="DC16">
        <v>1053</v>
      </c>
      <c r="DD16">
        <v>151</v>
      </c>
      <c r="DE16">
        <v>140.24026590689999</v>
      </c>
      <c r="DF16">
        <v>157.5099337748</v>
      </c>
      <c r="DH16" t="s">
        <v>381</v>
      </c>
      <c r="DI16" t="s">
        <v>734</v>
      </c>
      <c r="DK16">
        <v>2254</v>
      </c>
      <c r="DL16">
        <v>419</v>
      </c>
      <c r="DM16">
        <v>82.221384205899994</v>
      </c>
      <c r="DN16">
        <v>1384</v>
      </c>
      <c r="DO16">
        <v>202</v>
      </c>
      <c r="DP16">
        <v>128.27023121389999</v>
      </c>
      <c r="DQ16">
        <v>135.995049505</v>
      </c>
    </row>
    <row r="17" spans="2:121" x14ac:dyDescent="0.2">
      <c r="B17" t="s">
        <v>97</v>
      </c>
      <c r="C17">
        <v>362</v>
      </c>
      <c r="D17">
        <v>64</v>
      </c>
      <c r="F17" t="s">
        <v>73</v>
      </c>
      <c r="G17">
        <v>7301</v>
      </c>
      <c r="H17">
        <v>247.6736063553</v>
      </c>
      <c r="I17">
        <v>2206</v>
      </c>
      <c r="J17">
        <v>519</v>
      </c>
      <c r="K17">
        <v>15614</v>
      </c>
      <c r="L17">
        <v>8293</v>
      </c>
      <c r="M17">
        <v>1759</v>
      </c>
      <c r="N17">
        <v>666</v>
      </c>
      <c r="O17">
        <v>399</v>
      </c>
      <c r="P17">
        <v>124</v>
      </c>
      <c r="Q17">
        <v>0</v>
      </c>
      <c r="R17">
        <v>1</v>
      </c>
      <c r="T17" t="s">
        <v>400</v>
      </c>
      <c r="U17">
        <v>55111</v>
      </c>
      <c r="V17">
        <v>371.58890239700003</v>
      </c>
      <c r="W17">
        <v>59958</v>
      </c>
      <c r="X17">
        <v>12625</v>
      </c>
      <c r="Y17">
        <v>79597</v>
      </c>
      <c r="Z17">
        <v>52837</v>
      </c>
      <c r="AA17">
        <v>23416</v>
      </c>
      <c r="AB17">
        <v>16749</v>
      </c>
      <c r="AC17">
        <v>21166</v>
      </c>
      <c r="AD17">
        <v>15520</v>
      </c>
      <c r="AE17">
        <v>373</v>
      </c>
      <c r="AF17">
        <v>674</v>
      </c>
      <c r="AH17" t="s">
        <v>388</v>
      </c>
      <c r="AI17">
        <v>7116</v>
      </c>
      <c r="AJ17">
        <v>613.11987071390001</v>
      </c>
      <c r="AK17">
        <v>5088</v>
      </c>
      <c r="AL17">
        <v>1000</v>
      </c>
      <c r="AM17">
        <v>10846</v>
      </c>
      <c r="AN17">
        <v>7453</v>
      </c>
      <c r="AO17">
        <v>2172</v>
      </c>
      <c r="AP17">
        <v>1547</v>
      </c>
      <c r="AQ17">
        <v>2992</v>
      </c>
      <c r="AR17">
        <v>1959</v>
      </c>
      <c r="AS17">
        <v>495</v>
      </c>
      <c r="AT17">
        <v>193</v>
      </c>
      <c r="AV17" t="s">
        <v>424</v>
      </c>
      <c r="AW17">
        <v>18</v>
      </c>
      <c r="AX17">
        <v>47.833333333299997</v>
      </c>
      <c r="AY17">
        <v>23</v>
      </c>
      <c r="AZ17">
        <v>4</v>
      </c>
      <c r="BA17">
        <v>30</v>
      </c>
      <c r="BB17">
        <v>1</v>
      </c>
      <c r="BC17">
        <v>2</v>
      </c>
      <c r="BD17">
        <v>2</v>
      </c>
      <c r="BE17">
        <v>2</v>
      </c>
      <c r="BG17">
        <v>57</v>
      </c>
      <c r="BH17">
        <v>5</v>
      </c>
      <c r="BJ17" t="s">
        <v>572</v>
      </c>
      <c r="BK17" t="s">
        <v>386</v>
      </c>
      <c r="BL17">
        <v>2322</v>
      </c>
      <c r="BM17">
        <v>391</v>
      </c>
      <c r="BN17">
        <v>81.417312661500006</v>
      </c>
      <c r="BO17">
        <v>2522</v>
      </c>
      <c r="BP17">
        <v>270</v>
      </c>
      <c r="BQ17">
        <v>109.0630452022</v>
      </c>
      <c r="BR17">
        <v>107.9259259259</v>
      </c>
      <c r="BS17">
        <v>2681</v>
      </c>
      <c r="BT17">
        <v>701</v>
      </c>
      <c r="BU17">
        <v>99.2010443864</v>
      </c>
      <c r="BV17">
        <v>3478</v>
      </c>
      <c r="BW17">
        <v>372</v>
      </c>
      <c r="BX17">
        <v>125.70327774579999</v>
      </c>
      <c r="BY17">
        <v>131.21236559139999</v>
      </c>
      <c r="CA17" t="s">
        <v>390</v>
      </c>
      <c r="CB17" t="s">
        <v>803</v>
      </c>
      <c r="CC17" t="s">
        <v>999</v>
      </c>
      <c r="CD17">
        <v>7160</v>
      </c>
      <c r="CE17">
        <v>1862</v>
      </c>
      <c r="CF17">
        <v>101.382122905</v>
      </c>
      <c r="CG17">
        <v>5969</v>
      </c>
      <c r="CH17">
        <v>898</v>
      </c>
      <c r="CI17">
        <v>153.2573295359</v>
      </c>
      <c r="CJ17">
        <v>144.34966592430001</v>
      </c>
      <c r="CL17" t="s">
        <v>390</v>
      </c>
      <c r="CM17" t="s">
        <v>778</v>
      </c>
      <c r="CN17" t="s">
        <v>777</v>
      </c>
      <c r="CO17">
        <v>757</v>
      </c>
      <c r="CP17">
        <v>97</v>
      </c>
      <c r="CQ17">
        <v>73.849405548199996</v>
      </c>
      <c r="CR17">
        <v>1329</v>
      </c>
      <c r="CS17">
        <v>165</v>
      </c>
      <c r="CT17">
        <v>71.665161775800001</v>
      </c>
      <c r="CU17">
        <v>85.424242424200003</v>
      </c>
      <c r="CW17" t="s">
        <v>390</v>
      </c>
      <c r="CX17" t="s">
        <v>791</v>
      </c>
      <c r="CY17" t="s">
        <v>790</v>
      </c>
      <c r="CZ17">
        <v>269</v>
      </c>
      <c r="DA17">
        <v>73</v>
      </c>
      <c r="DB17">
        <v>93.750929368000001</v>
      </c>
      <c r="DC17">
        <v>110</v>
      </c>
      <c r="DD17">
        <v>17</v>
      </c>
      <c r="DE17">
        <v>140.13636363640001</v>
      </c>
      <c r="DF17">
        <v>153</v>
      </c>
      <c r="DH17" t="s">
        <v>390</v>
      </c>
      <c r="DI17" t="s">
        <v>765</v>
      </c>
      <c r="DJ17" t="s">
        <v>764</v>
      </c>
      <c r="DK17">
        <v>186</v>
      </c>
      <c r="DL17">
        <v>29</v>
      </c>
      <c r="DM17">
        <v>76.704301075299995</v>
      </c>
      <c r="DN17">
        <v>141</v>
      </c>
      <c r="DO17">
        <v>12</v>
      </c>
      <c r="DP17">
        <v>124.6312056738</v>
      </c>
      <c r="DQ17">
        <v>143.9166666667</v>
      </c>
    </row>
    <row r="18" spans="2:121" x14ac:dyDescent="0.2">
      <c r="B18" t="s">
        <v>122</v>
      </c>
      <c r="C18">
        <v>69</v>
      </c>
      <c r="D18">
        <v>52</v>
      </c>
      <c r="F18" t="s">
        <v>86</v>
      </c>
      <c r="G18">
        <v>17884</v>
      </c>
      <c r="H18">
        <v>337.08594274209997</v>
      </c>
      <c r="I18">
        <v>18147</v>
      </c>
      <c r="J18">
        <v>5078</v>
      </c>
      <c r="K18">
        <v>30780</v>
      </c>
      <c r="L18">
        <v>19231</v>
      </c>
      <c r="M18">
        <v>10998</v>
      </c>
      <c r="N18">
        <v>7102</v>
      </c>
      <c r="O18">
        <v>4146</v>
      </c>
      <c r="P18">
        <v>2711</v>
      </c>
      <c r="Q18">
        <v>0</v>
      </c>
      <c r="R18">
        <v>16</v>
      </c>
      <c r="T18" t="s">
        <v>376</v>
      </c>
      <c r="U18">
        <v>65725</v>
      </c>
      <c r="V18">
        <v>340.63385317609999</v>
      </c>
      <c r="W18">
        <v>71289</v>
      </c>
      <c r="X18">
        <v>18053</v>
      </c>
      <c r="Y18">
        <v>92850</v>
      </c>
      <c r="Z18">
        <v>61635</v>
      </c>
      <c r="AA18">
        <v>27202</v>
      </c>
      <c r="AB18">
        <v>18648</v>
      </c>
      <c r="AC18">
        <v>29675</v>
      </c>
      <c r="AD18">
        <v>20573</v>
      </c>
      <c r="AE18">
        <v>208</v>
      </c>
      <c r="AF18">
        <v>1201</v>
      </c>
      <c r="AH18" t="s">
        <v>395</v>
      </c>
      <c r="AI18">
        <v>1401</v>
      </c>
      <c r="AJ18">
        <v>201.21270521060001</v>
      </c>
      <c r="AK18">
        <v>2443</v>
      </c>
      <c r="AL18">
        <v>429</v>
      </c>
      <c r="AM18">
        <v>2238</v>
      </c>
      <c r="AN18">
        <v>1147</v>
      </c>
      <c r="AO18">
        <v>403</v>
      </c>
      <c r="AP18">
        <v>201</v>
      </c>
      <c r="AQ18">
        <v>582</v>
      </c>
      <c r="AR18">
        <v>348</v>
      </c>
      <c r="AS18">
        <v>1</v>
      </c>
      <c r="AT18">
        <v>8</v>
      </c>
      <c r="AV18" t="s">
        <v>395</v>
      </c>
      <c r="AW18">
        <v>128</v>
      </c>
      <c r="AX18">
        <v>40.546875</v>
      </c>
      <c r="AY18">
        <v>266</v>
      </c>
      <c r="AZ18">
        <v>8</v>
      </c>
      <c r="BA18">
        <v>191</v>
      </c>
      <c r="BB18">
        <v>2</v>
      </c>
      <c r="BC18">
        <v>0</v>
      </c>
      <c r="BE18">
        <v>9</v>
      </c>
      <c r="BF18">
        <v>3</v>
      </c>
      <c r="BG18">
        <v>284</v>
      </c>
      <c r="BH18">
        <v>26</v>
      </c>
      <c r="BJ18" t="s">
        <v>565</v>
      </c>
      <c r="BK18" t="s">
        <v>386</v>
      </c>
      <c r="BL18">
        <v>6940</v>
      </c>
      <c r="BM18">
        <v>1769</v>
      </c>
      <c r="BN18">
        <v>100.8992795389</v>
      </c>
      <c r="BO18">
        <v>6432</v>
      </c>
      <c r="BP18">
        <v>955</v>
      </c>
      <c r="BQ18">
        <v>145.94216417909999</v>
      </c>
      <c r="BR18">
        <v>148.81884816749999</v>
      </c>
      <c r="BS18">
        <v>6906</v>
      </c>
      <c r="BT18">
        <v>1745</v>
      </c>
      <c r="BU18">
        <v>99.397914856599996</v>
      </c>
      <c r="BV18">
        <v>6382</v>
      </c>
      <c r="BW18">
        <v>952</v>
      </c>
      <c r="BX18">
        <v>143.12362895640001</v>
      </c>
      <c r="BY18">
        <v>148.62394957980001</v>
      </c>
      <c r="CA18" t="s">
        <v>388</v>
      </c>
      <c r="CB18" t="s">
        <v>803</v>
      </c>
      <c r="CC18" t="s">
        <v>1000</v>
      </c>
      <c r="CD18">
        <v>4847</v>
      </c>
      <c r="CE18">
        <v>948</v>
      </c>
      <c r="CF18">
        <v>91.252321023299999</v>
      </c>
      <c r="CG18">
        <v>5039</v>
      </c>
      <c r="CH18">
        <v>693</v>
      </c>
      <c r="CI18">
        <v>124.1381226434</v>
      </c>
      <c r="CJ18">
        <v>124.02741702740001</v>
      </c>
      <c r="CL18" t="s">
        <v>388</v>
      </c>
      <c r="CM18" t="s">
        <v>778</v>
      </c>
      <c r="CN18" t="s">
        <v>779</v>
      </c>
      <c r="CO18">
        <v>437</v>
      </c>
      <c r="CP18">
        <v>47</v>
      </c>
      <c r="CQ18">
        <v>66.762013730000007</v>
      </c>
      <c r="CR18">
        <v>788</v>
      </c>
      <c r="CS18">
        <v>101</v>
      </c>
      <c r="CT18">
        <v>75.253807106599993</v>
      </c>
      <c r="CU18">
        <v>70.386138613900002</v>
      </c>
      <c r="CW18" t="s">
        <v>388</v>
      </c>
      <c r="CX18" t="s">
        <v>791</v>
      </c>
      <c r="CY18" t="s">
        <v>792</v>
      </c>
      <c r="CZ18">
        <v>120</v>
      </c>
      <c r="DA18">
        <v>24</v>
      </c>
      <c r="DB18">
        <v>90.391666666700004</v>
      </c>
      <c r="DC18">
        <v>57</v>
      </c>
      <c r="DD18">
        <v>8</v>
      </c>
      <c r="DE18">
        <v>144.57894736840001</v>
      </c>
      <c r="DF18">
        <v>167.125</v>
      </c>
      <c r="DH18" t="s">
        <v>388</v>
      </c>
      <c r="DI18" t="s">
        <v>765</v>
      </c>
      <c r="DJ18" t="s">
        <v>766</v>
      </c>
      <c r="DK18">
        <v>83</v>
      </c>
      <c r="DL18">
        <v>12</v>
      </c>
      <c r="DM18">
        <v>87.301204819299997</v>
      </c>
      <c r="DN18">
        <v>70</v>
      </c>
      <c r="DO18">
        <v>7</v>
      </c>
      <c r="DP18">
        <v>138.07142857139999</v>
      </c>
      <c r="DQ18">
        <v>150.8571428571</v>
      </c>
    </row>
    <row r="19" spans="2:121" x14ac:dyDescent="0.2">
      <c r="B19" t="s">
        <v>126</v>
      </c>
      <c r="C19">
        <v>41</v>
      </c>
      <c r="D19">
        <v>32</v>
      </c>
      <c r="F19" t="s">
        <v>71</v>
      </c>
      <c r="G19">
        <v>3044</v>
      </c>
      <c r="H19">
        <v>455.93889618920002</v>
      </c>
      <c r="I19">
        <v>3277</v>
      </c>
      <c r="J19">
        <v>707</v>
      </c>
      <c r="K19">
        <v>3471</v>
      </c>
      <c r="L19">
        <v>2537</v>
      </c>
      <c r="M19">
        <v>563</v>
      </c>
      <c r="N19">
        <v>409</v>
      </c>
      <c r="O19">
        <v>1099</v>
      </c>
      <c r="P19">
        <v>809</v>
      </c>
      <c r="Q19">
        <v>0</v>
      </c>
      <c r="R19">
        <v>117</v>
      </c>
      <c r="T19" t="s">
        <v>457</v>
      </c>
      <c r="U19">
        <v>317764</v>
      </c>
      <c r="V19">
        <v>389.09939137219999</v>
      </c>
      <c r="W19">
        <v>328947</v>
      </c>
      <c r="X19">
        <v>75999</v>
      </c>
      <c r="Y19">
        <v>461190</v>
      </c>
      <c r="Z19">
        <v>304176</v>
      </c>
      <c r="AA19">
        <v>125081</v>
      </c>
      <c r="AB19">
        <v>84315</v>
      </c>
      <c r="AC19">
        <v>165758</v>
      </c>
      <c r="AD19">
        <v>103259</v>
      </c>
      <c r="AE19">
        <v>19539</v>
      </c>
      <c r="AF19">
        <v>4068</v>
      </c>
      <c r="AH19" t="s">
        <v>418</v>
      </c>
      <c r="AI19">
        <v>2122</v>
      </c>
      <c r="AJ19">
        <v>239.61969839770001</v>
      </c>
      <c r="AK19">
        <v>2567</v>
      </c>
      <c r="AL19">
        <v>504</v>
      </c>
      <c r="AM19">
        <v>3224</v>
      </c>
      <c r="AN19">
        <v>1794</v>
      </c>
      <c r="AO19">
        <v>1139</v>
      </c>
      <c r="AP19">
        <v>486</v>
      </c>
      <c r="AQ19">
        <v>680</v>
      </c>
      <c r="AR19">
        <v>334</v>
      </c>
      <c r="AS19">
        <v>13</v>
      </c>
      <c r="AT19">
        <v>15</v>
      </c>
      <c r="AV19" t="s">
        <v>378</v>
      </c>
      <c r="AW19">
        <v>1453</v>
      </c>
      <c r="AX19">
        <v>90.631108052299993</v>
      </c>
      <c r="AY19">
        <v>1615</v>
      </c>
      <c r="AZ19">
        <v>352</v>
      </c>
      <c r="BA19">
        <v>1944</v>
      </c>
      <c r="BB19">
        <v>616</v>
      </c>
      <c r="BC19">
        <v>52</v>
      </c>
      <c r="BD19">
        <v>51</v>
      </c>
      <c r="BE19">
        <v>104</v>
      </c>
      <c r="BF19">
        <v>36</v>
      </c>
      <c r="BG19">
        <v>301</v>
      </c>
      <c r="BH19">
        <v>467</v>
      </c>
      <c r="BJ19" t="s">
        <v>629</v>
      </c>
      <c r="BK19" t="s">
        <v>386</v>
      </c>
      <c r="BL19">
        <v>876</v>
      </c>
      <c r="BM19">
        <v>143</v>
      </c>
      <c r="BN19">
        <v>76.957762557099997</v>
      </c>
      <c r="BO19">
        <v>1016</v>
      </c>
      <c r="BP19">
        <v>115</v>
      </c>
      <c r="BQ19">
        <v>101.25393700790001</v>
      </c>
      <c r="BR19">
        <v>99.060869565199994</v>
      </c>
      <c r="BS19">
        <v>1253</v>
      </c>
      <c r="BT19">
        <v>369</v>
      </c>
      <c r="BU19">
        <v>97.442936951299998</v>
      </c>
      <c r="BV19">
        <v>1407</v>
      </c>
      <c r="BW19">
        <v>157</v>
      </c>
      <c r="BX19">
        <v>136.71002132199999</v>
      </c>
      <c r="BY19">
        <v>118.9872611465</v>
      </c>
      <c r="CA19" t="s">
        <v>395</v>
      </c>
      <c r="CB19" t="s">
        <v>803</v>
      </c>
      <c r="CC19" t="s">
        <v>1001</v>
      </c>
      <c r="CD19">
        <v>2387</v>
      </c>
      <c r="CE19">
        <v>405</v>
      </c>
      <c r="CF19">
        <v>82.4641809803</v>
      </c>
      <c r="CG19">
        <v>2629</v>
      </c>
      <c r="CH19">
        <v>276</v>
      </c>
      <c r="CI19">
        <v>108.71928489920001</v>
      </c>
      <c r="CJ19">
        <v>106.57971014490001</v>
      </c>
      <c r="CL19" t="s">
        <v>395</v>
      </c>
      <c r="CM19" t="s">
        <v>778</v>
      </c>
      <c r="CN19" t="s">
        <v>780</v>
      </c>
      <c r="CO19">
        <v>228</v>
      </c>
      <c r="CP19">
        <v>18</v>
      </c>
      <c r="CQ19">
        <v>64.184210526300006</v>
      </c>
      <c r="CR19">
        <v>506</v>
      </c>
      <c r="CS19">
        <v>83</v>
      </c>
      <c r="CT19">
        <v>63.610671936800003</v>
      </c>
      <c r="CU19">
        <v>57</v>
      </c>
      <c r="CW19" t="s">
        <v>395</v>
      </c>
      <c r="CX19" t="s">
        <v>791</v>
      </c>
      <c r="CY19" t="s">
        <v>793</v>
      </c>
      <c r="CZ19">
        <v>57</v>
      </c>
      <c r="DA19">
        <v>12</v>
      </c>
      <c r="DB19">
        <v>86.052631578900005</v>
      </c>
      <c r="DC19">
        <v>32</v>
      </c>
      <c r="DD19">
        <v>5</v>
      </c>
      <c r="DE19">
        <v>135.03125</v>
      </c>
      <c r="DF19">
        <v>155.19999999999999</v>
      </c>
      <c r="DH19" t="s">
        <v>395</v>
      </c>
      <c r="DI19" t="s">
        <v>765</v>
      </c>
      <c r="DJ19" t="s">
        <v>767</v>
      </c>
      <c r="DK19">
        <v>26</v>
      </c>
      <c r="DL19">
        <v>3</v>
      </c>
      <c r="DM19">
        <v>92.461538461499998</v>
      </c>
      <c r="DN19">
        <v>40</v>
      </c>
      <c r="DO19">
        <v>3</v>
      </c>
      <c r="DP19">
        <v>124.075</v>
      </c>
      <c r="DQ19">
        <v>137</v>
      </c>
    </row>
    <row r="20" spans="2:121" x14ac:dyDescent="0.2">
      <c r="B20" t="s">
        <v>119</v>
      </c>
      <c r="C20">
        <v>12743</v>
      </c>
      <c r="D20">
        <v>2861</v>
      </c>
      <c r="F20" t="s">
        <v>77</v>
      </c>
      <c r="G20">
        <v>243</v>
      </c>
      <c r="H20">
        <v>108.1851851852</v>
      </c>
      <c r="I20">
        <v>764</v>
      </c>
      <c r="J20">
        <v>143</v>
      </c>
      <c r="K20">
        <v>477</v>
      </c>
      <c r="L20">
        <v>131</v>
      </c>
      <c r="M20">
        <v>359</v>
      </c>
      <c r="N20">
        <v>168</v>
      </c>
      <c r="O20">
        <v>62</v>
      </c>
      <c r="P20">
        <v>16</v>
      </c>
      <c r="Q20">
        <v>0</v>
      </c>
      <c r="R20">
        <v>0</v>
      </c>
      <c r="AH20" t="s">
        <v>389</v>
      </c>
      <c r="AI20">
        <v>6726</v>
      </c>
      <c r="AJ20">
        <v>536.12786202799998</v>
      </c>
      <c r="AK20">
        <v>3962</v>
      </c>
      <c r="AL20">
        <v>815</v>
      </c>
      <c r="AM20">
        <v>10034</v>
      </c>
      <c r="AN20">
        <v>6649</v>
      </c>
      <c r="AO20">
        <v>2744</v>
      </c>
      <c r="AP20">
        <v>2171</v>
      </c>
      <c r="AQ20">
        <v>1465</v>
      </c>
      <c r="AR20">
        <v>717</v>
      </c>
      <c r="AS20">
        <v>523</v>
      </c>
      <c r="AT20">
        <v>144</v>
      </c>
      <c r="AV20" t="s">
        <v>8</v>
      </c>
      <c r="AW20">
        <v>150</v>
      </c>
      <c r="AX20">
        <v>92.746666666699994</v>
      </c>
      <c r="AY20">
        <v>206</v>
      </c>
      <c r="AZ20">
        <v>90</v>
      </c>
      <c r="BA20">
        <v>315</v>
      </c>
      <c r="BB20">
        <v>154</v>
      </c>
      <c r="BC20">
        <v>11</v>
      </c>
      <c r="BD20">
        <v>10</v>
      </c>
      <c r="BE20">
        <v>7</v>
      </c>
      <c r="BF20">
        <v>4</v>
      </c>
      <c r="BG20">
        <v>40</v>
      </c>
      <c r="BH20">
        <v>21</v>
      </c>
      <c r="BJ20" t="s">
        <v>557</v>
      </c>
      <c r="BK20" t="s">
        <v>386</v>
      </c>
      <c r="BL20">
        <v>4717</v>
      </c>
      <c r="BM20">
        <v>934</v>
      </c>
      <c r="BN20">
        <v>91.434174263299994</v>
      </c>
      <c r="BO20">
        <v>4817</v>
      </c>
      <c r="BP20">
        <v>656</v>
      </c>
      <c r="BQ20">
        <v>127.746522732</v>
      </c>
      <c r="BR20">
        <v>128.31402439019999</v>
      </c>
      <c r="BS20">
        <v>4507</v>
      </c>
      <c r="BT20">
        <v>1158</v>
      </c>
      <c r="BU20">
        <v>103.7290880852</v>
      </c>
      <c r="BV20">
        <v>5221</v>
      </c>
      <c r="BW20">
        <v>676</v>
      </c>
      <c r="BX20">
        <v>131.98793334609999</v>
      </c>
      <c r="BY20">
        <v>132.58136094669999</v>
      </c>
      <c r="CA20" t="s">
        <v>418</v>
      </c>
      <c r="CB20" t="s">
        <v>803</v>
      </c>
      <c r="CC20" t="s">
        <v>1002</v>
      </c>
      <c r="CD20">
        <v>2447</v>
      </c>
      <c r="CE20">
        <v>465</v>
      </c>
      <c r="CF20">
        <v>87.244789538199996</v>
      </c>
      <c r="CG20">
        <v>2875</v>
      </c>
      <c r="CH20">
        <v>429</v>
      </c>
      <c r="CI20">
        <v>128.3506086957</v>
      </c>
      <c r="CJ20">
        <v>124.1981351981</v>
      </c>
      <c r="CL20" t="s">
        <v>418</v>
      </c>
      <c r="CM20" t="s">
        <v>778</v>
      </c>
      <c r="CN20" t="s">
        <v>781</v>
      </c>
      <c r="CO20">
        <v>199</v>
      </c>
      <c r="CP20">
        <v>16</v>
      </c>
      <c r="CQ20">
        <v>67.944723618099999</v>
      </c>
      <c r="CR20">
        <v>445</v>
      </c>
      <c r="CS20">
        <v>66</v>
      </c>
      <c r="CT20">
        <v>67.164044943799993</v>
      </c>
      <c r="CU20">
        <v>69.409090909100001</v>
      </c>
      <c r="CW20" t="s">
        <v>418</v>
      </c>
      <c r="CX20" t="s">
        <v>791</v>
      </c>
      <c r="CY20" t="s">
        <v>794</v>
      </c>
      <c r="CZ20">
        <v>96</v>
      </c>
      <c r="DA20">
        <v>13</v>
      </c>
      <c r="DB20">
        <v>72.895833333300004</v>
      </c>
      <c r="DC20">
        <v>41</v>
      </c>
      <c r="DD20">
        <v>6</v>
      </c>
      <c r="DE20">
        <v>111.78048780490001</v>
      </c>
      <c r="DF20">
        <v>147.8333333333</v>
      </c>
      <c r="DH20" t="s">
        <v>418</v>
      </c>
      <c r="DI20" t="s">
        <v>765</v>
      </c>
      <c r="DJ20" t="s">
        <v>768</v>
      </c>
      <c r="DK20">
        <v>147</v>
      </c>
      <c r="DL20">
        <v>21</v>
      </c>
      <c r="DM20">
        <v>80.176870748300004</v>
      </c>
      <c r="DN20">
        <v>103</v>
      </c>
      <c r="DO20">
        <v>18</v>
      </c>
      <c r="DP20">
        <v>119.67961165049999</v>
      </c>
      <c r="DQ20">
        <v>139.3333333333</v>
      </c>
    </row>
    <row r="21" spans="2:121" x14ac:dyDescent="0.2">
      <c r="B21" t="s">
        <v>310</v>
      </c>
      <c r="C21">
        <v>1</v>
      </c>
      <c r="D21">
        <v>1</v>
      </c>
      <c r="F21" t="s">
        <v>8</v>
      </c>
      <c r="G21">
        <v>62</v>
      </c>
      <c r="H21">
        <v>746.27419354840004</v>
      </c>
      <c r="I21">
        <v>40</v>
      </c>
      <c r="J21">
        <v>3</v>
      </c>
      <c r="K21">
        <v>65</v>
      </c>
      <c r="L21">
        <v>51</v>
      </c>
      <c r="M21">
        <v>9</v>
      </c>
      <c r="N21">
        <v>8</v>
      </c>
      <c r="O21">
        <v>49264</v>
      </c>
      <c r="P21">
        <v>24514</v>
      </c>
      <c r="Q21">
        <v>0</v>
      </c>
      <c r="R21">
        <v>1</v>
      </c>
      <c r="AH21" t="s">
        <v>383</v>
      </c>
      <c r="AI21">
        <v>5545</v>
      </c>
      <c r="AJ21">
        <v>444.31505861139999</v>
      </c>
      <c r="AK21">
        <v>5901</v>
      </c>
      <c r="AL21">
        <v>1365</v>
      </c>
      <c r="AM21">
        <v>7995</v>
      </c>
      <c r="AN21">
        <v>5385</v>
      </c>
      <c r="AO21">
        <v>1854</v>
      </c>
      <c r="AP21">
        <v>1280</v>
      </c>
      <c r="AQ21">
        <v>2170</v>
      </c>
      <c r="AR21">
        <v>1302</v>
      </c>
      <c r="AS21">
        <v>255</v>
      </c>
      <c r="AT21">
        <v>248</v>
      </c>
      <c r="AV21" t="s">
        <v>372</v>
      </c>
      <c r="AW21">
        <v>381</v>
      </c>
      <c r="AX21">
        <v>94.2467191601</v>
      </c>
      <c r="AY21">
        <v>666</v>
      </c>
      <c r="AZ21">
        <v>125</v>
      </c>
      <c r="BA21">
        <v>507</v>
      </c>
      <c r="BB21">
        <v>187</v>
      </c>
      <c r="BC21">
        <v>18</v>
      </c>
      <c r="BD21">
        <v>17</v>
      </c>
      <c r="BE21">
        <v>34</v>
      </c>
      <c r="BF21">
        <v>17</v>
      </c>
      <c r="BG21">
        <v>78</v>
      </c>
      <c r="BH21">
        <v>176</v>
      </c>
      <c r="BJ21" t="s">
        <v>574</v>
      </c>
      <c r="BK21" t="s">
        <v>386</v>
      </c>
      <c r="BL21">
        <v>2169</v>
      </c>
      <c r="BM21">
        <v>244</v>
      </c>
      <c r="BN21">
        <v>76.0899031812</v>
      </c>
      <c r="BO21">
        <v>1827</v>
      </c>
      <c r="BP21">
        <v>222</v>
      </c>
      <c r="BQ21">
        <v>118.789819376</v>
      </c>
      <c r="BR21">
        <v>131.14864864859999</v>
      </c>
      <c r="BS21">
        <v>6022</v>
      </c>
      <c r="BT21">
        <v>1532</v>
      </c>
      <c r="BU21">
        <v>103.1753570242</v>
      </c>
      <c r="BV21">
        <v>5361</v>
      </c>
      <c r="BW21">
        <v>711</v>
      </c>
      <c r="BX21">
        <v>148.44935646330001</v>
      </c>
      <c r="BY21">
        <v>157.96624472569999</v>
      </c>
      <c r="CA21" t="s">
        <v>391</v>
      </c>
      <c r="CB21" t="s">
        <v>803</v>
      </c>
      <c r="CC21" t="s">
        <v>1003</v>
      </c>
      <c r="CD21">
        <v>6992</v>
      </c>
      <c r="CE21">
        <v>1736</v>
      </c>
      <c r="CF21">
        <v>99.988415331799999</v>
      </c>
      <c r="CG21">
        <v>6669</v>
      </c>
      <c r="CH21">
        <v>979</v>
      </c>
      <c r="CI21">
        <v>144.83655720499999</v>
      </c>
      <c r="CJ21">
        <v>144.4382022472</v>
      </c>
      <c r="CL21" t="s">
        <v>391</v>
      </c>
      <c r="CM21" t="s">
        <v>778</v>
      </c>
      <c r="CN21" t="s">
        <v>782</v>
      </c>
      <c r="CO21">
        <v>890</v>
      </c>
      <c r="CP21">
        <v>86</v>
      </c>
      <c r="CQ21">
        <v>67.208988763999997</v>
      </c>
      <c r="CR21">
        <v>1425</v>
      </c>
      <c r="CS21">
        <v>176</v>
      </c>
      <c r="CT21">
        <v>72.298245613999995</v>
      </c>
      <c r="CU21">
        <v>83.982954545499993</v>
      </c>
      <c r="CW21" t="s">
        <v>391</v>
      </c>
      <c r="CX21" t="s">
        <v>791</v>
      </c>
      <c r="CY21" t="s">
        <v>795</v>
      </c>
      <c r="CZ21">
        <v>190</v>
      </c>
      <c r="DA21">
        <v>51</v>
      </c>
      <c r="DB21">
        <v>90.226315789500006</v>
      </c>
      <c r="DC21">
        <v>91</v>
      </c>
      <c r="DD21">
        <v>15</v>
      </c>
      <c r="DE21">
        <v>143.6373626374</v>
      </c>
      <c r="DF21">
        <v>151</v>
      </c>
      <c r="DH21" t="s">
        <v>391</v>
      </c>
      <c r="DI21" t="s">
        <v>765</v>
      </c>
      <c r="DJ21" t="s">
        <v>769</v>
      </c>
      <c r="DK21">
        <v>115</v>
      </c>
      <c r="DL21">
        <v>17</v>
      </c>
      <c r="DM21">
        <v>81.2695652174</v>
      </c>
      <c r="DN21">
        <v>98</v>
      </c>
      <c r="DO21">
        <v>5</v>
      </c>
      <c r="DP21">
        <v>131.42857142860001</v>
      </c>
      <c r="DQ21">
        <v>127</v>
      </c>
    </row>
    <row r="22" spans="2:121" x14ac:dyDescent="0.2">
      <c r="B22" t="s">
        <v>112</v>
      </c>
      <c r="C22">
        <v>22394</v>
      </c>
      <c r="D22">
        <v>11633</v>
      </c>
      <c r="F22" t="s">
        <v>47</v>
      </c>
      <c r="G22">
        <v>1300</v>
      </c>
      <c r="H22">
        <v>293.63307692310002</v>
      </c>
      <c r="I22">
        <v>1932</v>
      </c>
      <c r="J22">
        <v>387</v>
      </c>
      <c r="K22">
        <v>2916</v>
      </c>
      <c r="L22">
        <v>1942</v>
      </c>
      <c r="M22">
        <v>612</v>
      </c>
      <c r="N22">
        <v>315</v>
      </c>
      <c r="O22">
        <v>830</v>
      </c>
      <c r="P22">
        <v>577</v>
      </c>
      <c r="Q22">
        <v>0</v>
      </c>
      <c r="R22">
        <v>6</v>
      </c>
      <c r="AH22" t="s">
        <v>412</v>
      </c>
      <c r="AI22">
        <v>1481</v>
      </c>
      <c r="AJ22">
        <v>292.50303848750002</v>
      </c>
      <c r="AK22">
        <v>1293</v>
      </c>
      <c r="AL22">
        <v>173</v>
      </c>
      <c r="AM22">
        <v>2069</v>
      </c>
      <c r="AN22">
        <v>1300</v>
      </c>
      <c r="AO22">
        <v>1093</v>
      </c>
      <c r="AP22">
        <v>838</v>
      </c>
      <c r="AQ22">
        <v>379</v>
      </c>
      <c r="AR22">
        <v>234</v>
      </c>
      <c r="AS22">
        <v>380</v>
      </c>
      <c r="AT22">
        <v>3</v>
      </c>
      <c r="AV22" t="s">
        <v>418</v>
      </c>
      <c r="AW22">
        <v>100</v>
      </c>
      <c r="AX22">
        <v>43.61</v>
      </c>
      <c r="AY22">
        <v>218</v>
      </c>
      <c r="AZ22">
        <v>9</v>
      </c>
      <c r="BA22">
        <v>144</v>
      </c>
      <c r="BB22">
        <v>4</v>
      </c>
      <c r="BC22">
        <v>0</v>
      </c>
      <c r="BE22">
        <v>5</v>
      </c>
      <c r="BF22">
        <v>2</v>
      </c>
      <c r="BG22">
        <v>152</v>
      </c>
      <c r="BH22">
        <v>17</v>
      </c>
      <c r="BJ22" t="s">
        <v>386</v>
      </c>
      <c r="BK22" t="s">
        <v>386</v>
      </c>
      <c r="BL22">
        <v>51954</v>
      </c>
      <c r="BM22">
        <v>11267</v>
      </c>
      <c r="BN22">
        <v>92.589675482199993</v>
      </c>
      <c r="BO22">
        <v>51461</v>
      </c>
      <c r="BP22">
        <v>7143</v>
      </c>
      <c r="BQ22">
        <v>129.63051631330001</v>
      </c>
      <c r="BR22">
        <v>131.7527649447</v>
      </c>
      <c r="BS22">
        <v>54363</v>
      </c>
      <c r="BT22">
        <v>13713</v>
      </c>
      <c r="BU22">
        <v>99.211375383999993</v>
      </c>
      <c r="BV22">
        <v>58704</v>
      </c>
      <c r="BW22">
        <v>7809</v>
      </c>
      <c r="BX22">
        <v>138.29689629329999</v>
      </c>
      <c r="BY22">
        <v>139.67038033040001</v>
      </c>
      <c r="CA22" t="s">
        <v>397</v>
      </c>
      <c r="CB22" t="s">
        <v>803</v>
      </c>
      <c r="CC22" t="s">
        <v>1004</v>
      </c>
      <c r="CD22">
        <v>4653</v>
      </c>
      <c r="CE22">
        <v>864</v>
      </c>
      <c r="CF22">
        <v>83.014614227400003</v>
      </c>
      <c r="CG22">
        <v>6280</v>
      </c>
      <c r="CH22">
        <v>833</v>
      </c>
      <c r="CI22">
        <v>111.8213375796</v>
      </c>
      <c r="CJ22">
        <v>103.9699879952</v>
      </c>
      <c r="CL22" t="s">
        <v>397</v>
      </c>
      <c r="CM22" t="s">
        <v>778</v>
      </c>
      <c r="CN22" t="s">
        <v>783</v>
      </c>
      <c r="CO22">
        <v>283</v>
      </c>
      <c r="CP22">
        <v>20</v>
      </c>
      <c r="CQ22">
        <v>57.568904593600003</v>
      </c>
      <c r="CR22">
        <v>626</v>
      </c>
      <c r="CS22">
        <v>90</v>
      </c>
      <c r="CT22">
        <v>60.6485623003</v>
      </c>
      <c r="CU22">
        <v>59.688888888900003</v>
      </c>
      <c r="CW22" t="s">
        <v>397</v>
      </c>
      <c r="CX22" t="s">
        <v>791</v>
      </c>
      <c r="CY22" t="s">
        <v>796</v>
      </c>
      <c r="CZ22">
        <v>78</v>
      </c>
      <c r="DA22">
        <v>16</v>
      </c>
      <c r="DB22">
        <v>86.038461538500002</v>
      </c>
      <c r="DC22">
        <v>49</v>
      </c>
      <c r="DD22">
        <v>11</v>
      </c>
      <c r="DE22">
        <v>126.2040816327</v>
      </c>
      <c r="DF22">
        <v>141.45454545449999</v>
      </c>
      <c r="DH22" t="s">
        <v>397</v>
      </c>
      <c r="DI22" t="s">
        <v>765</v>
      </c>
      <c r="DJ22" t="s">
        <v>770</v>
      </c>
      <c r="DK22">
        <v>35</v>
      </c>
      <c r="DL22">
        <v>11</v>
      </c>
      <c r="DM22">
        <v>87.028571428600003</v>
      </c>
      <c r="DN22">
        <v>29</v>
      </c>
      <c r="DO22">
        <v>3</v>
      </c>
      <c r="DP22">
        <v>122.7586206897</v>
      </c>
      <c r="DQ22">
        <v>162.6666666667</v>
      </c>
    </row>
    <row r="23" spans="2:121" x14ac:dyDescent="0.2">
      <c r="B23" t="s">
        <v>113</v>
      </c>
      <c r="C23">
        <v>1600</v>
      </c>
      <c r="D23">
        <v>625</v>
      </c>
      <c r="F23" t="s">
        <v>46</v>
      </c>
      <c r="G23">
        <v>87</v>
      </c>
      <c r="H23">
        <v>98.022988505699999</v>
      </c>
      <c r="I23">
        <v>839</v>
      </c>
      <c r="J23">
        <v>146</v>
      </c>
      <c r="K23">
        <v>222</v>
      </c>
      <c r="L23">
        <v>24</v>
      </c>
      <c r="M23">
        <v>102</v>
      </c>
      <c r="N23">
        <v>37</v>
      </c>
      <c r="O23">
        <v>87</v>
      </c>
      <c r="P23">
        <v>37</v>
      </c>
      <c r="Q23">
        <v>0</v>
      </c>
      <c r="R23">
        <v>2</v>
      </c>
      <c r="AH23" t="s">
        <v>372</v>
      </c>
      <c r="AI23">
        <v>8459</v>
      </c>
      <c r="AJ23">
        <v>632.53197777519995</v>
      </c>
      <c r="AK23">
        <v>5848</v>
      </c>
      <c r="AL23">
        <v>1246</v>
      </c>
      <c r="AM23">
        <v>11627</v>
      </c>
      <c r="AN23">
        <v>8360</v>
      </c>
      <c r="AO23">
        <v>3149</v>
      </c>
      <c r="AP23">
        <v>2363</v>
      </c>
      <c r="AQ23">
        <v>5347</v>
      </c>
      <c r="AR23">
        <v>4153</v>
      </c>
      <c r="AS23">
        <v>440</v>
      </c>
      <c r="AT23">
        <v>5</v>
      </c>
      <c r="AV23" t="s">
        <v>393</v>
      </c>
      <c r="AW23">
        <v>307</v>
      </c>
      <c r="AX23">
        <v>44.501628664499997</v>
      </c>
      <c r="AY23">
        <v>639</v>
      </c>
      <c r="AZ23">
        <v>74</v>
      </c>
      <c r="BA23">
        <v>496</v>
      </c>
      <c r="BB23">
        <v>27</v>
      </c>
      <c r="BC23">
        <v>2</v>
      </c>
      <c r="BD23">
        <v>1</v>
      </c>
      <c r="BE23">
        <v>42</v>
      </c>
      <c r="BF23">
        <v>16</v>
      </c>
      <c r="BG23">
        <v>102</v>
      </c>
      <c r="BH23">
        <v>43</v>
      </c>
      <c r="BJ23" t="s">
        <v>567</v>
      </c>
      <c r="BK23" t="s">
        <v>386</v>
      </c>
      <c r="BL23">
        <v>4058</v>
      </c>
      <c r="BM23">
        <v>759</v>
      </c>
      <c r="BN23">
        <v>86.040413997000002</v>
      </c>
      <c r="BO23">
        <v>3935</v>
      </c>
      <c r="BP23">
        <v>549</v>
      </c>
      <c r="BQ23">
        <v>122.9776365947</v>
      </c>
      <c r="BR23">
        <v>126.5227686703</v>
      </c>
      <c r="BS23">
        <v>4385</v>
      </c>
      <c r="BT23">
        <v>1078</v>
      </c>
      <c r="BU23">
        <v>99.364880273699995</v>
      </c>
      <c r="BV23">
        <v>4817</v>
      </c>
      <c r="BW23">
        <v>609</v>
      </c>
      <c r="BX23">
        <v>145.62943740919999</v>
      </c>
      <c r="BY23">
        <v>146.33004926109999</v>
      </c>
      <c r="CA23" t="s">
        <v>393</v>
      </c>
      <c r="CB23" t="s">
        <v>803</v>
      </c>
      <c r="CC23" t="s">
        <v>1005</v>
      </c>
      <c r="CD23">
        <v>5883</v>
      </c>
      <c r="CE23">
        <v>1076</v>
      </c>
      <c r="CF23">
        <v>84.059833418300002</v>
      </c>
      <c r="CG23">
        <v>5865</v>
      </c>
      <c r="CH23">
        <v>811</v>
      </c>
      <c r="CI23">
        <v>117.7144075021</v>
      </c>
      <c r="CJ23">
        <v>113.0209617756</v>
      </c>
      <c r="CL23" t="s">
        <v>393</v>
      </c>
      <c r="CM23" t="s">
        <v>778</v>
      </c>
      <c r="CN23" t="s">
        <v>784</v>
      </c>
      <c r="CO23">
        <v>519</v>
      </c>
      <c r="CP23">
        <v>80</v>
      </c>
      <c r="CQ23">
        <v>78.915221579999994</v>
      </c>
      <c r="CR23">
        <v>977</v>
      </c>
      <c r="CS23">
        <v>120</v>
      </c>
      <c r="CT23">
        <v>69.424769703199999</v>
      </c>
      <c r="CU23">
        <v>78.883333333300001</v>
      </c>
      <c r="CW23" t="s">
        <v>393</v>
      </c>
      <c r="CX23" t="s">
        <v>791</v>
      </c>
      <c r="CY23" t="s">
        <v>797</v>
      </c>
      <c r="CZ23">
        <v>182</v>
      </c>
      <c r="DA23">
        <v>36</v>
      </c>
      <c r="DB23">
        <v>81.1208791209</v>
      </c>
      <c r="DC23">
        <v>120</v>
      </c>
      <c r="DD23">
        <v>20</v>
      </c>
      <c r="DE23">
        <v>132.5583333333</v>
      </c>
      <c r="DF23">
        <v>146.19999999999999</v>
      </c>
      <c r="DH23" t="s">
        <v>393</v>
      </c>
      <c r="DI23" t="s">
        <v>765</v>
      </c>
      <c r="DJ23" t="s">
        <v>771</v>
      </c>
      <c r="DK23">
        <v>161</v>
      </c>
      <c r="DL23">
        <v>23</v>
      </c>
      <c r="DM23">
        <v>81.813664596300001</v>
      </c>
      <c r="DN23">
        <v>110</v>
      </c>
      <c r="DO23">
        <v>21</v>
      </c>
      <c r="DP23">
        <v>138.5</v>
      </c>
      <c r="DQ23">
        <v>158.80952380950001</v>
      </c>
    </row>
    <row r="24" spans="2:121" x14ac:dyDescent="0.2">
      <c r="B24" t="s">
        <v>1063</v>
      </c>
      <c r="C24">
        <v>1146</v>
      </c>
      <c r="D24">
        <v>641</v>
      </c>
      <c r="F24" t="s">
        <v>82</v>
      </c>
      <c r="G24">
        <v>11926</v>
      </c>
      <c r="H24">
        <v>333.08586282070002</v>
      </c>
      <c r="I24">
        <v>17588</v>
      </c>
      <c r="J24">
        <v>3314</v>
      </c>
      <c r="K24">
        <v>14253</v>
      </c>
      <c r="L24">
        <v>8936</v>
      </c>
      <c r="M24">
        <v>4447</v>
      </c>
      <c r="N24">
        <v>2364</v>
      </c>
      <c r="O24">
        <v>5238</v>
      </c>
      <c r="P24">
        <v>1733</v>
      </c>
      <c r="Q24">
        <v>2</v>
      </c>
      <c r="R24">
        <v>197</v>
      </c>
      <c r="T24" t="s">
        <v>643</v>
      </c>
      <c r="U24" t="s">
        <v>304</v>
      </c>
      <c r="V24" t="s">
        <v>136</v>
      </c>
      <c r="W24" t="s">
        <v>217</v>
      </c>
      <c r="X24" t="s">
        <v>218</v>
      </c>
      <c r="Y24" t="s">
        <v>219</v>
      </c>
      <c r="Z24" t="s">
        <v>220</v>
      </c>
      <c r="AA24" t="s">
        <v>221</v>
      </c>
      <c r="AB24" t="s">
        <v>222</v>
      </c>
      <c r="AC24" t="s">
        <v>223</v>
      </c>
      <c r="AD24" t="s">
        <v>224</v>
      </c>
      <c r="AE24" t="s">
        <v>225</v>
      </c>
      <c r="AF24" t="s">
        <v>226</v>
      </c>
      <c r="AH24" t="s">
        <v>367</v>
      </c>
      <c r="AI24">
        <v>4767</v>
      </c>
      <c r="AJ24">
        <v>546.77700860079995</v>
      </c>
      <c r="AK24">
        <v>4308</v>
      </c>
      <c r="AL24">
        <v>1115</v>
      </c>
      <c r="AM24">
        <v>6944</v>
      </c>
      <c r="AN24">
        <v>5258</v>
      </c>
      <c r="AO24">
        <v>3086</v>
      </c>
      <c r="AP24">
        <v>2463</v>
      </c>
      <c r="AQ24">
        <v>1547</v>
      </c>
      <c r="AR24">
        <v>1068</v>
      </c>
      <c r="AS24">
        <v>793</v>
      </c>
      <c r="AT24">
        <v>12</v>
      </c>
      <c r="AV24" t="s">
        <v>403</v>
      </c>
      <c r="AW24">
        <v>861</v>
      </c>
      <c r="AX24">
        <v>44.710801393700002</v>
      </c>
      <c r="AY24">
        <v>1793</v>
      </c>
      <c r="AZ24">
        <v>104</v>
      </c>
      <c r="BA24">
        <v>1168</v>
      </c>
      <c r="BB24">
        <v>41</v>
      </c>
      <c r="BC24">
        <v>12</v>
      </c>
      <c r="BD24">
        <v>7</v>
      </c>
      <c r="BE24">
        <v>72</v>
      </c>
      <c r="BF24">
        <v>38</v>
      </c>
      <c r="BG24">
        <v>1108</v>
      </c>
      <c r="BH24">
        <v>234</v>
      </c>
      <c r="BJ24" t="s">
        <v>631</v>
      </c>
      <c r="BK24" t="s">
        <v>386</v>
      </c>
      <c r="BL24">
        <v>830</v>
      </c>
      <c r="BM24">
        <v>143</v>
      </c>
      <c r="BN24">
        <v>78.342168674700005</v>
      </c>
      <c r="BO24">
        <v>971</v>
      </c>
      <c r="BP24">
        <v>125</v>
      </c>
      <c r="BQ24">
        <v>106.4933058702</v>
      </c>
      <c r="BR24">
        <v>104.176</v>
      </c>
      <c r="BS24">
        <v>1660</v>
      </c>
      <c r="BT24">
        <v>365</v>
      </c>
      <c r="BU24">
        <v>97.518072289200006</v>
      </c>
      <c r="BV24">
        <v>1731</v>
      </c>
      <c r="BW24">
        <v>227</v>
      </c>
      <c r="BX24">
        <v>137.6366262276</v>
      </c>
      <c r="BY24">
        <v>137.83259911889999</v>
      </c>
      <c r="CA24" t="s">
        <v>396</v>
      </c>
      <c r="CB24" t="s">
        <v>803</v>
      </c>
      <c r="CC24" t="s">
        <v>1006</v>
      </c>
      <c r="CD24">
        <v>2156</v>
      </c>
      <c r="CE24">
        <v>247</v>
      </c>
      <c r="CF24">
        <v>76.287105751400006</v>
      </c>
      <c r="CG24">
        <v>1903</v>
      </c>
      <c r="CH24">
        <v>229</v>
      </c>
      <c r="CI24">
        <v>116.58118759849999</v>
      </c>
      <c r="CJ24">
        <v>128.1441048035</v>
      </c>
      <c r="CL24" t="s">
        <v>396</v>
      </c>
      <c r="CM24" t="s">
        <v>778</v>
      </c>
      <c r="CN24" t="s">
        <v>785</v>
      </c>
      <c r="CO24">
        <v>100</v>
      </c>
      <c r="CP24">
        <v>16</v>
      </c>
      <c r="CQ24">
        <v>76.510000000000005</v>
      </c>
      <c r="CR24">
        <v>174</v>
      </c>
      <c r="CS24">
        <v>30</v>
      </c>
      <c r="CT24">
        <v>62.867816091999998</v>
      </c>
      <c r="CU24">
        <v>55.4666666667</v>
      </c>
      <c r="CW24" t="s">
        <v>396</v>
      </c>
      <c r="CX24" t="s">
        <v>791</v>
      </c>
      <c r="CY24" t="s">
        <v>798</v>
      </c>
      <c r="CZ24">
        <v>63</v>
      </c>
      <c r="DA24">
        <v>8</v>
      </c>
      <c r="DB24">
        <v>74.285714285699996</v>
      </c>
      <c r="DC24">
        <v>22</v>
      </c>
      <c r="DD24">
        <v>0</v>
      </c>
      <c r="DE24">
        <v>112.0909090909</v>
      </c>
      <c r="DF24">
        <v>0</v>
      </c>
      <c r="DH24" t="s">
        <v>396</v>
      </c>
      <c r="DI24" t="s">
        <v>765</v>
      </c>
      <c r="DJ24" t="s">
        <v>772</v>
      </c>
      <c r="DK24">
        <v>94</v>
      </c>
      <c r="DL24">
        <v>11</v>
      </c>
      <c r="DM24">
        <v>72.712765957399995</v>
      </c>
      <c r="DN24">
        <v>51</v>
      </c>
      <c r="DO24">
        <v>11</v>
      </c>
      <c r="DP24">
        <v>108.4117647059</v>
      </c>
      <c r="DQ24">
        <v>91.818181818200003</v>
      </c>
    </row>
    <row r="25" spans="2:121" x14ac:dyDescent="0.2">
      <c r="B25" t="s">
        <v>107</v>
      </c>
      <c r="C25">
        <v>40243</v>
      </c>
      <c r="D25">
        <v>10928</v>
      </c>
      <c r="F25" t="s">
        <v>42</v>
      </c>
      <c r="G25">
        <v>10197</v>
      </c>
      <c r="H25">
        <v>291.50426596059998</v>
      </c>
      <c r="I25">
        <v>8525</v>
      </c>
      <c r="J25">
        <v>2455</v>
      </c>
      <c r="K25">
        <v>18159</v>
      </c>
      <c r="L25">
        <v>12081</v>
      </c>
      <c r="M25">
        <v>3082</v>
      </c>
      <c r="N25">
        <v>2089</v>
      </c>
      <c r="O25">
        <v>1240</v>
      </c>
      <c r="P25">
        <v>471</v>
      </c>
      <c r="Q25">
        <v>0</v>
      </c>
      <c r="R25">
        <v>53</v>
      </c>
      <c r="T25" t="s">
        <v>381</v>
      </c>
      <c r="U25">
        <v>59153</v>
      </c>
      <c r="V25">
        <v>375.11901340589998</v>
      </c>
      <c r="W25">
        <v>66613</v>
      </c>
      <c r="X25">
        <v>14344</v>
      </c>
      <c r="Y25">
        <v>82860</v>
      </c>
      <c r="Z25">
        <v>53705</v>
      </c>
      <c r="AA25">
        <v>20837</v>
      </c>
      <c r="AB25">
        <v>12710</v>
      </c>
      <c r="AC25">
        <v>25691</v>
      </c>
      <c r="AD25">
        <v>14128</v>
      </c>
      <c r="AE25">
        <v>893</v>
      </c>
      <c r="AF25">
        <v>1057</v>
      </c>
      <c r="AH25" t="s">
        <v>391</v>
      </c>
      <c r="AI25">
        <v>4070</v>
      </c>
      <c r="AJ25">
        <v>292.35061425060002</v>
      </c>
      <c r="AK25">
        <v>7386</v>
      </c>
      <c r="AL25">
        <v>1829</v>
      </c>
      <c r="AM25">
        <v>7205</v>
      </c>
      <c r="AN25">
        <v>4511</v>
      </c>
      <c r="AO25">
        <v>1461</v>
      </c>
      <c r="AP25">
        <v>1020</v>
      </c>
      <c r="AQ25">
        <v>4553</v>
      </c>
      <c r="AR25">
        <v>1085</v>
      </c>
      <c r="AS25">
        <v>722</v>
      </c>
      <c r="AT25">
        <v>199</v>
      </c>
      <c r="AV25" t="s">
        <v>370</v>
      </c>
      <c r="AW25">
        <v>464</v>
      </c>
      <c r="AX25">
        <v>103.14008620689999</v>
      </c>
      <c r="AY25">
        <v>819</v>
      </c>
      <c r="AZ25">
        <v>202</v>
      </c>
      <c r="BA25">
        <v>603</v>
      </c>
      <c r="BB25">
        <v>234</v>
      </c>
      <c r="BC25">
        <v>12</v>
      </c>
      <c r="BD25">
        <v>12</v>
      </c>
      <c r="BE25">
        <v>25</v>
      </c>
      <c r="BF25">
        <v>8</v>
      </c>
      <c r="BG25">
        <v>82</v>
      </c>
      <c r="BH25">
        <v>210</v>
      </c>
      <c r="BJ25" t="s">
        <v>570</v>
      </c>
      <c r="BK25" t="s">
        <v>386</v>
      </c>
      <c r="BL25">
        <v>5737</v>
      </c>
      <c r="BM25">
        <v>1063</v>
      </c>
      <c r="BN25">
        <v>84.108419034299999</v>
      </c>
      <c r="BO25">
        <v>5437</v>
      </c>
      <c r="BP25">
        <v>748</v>
      </c>
      <c r="BQ25">
        <v>118.8552510576</v>
      </c>
      <c r="BR25">
        <v>114.40641711230001</v>
      </c>
      <c r="BS25">
        <v>5867</v>
      </c>
      <c r="BT25">
        <v>1208</v>
      </c>
      <c r="BU25">
        <v>87.183228225700006</v>
      </c>
      <c r="BV25">
        <v>6372</v>
      </c>
      <c r="BW25">
        <v>806</v>
      </c>
      <c r="BX25">
        <v>122.75564971750001</v>
      </c>
      <c r="BY25">
        <v>120.74813895779999</v>
      </c>
      <c r="CA25" t="s">
        <v>415</v>
      </c>
      <c r="CB25" t="s">
        <v>803</v>
      </c>
      <c r="CC25" t="s">
        <v>1007</v>
      </c>
      <c r="CD25">
        <v>652</v>
      </c>
      <c r="CE25">
        <v>103</v>
      </c>
      <c r="CF25">
        <v>78.452453987699997</v>
      </c>
      <c r="CG25">
        <v>750</v>
      </c>
      <c r="CH25">
        <v>77</v>
      </c>
      <c r="CI25">
        <v>97.091999999999999</v>
      </c>
      <c r="CJ25">
        <v>93.064935064899998</v>
      </c>
      <c r="CL25" t="s">
        <v>415</v>
      </c>
      <c r="CM25" t="s">
        <v>778</v>
      </c>
      <c r="CN25" t="s">
        <v>786</v>
      </c>
      <c r="CO25">
        <v>38</v>
      </c>
      <c r="CP25">
        <v>1</v>
      </c>
      <c r="CQ25">
        <v>53.131578947400001</v>
      </c>
      <c r="CR25">
        <v>81</v>
      </c>
      <c r="CS25">
        <v>15</v>
      </c>
      <c r="CT25">
        <v>58.740740740699998</v>
      </c>
      <c r="CU25">
        <v>65</v>
      </c>
      <c r="CW25" t="s">
        <v>415</v>
      </c>
      <c r="CX25" t="s">
        <v>791</v>
      </c>
      <c r="CY25" t="s">
        <v>799</v>
      </c>
      <c r="CZ25">
        <v>13</v>
      </c>
      <c r="DA25">
        <v>5</v>
      </c>
      <c r="DB25">
        <v>97</v>
      </c>
      <c r="DC25">
        <v>15</v>
      </c>
      <c r="DD25">
        <v>0</v>
      </c>
      <c r="DE25">
        <v>89.066666666700002</v>
      </c>
      <c r="DF25">
        <v>0</v>
      </c>
      <c r="DH25" t="s">
        <v>415</v>
      </c>
      <c r="DI25" t="s">
        <v>765</v>
      </c>
      <c r="DJ25" t="s">
        <v>773</v>
      </c>
      <c r="DK25">
        <v>8</v>
      </c>
      <c r="DL25">
        <v>1</v>
      </c>
      <c r="DM25">
        <v>63.75</v>
      </c>
      <c r="DN25">
        <v>4</v>
      </c>
      <c r="DO25">
        <v>0</v>
      </c>
      <c r="DP25">
        <v>122</v>
      </c>
      <c r="DQ25">
        <v>0</v>
      </c>
    </row>
    <row r="26" spans="2:121" x14ac:dyDescent="0.2">
      <c r="B26" t="s">
        <v>106</v>
      </c>
      <c r="C26">
        <v>47</v>
      </c>
      <c r="D26">
        <v>38</v>
      </c>
      <c r="F26" t="s">
        <v>38</v>
      </c>
      <c r="G26">
        <v>4321</v>
      </c>
      <c r="H26">
        <v>600.29067345520002</v>
      </c>
      <c r="I26">
        <v>3367</v>
      </c>
      <c r="J26">
        <v>886</v>
      </c>
      <c r="K26">
        <v>5727</v>
      </c>
      <c r="L26">
        <v>4495</v>
      </c>
      <c r="M26">
        <v>2696</v>
      </c>
      <c r="N26">
        <v>2139</v>
      </c>
      <c r="O26">
        <v>885</v>
      </c>
      <c r="P26">
        <v>704</v>
      </c>
      <c r="Q26">
        <v>0</v>
      </c>
      <c r="R26">
        <v>2</v>
      </c>
      <c r="T26" t="s">
        <v>386</v>
      </c>
      <c r="U26">
        <v>41844</v>
      </c>
      <c r="V26">
        <v>385.79863301789999</v>
      </c>
      <c r="W26">
        <v>52351</v>
      </c>
      <c r="X26">
        <v>11349</v>
      </c>
      <c r="Y26">
        <v>65790</v>
      </c>
      <c r="Z26">
        <v>39529</v>
      </c>
      <c r="AA26">
        <v>14188</v>
      </c>
      <c r="AB26">
        <v>9413</v>
      </c>
      <c r="AC26">
        <v>27381</v>
      </c>
      <c r="AD26">
        <v>15430</v>
      </c>
      <c r="AE26">
        <v>3669</v>
      </c>
      <c r="AF26">
        <v>1061</v>
      </c>
      <c r="AH26" t="s">
        <v>397</v>
      </c>
      <c r="AI26">
        <v>1534</v>
      </c>
      <c r="AJ26">
        <v>186.61668839629999</v>
      </c>
      <c r="AK26">
        <v>4590</v>
      </c>
      <c r="AL26">
        <v>891</v>
      </c>
      <c r="AM26">
        <v>3044</v>
      </c>
      <c r="AN26">
        <v>1360</v>
      </c>
      <c r="AO26">
        <v>576</v>
      </c>
      <c r="AP26">
        <v>241</v>
      </c>
      <c r="AQ26">
        <v>1134</v>
      </c>
      <c r="AR26">
        <v>699</v>
      </c>
      <c r="AS26">
        <v>2</v>
      </c>
      <c r="AT26">
        <v>5</v>
      </c>
      <c r="AV26" t="s">
        <v>399</v>
      </c>
      <c r="AW26">
        <v>139</v>
      </c>
      <c r="AX26">
        <v>46.7697841727</v>
      </c>
      <c r="AY26">
        <v>226</v>
      </c>
      <c r="AZ26">
        <v>8</v>
      </c>
      <c r="BA26">
        <v>190</v>
      </c>
      <c r="BB26">
        <v>13</v>
      </c>
      <c r="BC26">
        <v>2</v>
      </c>
      <c r="BD26">
        <v>1</v>
      </c>
      <c r="BE26">
        <v>16</v>
      </c>
      <c r="BF26">
        <v>9</v>
      </c>
      <c r="BG26">
        <v>300</v>
      </c>
      <c r="BH26">
        <v>37</v>
      </c>
      <c r="BJ26" t="s">
        <v>576</v>
      </c>
      <c r="BK26" t="s">
        <v>386</v>
      </c>
      <c r="BL26">
        <v>6399</v>
      </c>
      <c r="BM26">
        <v>1283</v>
      </c>
      <c r="BN26">
        <v>87.563056727599999</v>
      </c>
      <c r="BO26">
        <v>7920</v>
      </c>
      <c r="BP26">
        <v>1127</v>
      </c>
      <c r="BQ26">
        <v>119.2821969697</v>
      </c>
      <c r="BR26">
        <v>112.6370896185</v>
      </c>
      <c r="BS26">
        <v>7094</v>
      </c>
      <c r="BT26">
        <v>1787</v>
      </c>
      <c r="BU26">
        <v>99.961798703100001</v>
      </c>
      <c r="BV26">
        <v>9176</v>
      </c>
      <c r="BW26">
        <v>1270</v>
      </c>
      <c r="BX26">
        <v>136.00621185700001</v>
      </c>
      <c r="BY26">
        <v>125.225984252</v>
      </c>
      <c r="CA26" t="s">
        <v>387</v>
      </c>
      <c r="CB26" t="s">
        <v>803</v>
      </c>
      <c r="CC26" t="s">
        <v>1008</v>
      </c>
      <c r="CD26">
        <v>8679</v>
      </c>
      <c r="CE26">
        <v>2197</v>
      </c>
      <c r="CF26">
        <v>100.4164074202</v>
      </c>
      <c r="CG26">
        <v>8590</v>
      </c>
      <c r="CH26">
        <v>1140</v>
      </c>
      <c r="CI26">
        <v>128.85937136199999</v>
      </c>
      <c r="CJ26">
        <v>146.92280701749999</v>
      </c>
      <c r="CL26" t="s">
        <v>387</v>
      </c>
      <c r="CM26" t="s">
        <v>778</v>
      </c>
      <c r="CN26" t="s">
        <v>787</v>
      </c>
      <c r="CO26">
        <v>933</v>
      </c>
      <c r="CP26">
        <v>116</v>
      </c>
      <c r="CQ26">
        <v>74.576634512300004</v>
      </c>
      <c r="CR26">
        <v>1660</v>
      </c>
      <c r="CS26">
        <v>219</v>
      </c>
      <c r="CT26">
        <v>67.721686747000007</v>
      </c>
      <c r="CU26">
        <v>78.438356164400005</v>
      </c>
      <c r="CW26" t="s">
        <v>387</v>
      </c>
      <c r="CX26" t="s">
        <v>791</v>
      </c>
      <c r="CY26" t="s">
        <v>800</v>
      </c>
      <c r="CZ26">
        <v>272</v>
      </c>
      <c r="DA26">
        <v>70</v>
      </c>
      <c r="DB26">
        <v>88.419117647099995</v>
      </c>
      <c r="DC26">
        <v>139</v>
      </c>
      <c r="DD26">
        <v>22</v>
      </c>
      <c r="DE26">
        <v>138.74100719419999</v>
      </c>
      <c r="DF26">
        <v>148.2727272727</v>
      </c>
      <c r="DH26" t="s">
        <v>387</v>
      </c>
      <c r="DI26" t="s">
        <v>765</v>
      </c>
      <c r="DJ26" t="s">
        <v>774</v>
      </c>
      <c r="DK26">
        <v>143</v>
      </c>
      <c r="DL26">
        <v>53</v>
      </c>
      <c r="DM26">
        <v>96.951048951000004</v>
      </c>
      <c r="DN26">
        <v>117</v>
      </c>
      <c r="DO26">
        <v>15</v>
      </c>
      <c r="DP26">
        <v>133.25641025639999</v>
      </c>
      <c r="DQ26">
        <v>147.0666666667</v>
      </c>
    </row>
    <row r="27" spans="2:121" x14ac:dyDescent="0.2">
      <c r="B27" t="s">
        <v>91</v>
      </c>
      <c r="C27">
        <v>79455</v>
      </c>
      <c r="D27">
        <v>20129</v>
      </c>
      <c r="F27" t="s">
        <v>58</v>
      </c>
      <c r="G27">
        <v>835</v>
      </c>
      <c r="H27">
        <v>181.29221556889999</v>
      </c>
      <c r="I27">
        <v>845</v>
      </c>
      <c r="J27">
        <v>188</v>
      </c>
      <c r="K27">
        <v>936</v>
      </c>
      <c r="L27">
        <v>550</v>
      </c>
      <c r="M27">
        <v>261</v>
      </c>
      <c r="N27">
        <v>91</v>
      </c>
      <c r="O27">
        <v>974</v>
      </c>
      <c r="P27">
        <v>552</v>
      </c>
      <c r="Q27">
        <v>368</v>
      </c>
      <c r="R27">
        <v>139</v>
      </c>
      <c r="T27" t="s">
        <v>365</v>
      </c>
      <c r="U27">
        <v>72271</v>
      </c>
      <c r="V27">
        <v>418.64707835780001</v>
      </c>
      <c r="W27">
        <v>71019</v>
      </c>
      <c r="X27">
        <v>17204</v>
      </c>
      <c r="Y27">
        <v>103286</v>
      </c>
      <c r="Z27">
        <v>70650</v>
      </c>
      <c r="AA27">
        <v>34817</v>
      </c>
      <c r="AB27">
        <v>24737</v>
      </c>
      <c r="AC27">
        <v>37232</v>
      </c>
      <c r="AD27">
        <v>25190</v>
      </c>
      <c r="AE27">
        <v>8727</v>
      </c>
      <c r="AF27">
        <v>128</v>
      </c>
      <c r="AH27" t="s">
        <v>385</v>
      </c>
      <c r="AI27">
        <v>4887</v>
      </c>
      <c r="AJ27">
        <v>408.33537957850001</v>
      </c>
      <c r="AK27">
        <v>4423</v>
      </c>
      <c r="AL27">
        <v>1307</v>
      </c>
      <c r="AM27">
        <v>7192</v>
      </c>
      <c r="AN27">
        <v>5040</v>
      </c>
      <c r="AO27">
        <v>1434</v>
      </c>
      <c r="AP27">
        <v>1021</v>
      </c>
      <c r="AQ27">
        <v>2848</v>
      </c>
      <c r="AR27">
        <v>2093</v>
      </c>
      <c r="AS27">
        <v>291</v>
      </c>
      <c r="AT27">
        <v>152</v>
      </c>
      <c r="AV27" t="s">
        <v>83</v>
      </c>
      <c r="AW27">
        <v>166</v>
      </c>
      <c r="AX27">
        <v>45.096385542199997</v>
      </c>
      <c r="AY27">
        <v>425</v>
      </c>
      <c r="AZ27">
        <v>21</v>
      </c>
      <c r="BA27">
        <v>274</v>
      </c>
      <c r="BB27">
        <v>30</v>
      </c>
      <c r="BC27">
        <v>1</v>
      </c>
      <c r="BE27">
        <v>20</v>
      </c>
      <c r="BF27">
        <v>8</v>
      </c>
      <c r="BG27">
        <v>372</v>
      </c>
      <c r="BH27">
        <v>51</v>
      </c>
      <c r="BJ27" t="s">
        <v>635</v>
      </c>
      <c r="BK27" t="s">
        <v>386</v>
      </c>
      <c r="BL27">
        <v>2554</v>
      </c>
      <c r="BM27">
        <v>469</v>
      </c>
      <c r="BN27">
        <v>85.526233359399995</v>
      </c>
      <c r="BO27">
        <v>2685</v>
      </c>
      <c r="BP27">
        <v>411</v>
      </c>
      <c r="BQ27">
        <v>139.0137802607</v>
      </c>
      <c r="BR27">
        <v>134.0608272506</v>
      </c>
      <c r="BS27">
        <v>1816</v>
      </c>
      <c r="BT27">
        <v>369</v>
      </c>
      <c r="BU27">
        <v>84.151982378900001</v>
      </c>
      <c r="BV27">
        <v>1932</v>
      </c>
      <c r="BW27">
        <v>289</v>
      </c>
      <c r="BX27">
        <v>152.3266045549</v>
      </c>
      <c r="BY27">
        <v>137.85813148790001</v>
      </c>
      <c r="CA27" t="s">
        <v>416</v>
      </c>
      <c r="CB27" t="s">
        <v>803</v>
      </c>
      <c r="CC27" t="s">
        <v>1009</v>
      </c>
      <c r="CD27">
        <v>851</v>
      </c>
      <c r="CE27">
        <v>143</v>
      </c>
      <c r="CF27">
        <v>77.745005875399997</v>
      </c>
      <c r="CG27">
        <v>1049</v>
      </c>
      <c r="CH27">
        <v>140</v>
      </c>
      <c r="CI27">
        <v>109.8083889418</v>
      </c>
      <c r="CJ27">
        <v>103.0785714286</v>
      </c>
      <c r="CL27" t="s">
        <v>416</v>
      </c>
      <c r="CM27" t="s">
        <v>778</v>
      </c>
      <c r="CN27" t="s">
        <v>788</v>
      </c>
      <c r="CO27">
        <v>53</v>
      </c>
      <c r="CP27">
        <v>1</v>
      </c>
      <c r="CQ27">
        <v>54.169811320800001</v>
      </c>
      <c r="CR27">
        <v>123</v>
      </c>
      <c r="CS27">
        <v>15</v>
      </c>
      <c r="CT27">
        <v>64.813008130100002</v>
      </c>
      <c r="CU27">
        <v>70.066666666700002</v>
      </c>
      <c r="CW27" t="s">
        <v>416</v>
      </c>
      <c r="CX27" t="s">
        <v>791</v>
      </c>
      <c r="CY27" t="s">
        <v>801</v>
      </c>
      <c r="CZ27">
        <v>19</v>
      </c>
      <c r="DA27">
        <v>2</v>
      </c>
      <c r="DB27">
        <v>79.842105263199997</v>
      </c>
      <c r="DC27">
        <v>5</v>
      </c>
      <c r="DD27">
        <v>2</v>
      </c>
      <c r="DE27">
        <v>200.2</v>
      </c>
      <c r="DF27">
        <v>221.5</v>
      </c>
      <c r="DH27" t="s">
        <v>416</v>
      </c>
      <c r="DI27" t="s">
        <v>765</v>
      </c>
      <c r="DJ27" t="s">
        <v>775</v>
      </c>
      <c r="DK27">
        <v>6</v>
      </c>
      <c r="DL27">
        <v>4</v>
      </c>
      <c r="DM27">
        <v>121.3333333333</v>
      </c>
      <c r="DN27">
        <v>13</v>
      </c>
      <c r="DO27">
        <v>2</v>
      </c>
      <c r="DP27">
        <v>158.92307692310001</v>
      </c>
      <c r="DQ27">
        <v>168</v>
      </c>
    </row>
    <row r="28" spans="2:121" x14ac:dyDescent="0.2">
      <c r="B28" t="s">
        <v>99</v>
      </c>
      <c r="C28">
        <v>126320</v>
      </c>
      <c r="D28">
        <v>67802</v>
      </c>
      <c r="F28" t="s">
        <v>72</v>
      </c>
      <c r="G28">
        <v>14742</v>
      </c>
      <c r="H28">
        <v>457.89072039069998</v>
      </c>
      <c r="I28">
        <v>11981</v>
      </c>
      <c r="J28">
        <v>2673</v>
      </c>
      <c r="K28">
        <v>16707</v>
      </c>
      <c r="L28">
        <v>11800</v>
      </c>
      <c r="M28">
        <v>7439</v>
      </c>
      <c r="N28">
        <v>5592</v>
      </c>
      <c r="O28">
        <v>4448</v>
      </c>
      <c r="P28">
        <v>3708</v>
      </c>
      <c r="Q28">
        <v>5</v>
      </c>
      <c r="R28">
        <v>4</v>
      </c>
      <c r="T28" t="s">
        <v>8</v>
      </c>
      <c r="U28">
        <v>4229</v>
      </c>
      <c r="V28">
        <v>384.31567746510001</v>
      </c>
      <c r="W28">
        <v>4212</v>
      </c>
      <c r="X28">
        <v>1730</v>
      </c>
      <c r="Y28">
        <v>5820</v>
      </c>
      <c r="Z28">
        <v>3996</v>
      </c>
      <c r="AA28">
        <v>1460</v>
      </c>
      <c r="AB28">
        <v>795</v>
      </c>
      <c r="AC28">
        <v>1851</v>
      </c>
      <c r="AD28">
        <v>1124</v>
      </c>
      <c r="AE28">
        <v>435</v>
      </c>
      <c r="AF28">
        <v>136</v>
      </c>
      <c r="AH28" t="s">
        <v>393</v>
      </c>
      <c r="AI28">
        <v>5507</v>
      </c>
      <c r="AJ28">
        <v>284.62211730519999</v>
      </c>
      <c r="AK28">
        <v>6264</v>
      </c>
      <c r="AL28">
        <v>1172</v>
      </c>
      <c r="AM28">
        <v>7963</v>
      </c>
      <c r="AN28">
        <v>4685</v>
      </c>
      <c r="AO28">
        <v>2494</v>
      </c>
      <c r="AP28">
        <v>1881</v>
      </c>
      <c r="AQ28">
        <v>8394</v>
      </c>
      <c r="AR28">
        <v>5919</v>
      </c>
      <c r="AS28">
        <v>636</v>
      </c>
      <c r="AT28">
        <v>82</v>
      </c>
      <c r="AV28" t="s">
        <v>377</v>
      </c>
      <c r="AW28">
        <v>1343</v>
      </c>
      <c r="AX28">
        <v>102.905435592</v>
      </c>
      <c r="AY28">
        <v>1756</v>
      </c>
      <c r="AZ28">
        <v>380</v>
      </c>
      <c r="BA28">
        <v>1781</v>
      </c>
      <c r="BB28">
        <v>647</v>
      </c>
      <c r="BC28">
        <v>52</v>
      </c>
      <c r="BD28">
        <v>51</v>
      </c>
      <c r="BE28">
        <v>130</v>
      </c>
      <c r="BF28">
        <v>39</v>
      </c>
      <c r="BG28">
        <v>204</v>
      </c>
      <c r="BH28">
        <v>528</v>
      </c>
      <c r="BJ28" t="s">
        <v>529</v>
      </c>
      <c r="BK28" t="s">
        <v>365</v>
      </c>
      <c r="BL28">
        <v>4596</v>
      </c>
      <c r="BM28">
        <v>928</v>
      </c>
      <c r="BN28">
        <v>94.260661444700006</v>
      </c>
      <c r="BO28">
        <v>4500</v>
      </c>
      <c r="BP28">
        <v>544</v>
      </c>
      <c r="BQ28">
        <v>144.2026666667</v>
      </c>
      <c r="BR28">
        <v>150.8363970588</v>
      </c>
      <c r="BS28">
        <v>2367</v>
      </c>
      <c r="BT28">
        <v>546</v>
      </c>
      <c r="BU28">
        <v>104.8183354457</v>
      </c>
      <c r="BV28">
        <v>2831</v>
      </c>
      <c r="BW28">
        <v>315</v>
      </c>
      <c r="BX28">
        <v>130.3980925468</v>
      </c>
      <c r="BY28">
        <v>131.75873015869999</v>
      </c>
      <c r="CA28" t="s">
        <v>392</v>
      </c>
      <c r="CB28" t="s">
        <v>803</v>
      </c>
      <c r="CC28" t="s">
        <v>1010</v>
      </c>
      <c r="CD28">
        <v>3839</v>
      </c>
      <c r="CE28">
        <v>721</v>
      </c>
      <c r="CF28">
        <v>85.995571763499996</v>
      </c>
      <c r="CG28">
        <v>3832</v>
      </c>
      <c r="CH28">
        <v>533</v>
      </c>
      <c r="CI28">
        <v>120.25782881000001</v>
      </c>
      <c r="CJ28">
        <v>124.3489681051</v>
      </c>
      <c r="CL28" t="s">
        <v>392</v>
      </c>
      <c r="CM28" t="s">
        <v>778</v>
      </c>
      <c r="CN28" t="s">
        <v>789</v>
      </c>
      <c r="CO28">
        <v>295</v>
      </c>
      <c r="CP28">
        <v>31</v>
      </c>
      <c r="CQ28">
        <v>64.149152542400003</v>
      </c>
      <c r="CR28">
        <v>636</v>
      </c>
      <c r="CS28">
        <v>91</v>
      </c>
      <c r="CT28">
        <v>56.5</v>
      </c>
      <c r="CU28">
        <v>64.736263736300003</v>
      </c>
      <c r="CW28" t="s">
        <v>392</v>
      </c>
      <c r="CX28" t="s">
        <v>791</v>
      </c>
      <c r="CY28" t="s">
        <v>802</v>
      </c>
      <c r="CZ28">
        <v>88</v>
      </c>
      <c r="DA28">
        <v>16</v>
      </c>
      <c r="DB28">
        <v>89.613636363599994</v>
      </c>
      <c r="DC28">
        <v>60</v>
      </c>
      <c r="DD28">
        <v>6</v>
      </c>
      <c r="DE28">
        <v>134.13333333329999</v>
      </c>
      <c r="DF28">
        <v>144.6666666667</v>
      </c>
      <c r="DH28" t="s">
        <v>392</v>
      </c>
      <c r="DI28" t="s">
        <v>765</v>
      </c>
      <c r="DJ28" t="s">
        <v>776</v>
      </c>
      <c r="DK28">
        <v>46</v>
      </c>
      <c r="DL28">
        <v>6</v>
      </c>
      <c r="DM28">
        <v>75.717391304299994</v>
      </c>
      <c r="DN28">
        <v>53</v>
      </c>
      <c r="DO28">
        <v>11</v>
      </c>
      <c r="DP28">
        <v>125.79245283020001</v>
      </c>
      <c r="DQ28">
        <v>133.36363636359999</v>
      </c>
    </row>
    <row r="29" spans="2:121" x14ac:dyDescent="0.2">
      <c r="B29" t="s">
        <v>109</v>
      </c>
      <c r="C29">
        <v>56766</v>
      </c>
      <c r="D29">
        <v>27377</v>
      </c>
      <c r="F29" t="s">
        <v>44</v>
      </c>
      <c r="G29">
        <v>1072</v>
      </c>
      <c r="H29">
        <v>135.73227611940001</v>
      </c>
      <c r="I29">
        <v>2242</v>
      </c>
      <c r="J29">
        <v>386</v>
      </c>
      <c r="K29">
        <v>1652</v>
      </c>
      <c r="L29">
        <v>694</v>
      </c>
      <c r="M29">
        <v>322</v>
      </c>
      <c r="N29">
        <v>93</v>
      </c>
      <c r="O29">
        <v>340</v>
      </c>
      <c r="P29">
        <v>172</v>
      </c>
      <c r="Q29">
        <v>0</v>
      </c>
      <c r="R29">
        <v>6</v>
      </c>
      <c r="T29" t="s">
        <v>400</v>
      </c>
      <c r="U29">
        <v>63809</v>
      </c>
      <c r="V29">
        <v>401.34383864350002</v>
      </c>
      <c r="W29">
        <v>59464</v>
      </c>
      <c r="X29">
        <v>12619</v>
      </c>
      <c r="Y29">
        <v>92280</v>
      </c>
      <c r="Z29">
        <v>63258</v>
      </c>
      <c r="AA29">
        <v>23269</v>
      </c>
      <c r="AB29">
        <v>16180</v>
      </c>
      <c r="AC29">
        <v>31745</v>
      </c>
      <c r="AD29">
        <v>20085</v>
      </c>
      <c r="AE29">
        <v>97</v>
      </c>
      <c r="AF29">
        <v>560</v>
      </c>
      <c r="AH29" t="s">
        <v>414</v>
      </c>
      <c r="AI29">
        <v>886</v>
      </c>
      <c r="AJ29">
        <v>264.22686230250002</v>
      </c>
      <c r="AK29">
        <v>718</v>
      </c>
      <c r="AL29">
        <v>65</v>
      </c>
      <c r="AM29">
        <v>1363</v>
      </c>
      <c r="AN29">
        <v>706</v>
      </c>
      <c r="AO29">
        <v>509</v>
      </c>
      <c r="AP29">
        <v>241</v>
      </c>
      <c r="AQ29">
        <v>329</v>
      </c>
      <c r="AR29">
        <v>150</v>
      </c>
      <c r="AS29">
        <v>2</v>
      </c>
      <c r="AT29">
        <v>7</v>
      </c>
      <c r="AV29" t="s">
        <v>414</v>
      </c>
      <c r="AW29">
        <v>28</v>
      </c>
      <c r="AX29">
        <v>52.857142857100001</v>
      </c>
      <c r="AY29">
        <v>90</v>
      </c>
      <c r="AZ29">
        <v>5</v>
      </c>
      <c r="BA29">
        <v>48</v>
      </c>
      <c r="BB29">
        <v>3</v>
      </c>
      <c r="BC29">
        <v>0</v>
      </c>
      <c r="BE29">
        <v>3</v>
      </c>
      <c r="BF29">
        <v>1</v>
      </c>
      <c r="BG29">
        <v>86</v>
      </c>
      <c r="BH29">
        <v>4</v>
      </c>
      <c r="BJ29" t="s">
        <v>508</v>
      </c>
      <c r="BK29" t="s">
        <v>365</v>
      </c>
      <c r="BL29">
        <v>3513</v>
      </c>
      <c r="BM29">
        <v>914</v>
      </c>
      <c r="BN29">
        <v>98.629945915199997</v>
      </c>
      <c r="BO29">
        <v>3252</v>
      </c>
      <c r="BP29">
        <v>376</v>
      </c>
      <c r="BQ29">
        <v>126.7647601476</v>
      </c>
      <c r="BR29">
        <v>147.11968085109999</v>
      </c>
      <c r="BS29">
        <v>3366</v>
      </c>
      <c r="BT29">
        <v>776</v>
      </c>
      <c r="BU29">
        <v>90.3868092692</v>
      </c>
      <c r="BV29">
        <v>2973</v>
      </c>
      <c r="BW29">
        <v>339</v>
      </c>
      <c r="BX29">
        <v>117.20450723179999</v>
      </c>
      <c r="BY29">
        <v>130.09734513270001</v>
      </c>
      <c r="CA29" t="s">
        <v>386</v>
      </c>
      <c r="CB29" t="s">
        <v>803</v>
      </c>
      <c r="CD29">
        <v>50546</v>
      </c>
      <c r="CE29">
        <v>10767</v>
      </c>
      <c r="CF29">
        <v>91.834645669300002</v>
      </c>
      <c r="CG29">
        <v>51450</v>
      </c>
      <c r="CH29">
        <v>7038</v>
      </c>
      <c r="CI29">
        <v>126.9445286686</v>
      </c>
      <c r="CJ29">
        <v>128.2549019608</v>
      </c>
      <c r="CL29" t="s">
        <v>386</v>
      </c>
      <c r="CM29" t="s">
        <v>778</v>
      </c>
      <c r="CO29">
        <v>4732</v>
      </c>
      <c r="CP29">
        <v>529</v>
      </c>
      <c r="CQ29">
        <v>70.021978021999999</v>
      </c>
      <c r="CR29">
        <v>8770</v>
      </c>
      <c r="CS29">
        <v>1171</v>
      </c>
      <c r="CT29">
        <v>68.125199543899996</v>
      </c>
      <c r="CU29">
        <v>74.204953031599999</v>
      </c>
      <c r="CW29" t="s">
        <v>386</v>
      </c>
      <c r="CX29" t="s">
        <v>791</v>
      </c>
      <c r="CZ29">
        <v>1447</v>
      </c>
      <c r="DA29">
        <v>326</v>
      </c>
      <c r="DB29">
        <v>87.063579820300006</v>
      </c>
      <c r="DC29">
        <v>741</v>
      </c>
      <c r="DD29">
        <v>112</v>
      </c>
      <c r="DE29">
        <v>134.76113360319999</v>
      </c>
      <c r="DF29">
        <v>151.0625</v>
      </c>
      <c r="DH29" t="s">
        <v>386</v>
      </c>
      <c r="DI29" t="s">
        <v>765</v>
      </c>
      <c r="DK29">
        <v>1050</v>
      </c>
      <c r="DL29">
        <v>191</v>
      </c>
      <c r="DM29">
        <v>82.559047618999998</v>
      </c>
      <c r="DN29">
        <v>829</v>
      </c>
      <c r="DO29">
        <v>108</v>
      </c>
      <c r="DP29">
        <v>128.5211097708</v>
      </c>
      <c r="DQ29">
        <v>140.5462962963</v>
      </c>
    </row>
    <row r="30" spans="2:121" x14ac:dyDescent="0.2">
      <c r="B30" t="s">
        <v>20</v>
      </c>
      <c r="C30">
        <v>262</v>
      </c>
      <c r="D30">
        <v>162</v>
      </c>
      <c r="F30" t="s">
        <v>48</v>
      </c>
      <c r="G30">
        <v>1638</v>
      </c>
      <c r="H30">
        <v>270.57387057390002</v>
      </c>
      <c r="I30">
        <v>1958</v>
      </c>
      <c r="J30">
        <v>424</v>
      </c>
      <c r="K30">
        <v>2072</v>
      </c>
      <c r="L30">
        <v>1429</v>
      </c>
      <c r="M30">
        <v>1080</v>
      </c>
      <c r="N30">
        <v>600</v>
      </c>
      <c r="O30">
        <v>192</v>
      </c>
      <c r="P30">
        <v>80</v>
      </c>
      <c r="Q30">
        <v>0</v>
      </c>
      <c r="R30">
        <v>1</v>
      </c>
      <c r="T30" t="s">
        <v>376</v>
      </c>
      <c r="U30">
        <v>76458</v>
      </c>
      <c r="V30">
        <v>363.8382249078</v>
      </c>
      <c r="W30">
        <v>75288</v>
      </c>
      <c r="X30">
        <v>18753</v>
      </c>
      <c r="Y30">
        <v>111154</v>
      </c>
      <c r="Z30">
        <v>73038</v>
      </c>
      <c r="AA30">
        <v>30510</v>
      </c>
      <c r="AB30">
        <v>20480</v>
      </c>
      <c r="AC30">
        <v>41858</v>
      </c>
      <c r="AD30">
        <v>27302</v>
      </c>
      <c r="AE30">
        <v>5718</v>
      </c>
      <c r="AF30">
        <v>1126</v>
      </c>
      <c r="AH30" t="s">
        <v>396</v>
      </c>
      <c r="AI30">
        <v>1397</v>
      </c>
      <c r="AJ30">
        <v>224.09591982820001</v>
      </c>
      <c r="AK30">
        <v>2216</v>
      </c>
      <c r="AL30">
        <v>277</v>
      </c>
      <c r="AM30">
        <v>2230</v>
      </c>
      <c r="AN30">
        <v>1147</v>
      </c>
      <c r="AO30">
        <v>760</v>
      </c>
      <c r="AP30">
        <v>565</v>
      </c>
      <c r="AQ30">
        <v>596</v>
      </c>
      <c r="AR30">
        <v>315</v>
      </c>
      <c r="AS30">
        <v>1</v>
      </c>
      <c r="AT30">
        <v>13</v>
      </c>
      <c r="AV30" t="s">
        <v>380</v>
      </c>
      <c r="AW30">
        <v>352</v>
      </c>
      <c r="AX30">
        <v>51.747159090899999</v>
      </c>
      <c r="AY30">
        <v>692</v>
      </c>
      <c r="AZ30">
        <v>79</v>
      </c>
      <c r="BA30">
        <v>521</v>
      </c>
      <c r="BB30">
        <v>52</v>
      </c>
      <c r="BC30">
        <v>4</v>
      </c>
      <c r="BD30">
        <v>4</v>
      </c>
      <c r="BE30">
        <v>55</v>
      </c>
      <c r="BF30">
        <v>12</v>
      </c>
      <c r="BG30">
        <v>98</v>
      </c>
      <c r="BH30">
        <v>68</v>
      </c>
      <c r="BJ30" t="s">
        <v>516</v>
      </c>
      <c r="BK30" t="s">
        <v>365</v>
      </c>
      <c r="BL30">
        <v>3936</v>
      </c>
      <c r="BM30">
        <v>645</v>
      </c>
      <c r="BN30">
        <v>87.8772865854</v>
      </c>
      <c r="BO30">
        <v>3590</v>
      </c>
      <c r="BP30">
        <v>468</v>
      </c>
      <c r="BQ30">
        <v>151.39805013930001</v>
      </c>
      <c r="BR30">
        <v>156.93803418799999</v>
      </c>
      <c r="BS30">
        <v>3173</v>
      </c>
      <c r="BT30">
        <v>389</v>
      </c>
      <c r="BU30">
        <v>76.802395209599993</v>
      </c>
      <c r="BV30">
        <v>2789</v>
      </c>
      <c r="BW30">
        <v>373</v>
      </c>
      <c r="BX30">
        <v>147.52491932589999</v>
      </c>
      <c r="BY30">
        <v>146.03217158179999</v>
      </c>
      <c r="CA30" t="s">
        <v>369</v>
      </c>
      <c r="CB30" t="s">
        <v>852</v>
      </c>
      <c r="CC30" t="s">
        <v>976</v>
      </c>
      <c r="CD30">
        <v>2057</v>
      </c>
      <c r="CE30">
        <v>360</v>
      </c>
      <c r="CF30">
        <v>89.499756927600004</v>
      </c>
      <c r="CG30">
        <v>1727</v>
      </c>
      <c r="CH30">
        <v>214</v>
      </c>
      <c r="CI30">
        <v>114.43138390270001</v>
      </c>
      <c r="CJ30">
        <v>127.0327102804</v>
      </c>
      <c r="CL30" t="s">
        <v>369</v>
      </c>
      <c r="CM30" t="s">
        <v>821</v>
      </c>
      <c r="CN30" t="s">
        <v>820</v>
      </c>
      <c r="CO30">
        <v>229</v>
      </c>
      <c r="CP30">
        <v>27</v>
      </c>
      <c r="CQ30">
        <v>75.580786026200002</v>
      </c>
      <c r="CR30">
        <v>238</v>
      </c>
      <c r="CS30">
        <v>33</v>
      </c>
      <c r="CT30">
        <v>83.264705882399994</v>
      </c>
      <c r="CU30">
        <v>103.24242424240001</v>
      </c>
      <c r="CW30" t="s">
        <v>369</v>
      </c>
      <c r="CX30" t="s">
        <v>837</v>
      </c>
      <c r="CY30" t="s">
        <v>836</v>
      </c>
      <c r="CZ30">
        <v>51</v>
      </c>
      <c r="DA30">
        <v>13</v>
      </c>
      <c r="DB30">
        <v>98</v>
      </c>
      <c r="DC30">
        <v>34</v>
      </c>
      <c r="DD30">
        <v>4</v>
      </c>
      <c r="DE30">
        <v>130.4705882353</v>
      </c>
      <c r="DF30">
        <v>158.25</v>
      </c>
      <c r="DH30" t="s">
        <v>369</v>
      </c>
      <c r="DI30" t="s">
        <v>805</v>
      </c>
      <c r="DJ30" t="s">
        <v>804</v>
      </c>
      <c r="DK30">
        <v>51</v>
      </c>
      <c r="DL30">
        <v>15</v>
      </c>
      <c r="DM30">
        <v>98.078431372500006</v>
      </c>
      <c r="DN30">
        <v>41</v>
      </c>
      <c r="DO30">
        <v>6</v>
      </c>
      <c r="DP30">
        <v>139.14634146340001</v>
      </c>
      <c r="DQ30">
        <v>158.3333333333</v>
      </c>
    </row>
    <row r="31" spans="2:121" x14ac:dyDescent="0.2">
      <c r="B31" t="s">
        <v>22</v>
      </c>
      <c r="C31">
        <v>197591</v>
      </c>
      <c r="D31">
        <v>39380</v>
      </c>
      <c r="F31" t="s">
        <v>68</v>
      </c>
      <c r="G31">
        <v>4224</v>
      </c>
      <c r="H31">
        <v>487.84019886359999</v>
      </c>
      <c r="I31">
        <v>5036</v>
      </c>
      <c r="J31">
        <v>1491</v>
      </c>
      <c r="K31">
        <v>5776</v>
      </c>
      <c r="L31">
        <v>4419</v>
      </c>
      <c r="M31">
        <v>804</v>
      </c>
      <c r="N31">
        <v>447</v>
      </c>
      <c r="O31">
        <v>1075</v>
      </c>
      <c r="P31">
        <v>720</v>
      </c>
      <c r="Q31">
        <v>0</v>
      </c>
      <c r="R31">
        <v>1</v>
      </c>
      <c r="T31" t="s">
        <v>457</v>
      </c>
      <c r="U31">
        <v>317764</v>
      </c>
      <c r="V31">
        <v>389.09939137219999</v>
      </c>
      <c r="W31">
        <v>328947</v>
      </c>
      <c r="X31">
        <v>75999</v>
      </c>
      <c r="Y31">
        <v>461190</v>
      </c>
      <c r="Z31">
        <v>304176</v>
      </c>
      <c r="AA31">
        <v>125081</v>
      </c>
      <c r="AB31">
        <v>84315</v>
      </c>
      <c r="AC31">
        <v>165758</v>
      </c>
      <c r="AD31">
        <v>103259</v>
      </c>
      <c r="AE31">
        <v>19539</v>
      </c>
      <c r="AF31">
        <v>4068</v>
      </c>
      <c r="AH31" t="s">
        <v>409</v>
      </c>
      <c r="AI31">
        <v>3732</v>
      </c>
      <c r="AJ31">
        <v>433.97561629149999</v>
      </c>
      <c r="AK31">
        <v>3567</v>
      </c>
      <c r="AL31">
        <v>795</v>
      </c>
      <c r="AM31">
        <v>5041</v>
      </c>
      <c r="AN31">
        <v>3364</v>
      </c>
      <c r="AO31">
        <v>1010</v>
      </c>
      <c r="AP31">
        <v>596</v>
      </c>
      <c r="AQ31">
        <v>1866</v>
      </c>
      <c r="AR31">
        <v>1224</v>
      </c>
      <c r="AS31">
        <v>9</v>
      </c>
      <c r="AT31">
        <v>115</v>
      </c>
      <c r="AV31" t="s">
        <v>401</v>
      </c>
      <c r="AW31">
        <v>61</v>
      </c>
      <c r="AX31">
        <v>35.524590163900001</v>
      </c>
      <c r="AY31">
        <v>127</v>
      </c>
      <c r="BA31">
        <v>87</v>
      </c>
      <c r="BB31">
        <v>3</v>
      </c>
      <c r="BC31">
        <v>0</v>
      </c>
      <c r="BE31">
        <v>5</v>
      </c>
      <c r="BF31">
        <v>3</v>
      </c>
      <c r="BG31">
        <v>193</v>
      </c>
      <c r="BH31">
        <v>13</v>
      </c>
      <c r="BJ31" t="s">
        <v>518</v>
      </c>
      <c r="BK31" t="s">
        <v>365</v>
      </c>
      <c r="BL31">
        <v>2021</v>
      </c>
      <c r="BM31">
        <v>355</v>
      </c>
      <c r="BN31">
        <v>88.428005937699993</v>
      </c>
      <c r="BO31">
        <v>1670</v>
      </c>
      <c r="BP31">
        <v>193</v>
      </c>
      <c r="BQ31">
        <v>116.5862275449</v>
      </c>
      <c r="BR31">
        <v>128.4404145078</v>
      </c>
      <c r="BS31">
        <v>3000</v>
      </c>
      <c r="BT31">
        <v>630</v>
      </c>
      <c r="BU31">
        <v>96.570999999999998</v>
      </c>
      <c r="BV31">
        <v>2573</v>
      </c>
      <c r="BW31">
        <v>304</v>
      </c>
      <c r="BX31">
        <v>139.33579479209999</v>
      </c>
      <c r="BY31">
        <v>141.6875</v>
      </c>
      <c r="CA31" t="s">
        <v>419</v>
      </c>
      <c r="CB31" t="s">
        <v>852</v>
      </c>
      <c r="CC31" t="s">
        <v>977</v>
      </c>
      <c r="CD31">
        <v>859</v>
      </c>
      <c r="CE31">
        <v>263</v>
      </c>
      <c r="CF31">
        <v>104.8265424913</v>
      </c>
      <c r="CG31">
        <v>858</v>
      </c>
      <c r="CH31">
        <v>129</v>
      </c>
      <c r="CI31">
        <v>144.81002330999999</v>
      </c>
      <c r="CJ31">
        <v>161.46511627909999</v>
      </c>
      <c r="CL31" t="s">
        <v>419</v>
      </c>
      <c r="CM31" t="s">
        <v>821</v>
      </c>
      <c r="CN31" t="s">
        <v>822</v>
      </c>
      <c r="CO31">
        <v>76</v>
      </c>
      <c r="CP31">
        <v>9</v>
      </c>
      <c r="CQ31">
        <v>79.855263157899998</v>
      </c>
      <c r="CR31">
        <v>78</v>
      </c>
      <c r="CS31">
        <v>11</v>
      </c>
      <c r="CT31">
        <v>89.012820512800005</v>
      </c>
      <c r="CU31">
        <v>131.7272727273</v>
      </c>
      <c r="CW31" t="s">
        <v>419</v>
      </c>
      <c r="CX31" t="s">
        <v>837</v>
      </c>
      <c r="CY31" t="s">
        <v>838</v>
      </c>
      <c r="CZ31">
        <v>18</v>
      </c>
      <c r="DA31">
        <v>4</v>
      </c>
      <c r="DB31">
        <v>91.666666666699996</v>
      </c>
      <c r="DC31">
        <v>14</v>
      </c>
      <c r="DD31">
        <v>2</v>
      </c>
      <c r="DE31">
        <v>142.8571428571</v>
      </c>
      <c r="DF31">
        <v>151</v>
      </c>
      <c r="DH31" t="s">
        <v>419</v>
      </c>
      <c r="DI31" t="s">
        <v>805</v>
      </c>
      <c r="DJ31" t="s">
        <v>806</v>
      </c>
      <c r="DK31">
        <v>26</v>
      </c>
      <c r="DL31">
        <v>9</v>
      </c>
      <c r="DM31">
        <v>109.6153846154</v>
      </c>
      <c r="DN31">
        <v>11</v>
      </c>
      <c r="DO31">
        <v>3</v>
      </c>
      <c r="DP31">
        <v>148.8181818182</v>
      </c>
      <c r="DQ31">
        <v>89.333333333300004</v>
      </c>
    </row>
    <row r="32" spans="2:121" x14ac:dyDescent="0.2">
      <c r="B32" t="s">
        <v>117</v>
      </c>
      <c r="C32">
        <v>6580</v>
      </c>
      <c r="D32">
        <v>1943</v>
      </c>
      <c r="F32" t="s">
        <v>76</v>
      </c>
      <c r="G32">
        <v>11899</v>
      </c>
      <c r="H32">
        <v>386.64131439620002</v>
      </c>
      <c r="I32">
        <v>7317</v>
      </c>
      <c r="J32">
        <v>1227</v>
      </c>
      <c r="K32">
        <v>16812</v>
      </c>
      <c r="L32">
        <v>12011</v>
      </c>
      <c r="M32">
        <v>5216</v>
      </c>
      <c r="N32">
        <v>3979</v>
      </c>
      <c r="O32">
        <v>4243</v>
      </c>
      <c r="P32">
        <v>3596</v>
      </c>
      <c r="Q32">
        <v>2</v>
      </c>
      <c r="R32">
        <v>145</v>
      </c>
      <c r="AH32" t="s">
        <v>411</v>
      </c>
      <c r="AI32">
        <v>1553</v>
      </c>
      <c r="AJ32">
        <v>395.28010302640001</v>
      </c>
      <c r="AK32">
        <v>1191</v>
      </c>
      <c r="AL32">
        <v>301</v>
      </c>
      <c r="AM32">
        <v>2230</v>
      </c>
      <c r="AN32">
        <v>1472</v>
      </c>
      <c r="AO32">
        <v>498</v>
      </c>
      <c r="AP32">
        <v>444</v>
      </c>
      <c r="AQ32">
        <v>230</v>
      </c>
      <c r="AR32">
        <v>116</v>
      </c>
      <c r="AS32">
        <v>160</v>
      </c>
      <c r="AT32">
        <v>3</v>
      </c>
      <c r="AV32" t="s">
        <v>411</v>
      </c>
      <c r="AW32">
        <v>117</v>
      </c>
      <c r="AX32">
        <v>87.264957265000007</v>
      </c>
      <c r="AY32">
        <v>169</v>
      </c>
      <c r="AZ32">
        <v>44</v>
      </c>
      <c r="BA32">
        <v>160</v>
      </c>
      <c r="BB32">
        <v>46</v>
      </c>
      <c r="BC32">
        <v>2</v>
      </c>
      <c r="BD32">
        <v>2</v>
      </c>
      <c r="BE32">
        <v>17</v>
      </c>
      <c r="BF32">
        <v>4</v>
      </c>
      <c r="BG32">
        <v>22</v>
      </c>
      <c r="BH32">
        <v>37</v>
      </c>
      <c r="BJ32" t="s">
        <v>533</v>
      </c>
      <c r="BK32" t="s">
        <v>365</v>
      </c>
      <c r="BL32">
        <v>2550</v>
      </c>
      <c r="BM32">
        <v>389</v>
      </c>
      <c r="BN32">
        <v>84.0078431373</v>
      </c>
      <c r="BO32">
        <v>2459</v>
      </c>
      <c r="BP32">
        <v>369</v>
      </c>
      <c r="BQ32">
        <v>117.3908092721</v>
      </c>
      <c r="BR32">
        <v>118.8401084011</v>
      </c>
      <c r="BS32">
        <v>5727</v>
      </c>
      <c r="BT32">
        <v>1165</v>
      </c>
      <c r="BU32">
        <v>93.259298061799996</v>
      </c>
      <c r="BV32">
        <v>5317</v>
      </c>
      <c r="BW32">
        <v>809</v>
      </c>
      <c r="BX32">
        <v>136.43614820389999</v>
      </c>
      <c r="BY32">
        <v>134.68479604449999</v>
      </c>
      <c r="CA32" t="s">
        <v>410</v>
      </c>
      <c r="CB32" t="s">
        <v>852</v>
      </c>
      <c r="CC32" t="s">
        <v>978</v>
      </c>
      <c r="CD32">
        <v>376</v>
      </c>
      <c r="CE32">
        <v>90</v>
      </c>
      <c r="CF32">
        <v>104.7180851064</v>
      </c>
      <c r="CG32">
        <v>373</v>
      </c>
      <c r="CH32">
        <v>51</v>
      </c>
      <c r="CI32">
        <v>151.35924932980001</v>
      </c>
      <c r="CJ32">
        <v>152.5294117647</v>
      </c>
      <c r="CL32" t="s">
        <v>410</v>
      </c>
      <c r="CM32" t="s">
        <v>821</v>
      </c>
      <c r="CN32" t="s">
        <v>823</v>
      </c>
      <c r="CO32">
        <v>70</v>
      </c>
      <c r="CP32">
        <v>12</v>
      </c>
      <c r="CQ32">
        <v>83.814285714299999</v>
      </c>
      <c r="CR32">
        <v>78</v>
      </c>
      <c r="CS32">
        <v>5</v>
      </c>
      <c r="CT32">
        <v>89.923076923099998</v>
      </c>
      <c r="CU32">
        <v>145</v>
      </c>
      <c r="CW32" t="s">
        <v>410</v>
      </c>
      <c r="CX32" t="s">
        <v>837</v>
      </c>
      <c r="CY32" t="s">
        <v>839</v>
      </c>
      <c r="CZ32">
        <v>28</v>
      </c>
      <c r="DA32">
        <v>6</v>
      </c>
      <c r="DB32">
        <v>82.857142857100001</v>
      </c>
      <c r="DC32">
        <v>8</v>
      </c>
      <c r="DD32">
        <v>1</v>
      </c>
      <c r="DE32">
        <v>152</v>
      </c>
      <c r="DF32">
        <v>199</v>
      </c>
      <c r="DH32" t="s">
        <v>410</v>
      </c>
      <c r="DI32" t="s">
        <v>805</v>
      </c>
      <c r="DJ32" t="s">
        <v>807</v>
      </c>
      <c r="DK32">
        <v>28</v>
      </c>
      <c r="DL32">
        <v>6</v>
      </c>
      <c r="DM32">
        <v>80.928571428599994</v>
      </c>
      <c r="DN32">
        <v>17</v>
      </c>
      <c r="DO32">
        <v>3</v>
      </c>
      <c r="DP32">
        <v>139.8235294118</v>
      </c>
      <c r="DQ32">
        <v>153.3333333333</v>
      </c>
    </row>
    <row r="33" spans="2:121" x14ac:dyDescent="0.2">
      <c r="B33" t="s">
        <v>160</v>
      </c>
      <c r="C33">
        <v>3919</v>
      </c>
      <c r="D33">
        <v>3763</v>
      </c>
      <c r="F33" t="s">
        <v>70</v>
      </c>
      <c r="G33">
        <v>945</v>
      </c>
      <c r="H33">
        <v>184.67936507939999</v>
      </c>
      <c r="I33">
        <v>2283</v>
      </c>
      <c r="J33">
        <v>425</v>
      </c>
      <c r="K33">
        <v>4273</v>
      </c>
      <c r="L33">
        <v>1206</v>
      </c>
      <c r="M33">
        <v>3323</v>
      </c>
      <c r="N33">
        <v>2453</v>
      </c>
      <c r="O33">
        <v>440</v>
      </c>
      <c r="P33">
        <v>196</v>
      </c>
      <c r="Q33">
        <v>0</v>
      </c>
      <c r="R33">
        <v>0</v>
      </c>
      <c r="AH33" t="s">
        <v>370</v>
      </c>
      <c r="AI33">
        <v>2542</v>
      </c>
      <c r="AJ33">
        <v>313.24940991350002</v>
      </c>
      <c r="AK33">
        <v>4021</v>
      </c>
      <c r="AL33">
        <v>964</v>
      </c>
      <c r="AM33">
        <v>4068</v>
      </c>
      <c r="AN33">
        <v>2547</v>
      </c>
      <c r="AO33">
        <v>1354</v>
      </c>
      <c r="AP33">
        <v>925</v>
      </c>
      <c r="AQ33">
        <v>2272</v>
      </c>
      <c r="AR33">
        <v>1505</v>
      </c>
      <c r="AS33">
        <v>739</v>
      </c>
      <c r="AT33">
        <v>5</v>
      </c>
      <c r="AV33" t="s">
        <v>422</v>
      </c>
      <c r="AW33">
        <v>188</v>
      </c>
      <c r="AX33">
        <v>45.792553191499998</v>
      </c>
      <c r="AY33">
        <v>455</v>
      </c>
      <c r="AZ33">
        <v>33</v>
      </c>
      <c r="BA33">
        <v>264</v>
      </c>
      <c r="BB33">
        <v>12</v>
      </c>
      <c r="BC33">
        <v>3</v>
      </c>
      <c r="BD33">
        <v>3</v>
      </c>
      <c r="BE33">
        <v>14</v>
      </c>
      <c r="BF33">
        <v>6</v>
      </c>
      <c r="BG33">
        <v>374</v>
      </c>
      <c r="BH33">
        <v>59</v>
      </c>
      <c r="BJ33" t="s">
        <v>618</v>
      </c>
      <c r="BK33" t="s">
        <v>365</v>
      </c>
      <c r="BL33">
        <v>1184</v>
      </c>
      <c r="BM33">
        <v>275</v>
      </c>
      <c r="BN33">
        <v>100.4586148649</v>
      </c>
      <c r="BO33">
        <v>1112</v>
      </c>
      <c r="BP33">
        <v>141</v>
      </c>
      <c r="BQ33">
        <v>131.33902877700001</v>
      </c>
      <c r="BR33">
        <v>142.31205673759999</v>
      </c>
      <c r="BS33">
        <v>1174</v>
      </c>
      <c r="BT33">
        <v>297</v>
      </c>
      <c r="BU33">
        <v>102.8449744463</v>
      </c>
      <c r="BV33">
        <v>1127</v>
      </c>
      <c r="BW33">
        <v>146</v>
      </c>
      <c r="BX33">
        <v>137.82697426799999</v>
      </c>
      <c r="BY33">
        <v>144.8561643836</v>
      </c>
      <c r="CA33" t="s">
        <v>412</v>
      </c>
      <c r="CB33" t="s">
        <v>852</v>
      </c>
      <c r="CC33" t="s">
        <v>979</v>
      </c>
      <c r="CD33">
        <v>1340</v>
      </c>
      <c r="CE33">
        <v>167</v>
      </c>
      <c r="CF33">
        <v>77.041791044799993</v>
      </c>
      <c r="CG33">
        <v>1387</v>
      </c>
      <c r="CH33">
        <v>140</v>
      </c>
      <c r="CI33">
        <v>107.086517664</v>
      </c>
      <c r="CJ33">
        <v>116.5</v>
      </c>
      <c r="CL33" t="s">
        <v>412</v>
      </c>
      <c r="CM33" t="s">
        <v>821</v>
      </c>
      <c r="CN33" t="s">
        <v>824</v>
      </c>
      <c r="CO33">
        <v>117</v>
      </c>
      <c r="CP33">
        <v>6</v>
      </c>
      <c r="CQ33">
        <v>63.820512820499999</v>
      </c>
      <c r="CR33">
        <v>162</v>
      </c>
      <c r="CS33">
        <v>18</v>
      </c>
      <c r="CT33">
        <v>82.814814814800002</v>
      </c>
      <c r="CU33">
        <v>92.055555555599994</v>
      </c>
      <c r="CW33" t="s">
        <v>412</v>
      </c>
      <c r="CX33" t="s">
        <v>837</v>
      </c>
      <c r="CY33" t="s">
        <v>840</v>
      </c>
      <c r="CZ33">
        <v>31</v>
      </c>
      <c r="DA33">
        <v>7</v>
      </c>
      <c r="DB33">
        <v>92.129032258099997</v>
      </c>
      <c r="DC33">
        <v>10</v>
      </c>
      <c r="DD33">
        <v>1</v>
      </c>
      <c r="DE33">
        <v>161.19999999999999</v>
      </c>
      <c r="DF33">
        <v>185</v>
      </c>
      <c r="DH33" t="s">
        <v>412</v>
      </c>
      <c r="DI33" t="s">
        <v>805</v>
      </c>
      <c r="DJ33" t="s">
        <v>808</v>
      </c>
      <c r="DK33">
        <v>18</v>
      </c>
      <c r="DL33">
        <v>6</v>
      </c>
      <c r="DM33">
        <v>105.2777777778</v>
      </c>
      <c r="DN33">
        <v>16</v>
      </c>
      <c r="DO33">
        <v>2</v>
      </c>
      <c r="DP33">
        <v>158.9375</v>
      </c>
      <c r="DQ33">
        <v>144.5</v>
      </c>
    </row>
    <row r="34" spans="2:121" x14ac:dyDescent="0.2">
      <c r="B34" t="s">
        <v>125</v>
      </c>
      <c r="C34">
        <v>622</v>
      </c>
      <c r="D34">
        <v>22</v>
      </c>
      <c r="F34" t="s">
        <v>40</v>
      </c>
      <c r="G34">
        <v>5926</v>
      </c>
      <c r="H34">
        <v>506.78754640570003</v>
      </c>
      <c r="I34">
        <v>6682</v>
      </c>
      <c r="J34">
        <v>1737</v>
      </c>
      <c r="K34">
        <v>7392</v>
      </c>
      <c r="L34">
        <v>5587</v>
      </c>
      <c r="M34">
        <v>1787</v>
      </c>
      <c r="N34">
        <v>1496</v>
      </c>
      <c r="O34">
        <v>1157</v>
      </c>
      <c r="P34">
        <v>662</v>
      </c>
      <c r="Q34">
        <v>0</v>
      </c>
      <c r="R34">
        <v>214</v>
      </c>
      <c r="AH34" t="s">
        <v>401</v>
      </c>
      <c r="AI34">
        <v>1570</v>
      </c>
      <c r="AJ34">
        <v>227.46751592359999</v>
      </c>
      <c r="AK34">
        <v>2776</v>
      </c>
      <c r="AL34">
        <v>580</v>
      </c>
      <c r="AM34">
        <v>2398</v>
      </c>
      <c r="AN34">
        <v>1060</v>
      </c>
      <c r="AO34">
        <v>543</v>
      </c>
      <c r="AP34">
        <v>261</v>
      </c>
      <c r="AQ34">
        <v>820</v>
      </c>
      <c r="AR34">
        <v>455</v>
      </c>
      <c r="AS34">
        <v>6</v>
      </c>
      <c r="AT34">
        <v>8</v>
      </c>
      <c r="AV34" t="s">
        <v>368</v>
      </c>
      <c r="AW34">
        <v>99</v>
      </c>
      <c r="AX34">
        <v>86.898989899</v>
      </c>
      <c r="AY34">
        <v>171</v>
      </c>
      <c r="AZ34">
        <v>35</v>
      </c>
      <c r="BA34">
        <v>145</v>
      </c>
      <c r="BB34">
        <v>47</v>
      </c>
      <c r="BC34">
        <v>5</v>
      </c>
      <c r="BD34">
        <v>5</v>
      </c>
      <c r="BE34">
        <v>16</v>
      </c>
      <c r="BF34">
        <v>3</v>
      </c>
      <c r="BG34">
        <v>17</v>
      </c>
      <c r="BH34">
        <v>32</v>
      </c>
      <c r="BJ34" t="s">
        <v>514</v>
      </c>
      <c r="BK34" t="s">
        <v>365</v>
      </c>
      <c r="BL34">
        <v>4947</v>
      </c>
      <c r="BM34">
        <v>1171</v>
      </c>
      <c r="BN34">
        <v>96.3070547807</v>
      </c>
      <c r="BO34">
        <v>4029</v>
      </c>
      <c r="BP34">
        <v>634</v>
      </c>
      <c r="BQ34">
        <v>141.44303797469999</v>
      </c>
      <c r="BR34">
        <v>144.35331230279999</v>
      </c>
      <c r="BS34">
        <v>3656</v>
      </c>
      <c r="BT34">
        <v>900</v>
      </c>
      <c r="BU34">
        <v>93.441192560199994</v>
      </c>
      <c r="BV34">
        <v>3295</v>
      </c>
      <c r="BW34">
        <v>488</v>
      </c>
      <c r="BX34">
        <v>133.2749620637</v>
      </c>
      <c r="BY34">
        <v>138.45081967210001</v>
      </c>
      <c r="CA34" t="s">
        <v>372</v>
      </c>
      <c r="CB34" t="s">
        <v>852</v>
      </c>
      <c r="CC34" t="s">
        <v>980</v>
      </c>
      <c r="CD34">
        <v>5188</v>
      </c>
      <c r="CE34">
        <v>1060</v>
      </c>
      <c r="CF34">
        <v>93.717424826499993</v>
      </c>
      <c r="CG34">
        <v>5177</v>
      </c>
      <c r="CH34">
        <v>649</v>
      </c>
      <c r="CI34">
        <v>138.1692099672</v>
      </c>
      <c r="CJ34">
        <v>144.59938366719999</v>
      </c>
      <c r="CL34" t="s">
        <v>372</v>
      </c>
      <c r="CM34" t="s">
        <v>821</v>
      </c>
      <c r="CN34" t="s">
        <v>825</v>
      </c>
      <c r="CO34">
        <v>484</v>
      </c>
      <c r="CP34">
        <v>47</v>
      </c>
      <c r="CQ34">
        <v>73.636363636400006</v>
      </c>
      <c r="CR34">
        <v>544</v>
      </c>
      <c r="CS34">
        <v>85</v>
      </c>
      <c r="CT34">
        <v>84.426470588200004</v>
      </c>
      <c r="CU34">
        <v>97.870588235300005</v>
      </c>
      <c r="CW34" t="s">
        <v>372</v>
      </c>
      <c r="CX34" t="s">
        <v>837</v>
      </c>
      <c r="CY34" t="s">
        <v>841</v>
      </c>
      <c r="CZ34">
        <v>248</v>
      </c>
      <c r="DA34">
        <v>78</v>
      </c>
      <c r="DB34">
        <v>96.741935483899994</v>
      </c>
      <c r="DC34">
        <v>147</v>
      </c>
      <c r="DD34">
        <v>25</v>
      </c>
      <c r="DE34">
        <v>147.3265306122</v>
      </c>
      <c r="DF34">
        <v>166</v>
      </c>
      <c r="DH34" t="s">
        <v>372</v>
      </c>
      <c r="DI34" t="s">
        <v>805</v>
      </c>
      <c r="DJ34" t="s">
        <v>809</v>
      </c>
      <c r="DK34">
        <v>348</v>
      </c>
      <c r="DL34">
        <v>88</v>
      </c>
      <c r="DM34">
        <v>88.974137931000001</v>
      </c>
      <c r="DN34">
        <v>187</v>
      </c>
      <c r="DO34">
        <v>36</v>
      </c>
      <c r="DP34">
        <v>149.53475935829999</v>
      </c>
      <c r="DQ34">
        <v>167.2777777778</v>
      </c>
    </row>
    <row r="35" spans="2:121" x14ac:dyDescent="0.2">
      <c r="B35" t="s">
        <v>96</v>
      </c>
      <c r="C35">
        <v>200</v>
      </c>
      <c r="D35">
        <v>169</v>
      </c>
      <c r="F35" t="s">
        <v>74</v>
      </c>
      <c r="G35">
        <v>7170</v>
      </c>
      <c r="H35">
        <v>345.3958158996</v>
      </c>
      <c r="I35">
        <v>12067</v>
      </c>
      <c r="J35">
        <v>2033</v>
      </c>
      <c r="K35">
        <v>17293</v>
      </c>
      <c r="L35">
        <v>9491</v>
      </c>
      <c r="M35">
        <v>4240</v>
      </c>
      <c r="N35">
        <v>2361</v>
      </c>
      <c r="O35">
        <v>2629</v>
      </c>
      <c r="P35">
        <v>1626</v>
      </c>
      <c r="Q35">
        <v>0</v>
      </c>
      <c r="R35">
        <v>58</v>
      </c>
      <c r="AH35" t="s">
        <v>63</v>
      </c>
      <c r="AI35">
        <v>6427</v>
      </c>
      <c r="AJ35">
        <v>295.54535553139999</v>
      </c>
      <c r="AK35">
        <v>9136</v>
      </c>
      <c r="AL35">
        <v>1908</v>
      </c>
      <c r="AM35">
        <v>9808</v>
      </c>
      <c r="AN35">
        <v>5973</v>
      </c>
      <c r="AO35">
        <v>4296</v>
      </c>
      <c r="AP35">
        <v>3171</v>
      </c>
      <c r="AQ35">
        <v>3578</v>
      </c>
      <c r="AR35">
        <v>1530</v>
      </c>
      <c r="AS35">
        <v>1597</v>
      </c>
      <c r="AT35">
        <v>10</v>
      </c>
      <c r="AV35" t="s">
        <v>391</v>
      </c>
      <c r="AW35">
        <v>393</v>
      </c>
      <c r="AX35">
        <v>50.788804071199998</v>
      </c>
      <c r="AY35">
        <v>1137</v>
      </c>
      <c r="AZ35">
        <v>107</v>
      </c>
      <c r="BA35">
        <v>619</v>
      </c>
      <c r="BB35">
        <v>36</v>
      </c>
      <c r="BC35">
        <v>1</v>
      </c>
      <c r="BD35">
        <v>1</v>
      </c>
      <c r="BE35">
        <v>54</v>
      </c>
      <c r="BF35">
        <v>9</v>
      </c>
      <c r="BG35">
        <v>105</v>
      </c>
      <c r="BH35">
        <v>81</v>
      </c>
      <c r="BJ35" t="s">
        <v>520</v>
      </c>
      <c r="BK35" t="s">
        <v>365</v>
      </c>
      <c r="BL35">
        <v>2712</v>
      </c>
      <c r="BM35">
        <v>547</v>
      </c>
      <c r="BN35">
        <v>88.856563421800004</v>
      </c>
      <c r="BO35">
        <v>2322</v>
      </c>
      <c r="BP35">
        <v>353</v>
      </c>
      <c r="BQ35">
        <v>143.28337639969999</v>
      </c>
      <c r="BR35">
        <v>130.3796033994</v>
      </c>
      <c r="BS35">
        <v>2090</v>
      </c>
      <c r="BT35">
        <v>316</v>
      </c>
      <c r="BU35">
        <v>75.806220095699999</v>
      </c>
      <c r="BV35">
        <v>1877</v>
      </c>
      <c r="BW35">
        <v>307</v>
      </c>
      <c r="BX35">
        <v>139.39477890250001</v>
      </c>
      <c r="BY35">
        <v>119.9087947883</v>
      </c>
      <c r="CA35" t="s">
        <v>367</v>
      </c>
      <c r="CB35" t="s">
        <v>852</v>
      </c>
      <c r="CC35" t="s">
        <v>981</v>
      </c>
      <c r="CD35">
        <v>4239</v>
      </c>
      <c r="CE35">
        <v>1078</v>
      </c>
      <c r="CF35">
        <v>98.302665723000004</v>
      </c>
      <c r="CG35">
        <v>3985</v>
      </c>
      <c r="CH35">
        <v>499</v>
      </c>
      <c r="CI35">
        <v>125.9919698871</v>
      </c>
      <c r="CJ35">
        <v>145.24849699399999</v>
      </c>
      <c r="CL35" t="s">
        <v>367</v>
      </c>
      <c r="CM35" t="s">
        <v>821</v>
      </c>
      <c r="CN35" t="s">
        <v>826</v>
      </c>
      <c r="CO35">
        <v>449</v>
      </c>
      <c r="CP35">
        <v>52</v>
      </c>
      <c r="CQ35">
        <v>71.857461024499997</v>
      </c>
      <c r="CR35">
        <v>533</v>
      </c>
      <c r="CS35">
        <v>76</v>
      </c>
      <c r="CT35">
        <v>80.373358349</v>
      </c>
      <c r="CU35">
        <v>79.434210526300006</v>
      </c>
      <c r="CW35" t="s">
        <v>367</v>
      </c>
      <c r="CX35" t="s">
        <v>837</v>
      </c>
      <c r="CY35" t="s">
        <v>842</v>
      </c>
      <c r="CZ35">
        <v>95</v>
      </c>
      <c r="DA35">
        <v>28</v>
      </c>
      <c r="DB35">
        <v>94.842105263199997</v>
      </c>
      <c r="DC35">
        <v>62</v>
      </c>
      <c r="DD35">
        <v>5</v>
      </c>
      <c r="DE35">
        <v>136</v>
      </c>
      <c r="DF35">
        <v>166.8</v>
      </c>
      <c r="DH35" t="s">
        <v>367</v>
      </c>
      <c r="DI35" t="s">
        <v>805</v>
      </c>
      <c r="DJ35" t="s">
        <v>810</v>
      </c>
      <c r="DK35">
        <v>52</v>
      </c>
      <c r="DL35">
        <v>16</v>
      </c>
      <c r="DM35">
        <v>105.48076923079999</v>
      </c>
      <c r="DN35">
        <v>32</v>
      </c>
      <c r="DO35">
        <v>4</v>
      </c>
      <c r="DP35">
        <v>118.53125</v>
      </c>
      <c r="DQ35">
        <v>186</v>
      </c>
    </row>
    <row r="36" spans="2:121" x14ac:dyDescent="0.2">
      <c r="B36" t="s">
        <v>92</v>
      </c>
      <c r="C36">
        <v>2</v>
      </c>
      <c r="F36" t="s">
        <v>50</v>
      </c>
      <c r="G36">
        <v>2143</v>
      </c>
      <c r="H36">
        <v>241.3042463836</v>
      </c>
      <c r="I36">
        <v>2281</v>
      </c>
      <c r="J36">
        <v>381</v>
      </c>
      <c r="K36">
        <v>3385</v>
      </c>
      <c r="L36">
        <v>2187</v>
      </c>
      <c r="M36">
        <v>481</v>
      </c>
      <c r="N36">
        <v>104</v>
      </c>
      <c r="O36">
        <v>1239</v>
      </c>
      <c r="P36">
        <v>874</v>
      </c>
      <c r="Q36">
        <v>1</v>
      </c>
      <c r="R36">
        <v>10</v>
      </c>
      <c r="T36" t="s">
        <v>642</v>
      </c>
      <c r="U36" t="s">
        <v>304</v>
      </c>
      <c r="V36" t="s">
        <v>136</v>
      </c>
      <c r="W36" t="s">
        <v>217</v>
      </c>
      <c r="X36" t="s">
        <v>455</v>
      </c>
      <c r="Y36" t="s">
        <v>219</v>
      </c>
      <c r="Z36" t="s">
        <v>220</v>
      </c>
      <c r="AA36" t="s">
        <v>221</v>
      </c>
      <c r="AB36" t="s">
        <v>456</v>
      </c>
      <c r="AC36" t="s">
        <v>223</v>
      </c>
      <c r="AD36" t="s">
        <v>224</v>
      </c>
      <c r="AE36" t="s">
        <v>225</v>
      </c>
      <c r="AF36" t="s">
        <v>226</v>
      </c>
      <c r="AH36" t="s">
        <v>378</v>
      </c>
      <c r="AI36">
        <v>16043</v>
      </c>
      <c r="AJ36">
        <v>322.51885557560001</v>
      </c>
      <c r="AK36">
        <v>16750</v>
      </c>
      <c r="AL36">
        <v>4622</v>
      </c>
      <c r="AM36">
        <v>22247</v>
      </c>
      <c r="AN36">
        <v>15012</v>
      </c>
      <c r="AO36">
        <v>8863</v>
      </c>
      <c r="AP36">
        <v>5799</v>
      </c>
      <c r="AQ36">
        <v>6794</v>
      </c>
      <c r="AR36">
        <v>4101</v>
      </c>
      <c r="AS36">
        <v>1164</v>
      </c>
      <c r="AT36">
        <v>41</v>
      </c>
      <c r="AV36" t="s">
        <v>379</v>
      </c>
      <c r="AW36">
        <v>942</v>
      </c>
      <c r="AX36">
        <v>100.2781316348</v>
      </c>
      <c r="AY36">
        <v>1005</v>
      </c>
      <c r="AZ36">
        <v>246</v>
      </c>
      <c r="BA36">
        <v>1250</v>
      </c>
      <c r="BB36">
        <v>468</v>
      </c>
      <c r="BC36">
        <v>16</v>
      </c>
      <c r="BD36">
        <v>16</v>
      </c>
      <c r="BE36">
        <v>44</v>
      </c>
      <c r="BF36">
        <v>18</v>
      </c>
      <c r="BG36">
        <v>161</v>
      </c>
      <c r="BH36">
        <v>293</v>
      </c>
      <c r="BJ36" t="s">
        <v>365</v>
      </c>
      <c r="BK36" t="s">
        <v>365</v>
      </c>
      <c r="BL36">
        <v>69465</v>
      </c>
      <c r="BM36">
        <v>16275</v>
      </c>
      <c r="BN36">
        <v>97.362441517299999</v>
      </c>
      <c r="BO36">
        <v>66619</v>
      </c>
      <c r="BP36">
        <v>9622</v>
      </c>
      <c r="BQ36">
        <v>136.84930725469999</v>
      </c>
      <c r="BR36">
        <v>137.18520058199999</v>
      </c>
      <c r="BS36">
        <v>67968</v>
      </c>
      <c r="BT36">
        <v>15274</v>
      </c>
      <c r="BU36">
        <v>94.8972751883</v>
      </c>
      <c r="BV36">
        <v>65529</v>
      </c>
      <c r="BW36">
        <v>9417</v>
      </c>
      <c r="BX36">
        <v>135.43367058859999</v>
      </c>
      <c r="BY36">
        <v>134.52670701919999</v>
      </c>
      <c r="CA36" t="s">
        <v>411</v>
      </c>
      <c r="CB36" t="s">
        <v>852</v>
      </c>
      <c r="CC36" t="s">
        <v>982</v>
      </c>
      <c r="CD36">
        <v>1249</v>
      </c>
      <c r="CE36">
        <v>298</v>
      </c>
      <c r="CF36">
        <v>101.7614091273</v>
      </c>
      <c r="CG36">
        <v>1180</v>
      </c>
      <c r="CH36">
        <v>158</v>
      </c>
      <c r="CI36">
        <v>129.64661016950001</v>
      </c>
      <c r="CJ36">
        <v>133.38607594940001</v>
      </c>
      <c r="CL36" t="s">
        <v>411</v>
      </c>
      <c r="CM36" t="s">
        <v>821</v>
      </c>
      <c r="CN36" t="s">
        <v>827</v>
      </c>
      <c r="CO36">
        <v>107</v>
      </c>
      <c r="CP36">
        <v>11</v>
      </c>
      <c r="CQ36">
        <v>68.700934579399998</v>
      </c>
      <c r="CR36">
        <v>119</v>
      </c>
      <c r="CS36">
        <v>16</v>
      </c>
      <c r="CT36">
        <v>88.630252100800007</v>
      </c>
      <c r="CU36">
        <v>104.75</v>
      </c>
      <c r="CW36" t="s">
        <v>411</v>
      </c>
      <c r="CX36" t="s">
        <v>837</v>
      </c>
      <c r="CY36" t="s">
        <v>843</v>
      </c>
      <c r="CZ36">
        <v>29</v>
      </c>
      <c r="DA36">
        <v>8</v>
      </c>
      <c r="DB36">
        <v>91.758620689699995</v>
      </c>
      <c r="DC36">
        <v>10</v>
      </c>
      <c r="DD36">
        <v>2</v>
      </c>
      <c r="DE36">
        <v>140.4</v>
      </c>
      <c r="DF36">
        <v>152</v>
      </c>
      <c r="DH36" t="s">
        <v>411</v>
      </c>
      <c r="DI36" t="s">
        <v>805</v>
      </c>
      <c r="DJ36" t="s">
        <v>811</v>
      </c>
      <c r="DK36">
        <v>19</v>
      </c>
      <c r="DL36">
        <v>4</v>
      </c>
      <c r="DM36">
        <v>93.473684210499997</v>
      </c>
      <c r="DN36">
        <v>16</v>
      </c>
      <c r="DO36">
        <v>1</v>
      </c>
      <c r="DP36">
        <v>133.625</v>
      </c>
      <c r="DQ36">
        <v>115</v>
      </c>
    </row>
    <row r="37" spans="2:121" x14ac:dyDescent="0.2">
      <c r="B37" t="s">
        <v>98</v>
      </c>
      <c r="C37">
        <v>1070</v>
      </c>
      <c r="D37">
        <v>680</v>
      </c>
      <c r="F37" t="s">
        <v>85</v>
      </c>
      <c r="G37">
        <v>622</v>
      </c>
      <c r="H37">
        <v>378.8247588424</v>
      </c>
      <c r="I37">
        <v>697</v>
      </c>
      <c r="J37">
        <v>220</v>
      </c>
      <c r="K37">
        <v>701</v>
      </c>
      <c r="L37">
        <v>540</v>
      </c>
      <c r="M37">
        <v>53</v>
      </c>
      <c r="N37">
        <v>15</v>
      </c>
      <c r="O37">
        <v>127</v>
      </c>
      <c r="P37">
        <v>66</v>
      </c>
      <c r="Q37">
        <v>0</v>
      </c>
      <c r="R37">
        <v>0</v>
      </c>
      <c r="T37" t="s">
        <v>386</v>
      </c>
      <c r="U37">
        <v>2293</v>
      </c>
      <c r="V37">
        <v>49.467073702599997</v>
      </c>
      <c r="W37">
        <v>5885</v>
      </c>
      <c r="X37">
        <v>589</v>
      </c>
      <c r="Y37">
        <v>3660</v>
      </c>
      <c r="Z37">
        <v>204</v>
      </c>
      <c r="AA37">
        <v>19</v>
      </c>
      <c r="AB37">
        <v>16</v>
      </c>
      <c r="AC37">
        <v>268</v>
      </c>
      <c r="AD37">
        <v>78</v>
      </c>
      <c r="AE37">
        <v>1879</v>
      </c>
      <c r="AF37">
        <v>536</v>
      </c>
      <c r="AH37" t="s">
        <v>415</v>
      </c>
      <c r="AI37">
        <v>177</v>
      </c>
      <c r="AJ37">
        <v>291.87570621470002</v>
      </c>
      <c r="AK37">
        <v>644</v>
      </c>
      <c r="AL37">
        <v>108</v>
      </c>
      <c r="AM37">
        <v>340</v>
      </c>
      <c r="AN37">
        <v>151</v>
      </c>
      <c r="AO37">
        <v>118</v>
      </c>
      <c r="AP37">
        <v>54</v>
      </c>
      <c r="AQ37">
        <v>146</v>
      </c>
      <c r="AR37">
        <v>76</v>
      </c>
      <c r="AS37">
        <v>0</v>
      </c>
      <c r="AT37">
        <v>0</v>
      </c>
      <c r="AV37" t="s">
        <v>387</v>
      </c>
      <c r="AW37">
        <v>435</v>
      </c>
      <c r="AX37">
        <v>55.264367816099998</v>
      </c>
      <c r="AY37">
        <v>1276</v>
      </c>
      <c r="AZ37">
        <v>154</v>
      </c>
      <c r="BA37">
        <v>744</v>
      </c>
      <c r="BB37">
        <v>58</v>
      </c>
      <c r="BC37">
        <v>8</v>
      </c>
      <c r="BD37">
        <v>7</v>
      </c>
      <c r="BE37">
        <v>51</v>
      </c>
      <c r="BF37">
        <v>13</v>
      </c>
      <c r="BG37">
        <v>113</v>
      </c>
      <c r="BH37">
        <v>115</v>
      </c>
      <c r="BJ37" t="s">
        <v>522</v>
      </c>
      <c r="BK37" t="s">
        <v>365</v>
      </c>
      <c r="BL37">
        <v>7116</v>
      </c>
      <c r="BM37">
        <v>2226</v>
      </c>
      <c r="BN37">
        <v>113.76194491290001</v>
      </c>
      <c r="BO37">
        <v>7241</v>
      </c>
      <c r="BP37">
        <v>1062</v>
      </c>
      <c r="BQ37">
        <v>153.9830133959</v>
      </c>
      <c r="BR37">
        <v>143.52542372880001</v>
      </c>
      <c r="BS37">
        <v>7273</v>
      </c>
      <c r="BT37">
        <v>2265</v>
      </c>
      <c r="BU37">
        <v>113.72734772450001</v>
      </c>
      <c r="BV37">
        <v>7525</v>
      </c>
      <c r="BW37">
        <v>1116</v>
      </c>
      <c r="BX37">
        <v>153.5825913621</v>
      </c>
      <c r="BY37">
        <v>144.9086021505</v>
      </c>
      <c r="CA37" t="s">
        <v>370</v>
      </c>
      <c r="CB37" t="s">
        <v>852</v>
      </c>
      <c r="CC37" t="s">
        <v>983</v>
      </c>
      <c r="CD37">
        <v>3933</v>
      </c>
      <c r="CE37">
        <v>900</v>
      </c>
      <c r="CF37">
        <v>96.9527078566</v>
      </c>
      <c r="CG37">
        <v>3752</v>
      </c>
      <c r="CH37">
        <v>580</v>
      </c>
      <c r="CI37">
        <v>142.9693496802</v>
      </c>
      <c r="CJ37">
        <v>137.7327586207</v>
      </c>
      <c r="CL37" t="s">
        <v>370</v>
      </c>
      <c r="CM37" t="s">
        <v>821</v>
      </c>
      <c r="CN37" t="s">
        <v>828</v>
      </c>
      <c r="CO37">
        <v>511</v>
      </c>
      <c r="CP37">
        <v>69</v>
      </c>
      <c r="CQ37">
        <v>71.614481409000007</v>
      </c>
      <c r="CR37">
        <v>566</v>
      </c>
      <c r="CS37">
        <v>72</v>
      </c>
      <c r="CT37">
        <v>82.657243816299996</v>
      </c>
      <c r="CU37">
        <v>112.375</v>
      </c>
      <c r="CW37" t="s">
        <v>370</v>
      </c>
      <c r="CX37" t="s">
        <v>837</v>
      </c>
      <c r="CY37" t="s">
        <v>844</v>
      </c>
      <c r="CZ37">
        <v>123</v>
      </c>
      <c r="DA37">
        <v>28</v>
      </c>
      <c r="DB37">
        <v>87.723577235799993</v>
      </c>
      <c r="DC37">
        <v>49</v>
      </c>
      <c r="DD37">
        <v>9</v>
      </c>
      <c r="DE37">
        <v>145.34693877550001</v>
      </c>
      <c r="DF37">
        <v>151.7777777778</v>
      </c>
      <c r="DH37" t="s">
        <v>370</v>
      </c>
      <c r="DI37" t="s">
        <v>805</v>
      </c>
      <c r="DJ37" t="s">
        <v>812</v>
      </c>
      <c r="DK37">
        <v>82</v>
      </c>
      <c r="DL37">
        <v>19</v>
      </c>
      <c r="DM37">
        <v>92.939024390200004</v>
      </c>
      <c r="DN37">
        <v>65</v>
      </c>
      <c r="DO37">
        <v>13</v>
      </c>
      <c r="DP37">
        <v>134.0153846154</v>
      </c>
      <c r="DQ37">
        <v>140.8461538462</v>
      </c>
    </row>
    <row r="38" spans="2:121" x14ac:dyDescent="0.2">
      <c r="B38" t="s">
        <v>1064</v>
      </c>
      <c r="C38">
        <v>112</v>
      </c>
      <c r="D38">
        <v>108</v>
      </c>
      <c r="F38" t="s">
        <v>63</v>
      </c>
      <c r="G38">
        <v>4295</v>
      </c>
      <c r="H38">
        <v>303.42770663559998</v>
      </c>
      <c r="I38">
        <v>4724</v>
      </c>
      <c r="J38">
        <v>1150</v>
      </c>
      <c r="K38">
        <v>5807</v>
      </c>
      <c r="L38">
        <v>3964</v>
      </c>
      <c r="M38">
        <v>3535</v>
      </c>
      <c r="N38">
        <v>2952</v>
      </c>
      <c r="O38">
        <v>1553</v>
      </c>
      <c r="P38">
        <v>199</v>
      </c>
      <c r="Q38">
        <v>0</v>
      </c>
      <c r="R38">
        <v>1</v>
      </c>
      <c r="T38" t="s">
        <v>376</v>
      </c>
      <c r="U38">
        <v>7070</v>
      </c>
      <c r="V38">
        <v>89.522489391799994</v>
      </c>
      <c r="W38">
        <v>9218</v>
      </c>
      <c r="X38">
        <v>1749</v>
      </c>
      <c r="Y38">
        <v>9683</v>
      </c>
      <c r="Z38">
        <v>2960</v>
      </c>
      <c r="AA38">
        <v>179</v>
      </c>
      <c r="AB38">
        <v>173</v>
      </c>
      <c r="AC38">
        <v>498</v>
      </c>
      <c r="AD38">
        <v>175</v>
      </c>
      <c r="AE38">
        <v>1195</v>
      </c>
      <c r="AF38">
        <v>1949</v>
      </c>
      <c r="AH38" t="s">
        <v>387</v>
      </c>
      <c r="AI38">
        <v>6847</v>
      </c>
      <c r="AJ38">
        <v>413.89776544469998</v>
      </c>
      <c r="AK38">
        <v>9006</v>
      </c>
      <c r="AL38">
        <v>2347</v>
      </c>
      <c r="AM38">
        <v>11766</v>
      </c>
      <c r="AN38">
        <v>6601</v>
      </c>
      <c r="AO38">
        <v>1880</v>
      </c>
      <c r="AP38">
        <v>1127</v>
      </c>
      <c r="AQ38">
        <v>4377</v>
      </c>
      <c r="AR38">
        <v>2641</v>
      </c>
      <c r="AS38">
        <v>722</v>
      </c>
      <c r="AT38">
        <v>327</v>
      </c>
      <c r="AV38" t="s">
        <v>392</v>
      </c>
      <c r="AW38">
        <v>195</v>
      </c>
      <c r="AX38">
        <v>44.020512820500002</v>
      </c>
      <c r="AY38">
        <v>393</v>
      </c>
      <c r="AZ38">
        <v>37</v>
      </c>
      <c r="BA38">
        <v>308</v>
      </c>
      <c r="BB38">
        <v>11</v>
      </c>
      <c r="BC38">
        <v>2</v>
      </c>
      <c r="BD38">
        <v>1</v>
      </c>
      <c r="BE38">
        <v>22</v>
      </c>
      <c r="BF38">
        <v>9</v>
      </c>
      <c r="BG38">
        <v>62</v>
      </c>
      <c r="BH38">
        <v>27</v>
      </c>
      <c r="BJ38" t="s">
        <v>525</v>
      </c>
      <c r="BK38" t="s">
        <v>365</v>
      </c>
      <c r="BL38">
        <v>4748</v>
      </c>
      <c r="BM38">
        <v>1389</v>
      </c>
      <c r="BN38">
        <v>112.09793597300001</v>
      </c>
      <c r="BO38">
        <v>3875</v>
      </c>
      <c r="BP38">
        <v>570</v>
      </c>
      <c r="BQ38">
        <v>166.70400000000001</v>
      </c>
      <c r="BR38">
        <v>163.02807017539999</v>
      </c>
      <c r="BS38">
        <v>3786</v>
      </c>
      <c r="BT38">
        <v>1482</v>
      </c>
      <c r="BU38">
        <v>131.7995245642</v>
      </c>
      <c r="BV38">
        <v>3050</v>
      </c>
      <c r="BW38">
        <v>431</v>
      </c>
      <c r="BX38">
        <v>184.0921311475</v>
      </c>
      <c r="BY38">
        <v>180.3781902552</v>
      </c>
      <c r="CA38" t="s">
        <v>63</v>
      </c>
      <c r="CB38" t="s">
        <v>852</v>
      </c>
      <c r="CC38" t="s">
        <v>514</v>
      </c>
      <c r="CD38">
        <v>8812</v>
      </c>
      <c r="CE38">
        <v>1788</v>
      </c>
      <c r="CF38">
        <v>92.436904221500001</v>
      </c>
      <c r="CG38">
        <v>8004</v>
      </c>
      <c r="CH38">
        <v>1179</v>
      </c>
      <c r="CI38">
        <v>139.3674412794</v>
      </c>
      <c r="CJ38">
        <v>142.7260390161</v>
      </c>
      <c r="CL38" t="s">
        <v>63</v>
      </c>
      <c r="CM38" t="s">
        <v>821</v>
      </c>
      <c r="CN38" t="s">
        <v>829</v>
      </c>
      <c r="CO38">
        <v>1306</v>
      </c>
      <c r="CP38">
        <v>105</v>
      </c>
      <c r="CQ38">
        <v>74.034456355299994</v>
      </c>
      <c r="CR38">
        <v>1409</v>
      </c>
      <c r="CS38">
        <v>180</v>
      </c>
      <c r="CT38">
        <v>86.312987934700004</v>
      </c>
      <c r="CU38">
        <v>104.5833333333</v>
      </c>
      <c r="CW38" t="s">
        <v>63</v>
      </c>
      <c r="CX38" t="s">
        <v>837</v>
      </c>
      <c r="CY38" t="s">
        <v>845</v>
      </c>
      <c r="CZ38">
        <v>265</v>
      </c>
      <c r="DA38">
        <v>54</v>
      </c>
      <c r="DB38">
        <v>83.8377358491</v>
      </c>
      <c r="DC38">
        <v>139</v>
      </c>
      <c r="DD38">
        <v>21</v>
      </c>
      <c r="DE38">
        <v>131.2230215827</v>
      </c>
      <c r="DF38">
        <v>172.3333333333</v>
      </c>
      <c r="DH38" t="s">
        <v>63</v>
      </c>
      <c r="DI38" t="s">
        <v>805</v>
      </c>
      <c r="DJ38" t="s">
        <v>813</v>
      </c>
      <c r="DK38">
        <v>152</v>
      </c>
      <c r="DL38">
        <v>35</v>
      </c>
      <c r="DM38">
        <v>85.881578947400001</v>
      </c>
      <c r="DN38">
        <v>108</v>
      </c>
      <c r="DO38">
        <v>16</v>
      </c>
      <c r="DP38">
        <v>142.75925925929999</v>
      </c>
      <c r="DQ38">
        <v>158.75</v>
      </c>
    </row>
    <row r="39" spans="2:121" x14ac:dyDescent="0.2">
      <c r="B39" t="s">
        <v>118</v>
      </c>
      <c r="C39">
        <v>3430</v>
      </c>
      <c r="D39">
        <v>968</v>
      </c>
      <c r="F39" t="s">
        <v>55</v>
      </c>
      <c r="G39">
        <v>7633</v>
      </c>
      <c r="H39">
        <v>377.42263854319998</v>
      </c>
      <c r="I39">
        <v>8952</v>
      </c>
      <c r="J39">
        <v>1881</v>
      </c>
      <c r="K39">
        <v>9182</v>
      </c>
      <c r="L39">
        <v>6190</v>
      </c>
      <c r="M39">
        <v>1034</v>
      </c>
      <c r="N39">
        <v>889</v>
      </c>
      <c r="O39">
        <v>4115</v>
      </c>
      <c r="P39">
        <v>3458</v>
      </c>
      <c r="Q39">
        <v>2</v>
      </c>
      <c r="R39">
        <v>29</v>
      </c>
      <c r="T39" t="s">
        <v>365</v>
      </c>
      <c r="U39">
        <v>7417</v>
      </c>
      <c r="V39">
        <v>93.735877039200005</v>
      </c>
      <c r="W39">
        <v>11111</v>
      </c>
      <c r="X39">
        <v>2420</v>
      </c>
      <c r="Y39">
        <v>10061</v>
      </c>
      <c r="Z39">
        <v>3374</v>
      </c>
      <c r="AA39">
        <v>353</v>
      </c>
      <c r="AB39">
        <v>347</v>
      </c>
      <c r="AC39">
        <v>538</v>
      </c>
      <c r="AD39">
        <v>173</v>
      </c>
      <c r="AE39">
        <v>1244</v>
      </c>
      <c r="AF39">
        <v>2548</v>
      </c>
      <c r="AH39" t="s">
        <v>408</v>
      </c>
      <c r="AI39">
        <v>3060</v>
      </c>
      <c r="AJ39">
        <v>340.31274509799999</v>
      </c>
      <c r="AK39">
        <v>6398</v>
      </c>
      <c r="AL39">
        <v>947</v>
      </c>
      <c r="AM39">
        <v>4594</v>
      </c>
      <c r="AN39">
        <v>2377</v>
      </c>
      <c r="AO39">
        <v>1545</v>
      </c>
      <c r="AP39">
        <v>708</v>
      </c>
      <c r="AQ39">
        <v>2473</v>
      </c>
      <c r="AR39">
        <v>1138</v>
      </c>
      <c r="AS39">
        <v>7</v>
      </c>
      <c r="AT39">
        <v>67</v>
      </c>
      <c r="AV39" t="s">
        <v>410</v>
      </c>
      <c r="AW39">
        <v>47</v>
      </c>
      <c r="AX39">
        <v>102.42553191490001</v>
      </c>
      <c r="AY39">
        <v>76</v>
      </c>
      <c r="AZ39">
        <v>14</v>
      </c>
      <c r="BA39">
        <v>63</v>
      </c>
      <c r="BB39">
        <v>22</v>
      </c>
      <c r="BC39">
        <v>4</v>
      </c>
      <c r="BD39">
        <v>4</v>
      </c>
      <c r="BE39">
        <v>1</v>
      </c>
      <c r="BG39">
        <v>11</v>
      </c>
      <c r="BH39">
        <v>18</v>
      </c>
      <c r="BJ39" t="s">
        <v>510</v>
      </c>
      <c r="BK39" t="s">
        <v>365</v>
      </c>
      <c r="BL39">
        <v>2588</v>
      </c>
      <c r="BM39">
        <v>429</v>
      </c>
      <c r="BN39">
        <v>74.605100463699998</v>
      </c>
      <c r="BO39">
        <v>5690</v>
      </c>
      <c r="BP39">
        <v>803</v>
      </c>
      <c r="BQ39">
        <v>55.947627416499998</v>
      </c>
      <c r="BR39">
        <v>68.513075965100001</v>
      </c>
      <c r="BS39">
        <v>4023</v>
      </c>
      <c r="BT39">
        <v>812</v>
      </c>
      <c r="BU39">
        <v>87.7315436242</v>
      </c>
      <c r="BV39">
        <v>7040</v>
      </c>
      <c r="BW39">
        <v>1002</v>
      </c>
      <c r="BX39">
        <v>82.897869318199994</v>
      </c>
      <c r="BY39">
        <v>90.240518962099998</v>
      </c>
      <c r="CA39" t="s">
        <v>378</v>
      </c>
      <c r="CB39" t="s">
        <v>852</v>
      </c>
      <c r="CC39" t="s">
        <v>984</v>
      </c>
      <c r="CD39">
        <v>15502</v>
      </c>
      <c r="CE39">
        <v>4105</v>
      </c>
      <c r="CF39">
        <v>101.8722745452</v>
      </c>
      <c r="CG39">
        <v>15160</v>
      </c>
      <c r="CH39">
        <v>2227</v>
      </c>
      <c r="CI39">
        <v>143.0944591029</v>
      </c>
      <c r="CJ39">
        <v>141.66187696450001</v>
      </c>
      <c r="CL39" t="s">
        <v>378</v>
      </c>
      <c r="CM39" t="s">
        <v>821</v>
      </c>
      <c r="CN39" t="s">
        <v>830</v>
      </c>
      <c r="CO39">
        <v>1258</v>
      </c>
      <c r="CP39">
        <v>147</v>
      </c>
      <c r="CQ39">
        <v>72.321144674099997</v>
      </c>
      <c r="CR39">
        <v>1394</v>
      </c>
      <c r="CS39">
        <v>197</v>
      </c>
      <c r="CT39">
        <v>83.630559540899995</v>
      </c>
      <c r="CU39">
        <v>92.654822335000006</v>
      </c>
      <c r="CW39" t="s">
        <v>378</v>
      </c>
      <c r="CX39" t="s">
        <v>837</v>
      </c>
      <c r="CY39" t="s">
        <v>846</v>
      </c>
      <c r="CZ39">
        <v>630</v>
      </c>
      <c r="DA39">
        <v>186</v>
      </c>
      <c r="DB39">
        <v>92.771428571399994</v>
      </c>
      <c r="DC39">
        <v>328</v>
      </c>
      <c r="DD39">
        <v>57</v>
      </c>
      <c r="DE39">
        <v>150.19512195120001</v>
      </c>
      <c r="DF39">
        <v>162.350877193</v>
      </c>
      <c r="DH39" t="s">
        <v>378</v>
      </c>
      <c r="DI39" t="s">
        <v>805</v>
      </c>
      <c r="DJ39" t="s">
        <v>814</v>
      </c>
      <c r="DK39">
        <v>1219</v>
      </c>
      <c r="DL39">
        <v>323</v>
      </c>
      <c r="DM39">
        <v>86.847415914699994</v>
      </c>
      <c r="DN39">
        <v>578</v>
      </c>
      <c r="DO39">
        <v>78</v>
      </c>
      <c r="DP39">
        <v>143.91003460210001</v>
      </c>
      <c r="DQ39">
        <v>151.0128205128</v>
      </c>
    </row>
    <row r="40" spans="2:121" x14ac:dyDescent="0.2">
      <c r="B40" t="s">
        <v>102</v>
      </c>
      <c r="C40">
        <v>16412</v>
      </c>
      <c r="D40">
        <v>2127</v>
      </c>
      <c r="F40" t="s">
        <v>52</v>
      </c>
      <c r="G40">
        <v>4137</v>
      </c>
      <c r="H40">
        <v>407.60188542420002</v>
      </c>
      <c r="I40">
        <v>4029</v>
      </c>
      <c r="J40">
        <v>1222</v>
      </c>
      <c r="K40">
        <v>6296</v>
      </c>
      <c r="L40">
        <v>4424</v>
      </c>
      <c r="M40">
        <v>2077</v>
      </c>
      <c r="N40">
        <v>1635</v>
      </c>
      <c r="O40">
        <v>2274</v>
      </c>
      <c r="P40">
        <v>1856</v>
      </c>
      <c r="Q40">
        <v>40</v>
      </c>
      <c r="R40">
        <v>183</v>
      </c>
      <c r="T40" t="s">
        <v>8</v>
      </c>
      <c r="U40">
        <v>150</v>
      </c>
      <c r="V40">
        <v>92.746666666699994</v>
      </c>
      <c r="W40">
        <v>206</v>
      </c>
      <c r="X40">
        <v>90</v>
      </c>
      <c r="Y40">
        <v>315</v>
      </c>
      <c r="Z40">
        <v>154</v>
      </c>
      <c r="AA40">
        <v>11</v>
      </c>
      <c r="AB40">
        <v>10</v>
      </c>
      <c r="AC40">
        <v>7</v>
      </c>
      <c r="AD40">
        <v>4</v>
      </c>
      <c r="AE40">
        <v>40</v>
      </c>
      <c r="AF40">
        <v>21</v>
      </c>
      <c r="AH40" t="s">
        <v>405</v>
      </c>
      <c r="AI40">
        <v>7904</v>
      </c>
      <c r="AJ40">
        <v>434.438638664</v>
      </c>
      <c r="AK40">
        <v>4734</v>
      </c>
      <c r="AL40">
        <v>1236</v>
      </c>
      <c r="AM40">
        <v>10603</v>
      </c>
      <c r="AN40">
        <v>7824</v>
      </c>
      <c r="AO40">
        <v>3222</v>
      </c>
      <c r="AP40">
        <v>2684</v>
      </c>
      <c r="AQ40">
        <v>2742</v>
      </c>
      <c r="AR40">
        <v>1409</v>
      </c>
      <c r="AS40">
        <v>8</v>
      </c>
      <c r="AT40">
        <v>75</v>
      </c>
      <c r="AV40" t="s">
        <v>406</v>
      </c>
      <c r="AW40">
        <v>769</v>
      </c>
      <c r="AX40">
        <v>45.713914174300001</v>
      </c>
      <c r="AY40">
        <v>1352</v>
      </c>
      <c r="AZ40">
        <v>51</v>
      </c>
      <c r="BA40">
        <v>1178</v>
      </c>
      <c r="BB40">
        <v>58</v>
      </c>
      <c r="BC40">
        <v>10</v>
      </c>
      <c r="BD40">
        <v>8</v>
      </c>
      <c r="BE40">
        <v>63</v>
      </c>
      <c r="BF40">
        <v>37</v>
      </c>
      <c r="BG40">
        <v>1166</v>
      </c>
      <c r="BH40">
        <v>238</v>
      </c>
      <c r="BJ40" t="s">
        <v>531</v>
      </c>
      <c r="BK40" t="s">
        <v>365</v>
      </c>
      <c r="BL40">
        <v>10672</v>
      </c>
      <c r="BM40">
        <v>2227</v>
      </c>
      <c r="BN40">
        <v>93.0626874063</v>
      </c>
      <c r="BO40">
        <v>9094</v>
      </c>
      <c r="BP40">
        <v>1513</v>
      </c>
      <c r="BQ40">
        <v>144.54684407299999</v>
      </c>
      <c r="BR40">
        <v>137.24058162590001</v>
      </c>
      <c r="BS40">
        <v>10181</v>
      </c>
      <c r="BT40">
        <v>2101</v>
      </c>
      <c r="BU40">
        <v>90.301443866</v>
      </c>
      <c r="BV40">
        <v>9328</v>
      </c>
      <c r="BW40">
        <v>1487</v>
      </c>
      <c r="BX40">
        <v>139.28216123499999</v>
      </c>
      <c r="BY40">
        <v>135.18157363820001</v>
      </c>
      <c r="CA40" t="s">
        <v>371</v>
      </c>
      <c r="CB40" t="s">
        <v>852</v>
      </c>
      <c r="CC40" t="s">
        <v>985</v>
      </c>
      <c r="CD40">
        <v>8575</v>
      </c>
      <c r="CE40">
        <v>2390</v>
      </c>
      <c r="CF40">
        <v>106.9988338192</v>
      </c>
      <c r="CG40">
        <v>8807</v>
      </c>
      <c r="CH40">
        <v>1312</v>
      </c>
      <c r="CI40">
        <v>147.95083456340001</v>
      </c>
      <c r="CJ40">
        <v>140.51524390239999</v>
      </c>
      <c r="CL40" t="s">
        <v>371</v>
      </c>
      <c r="CM40" t="s">
        <v>821</v>
      </c>
      <c r="CN40" t="s">
        <v>831</v>
      </c>
      <c r="CO40">
        <v>1527</v>
      </c>
      <c r="CP40">
        <v>160</v>
      </c>
      <c r="CQ40">
        <v>72.434184675799997</v>
      </c>
      <c r="CR40">
        <v>1688</v>
      </c>
      <c r="CS40">
        <v>217</v>
      </c>
      <c r="CT40">
        <v>82.893957345999993</v>
      </c>
      <c r="CU40">
        <v>92.700460829500003</v>
      </c>
      <c r="CW40" t="s">
        <v>371</v>
      </c>
      <c r="CX40" t="s">
        <v>837</v>
      </c>
      <c r="CY40" t="s">
        <v>847</v>
      </c>
      <c r="CZ40">
        <v>209</v>
      </c>
      <c r="DA40">
        <v>50</v>
      </c>
      <c r="DB40">
        <v>86.574162679400004</v>
      </c>
      <c r="DC40">
        <v>121</v>
      </c>
      <c r="DD40">
        <v>13</v>
      </c>
      <c r="DE40">
        <v>139.50413223140001</v>
      </c>
      <c r="DF40">
        <v>155.23076923080001</v>
      </c>
      <c r="DH40" t="s">
        <v>371</v>
      </c>
      <c r="DI40" t="s">
        <v>805</v>
      </c>
      <c r="DJ40" t="s">
        <v>815</v>
      </c>
      <c r="DK40">
        <v>128</v>
      </c>
      <c r="DL40">
        <v>32</v>
      </c>
      <c r="DM40">
        <v>83.2734375</v>
      </c>
      <c r="DN40">
        <v>123</v>
      </c>
      <c r="DO40">
        <v>23</v>
      </c>
      <c r="DP40">
        <v>130.79674796750001</v>
      </c>
      <c r="DQ40">
        <v>134.9565217391</v>
      </c>
    </row>
    <row r="41" spans="2:121" x14ac:dyDescent="0.2">
      <c r="B41" t="s">
        <v>127</v>
      </c>
      <c r="C41">
        <v>192</v>
      </c>
      <c r="D41">
        <v>95</v>
      </c>
      <c r="F41" t="s">
        <v>25</v>
      </c>
      <c r="G41">
        <v>13142</v>
      </c>
      <c r="H41">
        <v>346.47755288389999</v>
      </c>
      <c r="I41">
        <v>16760</v>
      </c>
      <c r="J41">
        <v>4233</v>
      </c>
      <c r="K41">
        <v>18722</v>
      </c>
      <c r="L41">
        <v>13367</v>
      </c>
      <c r="M41">
        <v>7417</v>
      </c>
      <c r="N41">
        <v>5018</v>
      </c>
      <c r="O41">
        <v>10964</v>
      </c>
      <c r="P41">
        <v>9195</v>
      </c>
      <c r="Q41">
        <v>64</v>
      </c>
      <c r="R41">
        <v>6</v>
      </c>
      <c r="T41" t="s">
        <v>381</v>
      </c>
      <c r="U41">
        <v>1786</v>
      </c>
      <c r="V41">
        <v>46.475363941799998</v>
      </c>
      <c r="W41">
        <v>3204</v>
      </c>
      <c r="X41">
        <v>168</v>
      </c>
      <c r="Y41">
        <v>2614</v>
      </c>
      <c r="Z41">
        <v>147</v>
      </c>
      <c r="AA41">
        <v>25</v>
      </c>
      <c r="AB41">
        <v>19</v>
      </c>
      <c r="AC41">
        <v>159</v>
      </c>
      <c r="AD41">
        <v>65</v>
      </c>
      <c r="AE41">
        <v>2413</v>
      </c>
      <c r="AF41">
        <v>451</v>
      </c>
      <c r="AH41" t="s">
        <v>8</v>
      </c>
      <c r="AI41">
        <v>4229</v>
      </c>
      <c r="AJ41">
        <v>384.31567746510001</v>
      </c>
      <c r="AK41">
        <v>4212</v>
      </c>
      <c r="AL41">
        <v>1730</v>
      </c>
      <c r="AM41">
        <v>5820</v>
      </c>
      <c r="AN41">
        <v>3996</v>
      </c>
      <c r="AO41">
        <v>1460</v>
      </c>
      <c r="AP41">
        <v>795</v>
      </c>
      <c r="AQ41">
        <v>1851</v>
      </c>
      <c r="AR41">
        <v>1124</v>
      </c>
      <c r="AS41">
        <v>435</v>
      </c>
      <c r="AT41">
        <v>136</v>
      </c>
      <c r="AV41" t="s">
        <v>63</v>
      </c>
      <c r="AW41">
        <v>1270</v>
      </c>
      <c r="AX41">
        <v>91.762992126</v>
      </c>
      <c r="AY41">
        <v>2335</v>
      </c>
      <c r="AZ41">
        <v>503</v>
      </c>
      <c r="BA41">
        <v>1779</v>
      </c>
      <c r="BB41">
        <v>578</v>
      </c>
      <c r="BC41">
        <v>40</v>
      </c>
      <c r="BD41">
        <v>40</v>
      </c>
      <c r="BE41">
        <v>74</v>
      </c>
      <c r="BF41">
        <v>31</v>
      </c>
      <c r="BG41">
        <v>176</v>
      </c>
      <c r="BH41">
        <v>400</v>
      </c>
      <c r="BJ41" t="s">
        <v>623</v>
      </c>
      <c r="BK41" t="s">
        <v>365</v>
      </c>
      <c r="BL41">
        <v>1299</v>
      </c>
      <c r="BM41">
        <v>148</v>
      </c>
      <c r="BN41">
        <v>74.936874518899998</v>
      </c>
      <c r="BO41">
        <v>1341</v>
      </c>
      <c r="BP41">
        <v>138</v>
      </c>
      <c r="BQ41">
        <v>107.8061148397</v>
      </c>
      <c r="BR41">
        <v>113.37681159420001</v>
      </c>
      <c r="BS41">
        <v>6017</v>
      </c>
      <c r="BT41">
        <v>1219</v>
      </c>
      <c r="BU41">
        <v>92.806215722100006</v>
      </c>
      <c r="BV41">
        <v>5148</v>
      </c>
      <c r="BW41">
        <v>646</v>
      </c>
      <c r="BX41">
        <v>134.78613053609999</v>
      </c>
      <c r="BY41">
        <v>145.02786377710001</v>
      </c>
      <c r="CA41" t="s">
        <v>368</v>
      </c>
      <c r="CB41" t="s">
        <v>852</v>
      </c>
      <c r="CC41" t="s">
        <v>986</v>
      </c>
      <c r="CD41">
        <v>895</v>
      </c>
      <c r="CE41">
        <v>173</v>
      </c>
      <c r="CF41">
        <v>90.662569832399996</v>
      </c>
      <c r="CG41">
        <v>906</v>
      </c>
      <c r="CH41">
        <v>120</v>
      </c>
      <c r="CI41">
        <v>117.1556291391</v>
      </c>
      <c r="CJ41">
        <v>141.6833333333</v>
      </c>
      <c r="CL41" t="s">
        <v>368</v>
      </c>
      <c r="CM41" t="s">
        <v>821</v>
      </c>
      <c r="CN41" t="s">
        <v>832</v>
      </c>
      <c r="CO41">
        <v>101</v>
      </c>
      <c r="CP41">
        <v>10</v>
      </c>
      <c r="CQ41">
        <v>72.990099009900007</v>
      </c>
      <c r="CR41">
        <v>150</v>
      </c>
      <c r="CS41">
        <v>23</v>
      </c>
      <c r="CT41">
        <v>90.946666666699997</v>
      </c>
      <c r="CU41">
        <v>100.17391304349999</v>
      </c>
      <c r="CW41" t="s">
        <v>368</v>
      </c>
      <c r="CX41" t="s">
        <v>837</v>
      </c>
      <c r="CY41" t="s">
        <v>848</v>
      </c>
      <c r="CZ41">
        <v>11</v>
      </c>
      <c r="DA41">
        <v>5</v>
      </c>
      <c r="DB41">
        <v>119.2727272727</v>
      </c>
      <c r="DC41">
        <v>8</v>
      </c>
      <c r="DD41">
        <v>0</v>
      </c>
      <c r="DE41">
        <v>157.625</v>
      </c>
      <c r="DF41">
        <v>0</v>
      </c>
      <c r="DH41" t="s">
        <v>368</v>
      </c>
      <c r="DI41" t="s">
        <v>805</v>
      </c>
      <c r="DJ41" t="s">
        <v>816</v>
      </c>
      <c r="DK41">
        <v>10</v>
      </c>
      <c r="DL41">
        <v>4</v>
      </c>
      <c r="DM41">
        <v>110</v>
      </c>
      <c r="DN41">
        <v>9</v>
      </c>
      <c r="DO41">
        <v>0</v>
      </c>
      <c r="DP41">
        <v>121</v>
      </c>
      <c r="DQ41">
        <v>0</v>
      </c>
    </row>
    <row r="42" spans="2:121" x14ac:dyDescent="0.2">
      <c r="B42" t="s">
        <v>108</v>
      </c>
      <c r="C42">
        <v>7314</v>
      </c>
      <c r="D42">
        <v>5831</v>
      </c>
      <c r="F42" t="s">
        <v>78</v>
      </c>
      <c r="G42">
        <v>4672</v>
      </c>
      <c r="H42">
        <v>260.67037671230003</v>
      </c>
      <c r="I42">
        <v>5994</v>
      </c>
      <c r="J42">
        <v>1100</v>
      </c>
      <c r="K42">
        <v>6414</v>
      </c>
      <c r="L42">
        <v>4008</v>
      </c>
      <c r="M42">
        <v>2478</v>
      </c>
      <c r="N42">
        <v>1941</v>
      </c>
      <c r="O42">
        <v>5627</v>
      </c>
      <c r="P42">
        <v>4809</v>
      </c>
      <c r="Q42">
        <v>0</v>
      </c>
      <c r="R42">
        <v>68</v>
      </c>
      <c r="T42" t="s">
        <v>400</v>
      </c>
      <c r="U42">
        <v>1583</v>
      </c>
      <c r="V42">
        <v>45.149715729599997</v>
      </c>
      <c r="W42">
        <v>3386</v>
      </c>
      <c r="X42">
        <v>180</v>
      </c>
      <c r="Y42">
        <v>2244</v>
      </c>
      <c r="Z42">
        <v>104</v>
      </c>
      <c r="AA42">
        <v>20</v>
      </c>
      <c r="AB42">
        <v>14</v>
      </c>
      <c r="AC42">
        <v>131</v>
      </c>
      <c r="AD42">
        <v>66</v>
      </c>
      <c r="AE42">
        <v>2675</v>
      </c>
      <c r="AF42">
        <v>448</v>
      </c>
      <c r="AH42" t="s">
        <v>371</v>
      </c>
      <c r="AI42">
        <v>8023</v>
      </c>
      <c r="AJ42">
        <v>442.05509161160001</v>
      </c>
      <c r="AK42">
        <v>8926</v>
      </c>
      <c r="AL42">
        <v>2507</v>
      </c>
      <c r="AM42">
        <v>12262</v>
      </c>
      <c r="AN42">
        <v>8792</v>
      </c>
      <c r="AO42">
        <v>2085</v>
      </c>
      <c r="AP42">
        <v>1320</v>
      </c>
      <c r="AQ42">
        <v>6578</v>
      </c>
      <c r="AR42">
        <v>5114</v>
      </c>
      <c r="AS42">
        <v>1459</v>
      </c>
      <c r="AT42">
        <v>11</v>
      </c>
      <c r="AV42" t="s">
        <v>407</v>
      </c>
      <c r="AW42">
        <v>151</v>
      </c>
      <c r="AX42">
        <v>51.741721854300003</v>
      </c>
      <c r="AY42">
        <v>262</v>
      </c>
      <c r="AZ42">
        <v>30</v>
      </c>
      <c r="BA42">
        <v>251</v>
      </c>
      <c r="BB42">
        <v>18</v>
      </c>
      <c r="BC42">
        <v>6</v>
      </c>
      <c r="BD42">
        <v>4</v>
      </c>
      <c r="BE42">
        <v>9</v>
      </c>
      <c r="BF42">
        <v>1</v>
      </c>
      <c r="BG42">
        <v>75</v>
      </c>
      <c r="BH42">
        <v>30</v>
      </c>
      <c r="BJ42" t="s">
        <v>625</v>
      </c>
      <c r="BK42" t="s">
        <v>365</v>
      </c>
      <c r="BL42">
        <v>574</v>
      </c>
      <c r="BM42">
        <v>153</v>
      </c>
      <c r="BN42">
        <v>100.6655052265</v>
      </c>
      <c r="BO42">
        <v>326</v>
      </c>
      <c r="BP42">
        <v>78</v>
      </c>
      <c r="BQ42">
        <v>139.90490797550001</v>
      </c>
      <c r="BR42">
        <v>127.5769230769</v>
      </c>
      <c r="BS42">
        <v>607</v>
      </c>
      <c r="BT42">
        <v>218</v>
      </c>
      <c r="BU42">
        <v>120.4728171334</v>
      </c>
      <c r="BV42">
        <v>548</v>
      </c>
      <c r="BW42">
        <v>99</v>
      </c>
      <c r="BX42">
        <v>169.30656934309999</v>
      </c>
      <c r="BY42">
        <v>152.0707070707</v>
      </c>
      <c r="CA42" t="s">
        <v>413</v>
      </c>
      <c r="CB42" t="s">
        <v>852</v>
      </c>
      <c r="CC42" t="s">
        <v>987</v>
      </c>
      <c r="CD42">
        <v>508</v>
      </c>
      <c r="CE42">
        <v>124</v>
      </c>
      <c r="CF42">
        <v>96.456692913400005</v>
      </c>
      <c r="CG42">
        <v>358</v>
      </c>
      <c r="CH42">
        <v>72</v>
      </c>
      <c r="CI42">
        <v>139.47486033519999</v>
      </c>
      <c r="CJ42">
        <v>130.7916666667</v>
      </c>
      <c r="CL42" t="s">
        <v>413</v>
      </c>
      <c r="CM42" t="s">
        <v>821</v>
      </c>
      <c r="CN42" t="s">
        <v>833</v>
      </c>
      <c r="CO42">
        <v>53</v>
      </c>
      <c r="CP42">
        <v>5</v>
      </c>
      <c r="CQ42">
        <v>65.849056603799994</v>
      </c>
      <c r="CR42">
        <v>37</v>
      </c>
      <c r="CS42">
        <v>10</v>
      </c>
      <c r="CT42">
        <v>91.054054054100007</v>
      </c>
      <c r="CU42">
        <v>91.3</v>
      </c>
      <c r="CW42" t="s">
        <v>413</v>
      </c>
      <c r="CX42" t="s">
        <v>837</v>
      </c>
      <c r="CY42" t="s">
        <v>849</v>
      </c>
      <c r="CZ42">
        <v>5</v>
      </c>
      <c r="DA42">
        <v>2</v>
      </c>
      <c r="DB42">
        <v>107</v>
      </c>
      <c r="DC42">
        <v>3</v>
      </c>
      <c r="DD42">
        <v>0</v>
      </c>
      <c r="DE42">
        <v>108</v>
      </c>
      <c r="DF42">
        <v>0</v>
      </c>
      <c r="DH42" t="s">
        <v>413</v>
      </c>
      <c r="DI42" t="s">
        <v>805</v>
      </c>
      <c r="DJ42" t="s">
        <v>817</v>
      </c>
      <c r="DK42">
        <v>3</v>
      </c>
      <c r="DL42">
        <v>0</v>
      </c>
      <c r="DM42">
        <v>46</v>
      </c>
      <c r="DN42">
        <v>6</v>
      </c>
      <c r="DO42">
        <v>1</v>
      </c>
      <c r="DP42">
        <v>106</v>
      </c>
      <c r="DQ42">
        <v>170</v>
      </c>
    </row>
    <row r="43" spans="2:121" x14ac:dyDescent="0.2">
      <c r="B43" t="s">
        <v>116</v>
      </c>
      <c r="C43">
        <v>16244</v>
      </c>
      <c r="D43">
        <v>4198</v>
      </c>
      <c r="F43" t="s">
        <v>35</v>
      </c>
      <c r="G43">
        <v>2006</v>
      </c>
      <c r="H43">
        <v>452.84446660020001</v>
      </c>
      <c r="I43">
        <v>1187</v>
      </c>
      <c r="J43">
        <v>308</v>
      </c>
      <c r="K43">
        <v>2725</v>
      </c>
      <c r="L43">
        <v>1959</v>
      </c>
      <c r="M43">
        <v>2156</v>
      </c>
      <c r="N43">
        <v>1850</v>
      </c>
      <c r="O43">
        <v>496</v>
      </c>
      <c r="P43">
        <v>225</v>
      </c>
      <c r="Q43">
        <v>0</v>
      </c>
      <c r="R43">
        <v>2</v>
      </c>
      <c r="AH43" t="s">
        <v>423</v>
      </c>
      <c r="AI43">
        <v>2064</v>
      </c>
      <c r="AJ43">
        <v>303.35125968990002</v>
      </c>
      <c r="AK43">
        <v>3476</v>
      </c>
      <c r="AL43">
        <v>946</v>
      </c>
      <c r="AM43">
        <v>5001</v>
      </c>
      <c r="AN43">
        <v>2687</v>
      </c>
      <c r="AO43">
        <v>950</v>
      </c>
      <c r="AP43">
        <v>695</v>
      </c>
      <c r="AQ43">
        <v>1556</v>
      </c>
      <c r="AR43">
        <v>1083</v>
      </c>
      <c r="AS43">
        <v>369</v>
      </c>
      <c r="AT43">
        <v>2</v>
      </c>
      <c r="AV43" t="s">
        <v>412</v>
      </c>
      <c r="AW43">
        <v>152</v>
      </c>
      <c r="AX43">
        <v>101.5</v>
      </c>
      <c r="AY43">
        <v>146</v>
      </c>
      <c r="AZ43">
        <v>33</v>
      </c>
      <c r="BA43">
        <v>194</v>
      </c>
      <c r="BB43">
        <v>64</v>
      </c>
      <c r="BC43">
        <v>4</v>
      </c>
      <c r="BD43">
        <v>4</v>
      </c>
      <c r="BE43">
        <v>11</v>
      </c>
      <c r="BF43">
        <v>4</v>
      </c>
      <c r="BG43">
        <v>27</v>
      </c>
      <c r="BH43">
        <v>35</v>
      </c>
      <c r="BJ43" t="s">
        <v>639</v>
      </c>
      <c r="BK43" t="s">
        <v>365</v>
      </c>
      <c r="BL43">
        <v>736</v>
      </c>
      <c r="BM43">
        <v>240</v>
      </c>
      <c r="BN43">
        <v>108.2418478261</v>
      </c>
      <c r="BO43">
        <v>721</v>
      </c>
      <c r="BP43">
        <v>105</v>
      </c>
      <c r="BQ43">
        <v>142.8224687933</v>
      </c>
      <c r="BR43">
        <v>152.61904761900001</v>
      </c>
      <c r="BS43">
        <v>538</v>
      </c>
      <c r="BT43">
        <v>108</v>
      </c>
      <c r="BU43">
        <v>80.035315985099999</v>
      </c>
      <c r="BV43">
        <v>337</v>
      </c>
      <c r="BW43">
        <v>53</v>
      </c>
      <c r="BX43">
        <v>118.4866468843</v>
      </c>
      <c r="BY43">
        <v>127.9433962264</v>
      </c>
      <c r="CA43" t="s">
        <v>374</v>
      </c>
      <c r="CB43" t="s">
        <v>852</v>
      </c>
      <c r="CC43" t="s">
        <v>988</v>
      </c>
      <c r="CD43">
        <v>10287</v>
      </c>
      <c r="CE43">
        <v>2210</v>
      </c>
      <c r="CF43">
        <v>94.250121512600003</v>
      </c>
      <c r="CG43">
        <v>9682</v>
      </c>
      <c r="CH43">
        <v>1595</v>
      </c>
      <c r="CI43">
        <v>139.54286304479999</v>
      </c>
      <c r="CJ43">
        <v>132.8457680251</v>
      </c>
      <c r="CL43" t="s">
        <v>374</v>
      </c>
      <c r="CM43" t="s">
        <v>821</v>
      </c>
      <c r="CN43" t="s">
        <v>834</v>
      </c>
      <c r="CO43">
        <v>813</v>
      </c>
      <c r="CP43">
        <v>102</v>
      </c>
      <c r="CQ43">
        <v>75.314883148800007</v>
      </c>
      <c r="CR43">
        <v>902</v>
      </c>
      <c r="CS43">
        <v>110</v>
      </c>
      <c r="CT43">
        <v>91.522172948999994</v>
      </c>
      <c r="CU43">
        <v>105.1</v>
      </c>
      <c r="CW43" t="s">
        <v>374</v>
      </c>
      <c r="CX43" t="s">
        <v>837</v>
      </c>
      <c r="CY43" t="s">
        <v>850</v>
      </c>
      <c r="CZ43">
        <v>706</v>
      </c>
      <c r="DA43">
        <v>199</v>
      </c>
      <c r="DB43">
        <v>93.1501416431</v>
      </c>
      <c r="DC43">
        <v>346</v>
      </c>
      <c r="DD43">
        <v>65</v>
      </c>
      <c r="DE43">
        <v>165.99132947979999</v>
      </c>
      <c r="DF43">
        <v>168</v>
      </c>
      <c r="DH43" t="s">
        <v>374</v>
      </c>
      <c r="DI43" t="s">
        <v>805</v>
      </c>
      <c r="DJ43" t="s">
        <v>818</v>
      </c>
      <c r="DK43">
        <v>1221</v>
      </c>
      <c r="DL43">
        <v>381</v>
      </c>
      <c r="DM43">
        <v>95.204750204800007</v>
      </c>
      <c r="DN43">
        <v>572</v>
      </c>
      <c r="DO43">
        <v>113</v>
      </c>
      <c r="DP43">
        <v>152.27097902099999</v>
      </c>
      <c r="DQ43">
        <v>156.80530973450001</v>
      </c>
    </row>
    <row r="44" spans="2:121" x14ac:dyDescent="0.2">
      <c r="B44" t="s">
        <v>115</v>
      </c>
      <c r="C44">
        <v>8629</v>
      </c>
      <c r="D44">
        <v>567</v>
      </c>
      <c r="F44" t="s">
        <v>69</v>
      </c>
      <c r="G44">
        <v>7146</v>
      </c>
      <c r="H44">
        <v>438.32717604250001</v>
      </c>
      <c r="I44">
        <v>4394</v>
      </c>
      <c r="J44">
        <v>1159</v>
      </c>
      <c r="K44">
        <v>8705</v>
      </c>
      <c r="L44">
        <v>6503</v>
      </c>
      <c r="M44">
        <v>3214</v>
      </c>
      <c r="N44">
        <v>2810</v>
      </c>
      <c r="O44">
        <v>1962</v>
      </c>
      <c r="P44">
        <v>1110</v>
      </c>
      <c r="Q44">
        <v>0</v>
      </c>
      <c r="R44">
        <v>73</v>
      </c>
      <c r="AH44" t="s">
        <v>368</v>
      </c>
      <c r="AI44">
        <v>362</v>
      </c>
      <c r="AJ44">
        <v>257.77900552490001</v>
      </c>
      <c r="AK44">
        <v>889</v>
      </c>
      <c r="AL44">
        <v>183</v>
      </c>
      <c r="AM44">
        <v>709</v>
      </c>
      <c r="AN44">
        <v>372</v>
      </c>
      <c r="AO44">
        <v>294</v>
      </c>
      <c r="AP44">
        <v>204</v>
      </c>
      <c r="AQ44">
        <v>194</v>
      </c>
      <c r="AR44">
        <v>103</v>
      </c>
      <c r="AS44">
        <v>210</v>
      </c>
      <c r="AT44">
        <v>3</v>
      </c>
      <c r="AV44" t="s">
        <v>390</v>
      </c>
      <c r="AW44">
        <v>271</v>
      </c>
      <c r="AX44">
        <v>58.416974169699998</v>
      </c>
      <c r="AY44">
        <v>886</v>
      </c>
      <c r="AZ44">
        <v>108</v>
      </c>
      <c r="BA44">
        <v>446</v>
      </c>
      <c r="BB44">
        <v>30</v>
      </c>
      <c r="BC44">
        <v>1</v>
      </c>
      <c r="BD44">
        <v>1</v>
      </c>
      <c r="BE44">
        <v>47</v>
      </c>
      <c r="BF44">
        <v>12</v>
      </c>
      <c r="BG44">
        <v>79</v>
      </c>
      <c r="BH44">
        <v>121</v>
      </c>
      <c r="BJ44" t="s">
        <v>539</v>
      </c>
      <c r="BK44" t="s">
        <v>365</v>
      </c>
      <c r="BL44">
        <v>16273</v>
      </c>
      <c r="BM44">
        <v>4239</v>
      </c>
      <c r="BN44">
        <v>101.1243778037</v>
      </c>
      <c r="BO44">
        <v>15397</v>
      </c>
      <c r="BP44">
        <v>2275</v>
      </c>
      <c r="BQ44">
        <v>148.93368838090001</v>
      </c>
      <c r="BR44">
        <v>146.5024175824</v>
      </c>
      <c r="BS44">
        <v>10990</v>
      </c>
      <c r="BT44">
        <v>2050</v>
      </c>
      <c r="BU44">
        <v>85.195268425799995</v>
      </c>
      <c r="BV44">
        <v>9771</v>
      </c>
      <c r="BW44">
        <v>1502</v>
      </c>
      <c r="BX44">
        <v>141.1439975438</v>
      </c>
      <c r="BY44">
        <v>135.0079893475</v>
      </c>
      <c r="CA44" t="s">
        <v>375</v>
      </c>
      <c r="CB44" t="s">
        <v>852</v>
      </c>
      <c r="CC44" t="s">
        <v>989</v>
      </c>
      <c r="CD44">
        <v>2559</v>
      </c>
      <c r="CE44">
        <v>418</v>
      </c>
      <c r="CF44">
        <v>86.505275498200007</v>
      </c>
      <c r="CG44">
        <v>2495</v>
      </c>
      <c r="CH44">
        <v>365</v>
      </c>
      <c r="CI44">
        <v>120.6657314629</v>
      </c>
      <c r="CJ44">
        <v>120.63835616439999</v>
      </c>
      <c r="CL44" t="s">
        <v>375</v>
      </c>
      <c r="CM44" t="s">
        <v>821</v>
      </c>
      <c r="CN44" t="s">
        <v>835</v>
      </c>
      <c r="CO44">
        <v>248</v>
      </c>
      <c r="CP44">
        <v>31</v>
      </c>
      <c r="CQ44">
        <v>73.588709677400004</v>
      </c>
      <c r="CR44">
        <v>314</v>
      </c>
      <c r="CS44">
        <v>42</v>
      </c>
      <c r="CT44">
        <v>89.216560509600001</v>
      </c>
      <c r="CU44">
        <v>98.738095238100001</v>
      </c>
      <c r="CW44" t="s">
        <v>375</v>
      </c>
      <c r="CX44" t="s">
        <v>837</v>
      </c>
      <c r="CY44" t="s">
        <v>851</v>
      </c>
      <c r="CZ44">
        <v>20</v>
      </c>
      <c r="DA44">
        <v>6</v>
      </c>
      <c r="DB44">
        <v>87.65</v>
      </c>
      <c r="DC44">
        <v>13</v>
      </c>
      <c r="DD44">
        <v>3</v>
      </c>
      <c r="DE44">
        <v>146.1538461538</v>
      </c>
      <c r="DF44">
        <v>144.3333333333</v>
      </c>
      <c r="DH44" t="s">
        <v>375</v>
      </c>
      <c r="DI44" t="s">
        <v>805</v>
      </c>
      <c r="DJ44" t="s">
        <v>819</v>
      </c>
      <c r="DK44">
        <v>29</v>
      </c>
      <c r="DL44">
        <v>10</v>
      </c>
      <c r="DM44">
        <v>103.3793103448</v>
      </c>
      <c r="DN44">
        <v>19</v>
      </c>
      <c r="DO44">
        <v>5</v>
      </c>
      <c r="DP44">
        <v>138.1052631579</v>
      </c>
      <c r="DQ44">
        <v>185.2</v>
      </c>
    </row>
    <row r="45" spans="2:121" x14ac:dyDescent="0.2">
      <c r="B45" t="s">
        <v>130</v>
      </c>
      <c r="C45">
        <v>60780</v>
      </c>
      <c r="D45">
        <v>54930</v>
      </c>
      <c r="F45" t="s">
        <v>66</v>
      </c>
      <c r="G45">
        <v>6129</v>
      </c>
      <c r="H45">
        <v>389.05645292870003</v>
      </c>
      <c r="I45">
        <v>11281</v>
      </c>
      <c r="J45">
        <v>3045</v>
      </c>
      <c r="K45">
        <v>9274</v>
      </c>
      <c r="L45">
        <v>6654</v>
      </c>
      <c r="M45">
        <v>2044</v>
      </c>
      <c r="N45">
        <v>976</v>
      </c>
      <c r="O45">
        <v>7375</v>
      </c>
      <c r="P45">
        <v>6375</v>
      </c>
      <c r="Q45">
        <v>13016</v>
      </c>
      <c r="R45">
        <v>0</v>
      </c>
      <c r="AH45" t="s">
        <v>379</v>
      </c>
      <c r="AI45">
        <v>10237</v>
      </c>
      <c r="AJ45">
        <v>353.50190485489998</v>
      </c>
      <c r="AK45">
        <v>9130</v>
      </c>
      <c r="AL45">
        <v>2679</v>
      </c>
      <c r="AM45">
        <v>14252</v>
      </c>
      <c r="AN45">
        <v>10498</v>
      </c>
      <c r="AO45">
        <v>2928</v>
      </c>
      <c r="AP45">
        <v>1847</v>
      </c>
      <c r="AQ45">
        <v>3154</v>
      </c>
      <c r="AR45">
        <v>1694</v>
      </c>
      <c r="AS45">
        <v>619</v>
      </c>
      <c r="AT45">
        <v>60</v>
      </c>
      <c r="AV45" t="s">
        <v>417</v>
      </c>
      <c r="AW45">
        <v>16</v>
      </c>
      <c r="AX45">
        <v>48.5625</v>
      </c>
      <c r="AY45">
        <v>16</v>
      </c>
      <c r="BA45">
        <v>25</v>
      </c>
      <c r="BB45">
        <v>3</v>
      </c>
      <c r="BC45">
        <v>0</v>
      </c>
      <c r="BE45">
        <v>1</v>
      </c>
      <c r="BF45">
        <v>1</v>
      </c>
      <c r="BG45">
        <v>58</v>
      </c>
      <c r="BH45">
        <v>2</v>
      </c>
      <c r="BJ45" t="s">
        <v>8</v>
      </c>
      <c r="BK45" t="s">
        <v>8</v>
      </c>
      <c r="BL45">
        <v>187</v>
      </c>
      <c r="BM45">
        <v>125</v>
      </c>
      <c r="BN45">
        <v>198.57219251340001</v>
      </c>
      <c r="BO45">
        <v>378</v>
      </c>
      <c r="BP45">
        <v>31</v>
      </c>
      <c r="BQ45">
        <v>207.4497354497</v>
      </c>
      <c r="BR45">
        <v>259.4838709677</v>
      </c>
      <c r="BS45">
        <v>1025</v>
      </c>
      <c r="BT45">
        <v>290</v>
      </c>
      <c r="BU45">
        <v>108.0390243902</v>
      </c>
      <c r="BV45">
        <v>465</v>
      </c>
      <c r="BW45">
        <v>1</v>
      </c>
      <c r="BX45">
        <v>147.8322580645</v>
      </c>
      <c r="BY45">
        <v>10</v>
      </c>
      <c r="CA45" t="s">
        <v>365</v>
      </c>
      <c r="CB45" t="s">
        <v>852</v>
      </c>
      <c r="CD45">
        <v>66379</v>
      </c>
      <c r="CE45">
        <v>15424</v>
      </c>
      <c r="CF45">
        <v>97.326518929200006</v>
      </c>
      <c r="CG45">
        <v>63851</v>
      </c>
      <c r="CH45">
        <v>9290</v>
      </c>
      <c r="CI45">
        <v>138.28510125139999</v>
      </c>
      <c r="CJ45">
        <v>138.84165769640001</v>
      </c>
      <c r="CL45" t="s">
        <v>365</v>
      </c>
      <c r="CM45" t="s">
        <v>821</v>
      </c>
      <c r="CO45">
        <v>7349</v>
      </c>
      <c r="CP45">
        <v>793</v>
      </c>
      <c r="CQ45">
        <v>73.095659273400003</v>
      </c>
      <c r="CR45">
        <v>8212</v>
      </c>
      <c r="CS45">
        <v>1095</v>
      </c>
      <c r="CT45">
        <v>85.117754505600004</v>
      </c>
      <c r="CU45">
        <v>98.155251141600004</v>
      </c>
      <c r="CW45" t="s">
        <v>365</v>
      </c>
      <c r="CX45" t="s">
        <v>837</v>
      </c>
      <c r="CZ45">
        <v>2469</v>
      </c>
      <c r="DA45">
        <v>674</v>
      </c>
      <c r="DB45">
        <v>91.696233292800002</v>
      </c>
      <c r="DC45">
        <v>1292</v>
      </c>
      <c r="DD45">
        <v>208</v>
      </c>
      <c r="DE45">
        <v>149.52089783279999</v>
      </c>
      <c r="DF45">
        <v>164.50480769230001</v>
      </c>
      <c r="DH45" t="s">
        <v>365</v>
      </c>
      <c r="DI45" t="s">
        <v>805</v>
      </c>
      <c r="DK45">
        <v>3386</v>
      </c>
      <c r="DL45">
        <v>948</v>
      </c>
      <c r="DM45">
        <v>90.938865918499999</v>
      </c>
      <c r="DN45">
        <v>1800</v>
      </c>
      <c r="DO45">
        <v>304</v>
      </c>
      <c r="DP45">
        <v>145.00055555559999</v>
      </c>
      <c r="DQ45">
        <v>154.3322368421</v>
      </c>
    </row>
    <row r="46" spans="2:121" x14ac:dyDescent="0.2">
      <c r="B46" t="s">
        <v>129</v>
      </c>
      <c r="C46">
        <v>10021</v>
      </c>
      <c r="D46">
        <v>7333</v>
      </c>
      <c r="F46" t="s">
        <v>84</v>
      </c>
      <c r="G46">
        <v>1721</v>
      </c>
      <c r="H46">
        <v>182.40034863450001</v>
      </c>
      <c r="I46">
        <v>2693</v>
      </c>
      <c r="J46">
        <v>502</v>
      </c>
      <c r="K46">
        <v>2462</v>
      </c>
      <c r="L46">
        <v>1236</v>
      </c>
      <c r="M46">
        <v>1113</v>
      </c>
      <c r="N46">
        <v>460</v>
      </c>
      <c r="O46">
        <v>285</v>
      </c>
      <c r="P46">
        <v>97</v>
      </c>
      <c r="Q46">
        <v>0</v>
      </c>
      <c r="R46">
        <v>9</v>
      </c>
      <c r="AH46" t="s">
        <v>416</v>
      </c>
      <c r="AI46">
        <v>384</v>
      </c>
      <c r="AJ46">
        <v>267.2708333333</v>
      </c>
      <c r="AK46">
        <v>827</v>
      </c>
      <c r="AL46">
        <v>152</v>
      </c>
      <c r="AM46">
        <v>768</v>
      </c>
      <c r="AN46">
        <v>404</v>
      </c>
      <c r="AO46">
        <v>331</v>
      </c>
      <c r="AP46">
        <v>156</v>
      </c>
      <c r="AQ46">
        <v>146</v>
      </c>
      <c r="AR46">
        <v>80</v>
      </c>
      <c r="AS46">
        <v>1</v>
      </c>
      <c r="AT46">
        <v>1</v>
      </c>
      <c r="AV46" t="s">
        <v>385</v>
      </c>
      <c r="AW46">
        <v>169</v>
      </c>
      <c r="AX46">
        <v>42.863905325399998</v>
      </c>
      <c r="AY46">
        <v>321</v>
      </c>
      <c r="AZ46">
        <v>27</v>
      </c>
      <c r="BA46">
        <v>237</v>
      </c>
      <c r="BB46">
        <v>20</v>
      </c>
      <c r="BC46">
        <v>3</v>
      </c>
      <c r="BD46">
        <v>3</v>
      </c>
      <c r="BE46">
        <v>27</v>
      </c>
      <c r="BF46">
        <v>4</v>
      </c>
      <c r="BG46">
        <v>71</v>
      </c>
      <c r="BH46">
        <v>21</v>
      </c>
      <c r="BJ46" t="s">
        <v>682</v>
      </c>
      <c r="BK46" t="s">
        <v>8</v>
      </c>
      <c r="BL46">
        <v>187</v>
      </c>
      <c r="BM46">
        <v>125</v>
      </c>
      <c r="BN46">
        <v>198.57219251340001</v>
      </c>
      <c r="BO46">
        <v>378</v>
      </c>
      <c r="BP46">
        <v>31</v>
      </c>
      <c r="BQ46">
        <v>207.4497354497</v>
      </c>
      <c r="BR46">
        <v>259.4838709677</v>
      </c>
      <c r="BS46">
        <v>1025</v>
      </c>
      <c r="BT46">
        <v>290</v>
      </c>
      <c r="BU46">
        <v>108.0390243902</v>
      </c>
      <c r="BV46">
        <v>465</v>
      </c>
      <c r="BW46">
        <v>1</v>
      </c>
      <c r="BX46">
        <v>147.8322580645</v>
      </c>
      <c r="BY46">
        <v>10</v>
      </c>
      <c r="CA46" t="s">
        <v>8</v>
      </c>
      <c r="CB46" t="s">
        <v>682</v>
      </c>
      <c r="CC46" t="s">
        <v>682</v>
      </c>
      <c r="CD46">
        <v>3468</v>
      </c>
      <c r="CE46">
        <v>1290</v>
      </c>
      <c r="CF46">
        <v>127.7730680507</v>
      </c>
      <c r="CG46">
        <v>2735</v>
      </c>
      <c r="CH46">
        <v>394</v>
      </c>
      <c r="CI46">
        <v>183.73857404020001</v>
      </c>
      <c r="CJ46">
        <v>168.6370558376</v>
      </c>
      <c r="CL46" t="s">
        <v>8</v>
      </c>
      <c r="CM46" t="s">
        <v>854</v>
      </c>
      <c r="CN46" t="s">
        <v>854</v>
      </c>
      <c r="CO46">
        <v>193</v>
      </c>
      <c r="CP46">
        <v>24</v>
      </c>
      <c r="CQ46">
        <v>76.051813471499997</v>
      </c>
      <c r="CR46">
        <v>262</v>
      </c>
      <c r="CS46">
        <v>32</v>
      </c>
      <c r="CT46">
        <v>90.717557251900004</v>
      </c>
      <c r="CU46">
        <v>111</v>
      </c>
      <c r="CW46" t="s">
        <v>8</v>
      </c>
      <c r="CX46" t="s">
        <v>855</v>
      </c>
      <c r="CY46" t="s">
        <v>855</v>
      </c>
      <c r="CZ46">
        <v>30</v>
      </c>
      <c r="DA46">
        <v>8</v>
      </c>
      <c r="DB46">
        <v>93.633333333300001</v>
      </c>
      <c r="DC46">
        <v>16</v>
      </c>
      <c r="DD46">
        <v>4</v>
      </c>
      <c r="DE46">
        <v>141.375</v>
      </c>
      <c r="DF46">
        <v>155.5</v>
      </c>
      <c r="DH46" t="s">
        <v>8</v>
      </c>
      <c r="DI46" t="s">
        <v>853</v>
      </c>
      <c r="DJ46" t="s">
        <v>853</v>
      </c>
      <c r="DK46">
        <v>81</v>
      </c>
      <c r="DL46">
        <v>10</v>
      </c>
      <c r="DM46">
        <v>77.925925925900003</v>
      </c>
      <c r="DN46">
        <v>40</v>
      </c>
      <c r="DO46">
        <v>3</v>
      </c>
      <c r="DP46">
        <v>114.875</v>
      </c>
      <c r="DQ46">
        <v>155</v>
      </c>
    </row>
    <row r="47" spans="2:121" x14ac:dyDescent="0.2">
      <c r="B47" t="s">
        <v>111</v>
      </c>
      <c r="C47">
        <v>525</v>
      </c>
      <c r="D47">
        <v>436</v>
      </c>
      <c r="F47" t="s">
        <v>81</v>
      </c>
      <c r="G47">
        <v>1495</v>
      </c>
      <c r="H47">
        <v>258.81672240799998</v>
      </c>
      <c r="I47">
        <v>1163</v>
      </c>
      <c r="J47">
        <v>143</v>
      </c>
      <c r="K47">
        <v>2225</v>
      </c>
      <c r="L47">
        <v>1369</v>
      </c>
      <c r="M47">
        <v>1316</v>
      </c>
      <c r="N47">
        <v>887</v>
      </c>
      <c r="O47">
        <v>396</v>
      </c>
      <c r="P47">
        <v>196</v>
      </c>
      <c r="Q47">
        <v>1</v>
      </c>
      <c r="R47">
        <v>0</v>
      </c>
      <c r="AH47" t="s">
        <v>380</v>
      </c>
      <c r="AI47">
        <v>6507</v>
      </c>
      <c r="AJ47">
        <v>296.48178884279997</v>
      </c>
      <c r="AK47">
        <v>9754</v>
      </c>
      <c r="AL47">
        <v>2382</v>
      </c>
      <c r="AM47">
        <v>11062</v>
      </c>
      <c r="AN47">
        <v>5717</v>
      </c>
      <c r="AO47">
        <v>3551</v>
      </c>
      <c r="AP47">
        <v>2420</v>
      </c>
      <c r="AQ47">
        <v>2526</v>
      </c>
      <c r="AR47">
        <v>1536</v>
      </c>
      <c r="AS47">
        <v>574</v>
      </c>
      <c r="AT47">
        <v>255</v>
      </c>
      <c r="AV47" t="s">
        <v>419</v>
      </c>
      <c r="AW47">
        <v>54</v>
      </c>
      <c r="AX47">
        <v>94</v>
      </c>
      <c r="AY47">
        <v>111</v>
      </c>
      <c r="AZ47">
        <v>17</v>
      </c>
      <c r="BA47">
        <v>79</v>
      </c>
      <c r="BB47">
        <v>27</v>
      </c>
      <c r="BC47">
        <v>5</v>
      </c>
      <c r="BD47">
        <v>4</v>
      </c>
      <c r="BE47">
        <v>8</v>
      </c>
      <c r="BF47">
        <v>3</v>
      </c>
      <c r="BG47">
        <v>14</v>
      </c>
      <c r="BH47">
        <v>28</v>
      </c>
      <c r="BJ47" t="s">
        <v>582</v>
      </c>
      <c r="BK47" t="s">
        <v>400</v>
      </c>
      <c r="BL47">
        <v>3119</v>
      </c>
      <c r="BM47">
        <v>537</v>
      </c>
      <c r="BN47">
        <v>95.301699262599996</v>
      </c>
      <c r="BO47">
        <v>2543</v>
      </c>
      <c r="BP47">
        <v>383</v>
      </c>
      <c r="BQ47">
        <v>146.35351946520001</v>
      </c>
      <c r="BR47">
        <v>142.8981723238</v>
      </c>
      <c r="BS47">
        <v>2378</v>
      </c>
      <c r="BT47">
        <v>427</v>
      </c>
      <c r="BU47">
        <v>92.075693860399994</v>
      </c>
      <c r="BV47">
        <v>2110</v>
      </c>
      <c r="BW47">
        <v>298</v>
      </c>
      <c r="BX47">
        <v>145.7549763033</v>
      </c>
      <c r="BY47">
        <v>142.3926174497</v>
      </c>
      <c r="CA47" t="s">
        <v>8</v>
      </c>
      <c r="CB47" t="s">
        <v>682</v>
      </c>
      <c r="CC47" t="s">
        <v>682</v>
      </c>
      <c r="CD47">
        <v>3468</v>
      </c>
      <c r="CE47">
        <v>1290</v>
      </c>
      <c r="CF47">
        <v>127.7730680507</v>
      </c>
      <c r="CG47">
        <v>2735</v>
      </c>
      <c r="CH47">
        <v>394</v>
      </c>
      <c r="CI47">
        <v>183.73857404020001</v>
      </c>
      <c r="CJ47">
        <v>168.6370558376</v>
      </c>
      <c r="CL47" t="s">
        <v>8</v>
      </c>
      <c r="CM47" t="s">
        <v>854</v>
      </c>
      <c r="CN47" t="s">
        <v>854</v>
      </c>
      <c r="CO47">
        <v>193</v>
      </c>
      <c r="CP47">
        <v>24</v>
      </c>
      <c r="CQ47">
        <v>76.051813471499997</v>
      </c>
      <c r="CR47">
        <v>262</v>
      </c>
      <c r="CS47">
        <v>32</v>
      </c>
      <c r="CT47">
        <v>90.717557251900004</v>
      </c>
      <c r="CU47">
        <v>111</v>
      </c>
      <c r="CW47" t="s">
        <v>8</v>
      </c>
      <c r="CX47" t="s">
        <v>855</v>
      </c>
      <c r="CY47" t="s">
        <v>855</v>
      </c>
      <c r="CZ47">
        <v>30</v>
      </c>
      <c r="DA47">
        <v>8</v>
      </c>
      <c r="DB47">
        <v>93.633333333300001</v>
      </c>
      <c r="DC47">
        <v>16</v>
      </c>
      <c r="DD47">
        <v>4</v>
      </c>
      <c r="DE47">
        <v>141.375</v>
      </c>
      <c r="DF47">
        <v>155.5</v>
      </c>
      <c r="DH47" t="s">
        <v>8</v>
      </c>
      <c r="DI47" t="s">
        <v>853</v>
      </c>
      <c r="DJ47" t="s">
        <v>853</v>
      </c>
      <c r="DK47">
        <v>81</v>
      </c>
      <c r="DL47">
        <v>10</v>
      </c>
      <c r="DM47">
        <v>77.925925925900003</v>
      </c>
      <c r="DN47">
        <v>40</v>
      </c>
      <c r="DO47">
        <v>3</v>
      </c>
      <c r="DP47">
        <v>114.875</v>
      </c>
      <c r="DQ47">
        <v>155</v>
      </c>
    </row>
    <row r="48" spans="2:121" x14ac:dyDescent="0.2">
      <c r="B48" t="s">
        <v>21</v>
      </c>
      <c r="C48">
        <v>40521</v>
      </c>
      <c r="D48">
        <v>13176</v>
      </c>
      <c r="F48" t="s">
        <v>51</v>
      </c>
      <c r="G48">
        <v>7570</v>
      </c>
      <c r="H48">
        <v>564.11492734479998</v>
      </c>
      <c r="I48">
        <v>4646</v>
      </c>
      <c r="J48">
        <v>926</v>
      </c>
      <c r="K48">
        <v>11954</v>
      </c>
      <c r="L48">
        <v>8583</v>
      </c>
      <c r="M48">
        <v>1992</v>
      </c>
      <c r="N48">
        <v>1344</v>
      </c>
      <c r="O48">
        <v>1850</v>
      </c>
      <c r="P48">
        <v>1418</v>
      </c>
      <c r="Q48">
        <v>1</v>
      </c>
      <c r="R48">
        <v>199</v>
      </c>
      <c r="AH48" t="s">
        <v>406</v>
      </c>
      <c r="AI48">
        <v>30229</v>
      </c>
      <c r="AJ48">
        <v>358.2684839062</v>
      </c>
      <c r="AK48">
        <v>35072</v>
      </c>
      <c r="AL48">
        <v>7687</v>
      </c>
      <c r="AM48">
        <v>41047</v>
      </c>
      <c r="AN48">
        <v>26652</v>
      </c>
      <c r="AO48">
        <v>9343</v>
      </c>
      <c r="AP48">
        <v>5188</v>
      </c>
      <c r="AQ48">
        <v>13572</v>
      </c>
      <c r="AR48">
        <v>7123</v>
      </c>
      <c r="AS48">
        <v>32</v>
      </c>
      <c r="AT48">
        <v>404</v>
      </c>
      <c r="AV48" t="s">
        <v>415</v>
      </c>
      <c r="AW48">
        <v>19</v>
      </c>
      <c r="AX48">
        <v>33</v>
      </c>
      <c r="AY48">
        <v>39</v>
      </c>
      <c r="AZ48">
        <v>1</v>
      </c>
      <c r="BA48">
        <v>28</v>
      </c>
      <c r="BC48">
        <v>0</v>
      </c>
      <c r="BE48">
        <v>0</v>
      </c>
      <c r="BG48">
        <v>61</v>
      </c>
      <c r="BH48">
        <v>4</v>
      </c>
      <c r="BJ48" t="s">
        <v>641</v>
      </c>
      <c r="BK48" t="s">
        <v>400</v>
      </c>
      <c r="BL48">
        <v>1326</v>
      </c>
      <c r="BM48">
        <v>312</v>
      </c>
      <c r="BN48">
        <v>95.766214177999998</v>
      </c>
      <c r="BO48">
        <v>678</v>
      </c>
      <c r="BP48">
        <v>123</v>
      </c>
      <c r="BQ48">
        <v>142.77581120939999</v>
      </c>
      <c r="BR48">
        <v>142.7154471545</v>
      </c>
      <c r="BS48">
        <v>1077</v>
      </c>
      <c r="BT48">
        <v>303</v>
      </c>
      <c r="BU48">
        <v>106.9582172702</v>
      </c>
      <c r="BV48">
        <v>676</v>
      </c>
      <c r="BW48">
        <v>112</v>
      </c>
      <c r="BX48">
        <v>146.8446745562</v>
      </c>
      <c r="BY48">
        <v>142.07142857139999</v>
      </c>
      <c r="CA48" t="s">
        <v>8</v>
      </c>
      <c r="CB48" t="s">
        <v>682</v>
      </c>
      <c r="CC48" t="s">
        <v>682</v>
      </c>
      <c r="CD48">
        <v>3468</v>
      </c>
      <c r="CE48">
        <v>1290</v>
      </c>
      <c r="CF48">
        <v>127.7730680507</v>
      </c>
      <c r="CG48">
        <v>2735</v>
      </c>
      <c r="CH48">
        <v>394</v>
      </c>
      <c r="CI48">
        <v>183.73857404020001</v>
      </c>
      <c r="CJ48">
        <v>168.6370558376</v>
      </c>
      <c r="CL48" t="s">
        <v>8</v>
      </c>
      <c r="CM48" t="s">
        <v>854</v>
      </c>
      <c r="CN48" t="s">
        <v>854</v>
      </c>
      <c r="CO48">
        <v>193</v>
      </c>
      <c r="CP48">
        <v>24</v>
      </c>
      <c r="CQ48">
        <v>76.051813471499997</v>
      </c>
      <c r="CR48">
        <v>262</v>
      </c>
      <c r="CS48">
        <v>32</v>
      </c>
      <c r="CT48">
        <v>90.717557251900004</v>
      </c>
      <c r="CU48">
        <v>111</v>
      </c>
      <c r="CW48" t="s">
        <v>8</v>
      </c>
      <c r="CX48" t="s">
        <v>855</v>
      </c>
      <c r="CY48" t="s">
        <v>855</v>
      </c>
      <c r="CZ48">
        <v>30</v>
      </c>
      <c r="DA48">
        <v>8</v>
      </c>
      <c r="DB48">
        <v>93.633333333300001</v>
      </c>
      <c r="DC48">
        <v>16</v>
      </c>
      <c r="DD48">
        <v>4</v>
      </c>
      <c r="DE48">
        <v>141.375</v>
      </c>
      <c r="DF48">
        <v>155.5</v>
      </c>
      <c r="DH48" t="s">
        <v>8</v>
      </c>
      <c r="DI48" t="s">
        <v>853</v>
      </c>
      <c r="DJ48" t="s">
        <v>853</v>
      </c>
      <c r="DK48">
        <v>81</v>
      </c>
      <c r="DL48">
        <v>10</v>
      </c>
      <c r="DM48">
        <v>77.925925925900003</v>
      </c>
      <c r="DN48">
        <v>40</v>
      </c>
      <c r="DO48">
        <v>3</v>
      </c>
      <c r="DP48">
        <v>114.875</v>
      </c>
      <c r="DQ48">
        <v>155</v>
      </c>
    </row>
    <row r="49" spans="2:121" x14ac:dyDescent="0.2">
      <c r="B49" t="s">
        <v>105</v>
      </c>
      <c r="C49">
        <v>20092</v>
      </c>
      <c r="D49">
        <v>14656</v>
      </c>
      <c r="F49" t="s">
        <v>79</v>
      </c>
      <c r="G49">
        <v>2643</v>
      </c>
      <c r="H49">
        <v>142.81346954220001</v>
      </c>
      <c r="I49">
        <v>9076</v>
      </c>
      <c r="J49">
        <v>1674</v>
      </c>
      <c r="K49">
        <v>11541</v>
      </c>
      <c r="L49">
        <v>3163</v>
      </c>
      <c r="M49">
        <v>1386</v>
      </c>
      <c r="N49">
        <v>249</v>
      </c>
      <c r="O49">
        <v>1147</v>
      </c>
      <c r="P49">
        <v>633</v>
      </c>
      <c r="Q49">
        <v>29</v>
      </c>
      <c r="R49">
        <v>0</v>
      </c>
      <c r="AH49" t="s">
        <v>402</v>
      </c>
      <c r="AI49">
        <v>2019</v>
      </c>
      <c r="AJ49">
        <v>300.67756315010001</v>
      </c>
      <c r="AK49">
        <v>2125</v>
      </c>
      <c r="AL49">
        <v>529</v>
      </c>
      <c r="AM49">
        <v>2716</v>
      </c>
      <c r="AN49">
        <v>1681</v>
      </c>
      <c r="AO49">
        <v>669</v>
      </c>
      <c r="AP49">
        <v>346</v>
      </c>
      <c r="AQ49">
        <v>396</v>
      </c>
      <c r="AR49">
        <v>175</v>
      </c>
      <c r="AS49">
        <v>1</v>
      </c>
      <c r="AT49">
        <v>1</v>
      </c>
      <c r="AV49" t="s">
        <v>374</v>
      </c>
      <c r="AW49">
        <v>828</v>
      </c>
      <c r="AX49">
        <v>91.233091787399999</v>
      </c>
      <c r="AY49">
        <v>883</v>
      </c>
      <c r="AZ49">
        <v>177</v>
      </c>
      <c r="BA49">
        <v>1094</v>
      </c>
      <c r="BB49">
        <v>342</v>
      </c>
      <c r="BC49">
        <v>148</v>
      </c>
      <c r="BD49">
        <v>147</v>
      </c>
      <c r="BE49">
        <v>59</v>
      </c>
      <c r="BF49">
        <v>26</v>
      </c>
      <c r="BG49">
        <v>179</v>
      </c>
      <c r="BH49">
        <v>326</v>
      </c>
      <c r="BJ49" t="s">
        <v>597</v>
      </c>
      <c r="BK49" t="s">
        <v>400</v>
      </c>
      <c r="BL49">
        <v>1383</v>
      </c>
      <c r="BM49">
        <v>277</v>
      </c>
      <c r="BN49">
        <v>86.271872740399999</v>
      </c>
      <c r="BO49">
        <v>1472</v>
      </c>
      <c r="BP49">
        <v>184</v>
      </c>
      <c r="BQ49">
        <v>119.65013586960001</v>
      </c>
      <c r="BR49">
        <v>125.9347826087</v>
      </c>
      <c r="BS49">
        <v>1766</v>
      </c>
      <c r="BT49">
        <v>370</v>
      </c>
      <c r="BU49">
        <v>86.259909399799994</v>
      </c>
      <c r="BV49">
        <v>1674</v>
      </c>
      <c r="BW49">
        <v>204</v>
      </c>
      <c r="BX49">
        <v>131.6152927121</v>
      </c>
      <c r="BY49">
        <v>135.92156862749999</v>
      </c>
      <c r="CA49" t="s">
        <v>8</v>
      </c>
      <c r="CB49" t="s">
        <v>682</v>
      </c>
      <c r="CD49">
        <v>3468</v>
      </c>
      <c r="CE49">
        <v>1290</v>
      </c>
      <c r="CF49">
        <v>127.7730680507</v>
      </c>
      <c r="CG49">
        <v>2735</v>
      </c>
      <c r="CH49">
        <v>394</v>
      </c>
      <c r="CI49">
        <v>183.73857404020001</v>
      </c>
      <c r="CJ49">
        <v>168.6370558376</v>
      </c>
      <c r="CL49" t="s">
        <v>8</v>
      </c>
      <c r="CM49" t="s">
        <v>854</v>
      </c>
      <c r="CO49">
        <v>193</v>
      </c>
      <c r="CP49">
        <v>24</v>
      </c>
      <c r="CQ49">
        <v>76.051813471499997</v>
      </c>
      <c r="CR49">
        <v>262</v>
      </c>
      <c r="CS49">
        <v>32</v>
      </c>
      <c r="CT49">
        <v>90.717557251900004</v>
      </c>
      <c r="CU49">
        <v>111</v>
      </c>
      <c r="CW49" t="s">
        <v>8</v>
      </c>
      <c r="CX49" t="s">
        <v>855</v>
      </c>
      <c r="CZ49">
        <v>30</v>
      </c>
      <c r="DA49">
        <v>8</v>
      </c>
      <c r="DB49">
        <v>93.633333333300001</v>
      </c>
      <c r="DC49">
        <v>16</v>
      </c>
      <c r="DD49">
        <v>4</v>
      </c>
      <c r="DE49">
        <v>141.375</v>
      </c>
      <c r="DF49">
        <v>155.5</v>
      </c>
      <c r="DH49" t="s">
        <v>8</v>
      </c>
      <c r="DI49" t="s">
        <v>853</v>
      </c>
      <c r="DK49">
        <v>81</v>
      </c>
      <c r="DL49">
        <v>10</v>
      </c>
      <c r="DM49">
        <v>77.925925925900003</v>
      </c>
      <c r="DN49">
        <v>40</v>
      </c>
      <c r="DO49">
        <v>3</v>
      </c>
      <c r="DP49">
        <v>114.875</v>
      </c>
      <c r="DQ49">
        <v>155</v>
      </c>
    </row>
    <row r="50" spans="2:121" x14ac:dyDescent="0.2">
      <c r="B50" t="s">
        <v>120</v>
      </c>
      <c r="C50">
        <v>4476</v>
      </c>
      <c r="D50">
        <v>882</v>
      </c>
      <c r="F50" t="s">
        <v>56</v>
      </c>
      <c r="G50">
        <v>7630</v>
      </c>
      <c r="H50">
        <v>493.45072083880001</v>
      </c>
      <c r="I50">
        <v>4097</v>
      </c>
      <c r="J50">
        <v>1060</v>
      </c>
      <c r="K50">
        <v>11898</v>
      </c>
      <c r="L50">
        <v>7881</v>
      </c>
      <c r="M50">
        <v>3490</v>
      </c>
      <c r="N50">
        <v>2990</v>
      </c>
      <c r="O50">
        <v>1047</v>
      </c>
      <c r="P50">
        <v>424</v>
      </c>
      <c r="Q50">
        <v>132</v>
      </c>
      <c r="R50">
        <v>260</v>
      </c>
      <c r="AH50" t="s">
        <v>413</v>
      </c>
      <c r="AI50">
        <v>441</v>
      </c>
      <c r="AJ50">
        <v>364.57142857140002</v>
      </c>
      <c r="AK50">
        <v>482</v>
      </c>
      <c r="AL50">
        <v>110</v>
      </c>
      <c r="AM50">
        <v>945</v>
      </c>
      <c r="AN50">
        <v>482</v>
      </c>
      <c r="AO50">
        <v>210</v>
      </c>
      <c r="AP50">
        <v>144</v>
      </c>
      <c r="AQ50">
        <v>124</v>
      </c>
      <c r="AR50">
        <v>81</v>
      </c>
      <c r="AS50">
        <v>91</v>
      </c>
      <c r="AT50">
        <v>1</v>
      </c>
      <c r="AV50" t="s">
        <v>402</v>
      </c>
      <c r="AW50">
        <v>73</v>
      </c>
      <c r="AX50">
        <v>45.424657534200001</v>
      </c>
      <c r="AY50">
        <v>152</v>
      </c>
      <c r="AZ50">
        <v>7</v>
      </c>
      <c r="BA50">
        <v>87</v>
      </c>
      <c r="BB50">
        <v>3</v>
      </c>
      <c r="BC50">
        <v>0</v>
      </c>
      <c r="BE50">
        <v>5</v>
      </c>
      <c r="BG50">
        <v>113</v>
      </c>
      <c r="BH50">
        <v>11</v>
      </c>
      <c r="BJ50" t="s">
        <v>637</v>
      </c>
      <c r="BK50" t="s">
        <v>400</v>
      </c>
      <c r="BL50">
        <v>1842</v>
      </c>
      <c r="BM50">
        <v>393</v>
      </c>
      <c r="BN50">
        <v>86.564603691599999</v>
      </c>
      <c r="BO50">
        <v>2297</v>
      </c>
      <c r="BP50">
        <v>296</v>
      </c>
      <c r="BQ50">
        <v>142.85459294730001</v>
      </c>
      <c r="BR50">
        <v>141.4932432432</v>
      </c>
      <c r="BS50">
        <v>2074</v>
      </c>
      <c r="BT50">
        <v>283</v>
      </c>
      <c r="BU50">
        <v>77.638379942100002</v>
      </c>
      <c r="BV50">
        <v>1810</v>
      </c>
      <c r="BW50">
        <v>276</v>
      </c>
      <c r="BX50">
        <v>134.5983425414</v>
      </c>
      <c r="BY50">
        <v>126.18115942030001</v>
      </c>
      <c r="CA50" t="s">
        <v>420</v>
      </c>
      <c r="CB50" t="s">
        <v>886</v>
      </c>
      <c r="CC50" t="s">
        <v>1011</v>
      </c>
      <c r="CD50">
        <v>1299</v>
      </c>
      <c r="CE50">
        <v>281</v>
      </c>
      <c r="CF50">
        <v>94.093148575800001</v>
      </c>
      <c r="CG50">
        <v>939</v>
      </c>
      <c r="CH50">
        <v>154</v>
      </c>
      <c r="CI50">
        <v>107.1352502662</v>
      </c>
      <c r="CJ50">
        <v>115.7142857143</v>
      </c>
      <c r="CL50" t="s">
        <v>420</v>
      </c>
      <c r="CM50" t="s">
        <v>867</v>
      </c>
      <c r="CN50" t="s">
        <v>866</v>
      </c>
      <c r="CO50">
        <v>42</v>
      </c>
      <c r="CP50">
        <v>4</v>
      </c>
      <c r="CQ50">
        <v>68.095238095200003</v>
      </c>
      <c r="CR50">
        <v>47</v>
      </c>
      <c r="CS50">
        <v>9</v>
      </c>
      <c r="CT50">
        <v>70.723404255299997</v>
      </c>
      <c r="CU50">
        <v>60</v>
      </c>
      <c r="CW50" t="s">
        <v>420</v>
      </c>
      <c r="CX50" t="s">
        <v>877</v>
      </c>
      <c r="CY50" t="s">
        <v>876</v>
      </c>
      <c r="CZ50">
        <v>25</v>
      </c>
      <c r="DA50">
        <v>4</v>
      </c>
      <c r="DB50">
        <v>76.56</v>
      </c>
      <c r="DC50">
        <v>11</v>
      </c>
      <c r="DD50">
        <v>1</v>
      </c>
      <c r="DE50">
        <v>125.0909090909</v>
      </c>
      <c r="DF50">
        <v>166</v>
      </c>
      <c r="DH50" t="s">
        <v>420</v>
      </c>
      <c r="DI50" t="s">
        <v>857</v>
      </c>
      <c r="DJ50" t="s">
        <v>856</v>
      </c>
      <c r="DK50">
        <v>41</v>
      </c>
      <c r="DL50">
        <v>7</v>
      </c>
      <c r="DM50">
        <v>80.048780487800002</v>
      </c>
      <c r="DN50">
        <v>28</v>
      </c>
      <c r="DO50">
        <v>3</v>
      </c>
      <c r="DP50">
        <v>127.6071428571</v>
      </c>
      <c r="DQ50">
        <v>139.6666666667</v>
      </c>
    </row>
    <row r="51" spans="2:121" x14ac:dyDescent="0.2">
      <c r="B51" t="s">
        <v>128</v>
      </c>
      <c r="C51">
        <v>28985</v>
      </c>
      <c r="D51">
        <v>6094</v>
      </c>
      <c r="F51" t="s">
        <v>426</v>
      </c>
      <c r="G51">
        <v>33086</v>
      </c>
      <c r="H51">
        <v>555.43136069640002</v>
      </c>
      <c r="I51">
        <v>1367</v>
      </c>
      <c r="J51">
        <v>533</v>
      </c>
      <c r="K51">
        <v>33568</v>
      </c>
      <c r="L51">
        <v>32680</v>
      </c>
      <c r="M51">
        <v>1082</v>
      </c>
      <c r="N51">
        <v>647</v>
      </c>
      <c r="O51">
        <v>1384</v>
      </c>
      <c r="P51">
        <v>1242</v>
      </c>
      <c r="Q51">
        <v>0</v>
      </c>
      <c r="R51">
        <v>0</v>
      </c>
      <c r="AH51" t="s">
        <v>374</v>
      </c>
      <c r="AI51">
        <v>17163</v>
      </c>
      <c r="AJ51">
        <v>461.79263532020002</v>
      </c>
      <c r="AK51">
        <v>12361</v>
      </c>
      <c r="AL51">
        <v>2841</v>
      </c>
      <c r="AM51">
        <v>21786</v>
      </c>
      <c r="AN51">
        <v>15437</v>
      </c>
      <c r="AO51">
        <v>8354</v>
      </c>
      <c r="AP51">
        <v>6154</v>
      </c>
      <c r="AQ51">
        <v>7066</v>
      </c>
      <c r="AR51">
        <v>4988</v>
      </c>
      <c r="AS51">
        <v>897</v>
      </c>
      <c r="AT51">
        <v>15</v>
      </c>
      <c r="AV51" t="s">
        <v>369</v>
      </c>
      <c r="AW51">
        <v>205</v>
      </c>
      <c r="AX51">
        <v>101.4829268293</v>
      </c>
      <c r="AY51">
        <v>401</v>
      </c>
      <c r="AZ51">
        <v>92</v>
      </c>
      <c r="BA51">
        <v>285</v>
      </c>
      <c r="BB51">
        <v>99</v>
      </c>
      <c r="BC51">
        <v>3</v>
      </c>
      <c r="BD51">
        <v>3</v>
      </c>
      <c r="BE51">
        <v>22</v>
      </c>
      <c r="BF51">
        <v>4</v>
      </c>
      <c r="BG51">
        <v>31</v>
      </c>
      <c r="BH51">
        <v>73</v>
      </c>
      <c r="BJ51" t="s">
        <v>589</v>
      </c>
      <c r="BK51" t="s">
        <v>400</v>
      </c>
      <c r="BL51">
        <v>8620</v>
      </c>
      <c r="BM51">
        <v>1811</v>
      </c>
      <c r="BN51">
        <v>90.923781902599998</v>
      </c>
      <c r="BO51">
        <v>8732</v>
      </c>
      <c r="BP51">
        <v>1209</v>
      </c>
      <c r="BQ51">
        <v>140.49507558409999</v>
      </c>
      <c r="BR51">
        <v>136.02894954510001</v>
      </c>
      <c r="BS51">
        <v>7731</v>
      </c>
      <c r="BT51">
        <v>1152</v>
      </c>
      <c r="BU51">
        <v>77.661363342399994</v>
      </c>
      <c r="BV51">
        <v>7007</v>
      </c>
      <c r="BW51">
        <v>1057</v>
      </c>
      <c r="BX51">
        <v>118.13115455969999</v>
      </c>
      <c r="BY51">
        <v>117.74929044469999</v>
      </c>
      <c r="CA51" t="s">
        <v>422</v>
      </c>
      <c r="CB51" t="s">
        <v>886</v>
      </c>
      <c r="CC51" t="s">
        <v>1012</v>
      </c>
      <c r="CD51">
        <v>6349</v>
      </c>
      <c r="CE51">
        <v>1346</v>
      </c>
      <c r="CF51">
        <v>93.393762797299999</v>
      </c>
      <c r="CG51">
        <v>5677</v>
      </c>
      <c r="CH51">
        <v>934</v>
      </c>
      <c r="CI51">
        <v>135.524220539</v>
      </c>
      <c r="CJ51">
        <v>137.91113490359999</v>
      </c>
      <c r="CL51" t="s">
        <v>422</v>
      </c>
      <c r="CM51" t="s">
        <v>867</v>
      </c>
      <c r="CN51" t="s">
        <v>868</v>
      </c>
      <c r="CO51">
        <v>497</v>
      </c>
      <c r="CP51">
        <v>52</v>
      </c>
      <c r="CQ51">
        <v>62.883299798800003</v>
      </c>
      <c r="CR51">
        <v>1002</v>
      </c>
      <c r="CS51">
        <v>123</v>
      </c>
      <c r="CT51">
        <v>64.609780439100007</v>
      </c>
      <c r="CU51">
        <v>60.1707317073</v>
      </c>
      <c r="CW51" t="s">
        <v>422</v>
      </c>
      <c r="CX51" t="s">
        <v>877</v>
      </c>
      <c r="CY51" t="s">
        <v>878</v>
      </c>
      <c r="CZ51">
        <v>206</v>
      </c>
      <c r="DA51">
        <v>40</v>
      </c>
      <c r="DB51">
        <v>84.708737864100002</v>
      </c>
      <c r="DC51">
        <v>137</v>
      </c>
      <c r="DD51">
        <v>18</v>
      </c>
      <c r="DE51">
        <v>138.7372262774</v>
      </c>
      <c r="DF51">
        <v>156.2222222222</v>
      </c>
      <c r="DH51" t="s">
        <v>422</v>
      </c>
      <c r="DI51" t="s">
        <v>857</v>
      </c>
      <c r="DJ51" t="s">
        <v>858</v>
      </c>
      <c r="DK51">
        <v>124</v>
      </c>
      <c r="DL51">
        <v>29</v>
      </c>
      <c r="DM51">
        <v>88.903225806500004</v>
      </c>
      <c r="DN51">
        <v>112</v>
      </c>
      <c r="DO51">
        <v>15</v>
      </c>
      <c r="DP51">
        <v>129.92857142860001</v>
      </c>
      <c r="DQ51">
        <v>142.6666666667</v>
      </c>
    </row>
    <row r="52" spans="2:121" x14ac:dyDescent="0.2">
      <c r="B52" t="s">
        <v>104</v>
      </c>
      <c r="C52">
        <v>213862</v>
      </c>
      <c r="D52">
        <v>151436</v>
      </c>
      <c r="F52" t="s">
        <v>43</v>
      </c>
      <c r="G52">
        <v>6191</v>
      </c>
      <c r="H52">
        <v>451.9153610079</v>
      </c>
      <c r="I52">
        <v>8516</v>
      </c>
      <c r="J52">
        <v>2474</v>
      </c>
      <c r="K52">
        <v>8665</v>
      </c>
      <c r="L52">
        <v>6002</v>
      </c>
      <c r="M52">
        <v>3288</v>
      </c>
      <c r="N52">
        <v>2356</v>
      </c>
      <c r="O52">
        <v>790</v>
      </c>
      <c r="P52">
        <v>390</v>
      </c>
      <c r="Q52">
        <v>0</v>
      </c>
      <c r="R52">
        <v>56</v>
      </c>
      <c r="AH52" t="s">
        <v>83</v>
      </c>
      <c r="AI52">
        <v>12288</v>
      </c>
      <c r="AJ52">
        <v>391.52978515630002</v>
      </c>
      <c r="AK52">
        <v>6300</v>
      </c>
      <c r="AL52">
        <v>1193</v>
      </c>
      <c r="AM52">
        <v>18278</v>
      </c>
      <c r="AN52">
        <v>13242</v>
      </c>
      <c r="AO52">
        <v>4549</v>
      </c>
      <c r="AP52">
        <v>3272</v>
      </c>
      <c r="AQ52">
        <v>5950</v>
      </c>
      <c r="AR52">
        <v>4002</v>
      </c>
      <c r="AS52">
        <v>11</v>
      </c>
      <c r="AT52">
        <v>140</v>
      </c>
      <c r="AV52" t="s">
        <v>388</v>
      </c>
      <c r="AW52">
        <v>193</v>
      </c>
      <c r="AX52">
        <v>60.5751295337</v>
      </c>
      <c r="AY52">
        <v>598</v>
      </c>
      <c r="AZ52">
        <v>76</v>
      </c>
      <c r="BA52">
        <v>332</v>
      </c>
      <c r="BB52">
        <v>27</v>
      </c>
      <c r="BC52">
        <v>3</v>
      </c>
      <c r="BD52">
        <v>3</v>
      </c>
      <c r="BE52">
        <v>27</v>
      </c>
      <c r="BF52">
        <v>11</v>
      </c>
      <c r="BG52">
        <v>49</v>
      </c>
      <c r="BH52">
        <v>63</v>
      </c>
      <c r="BJ52" t="s">
        <v>611</v>
      </c>
      <c r="BK52" t="s">
        <v>400</v>
      </c>
      <c r="BL52">
        <v>772</v>
      </c>
      <c r="BM52">
        <v>184</v>
      </c>
      <c r="BN52">
        <v>99.615284974100007</v>
      </c>
      <c r="BO52">
        <v>831</v>
      </c>
      <c r="BP52">
        <v>140</v>
      </c>
      <c r="BQ52">
        <v>137.2635379061</v>
      </c>
      <c r="BR52">
        <v>129</v>
      </c>
      <c r="BS52">
        <v>1628</v>
      </c>
      <c r="BT52">
        <v>580</v>
      </c>
      <c r="BU52">
        <v>129.4533169533</v>
      </c>
      <c r="BV52">
        <v>1717</v>
      </c>
      <c r="BW52">
        <v>288</v>
      </c>
      <c r="BX52">
        <v>186.05125218399999</v>
      </c>
      <c r="BY52">
        <v>166.1979166667</v>
      </c>
      <c r="CA52" t="s">
        <v>403</v>
      </c>
      <c r="CB52" t="s">
        <v>886</v>
      </c>
      <c r="CC52" t="s">
        <v>1013</v>
      </c>
      <c r="CD52">
        <v>28913</v>
      </c>
      <c r="CE52">
        <v>6056</v>
      </c>
      <c r="CF52">
        <v>91.532805312500003</v>
      </c>
      <c r="CG52">
        <v>26275</v>
      </c>
      <c r="CH52">
        <v>3653</v>
      </c>
      <c r="CI52">
        <v>141.02234062799999</v>
      </c>
      <c r="CJ52">
        <v>144.2619764577</v>
      </c>
      <c r="CL52" t="s">
        <v>403</v>
      </c>
      <c r="CM52" t="s">
        <v>867</v>
      </c>
      <c r="CN52" t="s">
        <v>869</v>
      </c>
      <c r="CO52">
        <v>1935</v>
      </c>
      <c r="CP52">
        <v>175</v>
      </c>
      <c r="CQ52">
        <v>61.096124031000002</v>
      </c>
      <c r="CR52">
        <v>4315</v>
      </c>
      <c r="CS52">
        <v>566</v>
      </c>
      <c r="CT52">
        <v>63.466743916600002</v>
      </c>
      <c r="CU52">
        <v>63.565371024699999</v>
      </c>
      <c r="CW52" t="s">
        <v>403</v>
      </c>
      <c r="CX52" t="s">
        <v>877</v>
      </c>
      <c r="CY52" t="s">
        <v>879</v>
      </c>
      <c r="CZ52">
        <v>1478</v>
      </c>
      <c r="DA52">
        <v>296</v>
      </c>
      <c r="DB52">
        <v>84.773342354500002</v>
      </c>
      <c r="DC52">
        <v>857</v>
      </c>
      <c r="DD52">
        <v>103</v>
      </c>
      <c r="DE52">
        <v>134.682613769</v>
      </c>
      <c r="DF52">
        <v>154.86407766990001</v>
      </c>
      <c r="DH52" t="s">
        <v>403</v>
      </c>
      <c r="DI52" t="s">
        <v>857</v>
      </c>
      <c r="DJ52" t="s">
        <v>859</v>
      </c>
      <c r="DK52">
        <v>760</v>
      </c>
      <c r="DL52">
        <v>145</v>
      </c>
      <c r="DM52">
        <v>81.3539473684</v>
      </c>
      <c r="DN52">
        <v>567</v>
      </c>
      <c r="DO52">
        <v>88</v>
      </c>
      <c r="DP52">
        <v>125.7619047619</v>
      </c>
      <c r="DQ52">
        <v>144.7272727273</v>
      </c>
    </row>
    <row r="53" spans="2:121" x14ac:dyDescent="0.2">
      <c r="B53" t="s">
        <v>123</v>
      </c>
      <c r="C53">
        <v>516</v>
      </c>
      <c r="D53">
        <v>513</v>
      </c>
      <c r="F53" t="s">
        <v>75</v>
      </c>
      <c r="G53">
        <v>1787</v>
      </c>
      <c r="H53">
        <v>303.38500279800002</v>
      </c>
      <c r="I53">
        <v>3441</v>
      </c>
      <c r="J53">
        <v>938</v>
      </c>
      <c r="K53">
        <v>2933</v>
      </c>
      <c r="L53">
        <v>2202</v>
      </c>
      <c r="M53">
        <v>856</v>
      </c>
      <c r="N53">
        <v>621</v>
      </c>
      <c r="O53">
        <v>1036</v>
      </c>
      <c r="P53">
        <v>774</v>
      </c>
      <c r="Q53">
        <v>0</v>
      </c>
      <c r="R53">
        <v>2</v>
      </c>
      <c r="AH53" t="s">
        <v>375</v>
      </c>
      <c r="AI53">
        <v>2200</v>
      </c>
      <c r="AJ53">
        <v>268.25181818179999</v>
      </c>
      <c r="AK53">
        <v>2478</v>
      </c>
      <c r="AL53">
        <v>458</v>
      </c>
      <c r="AM53">
        <v>3644</v>
      </c>
      <c r="AN53">
        <v>2258</v>
      </c>
      <c r="AO53">
        <v>458</v>
      </c>
      <c r="AP53">
        <v>216</v>
      </c>
      <c r="AQ53">
        <v>1368</v>
      </c>
      <c r="AR53">
        <v>1003</v>
      </c>
      <c r="AS53">
        <v>371</v>
      </c>
      <c r="AT53">
        <v>13</v>
      </c>
      <c r="AV53" t="s">
        <v>397</v>
      </c>
      <c r="AW53">
        <v>165</v>
      </c>
      <c r="AX53">
        <v>40.1575757576</v>
      </c>
      <c r="AY53">
        <v>299</v>
      </c>
      <c r="AZ53">
        <v>9</v>
      </c>
      <c r="BA53">
        <v>232</v>
      </c>
      <c r="BB53">
        <v>7</v>
      </c>
      <c r="BC53">
        <v>2</v>
      </c>
      <c r="BD53">
        <v>2</v>
      </c>
      <c r="BE53">
        <v>7</v>
      </c>
      <c r="BF53">
        <v>3</v>
      </c>
      <c r="BG53">
        <v>598</v>
      </c>
      <c r="BH53">
        <v>23</v>
      </c>
      <c r="BJ53" t="s">
        <v>587</v>
      </c>
      <c r="BK53" t="s">
        <v>400</v>
      </c>
      <c r="BL53">
        <v>11166</v>
      </c>
      <c r="BM53">
        <v>2792</v>
      </c>
      <c r="BN53">
        <v>99.935608095999996</v>
      </c>
      <c r="BO53">
        <v>8159</v>
      </c>
      <c r="BP53">
        <v>1124</v>
      </c>
      <c r="BQ53">
        <v>154.50667974020001</v>
      </c>
      <c r="BR53">
        <v>153.14946619220001</v>
      </c>
      <c r="BS53">
        <v>8332</v>
      </c>
      <c r="BT53">
        <v>2011</v>
      </c>
      <c r="BU53">
        <v>95.500720115199996</v>
      </c>
      <c r="BV53">
        <v>5056</v>
      </c>
      <c r="BW53">
        <v>706</v>
      </c>
      <c r="BX53">
        <v>138.12183544300001</v>
      </c>
      <c r="BY53">
        <v>152.6912181303</v>
      </c>
      <c r="CA53" t="s">
        <v>424</v>
      </c>
      <c r="CB53" t="s">
        <v>886</v>
      </c>
      <c r="CC53" t="s">
        <v>1014</v>
      </c>
      <c r="CD53">
        <v>1789</v>
      </c>
      <c r="CE53">
        <v>282</v>
      </c>
      <c r="CF53">
        <v>83.475684740099993</v>
      </c>
      <c r="CG53">
        <v>2182</v>
      </c>
      <c r="CH53">
        <v>314</v>
      </c>
      <c r="CI53">
        <v>121.1374885426</v>
      </c>
      <c r="CJ53">
        <v>114.5668789809</v>
      </c>
      <c r="CL53" t="s">
        <v>424</v>
      </c>
      <c r="CM53" t="s">
        <v>867</v>
      </c>
      <c r="CN53" t="s">
        <v>870</v>
      </c>
      <c r="CO53">
        <v>65</v>
      </c>
      <c r="CP53">
        <v>8</v>
      </c>
      <c r="CQ53">
        <v>69.738461538500005</v>
      </c>
      <c r="CR53">
        <v>135</v>
      </c>
      <c r="CS53">
        <v>20</v>
      </c>
      <c r="CT53">
        <v>63.711111111100003</v>
      </c>
      <c r="CU53">
        <v>62.05</v>
      </c>
      <c r="CW53" t="s">
        <v>424</v>
      </c>
      <c r="CX53" t="s">
        <v>877</v>
      </c>
      <c r="CY53" t="s">
        <v>880</v>
      </c>
      <c r="CZ53">
        <v>42</v>
      </c>
      <c r="DA53">
        <v>9</v>
      </c>
      <c r="DB53">
        <v>81.333333333300004</v>
      </c>
      <c r="DC53">
        <v>24</v>
      </c>
      <c r="DD53">
        <v>3</v>
      </c>
      <c r="DE53">
        <v>137.75</v>
      </c>
      <c r="DF53">
        <v>150</v>
      </c>
      <c r="DH53" t="s">
        <v>424</v>
      </c>
      <c r="DI53" t="s">
        <v>857</v>
      </c>
      <c r="DJ53" t="s">
        <v>860</v>
      </c>
      <c r="DK53">
        <v>113</v>
      </c>
      <c r="DL53">
        <v>13</v>
      </c>
      <c r="DM53">
        <v>65.584070796500001</v>
      </c>
      <c r="DN53">
        <v>48</v>
      </c>
      <c r="DO53">
        <v>6</v>
      </c>
      <c r="DP53">
        <v>119.8125</v>
      </c>
      <c r="DQ53">
        <v>158</v>
      </c>
    </row>
    <row r="54" spans="2:121" x14ac:dyDescent="0.2">
      <c r="F54" t="s">
        <v>45</v>
      </c>
      <c r="G54">
        <v>3360</v>
      </c>
      <c r="H54">
        <v>279.00625000000002</v>
      </c>
      <c r="I54">
        <v>6790</v>
      </c>
      <c r="J54">
        <v>1736</v>
      </c>
      <c r="K54">
        <v>7429</v>
      </c>
      <c r="L54">
        <v>3772</v>
      </c>
      <c r="M54">
        <v>1481</v>
      </c>
      <c r="N54">
        <v>1045</v>
      </c>
      <c r="O54">
        <v>3736</v>
      </c>
      <c r="P54">
        <v>427</v>
      </c>
      <c r="Q54">
        <v>2</v>
      </c>
      <c r="R54">
        <v>201</v>
      </c>
      <c r="AH54" t="s">
        <v>392</v>
      </c>
      <c r="AI54">
        <v>4191</v>
      </c>
      <c r="AJ54">
        <v>288.88117394419999</v>
      </c>
      <c r="AK54">
        <v>3835</v>
      </c>
      <c r="AL54">
        <v>762</v>
      </c>
      <c r="AM54">
        <v>6292</v>
      </c>
      <c r="AN54">
        <v>3305</v>
      </c>
      <c r="AO54">
        <v>706</v>
      </c>
      <c r="AP54">
        <v>468</v>
      </c>
      <c r="AQ54">
        <v>914</v>
      </c>
      <c r="AR54">
        <v>512</v>
      </c>
      <c r="AS54">
        <v>419</v>
      </c>
      <c r="AT54">
        <v>6</v>
      </c>
      <c r="AV54" t="s">
        <v>375</v>
      </c>
      <c r="AW54">
        <v>268</v>
      </c>
      <c r="AX54">
        <v>90.992537313400007</v>
      </c>
      <c r="AY54">
        <v>301</v>
      </c>
      <c r="AZ54">
        <v>55</v>
      </c>
      <c r="BA54">
        <v>342</v>
      </c>
      <c r="BB54">
        <v>108</v>
      </c>
      <c r="BC54">
        <v>7</v>
      </c>
      <c r="BD54">
        <v>7</v>
      </c>
      <c r="BE54">
        <v>14</v>
      </c>
      <c r="BF54">
        <v>9</v>
      </c>
      <c r="BG54">
        <v>48</v>
      </c>
      <c r="BH54">
        <v>81</v>
      </c>
      <c r="BJ54" t="s">
        <v>400</v>
      </c>
      <c r="BK54" t="s">
        <v>400</v>
      </c>
      <c r="BL54">
        <v>58180</v>
      </c>
      <c r="BM54">
        <v>12034</v>
      </c>
      <c r="BN54">
        <v>91.531265039499999</v>
      </c>
      <c r="BO54">
        <v>62734</v>
      </c>
      <c r="BP54">
        <v>8983</v>
      </c>
      <c r="BQ54">
        <v>123.39214779860001</v>
      </c>
      <c r="BR54">
        <v>124.98452632750001</v>
      </c>
      <c r="BS54">
        <v>57115</v>
      </c>
      <c r="BT54">
        <v>11245</v>
      </c>
      <c r="BU54">
        <v>89.125186028200005</v>
      </c>
      <c r="BV54">
        <v>60500</v>
      </c>
      <c r="BW54">
        <v>8805</v>
      </c>
      <c r="BX54">
        <v>119.5958512397</v>
      </c>
      <c r="BY54">
        <v>121.6605337876</v>
      </c>
      <c r="CA54" t="s">
        <v>404</v>
      </c>
      <c r="CB54" t="s">
        <v>886</v>
      </c>
      <c r="CC54" t="s">
        <v>1015</v>
      </c>
      <c r="CD54">
        <v>1456</v>
      </c>
      <c r="CE54">
        <v>294</v>
      </c>
      <c r="CF54">
        <v>86.595467033000006</v>
      </c>
      <c r="CG54">
        <v>1583</v>
      </c>
      <c r="CH54">
        <v>192</v>
      </c>
      <c r="CI54">
        <v>117.4832596336</v>
      </c>
      <c r="CJ54">
        <v>124.4166666667</v>
      </c>
      <c r="CL54" t="s">
        <v>404</v>
      </c>
      <c r="CM54" t="s">
        <v>867</v>
      </c>
      <c r="CN54" t="s">
        <v>871</v>
      </c>
      <c r="CO54">
        <v>123</v>
      </c>
      <c r="CP54">
        <v>9</v>
      </c>
      <c r="CQ54">
        <v>67.439024390200004</v>
      </c>
      <c r="CR54">
        <v>231</v>
      </c>
      <c r="CS54">
        <v>34</v>
      </c>
      <c r="CT54">
        <v>53.852813852799997</v>
      </c>
      <c r="CU54">
        <v>47.617647058800003</v>
      </c>
      <c r="CW54" t="s">
        <v>404</v>
      </c>
      <c r="CX54" t="s">
        <v>877</v>
      </c>
      <c r="CY54" t="s">
        <v>881</v>
      </c>
      <c r="CZ54">
        <v>45</v>
      </c>
      <c r="DA54">
        <v>11</v>
      </c>
      <c r="DB54">
        <v>91.866666666699999</v>
      </c>
      <c r="DC54">
        <v>21</v>
      </c>
      <c r="DD54">
        <v>3</v>
      </c>
      <c r="DE54">
        <v>132.04761904759999</v>
      </c>
      <c r="DF54">
        <v>131.3333333333</v>
      </c>
      <c r="DH54" t="s">
        <v>404</v>
      </c>
      <c r="DI54" t="s">
        <v>857</v>
      </c>
      <c r="DJ54" t="s">
        <v>861</v>
      </c>
      <c r="DK54">
        <v>54</v>
      </c>
      <c r="DL54">
        <v>14</v>
      </c>
      <c r="DM54">
        <v>74.962962962999995</v>
      </c>
      <c r="DN54">
        <v>37</v>
      </c>
      <c r="DO54">
        <v>6</v>
      </c>
      <c r="DP54">
        <v>122.18918918919999</v>
      </c>
      <c r="DQ54">
        <v>146</v>
      </c>
    </row>
    <row r="55" spans="2:121" x14ac:dyDescent="0.2">
      <c r="F55" t="s">
        <v>53</v>
      </c>
      <c r="G55">
        <v>2108</v>
      </c>
      <c r="H55">
        <v>149.6461100569</v>
      </c>
      <c r="I55">
        <v>2174</v>
      </c>
      <c r="J55">
        <v>256</v>
      </c>
      <c r="K55">
        <v>3410</v>
      </c>
      <c r="L55">
        <v>1325</v>
      </c>
      <c r="M55">
        <v>820</v>
      </c>
      <c r="N55">
        <v>588</v>
      </c>
      <c r="O55">
        <v>614</v>
      </c>
      <c r="P55">
        <v>263</v>
      </c>
      <c r="Q55">
        <v>2</v>
      </c>
      <c r="R55">
        <v>16</v>
      </c>
      <c r="AH55" t="s">
        <v>417</v>
      </c>
      <c r="AI55">
        <v>471</v>
      </c>
      <c r="AJ55">
        <v>334.69639065820002</v>
      </c>
      <c r="AK55">
        <v>848</v>
      </c>
      <c r="AL55">
        <v>110</v>
      </c>
      <c r="AM55">
        <v>829</v>
      </c>
      <c r="AN55">
        <v>463</v>
      </c>
      <c r="AO55">
        <v>180</v>
      </c>
      <c r="AP55">
        <v>94</v>
      </c>
      <c r="AQ55">
        <v>166</v>
      </c>
      <c r="AR55">
        <v>81</v>
      </c>
      <c r="AS55">
        <v>2</v>
      </c>
      <c r="AT55">
        <v>2</v>
      </c>
      <c r="AV55" t="s">
        <v>420</v>
      </c>
      <c r="AW55">
        <v>14</v>
      </c>
      <c r="AX55">
        <v>44.428571428600002</v>
      </c>
      <c r="AY55">
        <v>19</v>
      </c>
      <c r="BA55">
        <v>22</v>
      </c>
      <c r="BC55">
        <v>0</v>
      </c>
      <c r="BE55">
        <v>0</v>
      </c>
      <c r="BG55">
        <v>30</v>
      </c>
      <c r="BH55">
        <v>5</v>
      </c>
      <c r="BJ55" t="s">
        <v>591</v>
      </c>
      <c r="BK55" t="s">
        <v>400</v>
      </c>
      <c r="BL55">
        <v>4732</v>
      </c>
      <c r="BM55">
        <v>1150</v>
      </c>
      <c r="BN55">
        <v>95.033178360099996</v>
      </c>
      <c r="BO55">
        <v>4475</v>
      </c>
      <c r="BP55">
        <v>698</v>
      </c>
      <c r="BQ55">
        <v>139.39262569830001</v>
      </c>
      <c r="BR55">
        <v>145.9455587393</v>
      </c>
      <c r="BS55">
        <v>6799</v>
      </c>
      <c r="BT55">
        <v>1684</v>
      </c>
      <c r="BU55">
        <v>98.148551257500003</v>
      </c>
      <c r="BV55">
        <v>6495</v>
      </c>
      <c r="BW55">
        <v>949</v>
      </c>
      <c r="BX55">
        <v>147.79676674359999</v>
      </c>
      <c r="BY55">
        <v>146.91148577449999</v>
      </c>
      <c r="CA55" t="s">
        <v>409</v>
      </c>
      <c r="CB55" t="s">
        <v>886</v>
      </c>
      <c r="CC55" t="s">
        <v>1016</v>
      </c>
      <c r="CD55">
        <v>3335</v>
      </c>
      <c r="CE55">
        <v>759</v>
      </c>
      <c r="CF55">
        <v>96.004497751100004</v>
      </c>
      <c r="CG55">
        <v>3557</v>
      </c>
      <c r="CH55">
        <v>504</v>
      </c>
      <c r="CI55">
        <v>147.13775653639999</v>
      </c>
      <c r="CJ55">
        <v>135.71031746029999</v>
      </c>
      <c r="CL55" t="s">
        <v>409</v>
      </c>
      <c r="CM55" t="s">
        <v>867</v>
      </c>
      <c r="CN55" t="s">
        <v>872</v>
      </c>
      <c r="CO55">
        <v>224</v>
      </c>
      <c r="CP55">
        <v>23</v>
      </c>
      <c r="CQ55">
        <v>67.107142857100001</v>
      </c>
      <c r="CR55">
        <v>453</v>
      </c>
      <c r="CS55">
        <v>63</v>
      </c>
      <c r="CT55">
        <v>59.682119205299998</v>
      </c>
      <c r="CU55">
        <v>53.571428571399998</v>
      </c>
      <c r="CW55" t="s">
        <v>409</v>
      </c>
      <c r="CX55" t="s">
        <v>877</v>
      </c>
      <c r="CY55" t="s">
        <v>882</v>
      </c>
      <c r="CZ55">
        <v>108</v>
      </c>
      <c r="DA55">
        <v>20</v>
      </c>
      <c r="DB55">
        <v>84.537037037000005</v>
      </c>
      <c r="DC55">
        <v>66</v>
      </c>
      <c r="DD55">
        <v>14</v>
      </c>
      <c r="DE55">
        <v>146.48484848480001</v>
      </c>
      <c r="DF55">
        <v>145.78571428570001</v>
      </c>
      <c r="DH55" t="s">
        <v>409</v>
      </c>
      <c r="DI55" t="s">
        <v>857</v>
      </c>
      <c r="DJ55" t="s">
        <v>862</v>
      </c>
      <c r="DK55">
        <v>105</v>
      </c>
      <c r="DL55">
        <v>15</v>
      </c>
      <c r="DM55">
        <v>74.333333333300004</v>
      </c>
      <c r="DN55">
        <v>73</v>
      </c>
      <c r="DO55">
        <v>12</v>
      </c>
      <c r="DP55">
        <v>132.31506849319999</v>
      </c>
      <c r="DQ55">
        <v>129.4166666667</v>
      </c>
    </row>
    <row r="56" spans="2:121" x14ac:dyDescent="0.2">
      <c r="F56" t="s">
        <v>65</v>
      </c>
      <c r="G56">
        <v>7861</v>
      </c>
      <c r="H56">
        <v>401.91324258999998</v>
      </c>
      <c r="I56">
        <v>11282</v>
      </c>
      <c r="J56">
        <v>2755</v>
      </c>
      <c r="K56">
        <v>10774</v>
      </c>
      <c r="L56">
        <v>8328</v>
      </c>
      <c r="M56">
        <v>3988</v>
      </c>
      <c r="N56">
        <v>3332</v>
      </c>
      <c r="O56">
        <v>2281</v>
      </c>
      <c r="P56">
        <v>1738</v>
      </c>
      <c r="Q56">
        <v>0</v>
      </c>
      <c r="R56">
        <v>31</v>
      </c>
      <c r="BJ56" t="s">
        <v>599</v>
      </c>
      <c r="BK56" t="s">
        <v>400</v>
      </c>
      <c r="BL56">
        <v>4690</v>
      </c>
      <c r="BM56">
        <v>1165</v>
      </c>
      <c r="BN56">
        <v>101.4669509595</v>
      </c>
      <c r="BO56">
        <v>4351</v>
      </c>
      <c r="BP56">
        <v>598</v>
      </c>
      <c r="BQ56">
        <v>142.86784647210001</v>
      </c>
      <c r="BR56">
        <v>140.7424749164</v>
      </c>
      <c r="BS56">
        <v>4834</v>
      </c>
      <c r="BT56">
        <v>1124</v>
      </c>
      <c r="BU56">
        <v>96.387256930099994</v>
      </c>
      <c r="BV56">
        <v>4501</v>
      </c>
      <c r="BW56">
        <v>599</v>
      </c>
      <c r="BX56">
        <v>137.48900244390001</v>
      </c>
      <c r="BY56">
        <v>137.54924874790001</v>
      </c>
      <c r="CA56" t="s">
        <v>401</v>
      </c>
      <c r="CB56" t="s">
        <v>886</v>
      </c>
      <c r="CC56" t="s">
        <v>1017</v>
      </c>
      <c r="CD56">
        <v>2667</v>
      </c>
      <c r="CE56">
        <v>537</v>
      </c>
      <c r="CF56">
        <v>96.017997750299998</v>
      </c>
      <c r="CG56">
        <v>2493</v>
      </c>
      <c r="CH56">
        <v>326</v>
      </c>
      <c r="CI56">
        <v>148.73525872440001</v>
      </c>
      <c r="CJ56">
        <v>144.94478527609999</v>
      </c>
      <c r="CL56" t="s">
        <v>401</v>
      </c>
      <c r="CM56" t="s">
        <v>867</v>
      </c>
      <c r="CN56" t="s">
        <v>873</v>
      </c>
      <c r="CO56">
        <v>181</v>
      </c>
      <c r="CP56">
        <v>9</v>
      </c>
      <c r="CQ56">
        <v>52.6629834254</v>
      </c>
      <c r="CR56">
        <v>338</v>
      </c>
      <c r="CS56">
        <v>45</v>
      </c>
      <c r="CT56">
        <v>58.431952662699999</v>
      </c>
      <c r="CU56">
        <v>51.711111111100003</v>
      </c>
      <c r="CW56" t="s">
        <v>401</v>
      </c>
      <c r="CX56" t="s">
        <v>877</v>
      </c>
      <c r="CY56" t="s">
        <v>883</v>
      </c>
      <c r="CZ56">
        <v>69</v>
      </c>
      <c r="DA56">
        <v>18</v>
      </c>
      <c r="DB56">
        <v>79.884057971000004</v>
      </c>
      <c r="DC56">
        <v>39</v>
      </c>
      <c r="DD56">
        <v>5</v>
      </c>
      <c r="DE56">
        <v>174.8205128205</v>
      </c>
      <c r="DF56">
        <v>200.4</v>
      </c>
      <c r="DH56" t="s">
        <v>401</v>
      </c>
      <c r="DI56" t="s">
        <v>857</v>
      </c>
      <c r="DJ56" t="s">
        <v>863</v>
      </c>
      <c r="DK56">
        <v>80</v>
      </c>
      <c r="DL56">
        <v>17</v>
      </c>
      <c r="DM56">
        <v>88.987499999999997</v>
      </c>
      <c r="DN56">
        <v>35</v>
      </c>
      <c r="DO56">
        <v>1</v>
      </c>
      <c r="DP56">
        <v>143.42857142860001</v>
      </c>
      <c r="DQ56">
        <v>167</v>
      </c>
    </row>
    <row r="57" spans="2:121" x14ac:dyDescent="0.2">
      <c r="F57" t="s">
        <v>67</v>
      </c>
      <c r="G57">
        <v>4611</v>
      </c>
      <c r="H57">
        <v>256.2925612665</v>
      </c>
      <c r="I57">
        <v>4223</v>
      </c>
      <c r="J57">
        <v>1116</v>
      </c>
      <c r="K57">
        <v>5722</v>
      </c>
      <c r="L57">
        <v>3323</v>
      </c>
      <c r="M57">
        <v>1093</v>
      </c>
      <c r="N57">
        <v>304</v>
      </c>
      <c r="O57">
        <v>2597</v>
      </c>
      <c r="P57">
        <v>2051</v>
      </c>
      <c r="Q57">
        <v>1</v>
      </c>
      <c r="R57">
        <v>70</v>
      </c>
      <c r="BJ57" t="s">
        <v>607</v>
      </c>
      <c r="BK57" t="s">
        <v>400</v>
      </c>
      <c r="BL57">
        <v>3160</v>
      </c>
      <c r="BM57">
        <v>708</v>
      </c>
      <c r="BN57">
        <v>97.584810126600004</v>
      </c>
      <c r="BO57">
        <v>3269</v>
      </c>
      <c r="BP57">
        <v>458</v>
      </c>
      <c r="BQ57">
        <v>150.363413888</v>
      </c>
      <c r="BR57">
        <v>137.29912663760001</v>
      </c>
      <c r="BS57">
        <v>2618</v>
      </c>
      <c r="BT57">
        <v>443</v>
      </c>
      <c r="BU57">
        <v>87.606951871700005</v>
      </c>
      <c r="BV57">
        <v>2508</v>
      </c>
      <c r="BW57">
        <v>375</v>
      </c>
      <c r="BX57">
        <v>127.0761562998</v>
      </c>
      <c r="BY57">
        <v>124.1786666667</v>
      </c>
      <c r="CA57" t="s">
        <v>405</v>
      </c>
      <c r="CB57" t="s">
        <v>886</v>
      </c>
      <c r="CC57" t="s">
        <v>1018</v>
      </c>
      <c r="CD57">
        <v>4743</v>
      </c>
      <c r="CE57">
        <v>1180</v>
      </c>
      <c r="CF57">
        <v>101.04364326380001</v>
      </c>
      <c r="CG57">
        <v>4443</v>
      </c>
      <c r="CH57">
        <v>627</v>
      </c>
      <c r="CI57">
        <v>141.99887463429999</v>
      </c>
      <c r="CJ57">
        <v>142.6602870813</v>
      </c>
      <c r="CL57" t="s">
        <v>405</v>
      </c>
      <c r="CM57" t="s">
        <v>867</v>
      </c>
      <c r="CN57" t="s">
        <v>874</v>
      </c>
      <c r="CO57">
        <v>294</v>
      </c>
      <c r="CP57">
        <v>30</v>
      </c>
      <c r="CQ57">
        <v>64.384353741499993</v>
      </c>
      <c r="CR57">
        <v>699</v>
      </c>
      <c r="CS57">
        <v>100</v>
      </c>
      <c r="CT57">
        <v>66.951359084399996</v>
      </c>
      <c r="CU57">
        <v>60</v>
      </c>
      <c r="CW57" t="s">
        <v>405</v>
      </c>
      <c r="CX57" t="s">
        <v>877</v>
      </c>
      <c r="CY57" t="s">
        <v>884</v>
      </c>
      <c r="CZ57">
        <v>113</v>
      </c>
      <c r="DA57">
        <v>34</v>
      </c>
      <c r="DB57">
        <v>97.982300885000001</v>
      </c>
      <c r="DC57">
        <v>61</v>
      </c>
      <c r="DD57">
        <v>5</v>
      </c>
      <c r="DE57">
        <v>131.3606557377</v>
      </c>
      <c r="DF57">
        <v>216.4</v>
      </c>
      <c r="DH57" t="s">
        <v>405</v>
      </c>
      <c r="DI57" t="s">
        <v>857</v>
      </c>
      <c r="DJ57" t="s">
        <v>864</v>
      </c>
      <c r="DK57">
        <v>47</v>
      </c>
      <c r="DL57">
        <v>9</v>
      </c>
      <c r="DM57">
        <v>90.936170212799993</v>
      </c>
      <c r="DN57">
        <v>30</v>
      </c>
      <c r="DO57">
        <v>4</v>
      </c>
      <c r="DP57">
        <v>125.0666666667</v>
      </c>
      <c r="DQ57">
        <v>110.25</v>
      </c>
    </row>
    <row r="58" spans="2:121" x14ac:dyDescent="0.2">
      <c r="F58" t="s">
        <v>57</v>
      </c>
      <c r="G58">
        <v>1474</v>
      </c>
      <c r="H58">
        <v>393.2591587517</v>
      </c>
      <c r="I58">
        <v>1052</v>
      </c>
      <c r="J58">
        <v>263</v>
      </c>
      <c r="K58">
        <v>1960</v>
      </c>
      <c r="L58">
        <v>1300</v>
      </c>
      <c r="M58">
        <v>382</v>
      </c>
      <c r="N58">
        <v>376</v>
      </c>
      <c r="O58">
        <v>81</v>
      </c>
      <c r="P58">
        <v>46</v>
      </c>
      <c r="Q58">
        <v>0</v>
      </c>
      <c r="R58">
        <v>0</v>
      </c>
      <c r="BJ58" t="s">
        <v>620</v>
      </c>
      <c r="BK58" t="s">
        <v>400</v>
      </c>
      <c r="BL58">
        <v>10229</v>
      </c>
      <c r="BM58">
        <v>1605</v>
      </c>
      <c r="BN58">
        <v>83.941832046100004</v>
      </c>
      <c r="BO58">
        <v>9113</v>
      </c>
      <c r="BP58">
        <v>1354</v>
      </c>
      <c r="BQ58">
        <v>137.70690222760001</v>
      </c>
      <c r="BR58">
        <v>154.0864106352</v>
      </c>
      <c r="BS58">
        <v>10020</v>
      </c>
      <c r="BT58">
        <v>1720</v>
      </c>
      <c r="BU58">
        <v>86.769660678600005</v>
      </c>
      <c r="BV58">
        <v>9565</v>
      </c>
      <c r="BW58">
        <v>1372</v>
      </c>
      <c r="BX58">
        <v>147.13078933610001</v>
      </c>
      <c r="BY58">
        <v>158.5437317784</v>
      </c>
      <c r="CA58" t="s">
        <v>83</v>
      </c>
      <c r="CB58" t="s">
        <v>886</v>
      </c>
      <c r="CC58" t="s">
        <v>1019</v>
      </c>
      <c r="CD58">
        <v>5556</v>
      </c>
      <c r="CE58">
        <v>1020</v>
      </c>
      <c r="CF58">
        <v>87.167926565900004</v>
      </c>
      <c r="CG58">
        <v>7745</v>
      </c>
      <c r="CH58">
        <v>1132</v>
      </c>
      <c r="CI58">
        <v>115.07320852159999</v>
      </c>
      <c r="CJ58">
        <v>111.2756183746</v>
      </c>
      <c r="CL58" t="s">
        <v>83</v>
      </c>
      <c r="CM58" t="s">
        <v>867</v>
      </c>
      <c r="CN58" t="s">
        <v>875</v>
      </c>
      <c r="CO58">
        <v>519</v>
      </c>
      <c r="CP58">
        <v>43</v>
      </c>
      <c r="CQ58">
        <v>65.142581888199999</v>
      </c>
      <c r="CR58">
        <v>1009</v>
      </c>
      <c r="CS58">
        <v>125</v>
      </c>
      <c r="CT58">
        <v>66.767096134799999</v>
      </c>
      <c r="CU58">
        <v>68.040000000000006</v>
      </c>
      <c r="CW58" t="s">
        <v>83</v>
      </c>
      <c r="CX58" t="s">
        <v>877</v>
      </c>
      <c r="CY58" t="s">
        <v>885</v>
      </c>
      <c r="CZ58">
        <v>338</v>
      </c>
      <c r="DA58">
        <v>61</v>
      </c>
      <c r="DB58">
        <v>84.390532544400003</v>
      </c>
      <c r="DC58">
        <v>164</v>
      </c>
      <c r="DD58">
        <v>23</v>
      </c>
      <c r="DE58">
        <v>132.28048780489999</v>
      </c>
      <c r="DF58">
        <v>145.69565217389999</v>
      </c>
      <c r="DH58" t="s">
        <v>83</v>
      </c>
      <c r="DI58" t="s">
        <v>857</v>
      </c>
      <c r="DJ58" t="s">
        <v>865</v>
      </c>
      <c r="DK58">
        <v>530</v>
      </c>
      <c r="DL58">
        <v>91</v>
      </c>
      <c r="DM58">
        <v>82.275471698100006</v>
      </c>
      <c r="DN58">
        <v>331</v>
      </c>
      <c r="DO58">
        <v>41</v>
      </c>
      <c r="DP58">
        <v>124.4108761329</v>
      </c>
      <c r="DQ58">
        <v>150.73170731709999</v>
      </c>
    </row>
    <row r="59" spans="2:121" x14ac:dyDescent="0.2">
      <c r="F59" t="s">
        <v>49</v>
      </c>
      <c r="G59">
        <v>12918</v>
      </c>
      <c r="H59">
        <v>350.20723022139998</v>
      </c>
      <c r="I59">
        <v>15156</v>
      </c>
      <c r="J59">
        <v>3877</v>
      </c>
      <c r="K59">
        <v>16767</v>
      </c>
      <c r="L59">
        <v>11697</v>
      </c>
      <c r="M59">
        <v>3203</v>
      </c>
      <c r="N59">
        <v>1831</v>
      </c>
      <c r="O59">
        <v>3314</v>
      </c>
      <c r="P59">
        <v>2407</v>
      </c>
      <c r="Q59">
        <v>1</v>
      </c>
      <c r="R59">
        <v>225</v>
      </c>
      <c r="BJ59" t="s">
        <v>593</v>
      </c>
      <c r="BK59" t="s">
        <v>400</v>
      </c>
      <c r="BL59">
        <v>7141</v>
      </c>
      <c r="BM59">
        <v>1100</v>
      </c>
      <c r="BN59">
        <v>77.462260187599995</v>
      </c>
      <c r="BO59">
        <v>16814</v>
      </c>
      <c r="BP59">
        <v>2416</v>
      </c>
      <c r="BQ59">
        <v>69.840133222299997</v>
      </c>
      <c r="BR59">
        <v>71.684188741699998</v>
      </c>
      <c r="BS59">
        <v>7858</v>
      </c>
      <c r="BT59">
        <v>1148</v>
      </c>
      <c r="BU59">
        <v>76.861924153700002</v>
      </c>
      <c r="BV59">
        <v>17381</v>
      </c>
      <c r="BW59">
        <v>2569</v>
      </c>
      <c r="BX59">
        <v>69.872964731600007</v>
      </c>
      <c r="BY59">
        <v>71.738419618500004</v>
      </c>
      <c r="CA59" t="s">
        <v>400</v>
      </c>
      <c r="CB59" t="s">
        <v>886</v>
      </c>
      <c r="CD59">
        <v>56107</v>
      </c>
      <c r="CE59">
        <v>11755</v>
      </c>
      <c r="CF59">
        <v>92.268397882599999</v>
      </c>
      <c r="CG59">
        <v>54894</v>
      </c>
      <c r="CH59">
        <v>7836</v>
      </c>
      <c r="CI59">
        <v>135.56927897400001</v>
      </c>
      <c r="CJ59">
        <v>135.8527309852</v>
      </c>
      <c r="CL59" t="s">
        <v>400</v>
      </c>
      <c r="CM59" t="s">
        <v>867</v>
      </c>
      <c r="CO59">
        <v>3880</v>
      </c>
      <c r="CP59">
        <v>353</v>
      </c>
      <c r="CQ59">
        <v>62.490721649500003</v>
      </c>
      <c r="CR59">
        <v>8229</v>
      </c>
      <c r="CS59">
        <v>1085</v>
      </c>
      <c r="CT59">
        <v>63.667031231000003</v>
      </c>
      <c r="CU59">
        <v>61.738248847900003</v>
      </c>
      <c r="CW59" t="s">
        <v>400</v>
      </c>
      <c r="CX59" t="s">
        <v>877</v>
      </c>
      <c r="CZ59">
        <v>2424</v>
      </c>
      <c r="DA59">
        <v>493</v>
      </c>
      <c r="DB59">
        <v>85.167904290400003</v>
      </c>
      <c r="DC59">
        <v>1380</v>
      </c>
      <c r="DD59">
        <v>175</v>
      </c>
      <c r="DE59">
        <v>136.28840579710001</v>
      </c>
      <c r="DF59">
        <v>155.70857142860001</v>
      </c>
      <c r="DH59" t="s">
        <v>400</v>
      </c>
      <c r="DI59" t="s">
        <v>857</v>
      </c>
      <c r="DK59">
        <v>1854</v>
      </c>
      <c r="DL59">
        <v>340</v>
      </c>
      <c r="DM59">
        <v>81.120819849</v>
      </c>
      <c r="DN59">
        <v>1261</v>
      </c>
      <c r="DO59">
        <v>176</v>
      </c>
      <c r="DP59">
        <v>126.3402061856</v>
      </c>
      <c r="DQ59">
        <v>144.6590909091</v>
      </c>
    </row>
    <row r="60" spans="2:121" x14ac:dyDescent="0.2">
      <c r="F60" t="s">
        <v>138</v>
      </c>
      <c r="G60">
        <v>417</v>
      </c>
      <c r="H60">
        <v>352.99040767389999</v>
      </c>
      <c r="I60">
        <v>499</v>
      </c>
      <c r="J60">
        <v>118</v>
      </c>
      <c r="K60">
        <v>640</v>
      </c>
      <c r="L60">
        <v>431</v>
      </c>
      <c r="M60">
        <v>101</v>
      </c>
      <c r="N60">
        <v>67</v>
      </c>
      <c r="O60">
        <v>116</v>
      </c>
      <c r="P60">
        <v>62</v>
      </c>
      <c r="Q60">
        <v>0</v>
      </c>
      <c r="R60">
        <v>1</v>
      </c>
      <c r="BJ60" t="s">
        <v>535</v>
      </c>
      <c r="BK60" t="s">
        <v>376</v>
      </c>
      <c r="BL60">
        <v>16365</v>
      </c>
      <c r="BM60">
        <v>4092</v>
      </c>
      <c r="BN60">
        <v>98.141704857899995</v>
      </c>
      <c r="BO60">
        <v>13598</v>
      </c>
      <c r="BP60">
        <v>2059</v>
      </c>
      <c r="BQ60">
        <v>153.8198999853</v>
      </c>
      <c r="BR60">
        <v>157.9548324429</v>
      </c>
      <c r="BS60">
        <v>15236</v>
      </c>
      <c r="BT60">
        <v>2815</v>
      </c>
      <c r="BU60">
        <v>87.895182462600005</v>
      </c>
      <c r="BV60">
        <v>10240</v>
      </c>
      <c r="BW60">
        <v>1676</v>
      </c>
      <c r="BX60">
        <v>148.63603515630001</v>
      </c>
      <c r="BY60">
        <v>146.96062052510001</v>
      </c>
      <c r="CA60" t="s">
        <v>384</v>
      </c>
      <c r="CB60" t="s">
        <v>911</v>
      </c>
      <c r="CC60" t="s">
        <v>1020</v>
      </c>
      <c r="CD60">
        <v>7005</v>
      </c>
      <c r="CE60">
        <v>1396</v>
      </c>
      <c r="CF60">
        <v>89.632405424699996</v>
      </c>
      <c r="CG60">
        <v>7331</v>
      </c>
      <c r="CH60">
        <v>983</v>
      </c>
      <c r="CI60">
        <v>137.51561860589999</v>
      </c>
      <c r="CJ60">
        <v>129.67955239060001</v>
      </c>
      <c r="CL60" t="s">
        <v>384</v>
      </c>
      <c r="CM60" t="s">
        <v>896</v>
      </c>
      <c r="CN60" t="s">
        <v>895</v>
      </c>
      <c r="CO60">
        <v>768</v>
      </c>
      <c r="CP60">
        <v>83</v>
      </c>
      <c r="CQ60">
        <v>69.286458333300004</v>
      </c>
      <c r="CR60">
        <v>1316</v>
      </c>
      <c r="CS60">
        <v>200</v>
      </c>
      <c r="CT60">
        <v>65.151975683900005</v>
      </c>
      <c r="CU60">
        <v>76.715000000000003</v>
      </c>
      <c r="CW60" t="s">
        <v>384</v>
      </c>
      <c r="CX60" t="s">
        <v>904</v>
      </c>
      <c r="CY60" t="s">
        <v>903</v>
      </c>
      <c r="CZ60">
        <v>220</v>
      </c>
      <c r="DA60">
        <v>64</v>
      </c>
      <c r="DB60">
        <v>95.690909090900007</v>
      </c>
      <c r="DC60">
        <v>75</v>
      </c>
      <c r="DD60">
        <v>14</v>
      </c>
      <c r="DE60">
        <v>149.57333333330001</v>
      </c>
      <c r="DF60">
        <v>153.92857142860001</v>
      </c>
      <c r="DH60" t="s">
        <v>384</v>
      </c>
      <c r="DI60" t="s">
        <v>888</v>
      </c>
      <c r="DJ60" t="s">
        <v>887</v>
      </c>
      <c r="DK60">
        <v>203</v>
      </c>
      <c r="DL60">
        <v>64</v>
      </c>
      <c r="DM60">
        <v>94.896551724099993</v>
      </c>
      <c r="DN60">
        <v>124</v>
      </c>
      <c r="DO60">
        <v>20</v>
      </c>
      <c r="DP60">
        <v>151.22580645159999</v>
      </c>
      <c r="DQ60">
        <v>157.85</v>
      </c>
    </row>
    <row r="61" spans="2:121" x14ac:dyDescent="0.2">
      <c r="F61" t="s">
        <v>59</v>
      </c>
      <c r="G61">
        <v>4474</v>
      </c>
      <c r="H61">
        <v>198.3354939651</v>
      </c>
      <c r="I61">
        <v>6197</v>
      </c>
      <c r="J61">
        <v>1178</v>
      </c>
      <c r="K61">
        <v>5754</v>
      </c>
      <c r="L61">
        <v>2766</v>
      </c>
      <c r="M61">
        <v>646</v>
      </c>
      <c r="N61">
        <v>404</v>
      </c>
      <c r="O61">
        <v>571</v>
      </c>
      <c r="P61">
        <v>271</v>
      </c>
      <c r="Q61">
        <v>5854</v>
      </c>
      <c r="R61">
        <v>0</v>
      </c>
      <c r="BJ61" t="s">
        <v>543</v>
      </c>
      <c r="BK61" t="s">
        <v>376</v>
      </c>
      <c r="BL61">
        <v>8295</v>
      </c>
      <c r="BM61">
        <v>2325</v>
      </c>
      <c r="BN61">
        <v>104.45931283909999</v>
      </c>
      <c r="BO61">
        <v>7650</v>
      </c>
      <c r="BP61">
        <v>1062</v>
      </c>
      <c r="BQ61">
        <v>137.6785620915</v>
      </c>
      <c r="BR61">
        <v>140.16760828630001</v>
      </c>
      <c r="BS61">
        <v>8283</v>
      </c>
      <c r="BT61">
        <v>2340</v>
      </c>
      <c r="BU61">
        <v>103.8698539177</v>
      </c>
      <c r="BV61">
        <v>7753</v>
      </c>
      <c r="BW61">
        <v>1100</v>
      </c>
      <c r="BX61">
        <v>137.8377402296</v>
      </c>
      <c r="BY61">
        <v>141.96454545450001</v>
      </c>
      <c r="CA61" t="s">
        <v>421</v>
      </c>
      <c r="CB61" t="s">
        <v>911</v>
      </c>
      <c r="CC61" t="s">
        <v>1021</v>
      </c>
      <c r="CD61">
        <v>21387</v>
      </c>
      <c r="CE61">
        <v>5496</v>
      </c>
      <c r="CF61">
        <v>102.18609435640001</v>
      </c>
      <c r="CG61">
        <v>21878</v>
      </c>
      <c r="CH61">
        <v>3051</v>
      </c>
      <c r="CI61">
        <v>145.6093792851</v>
      </c>
      <c r="CJ61">
        <v>141.70862012449999</v>
      </c>
      <c r="CL61" t="s">
        <v>421</v>
      </c>
      <c r="CM61" t="s">
        <v>896</v>
      </c>
      <c r="CN61" t="s">
        <v>897</v>
      </c>
      <c r="CO61">
        <v>2576</v>
      </c>
      <c r="CP61">
        <v>231</v>
      </c>
      <c r="CQ61">
        <v>68.235248447199993</v>
      </c>
      <c r="CR61">
        <v>2922</v>
      </c>
      <c r="CS61">
        <v>407</v>
      </c>
      <c r="CT61">
        <v>83.177960301200002</v>
      </c>
      <c r="CU61">
        <v>99.157248157200002</v>
      </c>
      <c r="CW61" t="s">
        <v>421</v>
      </c>
      <c r="CX61" t="s">
        <v>904</v>
      </c>
      <c r="CY61" t="s">
        <v>905</v>
      </c>
      <c r="CZ61">
        <v>880</v>
      </c>
      <c r="DA61">
        <v>240</v>
      </c>
      <c r="DB61">
        <v>93.353409090900001</v>
      </c>
      <c r="DC61">
        <v>420</v>
      </c>
      <c r="DD61">
        <v>65</v>
      </c>
      <c r="DE61">
        <v>153.60238095240001</v>
      </c>
      <c r="DF61">
        <v>169.4307692308</v>
      </c>
      <c r="DH61" t="s">
        <v>421</v>
      </c>
      <c r="DI61" t="s">
        <v>888</v>
      </c>
      <c r="DJ61" t="s">
        <v>889</v>
      </c>
      <c r="DK61">
        <v>1078</v>
      </c>
      <c r="DL61">
        <v>318</v>
      </c>
      <c r="DM61">
        <v>92.409090909100001</v>
      </c>
      <c r="DN61">
        <v>611</v>
      </c>
      <c r="DO61">
        <v>65</v>
      </c>
      <c r="DP61">
        <v>141.63011456629999</v>
      </c>
      <c r="DQ61">
        <v>165.44615384619999</v>
      </c>
    </row>
    <row r="62" spans="2:121" x14ac:dyDescent="0.2">
      <c r="BJ62" t="s">
        <v>559</v>
      </c>
      <c r="BK62" t="s">
        <v>376</v>
      </c>
      <c r="BL62">
        <v>4240</v>
      </c>
      <c r="BM62">
        <v>930</v>
      </c>
      <c r="BN62">
        <v>103.4863207547</v>
      </c>
      <c r="BO62">
        <v>4885</v>
      </c>
      <c r="BP62">
        <v>610</v>
      </c>
      <c r="BQ62">
        <v>148.62169907879999</v>
      </c>
      <c r="BR62">
        <v>170.31147540980001</v>
      </c>
      <c r="BS62">
        <v>6528</v>
      </c>
      <c r="BT62">
        <v>2602</v>
      </c>
      <c r="BU62">
        <v>146.62408088239999</v>
      </c>
      <c r="BV62">
        <v>6115</v>
      </c>
      <c r="BW62">
        <v>835</v>
      </c>
      <c r="BX62">
        <v>171.41831561730001</v>
      </c>
      <c r="BY62">
        <v>213.6491017964</v>
      </c>
      <c r="CA62" t="s">
        <v>377</v>
      </c>
      <c r="CB62" t="s">
        <v>911</v>
      </c>
      <c r="CC62" t="s">
        <v>1022</v>
      </c>
      <c r="CD62">
        <v>17558</v>
      </c>
      <c r="CE62">
        <v>4178</v>
      </c>
      <c r="CF62">
        <v>94.998120514899995</v>
      </c>
      <c r="CG62">
        <v>14968</v>
      </c>
      <c r="CH62">
        <v>2278</v>
      </c>
      <c r="CI62">
        <v>144.7078433993</v>
      </c>
      <c r="CJ62">
        <v>150.03775241439999</v>
      </c>
      <c r="CL62" t="s">
        <v>377</v>
      </c>
      <c r="CM62" t="s">
        <v>896</v>
      </c>
      <c r="CN62" t="s">
        <v>898</v>
      </c>
      <c r="CO62">
        <v>1298</v>
      </c>
      <c r="CP62">
        <v>132</v>
      </c>
      <c r="CQ62">
        <v>71.641756548499998</v>
      </c>
      <c r="CR62">
        <v>1464</v>
      </c>
      <c r="CS62">
        <v>178</v>
      </c>
      <c r="CT62">
        <v>87.174863388000006</v>
      </c>
      <c r="CU62">
        <v>92.230337078700003</v>
      </c>
      <c r="CW62" t="s">
        <v>377</v>
      </c>
      <c r="CX62" t="s">
        <v>904</v>
      </c>
      <c r="CY62" t="s">
        <v>906</v>
      </c>
      <c r="CZ62">
        <v>491</v>
      </c>
      <c r="DA62">
        <v>128</v>
      </c>
      <c r="DB62">
        <v>93.503054989800006</v>
      </c>
      <c r="DC62">
        <v>261</v>
      </c>
      <c r="DD62">
        <v>45</v>
      </c>
      <c r="DE62">
        <v>155.2068965517</v>
      </c>
      <c r="DF62">
        <v>158.6666666667</v>
      </c>
      <c r="DH62" t="s">
        <v>377</v>
      </c>
      <c r="DI62" t="s">
        <v>888</v>
      </c>
      <c r="DJ62" t="s">
        <v>890</v>
      </c>
      <c r="DK62">
        <v>531</v>
      </c>
      <c r="DL62">
        <v>147</v>
      </c>
      <c r="DM62">
        <v>95.242937853100003</v>
      </c>
      <c r="DN62">
        <v>326</v>
      </c>
      <c r="DO62">
        <v>46</v>
      </c>
      <c r="DP62">
        <v>147.53680981599999</v>
      </c>
      <c r="DQ62">
        <v>163.5</v>
      </c>
    </row>
    <row r="63" spans="2:121" x14ac:dyDescent="0.2">
      <c r="BJ63" t="s">
        <v>549</v>
      </c>
      <c r="BK63" t="s">
        <v>376</v>
      </c>
      <c r="BL63">
        <v>7192</v>
      </c>
      <c r="BM63">
        <v>1352</v>
      </c>
      <c r="BN63">
        <v>84.663793103399996</v>
      </c>
      <c r="BO63">
        <v>6984</v>
      </c>
      <c r="BP63">
        <v>929</v>
      </c>
      <c r="BQ63">
        <v>140.60495418100001</v>
      </c>
      <c r="BR63">
        <v>131.01937567280001</v>
      </c>
      <c r="BS63">
        <v>6901</v>
      </c>
      <c r="BT63">
        <v>1059</v>
      </c>
      <c r="BU63">
        <v>78.957397478600001</v>
      </c>
      <c r="BV63">
        <v>6343</v>
      </c>
      <c r="BW63">
        <v>855</v>
      </c>
      <c r="BX63">
        <v>139.83808923219999</v>
      </c>
      <c r="BY63">
        <v>125.5684210526</v>
      </c>
      <c r="CA63" t="s">
        <v>389</v>
      </c>
      <c r="CB63" t="s">
        <v>911</v>
      </c>
      <c r="CC63" t="s">
        <v>1023</v>
      </c>
      <c r="CD63">
        <v>3975</v>
      </c>
      <c r="CE63">
        <v>740</v>
      </c>
      <c r="CF63">
        <v>92.346415094299999</v>
      </c>
      <c r="CG63">
        <v>4837</v>
      </c>
      <c r="CH63">
        <v>579</v>
      </c>
      <c r="CI63">
        <v>130.04982427120001</v>
      </c>
      <c r="CJ63">
        <v>128.9499136442</v>
      </c>
      <c r="CL63" t="s">
        <v>389</v>
      </c>
      <c r="CM63" t="s">
        <v>896</v>
      </c>
      <c r="CN63" t="s">
        <v>899</v>
      </c>
      <c r="CO63">
        <v>387</v>
      </c>
      <c r="CP63">
        <v>53</v>
      </c>
      <c r="CQ63">
        <v>76.751937984500003</v>
      </c>
      <c r="CR63">
        <v>671</v>
      </c>
      <c r="CS63">
        <v>87</v>
      </c>
      <c r="CT63">
        <v>74.005961251900004</v>
      </c>
      <c r="CU63">
        <v>82.356321839100005</v>
      </c>
      <c r="CW63" t="s">
        <v>389</v>
      </c>
      <c r="CX63" t="s">
        <v>904</v>
      </c>
      <c r="CY63" t="s">
        <v>907</v>
      </c>
      <c r="CZ63">
        <v>111</v>
      </c>
      <c r="DA63">
        <v>25</v>
      </c>
      <c r="DB63">
        <v>93.072072072099999</v>
      </c>
      <c r="DC63">
        <v>56</v>
      </c>
      <c r="DD63">
        <v>8</v>
      </c>
      <c r="DE63">
        <v>145.80357142860001</v>
      </c>
      <c r="DF63">
        <v>176</v>
      </c>
      <c r="DH63" t="s">
        <v>389</v>
      </c>
      <c r="DI63" t="s">
        <v>888</v>
      </c>
      <c r="DJ63" t="s">
        <v>891</v>
      </c>
      <c r="DK63">
        <v>190</v>
      </c>
      <c r="DL63">
        <v>42</v>
      </c>
      <c r="DM63">
        <v>85.794736842099994</v>
      </c>
      <c r="DN63">
        <v>84</v>
      </c>
      <c r="DO63">
        <v>12</v>
      </c>
      <c r="DP63">
        <v>136.8333333333</v>
      </c>
      <c r="DQ63">
        <v>137.4166666667</v>
      </c>
    </row>
    <row r="64" spans="2:121" x14ac:dyDescent="0.2">
      <c r="BJ64" t="s">
        <v>545</v>
      </c>
      <c r="BK64" t="s">
        <v>376</v>
      </c>
      <c r="BL64">
        <v>10263</v>
      </c>
      <c r="BM64">
        <v>2315</v>
      </c>
      <c r="BN64">
        <v>96.457078826900002</v>
      </c>
      <c r="BO64">
        <v>8419</v>
      </c>
      <c r="BP64">
        <v>1210</v>
      </c>
      <c r="BQ64">
        <v>134.86482955220001</v>
      </c>
      <c r="BR64">
        <v>143.39338842980001</v>
      </c>
      <c r="BS64">
        <v>10258</v>
      </c>
      <c r="BT64">
        <v>2458</v>
      </c>
      <c r="BU64">
        <v>98.706472996700001</v>
      </c>
      <c r="BV64">
        <v>9071</v>
      </c>
      <c r="BW64">
        <v>1265</v>
      </c>
      <c r="BX64">
        <v>141.98423547569999</v>
      </c>
      <c r="BY64">
        <v>146.05454545449999</v>
      </c>
      <c r="CA64" t="s">
        <v>423</v>
      </c>
      <c r="CB64" t="s">
        <v>911</v>
      </c>
      <c r="CC64" t="s">
        <v>1024</v>
      </c>
      <c r="CD64">
        <v>3431</v>
      </c>
      <c r="CE64">
        <v>952</v>
      </c>
      <c r="CF64">
        <v>105.8429029437</v>
      </c>
      <c r="CG64">
        <v>2214</v>
      </c>
      <c r="CH64">
        <v>304</v>
      </c>
      <c r="CI64">
        <v>163.47109304430001</v>
      </c>
      <c r="CJ64">
        <v>164.53618421050001</v>
      </c>
      <c r="CL64" t="s">
        <v>423</v>
      </c>
      <c r="CM64" t="s">
        <v>896</v>
      </c>
      <c r="CN64" t="s">
        <v>900</v>
      </c>
      <c r="CO64">
        <v>499</v>
      </c>
      <c r="CP64">
        <v>53</v>
      </c>
      <c r="CQ64">
        <v>75.531062124200005</v>
      </c>
      <c r="CR64">
        <v>515</v>
      </c>
      <c r="CS64">
        <v>60</v>
      </c>
      <c r="CT64">
        <v>93.297087378599997</v>
      </c>
      <c r="CU64">
        <v>119.0166666667</v>
      </c>
      <c r="CW64" t="s">
        <v>423</v>
      </c>
      <c r="CX64" t="s">
        <v>904</v>
      </c>
      <c r="CY64" t="s">
        <v>908</v>
      </c>
      <c r="CZ64">
        <v>15</v>
      </c>
      <c r="DA64">
        <v>1</v>
      </c>
      <c r="DB64">
        <v>63.333333333299997</v>
      </c>
      <c r="DC64">
        <v>4</v>
      </c>
      <c r="DD64">
        <v>1</v>
      </c>
      <c r="DE64">
        <v>144.5</v>
      </c>
      <c r="DF64">
        <v>134</v>
      </c>
      <c r="DH64" t="s">
        <v>423</v>
      </c>
      <c r="DI64" t="s">
        <v>888</v>
      </c>
      <c r="DJ64" t="s">
        <v>892</v>
      </c>
      <c r="DK64">
        <v>15</v>
      </c>
      <c r="DL64">
        <v>4</v>
      </c>
      <c r="DM64">
        <v>89.333333333300004</v>
      </c>
      <c r="DN64">
        <v>13</v>
      </c>
      <c r="DO64">
        <v>5</v>
      </c>
      <c r="DP64">
        <v>97.692307692300005</v>
      </c>
      <c r="DQ64">
        <v>114.2</v>
      </c>
    </row>
    <row r="65" spans="62:121" x14ac:dyDescent="0.2">
      <c r="BJ65" t="s">
        <v>609</v>
      </c>
      <c r="BK65" t="s">
        <v>376</v>
      </c>
      <c r="BL65">
        <v>3499</v>
      </c>
      <c r="BM65">
        <v>976</v>
      </c>
      <c r="BN65">
        <v>106.31523292369999</v>
      </c>
      <c r="BO65">
        <v>2150</v>
      </c>
      <c r="BP65">
        <v>296</v>
      </c>
      <c r="BQ65">
        <v>166.96790697669999</v>
      </c>
      <c r="BR65">
        <v>170.27364864859999</v>
      </c>
      <c r="BS65">
        <v>3404</v>
      </c>
      <c r="BT65">
        <v>897</v>
      </c>
      <c r="BU65">
        <v>108.3231492362</v>
      </c>
      <c r="BV65">
        <v>2166</v>
      </c>
      <c r="BW65">
        <v>247</v>
      </c>
      <c r="BX65">
        <v>185.0992613112</v>
      </c>
      <c r="BY65">
        <v>179.72874493929999</v>
      </c>
      <c r="CA65" t="s">
        <v>379</v>
      </c>
      <c r="CB65" t="s">
        <v>911</v>
      </c>
      <c r="CC65" t="s">
        <v>1025</v>
      </c>
      <c r="CD65">
        <v>8573</v>
      </c>
      <c r="CE65">
        <v>2451</v>
      </c>
      <c r="CF65">
        <v>105.7165519655</v>
      </c>
      <c r="CG65">
        <v>8242</v>
      </c>
      <c r="CH65">
        <v>1121</v>
      </c>
      <c r="CI65">
        <v>134.89796165979999</v>
      </c>
      <c r="CJ65">
        <v>137.61195361279999</v>
      </c>
      <c r="CL65" t="s">
        <v>379</v>
      </c>
      <c r="CM65" t="s">
        <v>896</v>
      </c>
      <c r="CN65" t="s">
        <v>901</v>
      </c>
      <c r="CO65">
        <v>734</v>
      </c>
      <c r="CP65">
        <v>95</v>
      </c>
      <c r="CQ65">
        <v>73.265667574899993</v>
      </c>
      <c r="CR65">
        <v>909</v>
      </c>
      <c r="CS65">
        <v>116</v>
      </c>
      <c r="CT65">
        <v>83.996699669999998</v>
      </c>
      <c r="CU65">
        <v>88.758620689699995</v>
      </c>
      <c r="CW65" t="s">
        <v>379</v>
      </c>
      <c r="CX65" t="s">
        <v>904</v>
      </c>
      <c r="CY65" t="s">
        <v>909</v>
      </c>
      <c r="CZ65">
        <v>264</v>
      </c>
      <c r="DA65">
        <v>92</v>
      </c>
      <c r="DB65">
        <v>100.15151515150001</v>
      </c>
      <c r="DC65">
        <v>146</v>
      </c>
      <c r="DD65">
        <v>25</v>
      </c>
      <c r="DE65">
        <v>155.02739726030001</v>
      </c>
      <c r="DF65">
        <v>176.24</v>
      </c>
      <c r="DH65" t="s">
        <v>379</v>
      </c>
      <c r="DI65" t="s">
        <v>888</v>
      </c>
      <c r="DJ65" t="s">
        <v>893</v>
      </c>
      <c r="DK65">
        <v>302</v>
      </c>
      <c r="DL65">
        <v>85</v>
      </c>
      <c r="DM65">
        <v>94.049668874199995</v>
      </c>
      <c r="DN65">
        <v>148</v>
      </c>
      <c r="DO65">
        <v>24</v>
      </c>
      <c r="DP65">
        <v>137.54729729729999</v>
      </c>
      <c r="DQ65">
        <v>150.1666666667</v>
      </c>
    </row>
    <row r="66" spans="62:121" x14ac:dyDescent="0.2">
      <c r="BJ66" t="s">
        <v>376</v>
      </c>
      <c r="BK66" t="s">
        <v>376</v>
      </c>
      <c r="BL66">
        <v>70058</v>
      </c>
      <c r="BM66">
        <v>17233</v>
      </c>
      <c r="BN66">
        <v>99.547474949299996</v>
      </c>
      <c r="BO66">
        <v>63716</v>
      </c>
      <c r="BP66">
        <v>8970</v>
      </c>
      <c r="BQ66">
        <v>146.47625400210001</v>
      </c>
      <c r="BR66">
        <v>147.52619843919999</v>
      </c>
      <c r="BS66">
        <v>69549</v>
      </c>
      <c r="BT66">
        <v>16246</v>
      </c>
      <c r="BU66">
        <v>98.584940114199995</v>
      </c>
      <c r="BV66">
        <v>59373</v>
      </c>
      <c r="BW66">
        <v>8572</v>
      </c>
      <c r="BX66">
        <v>145.33372071479999</v>
      </c>
      <c r="BY66">
        <v>147.31077928139999</v>
      </c>
      <c r="CA66" t="s">
        <v>380</v>
      </c>
      <c r="CB66" t="s">
        <v>911</v>
      </c>
      <c r="CC66" t="s">
        <v>1026</v>
      </c>
      <c r="CD66">
        <v>9755</v>
      </c>
      <c r="CE66">
        <v>2165</v>
      </c>
      <c r="CF66">
        <v>96.369041517200003</v>
      </c>
      <c r="CG66">
        <v>8708</v>
      </c>
      <c r="CH66">
        <v>1240</v>
      </c>
      <c r="CI66">
        <v>131.22117593019999</v>
      </c>
      <c r="CJ66">
        <v>138.17741935480001</v>
      </c>
      <c r="CL66" t="s">
        <v>380</v>
      </c>
      <c r="CM66" t="s">
        <v>896</v>
      </c>
      <c r="CN66" t="s">
        <v>902</v>
      </c>
      <c r="CO66">
        <v>682</v>
      </c>
      <c r="CP66">
        <v>92</v>
      </c>
      <c r="CQ66">
        <v>72.885630498500007</v>
      </c>
      <c r="CR66">
        <v>1176</v>
      </c>
      <c r="CS66">
        <v>149</v>
      </c>
      <c r="CT66">
        <v>65.874149659899999</v>
      </c>
      <c r="CU66">
        <v>75.241610738299997</v>
      </c>
      <c r="CW66" t="s">
        <v>380</v>
      </c>
      <c r="CX66" t="s">
        <v>904</v>
      </c>
      <c r="CY66" t="s">
        <v>910</v>
      </c>
      <c r="CZ66">
        <v>272</v>
      </c>
      <c r="DA66">
        <v>79</v>
      </c>
      <c r="DB66">
        <v>93.102941176499996</v>
      </c>
      <c r="DC66">
        <v>115</v>
      </c>
      <c r="DD66">
        <v>15</v>
      </c>
      <c r="DE66">
        <v>150.1043478261</v>
      </c>
      <c r="DF66">
        <v>168</v>
      </c>
      <c r="DH66" t="s">
        <v>380</v>
      </c>
      <c r="DI66" t="s">
        <v>888</v>
      </c>
      <c r="DJ66" t="s">
        <v>894</v>
      </c>
      <c r="DK66">
        <v>438</v>
      </c>
      <c r="DL66">
        <v>104</v>
      </c>
      <c r="DM66">
        <v>89.404109589000001</v>
      </c>
      <c r="DN66">
        <v>262</v>
      </c>
      <c r="DO66">
        <v>30</v>
      </c>
      <c r="DP66">
        <v>145.09541984730001</v>
      </c>
      <c r="DQ66">
        <v>159.13333333329999</v>
      </c>
    </row>
    <row r="67" spans="62:121" x14ac:dyDescent="0.2">
      <c r="BJ67" t="s">
        <v>537</v>
      </c>
      <c r="BK67" t="s">
        <v>376</v>
      </c>
      <c r="BL67">
        <v>20204</v>
      </c>
      <c r="BM67">
        <v>5243</v>
      </c>
      <c r="BN67">
        <v>103.53880419719999</v>
      </c>
      <c r="BO67">
        <v>20030</v>
      </c>
      <c r="BP67">
        <v>2804</v>
      </c>
      <c r="BQ67">
        <v>149.05576635049999</v>
      </c>
      <c r="BR67">
        <v>142.5495720399</v>
      </c>
      <c r="BS67">
        <v>18939</v>
      </c>
      <c r="BT67">
        <v>4075</v>
      </c>
      <c r="BU67">
        <v>93.650615132799999</v>
      </c>
      <c r="BV67">
        <v>17685</v>
      </c>
      <c r="BW67">
        <v>2594</v>
      </c>
      <c r="BX67">
        <v>136.50720949960001</v>
      </c>
      <c r="BY67">
        <v>133.14225134930001</v>
      </c>
      <c r="CA67" t="s">
        <v>376</v>
      </c>
      <c r="CB67" t="s">
        <v>911</v>
      </c>
      <c r="CD67">
        <v>71684</v>
      </c>
      <c r="CE67">
        <v>17378</v>
      </c>
      <c r="CF67">
        <v>98.458763461900006</v>
      </c>
      <c r="CG67">
        <v>68178</v>
      </c>
      <c r="CH67">
        <v>9556</v>
      </c>
      <c r="CI67">
        <v>140.88466954149999</v>
      </c>
      <c r="CJ67">
        <v>141.47111762239999</v>
      </c>
      <c r="CL67" t="s">
        <v>376</v>
      </c>
      <c r="CM67" t="s">
        <v>896</v>
      </c>
      <c r="CO67">
        <v>6944</v>
      </c>
      <c r="CP67">
        <v>739</v>
      </c>
      <c r="CQ67">
        <v>70.975662442399994</v>
      </c>
      <c r="CR67">
        <v>8973</v>
      </c>
      <c r="CS67">
        <v>1197</v>
      </c>
      <c r="CT67">
        <v>78.896355733899995</v>
      </c>
      <c r="CU67">
        <v>90.167084377600005</v>
      </c>
      <c r="CW67" t="s">
        <v>376</v>
      </c>
      <c r="CX67" t="s">
        <v>904</v>
      </c>
      <c r="CZ67">
        <v>2253</v>
      </c>
      <c r="DA67">
        <v>629</v>
      </c>
      <c r="DB67">
        <v>94.166888592999996</v>
      </c>
      <c r="DC67">
        <v>1077</v>
      </c>
      <c r="DD67">
        <v>173</v>
      </c>
      <c r="DE67">
        <v>153.09099350049999</v>
      </c>
      <c r="DF67">
        <v>166.33526011559999</v>
      </c>
      <c r="DH67" t="s">
        <v>376</v>
      </c>
      <c r="DI67" t="s">
        <v>888</v>
      </c>
      <c r="DK67">
        <v>2757</v>
      </c>
      <c r="DL67">
        <v>764</v>
      </c>
      <c r="DM67">
        <v>92.367791077299998</v>
      </c>
      <c r="DN67">
        <v>1568</v>
      </c>
      <c r="DO67">
        <v>202</v>
      </c>
      <c r="DP67">
        <v>143.1894132653</v>
      </c>
      <c r="DQ67">
        <v>158.56435643559999</v>
      </c>
    </row>
    <row r="68" spans="62:121" x14ac:dyDescent="0.2">
      <c r="BJ68" t="s">
        <v>306</v>
      </c>
      <c r="BK68" t="s">
        <v>691</v>
      </c>
      <c r="BL68">
        <v>9560</v>
      </c>
      <c r="BM68">
        <v>2132</v>
      </c>
      <c r="BN68">
        <v>86.397594142299994</v>
      </c>
      <c r="BO68">
        <v>5502</v>
      </c>
      <c r="BP68">
        <v>810</v>
      </c>
      <c r="BQ68">
        <v>133.48873137039999</v>
      </c>
      <c r="BR68">
        <v>147.52716049380001</v>
      </c>
      <c r="BS68">
        <v>769</v>
      </c>
      <c r="BT68">
        <v>405</v>
      </c>
      <c r="BU68">
        <v>120.75812743820001</v>
      </c>
      <c r="BV68">
        <v>931</v>
      </c>
      <c r="BW68">
        <v>174</v>
      </c>
      <c r="BX68">
        <v>126.9452201933</v>
      </c>
      <c r="BY68">
        <v>151.85632183909999</v>
      </c>
      <c r="CA68" t="s">
        <v>694</v>
      </c>
      <c r="CD68">
        <v>360593</v>
      </c>
      <c r="CE68">
        <v>78113</v>
      </c>
      <c r="CF68">
        <v>92.749781609699994</v>
      </c>
      <c r="CG68">
        <v>357874</v>
      </c>
      <c r="CH68">
        <v>50172</v>
      </c>
      <c r="CI68">
        <v>128.66425613480001</v>
      </c>
      <c r="CJ68">
        <v>130.74485768950001</v>
      </c>
      <c r="CL68" t="s">
        <v>694</v>
      </c>
      <c r="CO68">
        <v>360593</v>
      </c>
      <c r="CP68">
        <v>78113</v>
      </c>
      <c r="CQ68">
        <v>92.749781609699994</v>
      </c>
      <c r="CR68">
        <v>357874</v>
      </c>
      <c r="CS68">
        <v>50172</v>
      </c>
      <c r="CT68">
        <v>128.66425613480001</v>
      </c>
      <c r="CU68">
        <v>130.74485768950001</v>
      </c>
      <c r="CW68" t="s">
        <v>694</v>
      </c>
      <c r="CZ68">
        <v>360593</v>
      </c>
      <c r="DA68">
        <v>78113</v>
      </c>
      <c r="DB68">
        <v>92.749781609699994</v>
      </c>
      <c r="DC68">
        <v>357874</v>
      </c>
      <c r="DD68">
        <v>50172</v>
      </c>
      <c r="DE68">
        <v>128.66425613480001</v>
      </c>
      <c r="DF68">
        <v>130.74485768950001</v>
      </c>
      <c r="DH68" t="s">
        <v>694</v>
      </c>
      <c r="DK68">
        <v>360593</v>
      </c>
      <c r="DL68">
        <v>78113</v>
      </c>
      <c r="DM68">
        <v>92.749781609699994</v>
      </c>
      <c r="DN68">
        <v>357874</v>
      </c>
      <c r="DO68">
        <v>50172</v>
      </c>
      <c r="DP68">
        <v>128.66425613480001</v>
      </c>
      <c r="DQ68">
        <v>130.74485768950001</v>
      </c>
    </row>
    <row r="69" spans="62:121" x14ac:dyDescent="0.2">
      <c r="BJ69" t="s">
        <v>214</v>
      </c>
      <c r="BK69" t="s">
        <v>691</v>
      </c>
      <c r="BL69">
        <v>69</v>
      </c>
      <c r="BM69">
        <v>20</v>
      </c>
      <c r="BN69">
        <v>99.637681159400003</v>
      </c>
      <c r="BO69">
        <v>46</v>
      </c>
      <c r="BP69">
        <v>8</v>
      </c>
      <c r="BQ69">
        <v>144.3913043478</v>
      </c>
      <c r="BR69">
        <v>118.375</v>
      </c>
      <c r="BS69">
        <v>4517</v>
      </c>
      <c r="BT69">
        <v>726</v>
      </c>
      <c r="BU69">
        <v>80.215851228700004</v>
      </c>
      <c r="BV69">
        <v>2938</v>
      </c>
      <c r="BW69">
        <v>410</v>
      </c>
      <c r="BX69">
        <v>123.4189925119</v>
      </c>
      <c r="BY69">
        <v>136.58780487799999</v>
      </c>
    </row>
    <row r="70" spans="62:121" x14ac:dyDescent="0.2">
      <c r="BJ70" t="s">
        <v>691</v>
      </c>
      <c r="BK70" t="s">
        <v>691</v>
      </c>
      <c r="BL70">
        <v>11382</v>
      </c>
      <c r="BM70">
        <v>2672</v>
      </c>
      <c r="BN70">
        <v>87.093744508900002</v>
      </c>
      <c r="BO70">
        <v>6882</v>
      </c>
      <c r="BP70">
        <v>995</v>
      </c>
      <c r="BQ70">
        <v>135.64399883749999</v>
      </c>
      <c r="BR70">
        <v>148.26331658289999</v>
      </c>
      <c r="BS70">
        <v>11382</v>
      </c>
      <c r="BT70">
        <v>2672</v>
      </c>
      <c r="BU70">
        <v>87.093744508900002</v>
      </c>
      <c r="BV70">
        <v>6882</v>
      </c>
      <c r="BW70">
        <v>995</v>
      </c>
      <c r="BX70">
        <v>135.64399883749999</v>
      </c>
      <c r="BY70">
        <v>148.26331658289999</v>
      </c>
    </row>
    <row r="71" spans="62:121" x14ac:dyDescent="0.2">
      <c r="BJ71" t="s">
        <v>216</v>
      </c>
      <c r="BK71" t="s">
        <v>691</v>
      </c>
      <c r="BL71">
        <v>1753</v>
      </c>
      <c r="BM71">
        <v>520</v>
      </c>
      <c r="BN71">
        <v>90.396463205900005</v>
      </c>
      <c r="BO71">
        <v>1334</v>
      </c>
      <c r="BP71">
        <v>177</v>
      </c>
      <c r="BQ71">
        <v>144.2316341829</v>
      </c>
      <c r="BR71">
        <v>152.98305084750001</v>
      </c>
      <c r="BS71">
        <v>6096</v>
      </c>
      <c r="BT71">
        <v>1541</v>
      </c>
      <c r="BU71">
        <v>87.943405511799995</v>
      </c>
      <c r="BV71">
        <v>3013</v>
      </c>
      <c r="BW71">
        <v>411</v>
      </c>
      <c r="BX71">
        <v>150.2525721872</v>
      </c>
      <c r="BY71">
        <v>158.38929440390001</v>
      </c>
    </row>
    <row r="72" spans="62:121" x14ac:dyDescent="0.2">
      <c r="BJ72" t="s">
        <v>212</v>
      </c>
      <c r="BK72" t="s">
        <v>692</v>
      </c>
      <c r="BL72">
        <v>6664</v>
      </c>
      <c r="BM72">
        <v>749</v>
      </c>
      <c r="BN72">
        <v>69.419267707100005</v>
      </c>
      <c r="BO72">
        <v>11579</v>
      </c>
      <c r="BP72">
        <v>1541</v>
      </c>
      <c r="BQ72">
        <v>69.760601088200005</v>
      </c>
      <c r="BR72">
        <v>79.775470473699997</v>
      </c>
      <c r="BS72">
        <v>6673</v>
      </c>
      <c r="BT72">
        <v>745</v>
      </c>
      <c r="BU72">
        <v>69.171736850000002</v>
      </c>
      <c r="BV72">
        <v>11628</v>
      </c>
      <c r="BW72">
        <v>1554</v>
      </c>
      <c r="BX72">
        <v>69.964654282799998</v>
      </c>
      <c r="BY72">
        <v>80.158944658899998</v>
      </c>
    </row>
    <row r="73" spans="62:121" x14ac:dyDescent="0.2">
      <c r="BJ73" t="s">
        <v>227</v>
      </c>
      <c r="BK73" t="s">
        <v>692</v>
      </c>
      <c r="BL73">
        <v>682</v>
      </c>
      <c r="BM73">
        <v>315</v>
      </c>
      <c r="BN73">
        <v>166.90469208210001</v>
      </c>
      <c r="BO73">
        <v>1484</v>
      </c>
      <c r="BP73">
        <v>193</v>
      </c>
      <c r="BQ73">
        <v>54.544474393500003</v>
      </c>
      <c r="BR73">
        <v>69.253886010399995</v>
      </c>
      <c r="BS73">
        <v>590</v>
      </c>
      <c r="BT73">
        <v>311</v>
      </c>
      <c r="BU73">
        <v>185.8084745763</v>
      </c>
      <c r="BV73">
        <v>1257</v>
      </c>
      <c r="BW73">
        <v>157</v>
      </c>
      <c r="BX73">
        <v>42.652346857600001</v>
      </c>
      <c r="BY73">
        <v>57.815286624199999</v>
      </c>
    </row>
    <row r="74" spans="62:121" x14ac:dyDescent="0.2">
      <c r="BJ74" t="s">
        <v>213</v>
      </c>
      <c r="BK74" t="s">
        <v>692</v>
      </c>
      <c r="BL74">
        <v>12229</v>
      </c>
      <c r="BM74">
        <v>1147</v>
      </c>
      <c r="BN74">
        <v>69.276637500999996</v>
      </c>
      <c r="BO74">
        <v>13133</v>
      </c>
      <c r="BP74">
        <v>1780</v>
      </c>
      <c r="BQ74">
        <v>85.497068453500006</v>
      </c>
      <c r="BR74">
        <v>98.208426966299996</v>
      </c>
      <c r="BS74">
        <v>12284</v>
      </c>
      <c r="BT74">
        <v>1158</v>
      </c>
      <c r="BU74">
        <v>69.407847606600001</v>
      </c>
      <c r="BV74">
        <v>13217</v>
      </c>
      <c r="BW74">
        <v>1790</v>
      </c>
      <c r="BX74">
        <v>85.968903684599994</v>
      </c>
      <c r="BY74">
        <v>98.427374301699999</v>
      </c>
    </row>
    <row r="75" spans="62:121" x14ac:dyDescent="0.2">
      <c r="BJ75" t="s">
        <v>215</v>
      </c>
      <c r="BK75" t="s">
        <v>692</v>
      </c>
      <c r="BL75">
        <v>7358</v>
      </c>
      <c r="BM75">
        <v>621</v>
      </c>
      <c r="BN75">
        <v>60.848736069600001</v>
      </c>
      <c r="BO75">
        <v>15596</v>
      </c>
      <c r="BP75">
        <v>2085</v>
      </c>
      <c r="BQ75">
        <v>64.966722236500004</v>
      </c>
      <c r="BR75">
        <v>63.017745803399997</v>
      </c>
      <c r="BS75">
        <v>7386</v>
      </c>
      <c r="BT75">
        <v>618</v>
      </c>
      <c r="BU75">
        <v>60.591930679699999</v>
      </c>
      <c r="BV75">
        <v>15690</v>
      </c>
      <c r="BW75">
        <v>2098</v>
      </c>
      <c r="BX75">
        <v>65.095092415600007</v>
      </c>
      <c r="BY75">
        <v>63.2383222116</v>
      </c>
    </row>
    <row r="76" spans="62:121" x14ac:dyDescent="0.2">
      <c r="BJ76" t="s">
        <v>692</v>
      </c>
      <c r="BK76" t="s">
        <v>692</v>
      </c>
      <c r="BL76">
        <v>26933</v>
      </c>
      <c r="BM76">
        <v>2832</v>
      </c>
      <c r="BN76">
        <v>69.481602495100006</v>
      </c>
      <c r="BO76">
        <v>41792</v>
      </c>
      <c r="BP76">
        <v>5599</v>
      </c>
      <c r="BQ76">
        <v>72.376435681499999</v>
      </c>
      <c r="BR76">
        <v>79.032505804600007</v>
      </c>
      <c r="BS76">
        <v>26933</v>
      </c>
      <c r="BT76">
        <v>2832</v>
      </c>
      <c r="BU76">
        <v>69.481602495100006</v>
      </c>
      <c r="BV76">
        <v>41792</v>
      </c>
      <c r="BW76">
        <v>5599</v>
      </c>
      <c r="BX76">
        <v>72.376435681499999</v>
      </c>
      <c r="BY76">
        <v>79.032505804600007</v>
      </c>
    </row>
    <row r="77" spans="62:121" x14ac:dyDescent="0.2">
      <c r="BJ77" t="s">
        <v>305</v>
      </c>
      <c r="BK77" t="s">
        <v>693</v>
      </c>
      <c r="BL77">
        <v>7246</v>
      </c>
      <c r="BM77">
        <v>1638</v>
      </c>
      <c r="BN77">
        <v>87.684791609200005</v>
      </c>
      <c r="BO77">
        <v>3335</v>
      </c>
      <c r="BP77">
        <v>520</v>
      </c>
      <c r="BQ77">
        <v>146.09655172410001</v>
      </c>
      <c r="BR77">
        <v>162.11538461539999</v>
      </c>
      <c r="BS77">
        <v>410</v>
      </c>
      <c r="BT77">
        <v>43</v>
      </c>
      <c r="BU77">
        <v>49.526829268299998</v>
      </c>
      <c r="BV77">
        <v>146</v>
      </c>
      <c r="BW77">
        <v>14</v>
      </c>
      <c r="BX77">
        <v>129.6438356164</v>
      </c>
      <c r="BY77">
        <v>198.3571428571</v>
      </c>
    </row>
    <row r="78" spans="62:121" x14ac:dyDescent="0.2">
      <c r="BJ78" t="s">
        <v>952</v>
      </c>
      <c r="BK78" t="s">
        <v>693</v>
      </c>
      <c r="BL78">
        <v>1765</v>
      </c>
      <c r="BM78">
        <v>387</v>
      </c>
      <c r="BN78">
        <v>86.669688385300006</v>
      </c>
      <c r="BO78">
        <v>1213</v>
      </c>
      <c r="BP78">
        <v>146</v>
      </c>
      <c r="BQ78">
        <v>126.6900247321</v>
      </c>
      <c r="BR78">
        <v>151.52054794520001</v>
      </c>
      <c r="BS78">
        <v>4893</v>
      </c>
      <c r="BT78">
        <v>858</v>
      </c>
      <c r="BU78">
        <v>83.384631105699995</v>
      </c>
      <c r="BV78">
        <v>2708</v>
      </c>
      <c r="BW78">
        <v>350</v>
      </c>
      <c r="BX78">
        <v>129.1850073855</v>
      </c>
      <c r="BY78">
        <v>148.7628571429</v>
      </c>
    </row>
    <row r="79" spans="62:121" x14ac:dyDescent="0.2">
      <c r="BJ79" t="s">
        <v>693</v>
      </c>
      <c r="BK79" t="s">
        <v>693</v>
      </c>
      <c r="BL79">
        <v>10736</v>
      </c>
      <c r="BM79">
        <v>2510</v>
      </c>
      <c r="BN79">
        <v>88.494970193699999</v>
      </c>
      <c r="BO79">
        <v>5559</v>
      </c>
      <c r="BP79">
        <v>823</v>
      </c>
      <c r="BQ79">
        <v>143.17880913830001</v>
      </c>
      <c r="BR79">
        <v>159.86269744840001</v>
      </c>
      <c r="BS79">
        <v>10736</v>
      </c>
      <c r="BT79">
        <v>2510</v>
      </c>
      <c r="BU79">
        <v>88.494970193699999</v>
      </c>
      <c r="BV79">
        <v>5559</v>
      </c>
      <c r="BW79">
        <v>823</v>
      </c>
      <c r="BX79">
        <v>143.17880913830001</v>
      </c>
      <c r="BY79">
        <v>159.86269744840001</v>
      </c>
    </row>
    <row r="80" spans="62:121" x14ac:dyDescent="0.2">
      <c r="BJ80" t="s">
        <v>953</v>
      </c>
      <c r="BK80" t="s">
        <v>693</v>
      </c>
      <c r="BL80">
        <v>1725</v>
      </c>
      <c r="BM80">
        <v>485</v>
      </c>
      <c r="BN80">
        <v>93.765797101399997</v>
      </c>
      <c r="BO80">
        <v>1011</v>
      </c>
      <c r="BP80">
        <v>157</v>
      </c>
      <c r="BQ80">
        <v>153.33728981210001</v>
      </c>
      <c r="BR80">
        <v>160.15923566879999</v>
      </c>
      <c r="BS80">
        <v>5433</v>
      </c>
      <c r="BT80">
        <v>1609</v>
      </c>
      <c r="BU80">
        <v>96.038100497000002</v>
      </c>
      <c r="BV80">
        <v>2705</v>
      </c>
      <c r="BW80">
        <v>459</v>
      </c>
      <c r="BX80">
        <v>157.91866913120001</v>
      </c>
      <c r="BY80">
        <v>167.1525054466</v>
      </c>
    </row>
    <row r="81" spans="62:77" x14ac:dyDescent="0.2">
      <c r="BJ81" t="s">
        <v>694</v>
      </c>
      <c r="BL81">
        <v>360593</v>
      </c>
      <c r="BM81">
        <v>78113</v>
      </c>
      <c r="BN81" s="144">
        <v>92.749781609699994</v>
      </c>
      <c r="BO81">
        <v>357874</v>
      </c>
      <c r="BP81">
        <v>50172</v>
      </c>
      <c r="BQ81">
        <v>128.66425613480001</v>
      </c>
      <c r="BR81">
        <v>130.74485768950001</v>
      </c>
      <c r="BS81">
        <v>360593</v>
      </c>
      <c r="BT81">
        <v>78113</v>
      </c>
      <c r="BU81">
        <v>92.749781609699994</v>
      </c>
      <c r="BV81">
        <v>357874</v>
      </c>
      <c r="BW81">
        <v>50172</v>
      </c>
      <c r="BX81">
        <v>128.66425613480001</v>
      </c>
      <c r="BY81">
        <v>130.74485768950001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360593</CP_Inventory>
    <Fiscal_Year xmlns="c9744be7-b815-40bc-84fa-afc9c406d9bc">2016</Fiscal_Year>
    <CP_Backlog xmlns="c9744be7-b815-40bc-84fa-afc9c406d9bc">78113</CP_Backlog>
    <Creation_date xmlns="c9744be7-b815-40bc-84fa-afc9c406d9bc">2016-01-19T00:00:00-05:00</Creation_date>
    <Data_date xmlns="c9744be7-b815-40bc-84fa-afc9c406d9bc">2016-01-16T00:00:00-05:00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purl.org/dc/elements/1.1/"/>
    <ds:schemaRef ds:uri="http://schemas.openxmlformats.org/package/2006/metadata/core-properties"/>
    <ds:schemaRef ds:uri="http://www.w3.org/XML/1998/namespace"/>
    <ds:schemaRef ds:uri="fef9c9dc-374b-4157-9e06-089f148416e5"/>
    <ds:schemaRef ds:uri="http://purl.org/dc/terms/"/>
    <ds:schemaRef ds:uri="http://schemas.microsoft.com/office/infopath/2007/PartnerControls"/>
    <ds:schemaRef ds:uri="c9744be7-b815-40bc-84fa-afc9c406d9bc"/>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19,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2016-01-19T13:49:49Z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