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<sst xmlns="http://schemas.openxmlformats.org/spreadsheetml/2006/main" count="4090" uniqueCount="1065">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</sst>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14" fillId="38" borderId="18" xfId="0" applyFont="1" applyFill="1" applyBorder="1" applyAlignment="1" applyProtection="1">
      <alignment horizontal="left" vertical="center" wrapText="1"/>
      <protection hidden="1"/>
    </xf>
    <xf numFmtId="0" fontId="14" fillId="38" borderId="4"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4" fillId="38" borderId="29" xfId="0" applyFont="1" applyFill="1" applyBorder="1" applyAlignment="1" applyProtection="1">
      <alignment horizontal="left"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49" fontId="14" fillId="38" borderId="4"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14" fillId="38" borderId="6"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4" fillId="38" borderId="40" xfId="0" applyFont="1" applyFill="1" applyBorder="1" applyAlignment="1" applyProtection="1">
      <alignment horizontal="left"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306</v>
      </c>
      <c r="B1" s="276"/>
      <c r="C1" s="276"/>
      <c r="D1" s="276"/>
      <c r="E1" s="276"/>
      <c r="F1" s="276"/>
      <c r="G1" s="276"/>
      <c r="H1" s="276"/>
      <c r="I1" s="276"/>
      <c r="J1" s="276"/>
      <c r="K1" s="276"/>
      <c r="L1" s="276"/>
      <c r="M1" s="276"/>
      <c r="N1" s="276"/>
      <c r="O1" s="276"/>
      <c r="P1" s="277"/>
    </row>
    <row r="2" spans="1:16" ht="29.25" customHeight="1" x14ac:dyDescent="0.2">
      <c r="A2" s="269" t="s">
        <v>308</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304</v>
      </c>
      <c r="B8" s="267"/>
      <c r="C8" s="267"/>
      <c r="D8" s="267"/>
      <c r="E8" s="267"/>
      <c r="F8" s="267"/>
      <c r="G8" s="268"/>
      <c r="H8" s="266" t="s">
        <v>305</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1053</v>
      </c>
      <c r="C2" t="s">
        <v>506</v>
      </c>
      <c r="D2" t="s">
        <v>922</v>
      </c>
      <c r="E2" t="s">
        <v>923</v>
      </c>
      <c r="F2" t="s">
        <v>924</v>
      </c>
      <c r="G2" t="s">
        <v>925</v>
      </c>
      <c r="H2" t="s">
        <v>927</v>
      </c>
      <c r="I2" t="s">
        <v>1047</v>
      </c>
      <c r="J2" t="s">
        <v>928</v>
      </c>
      <c r="K2" t="s">
        <v>929</v>
      </c>
      <c r="L2" t="s">
        <v>926</v>
      </c>
      <c r="M2" t="s">
        <v>931</v>
      </c>
      <c r="N2" t="s">
        <v>932</v>
      </c>
      <c r="O2" t="s">
        <v>933</v>
      </c>
      <c r="P2" t="s">
        <v>934</v>
      </c>
    </row>
    <row r="3" spans="2:16" x14ac:dyDescent="0.2">
      <c r="B3" t="s">
        <v>590</v>
      </c>
      <c r="C3" t="s">
        <v>408</v>
      </c>
      <c r="D3" s="18">
        <v>42374.458680555559</v>
      </c>
      <c r="E3" t="s">
        <v>166</v>
      </c>
      <c r="F3" s="19">
        <v>0.96997674569876724</v>
      </c>
      <c r="G3" s="19">
        <v>0.97605985037406484</v>
      </c>
      <c r="H3" s="19">
        <v>0.91076692876713683</v>
      </c>
      <c r="I3" s="19">
        <v>4.5417002055965557E-2</v>
      </c>
      <c r="J3" s="19">
        <v>0.91206161870860103</v>
      </c>
      <c r="K3" s="19">
        <v>4.7387914913841062E-2</v>
      </c>
      <c r="L3" s="19"/>
      <c r="M3" s="19"/>
      <c r="N3" s="19"/>
      <c r="O3" s="19"/>
      <c r="P3" s="19"/>
    </row>
    <row r="4" spans="2:16" x14ac:dyDescent="0.2">
      <c r="B4" t="s">
        <v>649</v>
      </c>
      <c r="C4" t="s">
        <v>408</v>
      </c>
      <c r="D4" s="18">
        <v>42374.458680555559</v>
      </c>
      <c r="E4" t="s">
        <v>191</v>
      </c>
      <c r="F4" s="19">
        <v>0.99758241758241761</v>
      </c>
      <c r="G4" s="19">
        <v>0.9873708381171068</v>
      </c>
      <c r="H4" s="19">
        <v>0.89412254412254411</v>
      </c>
      <c r="I4" s="19">
        <v>4.4048953201673131E-2</v>
      </c>
      <c r="J4" s="19">
        <v>0.94304906204906214</v>
      </c>
      <c r="K4" s="19">
        <v>4.2846120940721592E-2</v>
      </c>
      <c r="L4" s="19"/>
      <c r="M4" s="19"/>
      <c r="N4" s="19"/>
      <c r="O4" s="19"/>
      <c r="P4" s="19"/>
    </row>
    <row r="5" spans="2:16" x14ac:dyDescent="0.2">
      <c r="B5" t="s">
        <v>543</v>
      </c>
      <c r="C5" t="s">
        <v>384</v>
      </c>
      <c r="D5" s="18">
        <v>42374.458680555559</v>
      </c>
      <c r="E5" t="s">
        <v>148</v>
      </c>
      <c r="F5" s="19">
        <v>0.93325848372135733</v>
      </c>
      <c r="G5" s="19">
        <v>0.85267493305390618</v>
      </c>
      <c r="H5" s="19">
        <v>0.89207282134002097</v>
      </c>
      <c r="I5" s="19">
        <v>4.6237276593911927E-2</v>
      </c>
      <c r="J5" s="19">
        <v>0.86615985724367694</v>
      </c>
      <c r="K5" s="19">
        <v>5.0305827185885971E-2</v>
      </c>
      <c r="L5" s="19"/>
      <c r="M5" s="19"/>
      <c r="N5" s="19"/>
      <c r="O5" s="19"/>
      <c r="P5" s="19"/>
    </row>
    <row r="6" spans="2:16" x14ac:dyDescent="0.2">
      <c r="B6" t="s">
        <v>537</v>
      </c>
      <c r="C6" t="s">
        <v>373</v>
      </c>
      <c r="D6" s="18">
        <v>42374.458680555559</v>
      </c>
      <c r="E6" t="s">
        <v>146</v>
      </c>
      <c r="F6" s="19">
        <v>0.94157351218992869</v>
      </c>
      <c r="G6" s="19">
        <v>0.80943291179511645</v>
      </c>
      <c r="H6" s="19">
        <v>0.82536168293808887</v>
      </c>
      <c r="I6" s="19">
        <v>4.7654090220379572E-2</v>
      </c>
      <c r="J6" s="19">
        <v>0.8816617572068699</v>
      </c>
      <c r="K6" s="19">
        <v>4.8696534231277649E-2</v>
      </c>
      <c r="L6" s="19"/>
      <c r="M6" s="19"/>
      <c r="N6" s="19"/>
      <c r="O6" s="19"/>
      <c r="P6" s="19"/>
    </row>
    <row r="7" spans="2:16" x14ac:dyDescent="0.2">
      <c r="B7" t="s">
        <v>605</v>
      </c>
      <c r="C7" t="s">
        <v>408</v>
      </c>
      <c r="D7" s="18">
        <v>42374.458680555559</v>
      </c>
      <c r="E7" t="s">
        <v>172</v>
      </c>
      <c r="F7" s="19">
        <v>0.9765365074756861</v>
      </c>
      <c r="G7" s="19">
        <v>0.92437968840161577</v>
      </c>
      <c r="H7" s="19">
        <v>0.94499999999999995</v>
      </c>
      <c r="I7" s="19">
        <v>4.4664423350855388E-2</v>
      </c>
      <c r="J7" s="19">
        <v>0.95804729738785466</v>
      </c>
      <c r="K7" s="19">
        <v>2.9559962694862846E-2</v>
      </c>
      <c r="L7" s="19"/>
      <c r="M7" s="19"/>
      <c r="N7" s="19"/>
      <c r="O7" s="19"/>
      <c r="P7" s="19"/>
    </row>
    <row r="8" spans="2:16" x14ac:dyDescent="0.2">
      <c r="B8" t="s">
        <v>516</v>
      </c>
      <c r="C8" t="s">
        <v>373</v>
      </c>
      <c r="D8" s="18">
        <v>42374.458680555559</v>
      </c>
      <c r="E8" t="s">
        <v>139</v>
      </c>
      <c r="F8" s="19">
        <v>0.91513510284542288</v>
      </c>
      <c r="G8" s="19">
        <v>0.80435773543622924</v>
      </c>
      <c r="H8" s="19">
        <v>0.81629668055524851</v>
      </c>
      <c r="I8" s="19">
        <v>5.9557789657780587E-2</v>
      </c>
      <c r="J8" s="19">
        <v>0.91326802427234399</v>
      </c>
      <c r="K8" s="19">
        <v>5.7198828226144943E-2</v>
      </c>
      <c r="L8" s="19"/>
      <c r="M8" s="19"/>
      <c r="N8" s="19"/>
      <c r="O8" s="19"/>
      <c r="P8" s="19"/>
    </row>
    <row r="9" spans="2:16" x14ac:dyDescent="0.2">
      <c r="B9" t="s">
        <v>524</v>
      </c>
      <c r="C9" t="s">
        <v>373</v>
      </c>
      <c r="D9" s="18">
        <v>42374.458680555559</v>
      </c>
      <c r="E9" t="s">
        <v>142</v>
      </c>
      <c r="F9" s="19">
        <v>0.97290082364303454</v>
      </c>
      <c r="G9" s="19">
        <v>0.9210423079244372</v>
      </c>
      <c r="H9" s="19">
        <v>0.88971425818285677</v>
      </c>
      <c r="I9" s="19">
        <v>4.9253196543825976E-2</v>
      </c>
      <c r="J9" s="19">
        <v>0.88066854899574309</v>
      </c>
      <c r="K9" s="19">
        <v>4.7145725771360392E-2</v>
      </c>
      <c r="L9" s="19"/>
      <c r="M9" s="19"/>
      <c r="N9" s="19"/>
      <c r="O9" s="19"/>
      <c r="P9" s="19"/>
    </row>
    <row r="10" spans="2:16" x14ac:dyDescent="0.2">
      <c r="B10" t="s">
        <v>641</v>
      </c>
      <c r="C10" t="s">
        <v>389</v>
      </c>
      <c r="D10" s="18">
        <v>42374.458680555559</v>
      </c>
      <c r="E10" t="s">
        <v>677</v>
      </c>
      <c r="F10" s="19">
        <v>0.98845959325047139</v>
      </c>
      <c r="G10" s="19">
        <v>0.96576787807737408</v>
      </c>
      <c r="H10" s="19">
        <v>0.87792966719051346</v>
      </c>
      <c r="I10" s="19">
        <v>5.3317098427736125E-2</v>
      </c>
      <c r="J10" s="19">
        <v>0.88037830369861625</v>
      </c>
      <c r="K10" s="19">
        <v>5.6574629112785643E-2</v>
      </c>
      <c r="L10" s="19"/>
      <c r="M10" s="19"/>
      <c r="N10" s="19"/>
      <c r="O10" s="19"/>
      <c r="P10" s="19"/>
    </row>
    <row r="11" spans="2:16" x14ac:dyDescent="0.2">
      <c r="B11" t="s">
        <v>571</v>
      </c>
      <c r="C11" t="s">
        <v>394</v>
      </c>
      <c r="D11" s="18">
        <v>42374.458680555559</v>
      </c>
      <c r="E11" t="s">
        <v>158</v>
      </c>
      <c r="F11" s="19">
        <v>0.93580615403246215</v>
      </c>
      <c r="G11" s="19">
        <v>0.85877427894234615</v>
      </c>
      <c r="H11" s="19">
        <v>0.88925393449402601</v>
      </c>
      <c r="I11" s="19">
        <v>4.5312472927129976E-2</v>
      </c>
      <c r="J11" s="19">
        <v>0.87173050601622037</v>
      </c>
      <c r="K11" s="19">
        <v>4.8317546916384228E-2</v>
      </c>
      <c r="L11" s="253"/>
      <c r="M11" s="253"/>
      <c r="N11" s="253"/>
      <c r="O11" s="253"/>
      <c r="P11" s="253"/>
    </row>
    <row r="12" spans="2:16" x14ac:dyDescent="0.2">
      <c r="B12" t="s">
        <v>563</v>
      </c>
      <c r="C12" t="s">
        <v>394</v>
      </c>
      <c r="D12" s="18">
        <v>42374.458680555559</v>
      </c>
      <c r="E12" t="s">
        <v>155</v>
      </c>
      <c r="F12" s="19">
        <v>0.98093824943565833</v>
      </c>
      <c r="G12" s="19">
        <v>0.92455803620492039</v>
      </c>
      <c r="H12" s="19">
        <v>0.9339946052673036</v>
      </c>
      <c r="I12" s="19">
        <v>3.8492225922182044E-2</v>
      </c>
      <c r="J12" s="19">
        <v>0.87941701766722669</v>
      </c>
      <c r="K12" s="19">
        <v>5.7581535851282908E-2</v>
      </c>
      <c r="L12" s="19"/>
      <c r="M12" s="19"/>
      <c r="N12" s="19"/>
      <c r="O12" s="19"/>
      <c r="P12" s="19"/>
    </row>
    <row r="13" spans="2:16" x14ac:dyDescent="0.2">
      <c r="B13" t="s">
        <v>551</v>
      </c>
      <c r="C13" t="s">
        <v>384</v>
      </c>
      <c r="D13" s="18">
        <v>42374.458680555559</v>
      </c>
      <c r="E13" t="s">
        <v>151</v>
      </c>
      <c r="F13" s="19">
        <v>0.98733780765995427</v>
      </c>
      <c r="G13" s="19">
        <v>0.96437061048082118</v>
      </c>
      <c r="H13" s="19">
        <v>0.94700040984060541</v>
      </c>
      <c r="I13" s="19">
        <v>4.4805048803649328E-2</v>
      </c>
      <c r="J13" s="19">
        <v>0.90567444305957534</v>
      </c>
      <c r="K13" s="19">
        <v>5.8082351927540611E-2</v>
      </c>
      <c r="L13" s="19"/>
      <c r="M13" s="19"/>
      <c r="N13" s="19"/>
      <c r="O13" s="19"/>
      <c r="P13" s="19"/>
    </row>
    <row r="14" spans="2:16" x14ac:dyDescent="0.2">
      <c r="B14" t="s">
        <v>389</v>
      </c>
      <c r="C14" t="s">
        <v>389</v>
      </c>
      <c r="D14" s="18">
        <v>42374.458680555559</v>
      </c>
      <c r="E14" t="s">
        <v>668</v>
      </c>
      <c r="F14" s="19">
        <v>0.96201168837313988</v>
      </c>
      <c r="G14" s="19">
        <v>0.8825475827353525</v>
      </c>
      <c r="H14" s="19">
        <v>0.9052606774108678</v>
      </c>
      <c r="I14" s="19">
        <v>1.675789888099544E-2</v>
      </c>
      <c r="J14" s="19">
        <v>0.9307807646312023</v>
      </c>
      <c r="K14" s="19">
        <v>1.5927316075654972E-2</v>
      </c>
      <c r="L14" s="19"/>
      <c r="M14" s="19"/>
      <c r="N14" s="19"/>
      <c r="O14" s="19"/>
      <c r="P14" s="19"/>
    </row>
    <row r="15" spans="2:16" x14ac:dyDescent="0.2">
      <c r="B15" t="s">
        <v>588</v>
      </c>
      <c r="C15" t="s">
        <v>389</v>
      </c>
      <c r="D15" s="18">
        <v>42374.458680555559</v>
      </c>
      <c r="E15" t="s">
        <v>165</v>
      </c>
      <c r="F15" s="19">
        <v>0.98287907333752011</v>
      </c>
      <c r="G15" s="19">
        <v>0.93086146036932238</v>
      </c>
      <c r="H15" s="19">
        <v>0.92783659300219457</v>
      </c>
      <c r="I15" s="19">
        <v>4.0955497905660249E-2</v>
      </c>
      <c r="J15" s="19">
        <v>0.89968338947769066</v>
      </c>
      <c r="K15" s="19">
        <v>4.7861685943861115E-2</v>
      </c>
      <c r="L15" s="19"/>
      <c r="M15" s="19"/>
      <c r="N15" s="19"/>
      <c r="O15" s="19"/>
      <c r="P15" s="19"/>
    </row>
    <row r="16" spans="2:16" x14ac:dyDescent="0.2">
      <c r="B16" t="s">
        <v>580</v>
      </c>
      <c r="C16" t="s">
        <v>394</v>
      </c>
      <c r="D16" s="18">
        <v>42374.458680555559</v>
      </c>
      <c r="E16" t="s">
        <v>162</v>
      </c>
      <c r="F16" s="19">
        <v>0.97183712141838119</v>
      </c>
      <c r="G16" s="19">
        <v>0.94446789267410314</v>
      </c>
      <c r="H16" s="19">
        <v>0.980482269503546</v>
      </c>
      <c r="I16" s="19">
        <v>1.988543211369951E-2</v>
      </c>
      <c r="J16" s="19">
        <v>0.97792456335934586</v>
      </c>
      <c r="K16" s="19">
        <v>2.17236709072305E-2</v>
      </c>
      <c r="L16" s="253"/>
      <c r="M16" s="253"/>
      <c r="N16" s="253"/>
      <c r="O16" s="253"/>
      <c r="P16" s="253"/>
    </row>
    <row r="17" spans="2:16" x14ac:dyDescent="0.2">
      <c r="B17" t="s">
        <v>573</v>
      </c>
      <c r="C17" t="s">
        <v>394</v>
      </c>
      <c r="D17" s="18">
        <v>42374.458680555559</v>
      </c>
      <c r="E17" t="s">
        <v>159</v>
      </c>
      <c r="F17" s="19">
        <v>0.92413545816482656</v>
      </c>
      <c r="G17" s="19">
        <v>0.9267784756559313</v>
      </c>
      <c r="H17" s="19">
        <v>0.89602548477062616</v>
      </c>
      <c r="I17" s="19">
        <v>4.4999620244511006E-2</v>
      </c>
      <c r="J17" s="19">
        <v>0.90692693332331775</v>
      </c>
      <c r="K17" s="19">
        <v>4.8556107140536611E-2</v>
      </c>
      <c r="L17" s="19"/>
      <c r="M17" s="19"/>
      <c r="N17" s="19"/>
      <c r="O17" s="19"/>
      <c r="P17" s="19"/>
    </row>
    <row r="18" spans="2:16" x14ac:dyDescent="0.2">
      <c r="B18" t="s">
        <v>637</v>
      </c>
      <c r="C18" t="s">
        <v>394</v>
      </c>
      <c r="D18" s="18">
        <v>42374.458680555559</v>
      </c>
      <c r="E18" t="s">
        <v>186</v>
      </c>
      <c r="F18" s="19">
        <v>0.92693584445498267</v>
      </c>
      <c r="G18" s="19">
        <v>0.85428779069767447</v>
      </c>
      <c r="H18" s="19">
        <v>0.9319529957827829</v>
      </c>
      <c r="I18" s="19">
        <v>4.1640698776399532E-2</v>
      </c>
      <c r="J18" s="19">
        <v>0.96131363984234819</v>
      </c>
      <c r="K18" s="19">
        <v>3.2167381355019911E-2</v>
      </c>
      <c r="L18" s="19"/>
      <c r="M18" s="19"/>
      <c r="N18" s="19"/>
      <c r="O18" s="19"/>
      <c r="P18" s="19"/>
    </row>
    <row r="19" spans="2:16" x14ac:dyDescent="0.2">
      <c r="B19" t="s">
        <v>635</v>
      </c>
      <c r="C19" t="s">
        <v>389</v>
      </c>
      <c r="D19" s="18">
        <v>42374.458680555559</v>
      </c>
      <c r="E19" t="s">
        <v>185</v>
      </c>
      <c r="F19" s="19">
        <v>0.97600310471960505</v>
      </c>
      <c r="G19" s="19">
        <v>0.92662521198417191</v>
      </c>
      <c r="H19" s="19">
        <v>0.94374859708193037</v>
      </c>
      <c r="I19" s="19">
        <v>3.9973237573555309E-2</v>
      </c>
      <c r="J19" s="19">
        <v>0.95198464219157897</v>
      </c>
      <c r="K19" s="19">
        <v>3.2546799348705233E-2</v>
      </c>
      <c r="L19" s="19"/>
      <c r="M19" s="19"/>
      <c r="N19" s="19"/>
      <c r="O19" s="19"/>
      <c r="P19" s="19"/>
    </row>
    <row r="20" spans="2:16" x14ac:dyDescent="0.2">
      <c r="B20" t="s">
        <v>526</v>
      </c>
      <c r="C20" t="s">
        <v>373</v>
      </c>
      <c r="D20" s="18">
        <v>42374.458680555559</v>
      </c>
      <c r="E20" t="s">
        <v>143</v>
      </c>
      <c r="F20" s="19">
        <v>0.99294266353007277</v>
      </c>
      <c r="G20" s="19">
        <v>0.96322722283205264</v>
      </c>
      <c r="H20" s="19">
        <v>0.92046869333413084</v>
      </c>
      <c r="I20" s="19">
        <v>4.3251515963425573E-2</v>
      </c>
      <c r="J20" s="19">
        <v>0.96695884760400896</v>
      </c>
      <c r="K20" s="19">
        <v>3.3365891722760568E-2</v>
      </c>
      <c r="L20" s="19"/>
      <c r="M20" s="19"/>
      <c r="N20" s="19"/>
      <c r="O20" s="19"/>
      <c r="P20" s="19"/>
    </row>
    <row r="21" spans="2:16" x14ac:dyDescent="0.2">
      <c r="B21" t="s">
        <v>645</v>
      </c>
      <c r="C21" t="s">
        <v>408</v>
      </c>
      <c r="D21" s="18">
        <v>42374.458680555559</v>
      </c>
      <c r="E21" t="s">
        <v>189</v>
      </c>
      <c r="F21" s="19">
        <v>0.94982624390506709</v>
      </c>
      <c r="G21" s="19">
        <v>0.87705393388749286</v>
      </c>
      <c r="H21" s="19">
        <v>0.89039297272306983</v>
      </c>
      <c r="I21" s="19">
        <v>4.5429146510922037E-2</v>
      </c>
      <c r="J21" s="19">
        <v>0.9620298694190319</v>
      </c>
      <c r="K21" s="19">
        <v>3.101005176223012E-2</v>
      </c>
      <c r="L21" s="19"/>
      <c r="M21" s="19"/>
      <c r="N21" s="19"/>
      <c r="O21" s="19"/>
      <c r="P21" s="19"/>
    </row>
    <row r="22" spans="2:16" x14ac:dyDescent="0.2">
      <c r="B22" t="s">
        <v>623</v>
      </c>
      <c r="C22" t="s">
        <v>389</v>
      </c>
      <c r="D22" s="18">
        <v>42374.458680555559</v>
      </c>
      <c r="E22" t="s">
        <v>180</v>
      </c>
      <c r="F22" s="19">
        <v>0.94631900428536586</v>
      </c>
      <c r="G22" s="19">
        <v>0.8127137103152875</v>
      </c>
      <c r="H22" s="19">
        <v>0.85856797974445032</v>
      </c>
      <c r="I22" s="19">
        <v>4.5697503699262398E-2</v>
      </c>
      <c r="J22" s="19">
        <v>0.90866814336098467</v>
      </c>
      <c r="K22" s="19">
        <v>4.3571400307303845E-2</v>
      </c>
      <c r="L22" s="19"/>
      <c r="M22" s="19"/>
      <c r="N22" s="19"/>
      <c r="O22" s="19"/>
      <c r="P22" s="19"/>
    </row>
    <row r="23" spans="2:16" x14ac:dyDescent="0.2">
      <c r="B23" t="s">
        <v>541</v>
      </c>
      <c r="C23" t="s">
        <v>373</v>
      </c>
      <c r="D23" s="18">
        <v>42374.458680555559</v>
      </c>
      <c r="E23" t="s">
        <v>147</v>
      </c>
      <c r="F23" s="19">
        <v>0.97382659623017243</v>
      </c>
      <c r="G23" s="19">
        <v>0.93293431553100059</v>
      </c>
      <c r="H23" s="19">
        <v>0.90171809874766351</v>
      </c>
      <c r="I23" s="19">
        <v>4.3704081920787986E-2</v>
      </c>
      <c r="J23" s="19">
        <v>0.89575342716306783</v>
      </c>
      <c r="K23" s="19">
        <v>5.1571207049398993E-2</v>
      </c>
      <c r="L23" s="19"/>
      <c r="M23" s="19"/>
      <c r="N23" s="19"/>
      <c r="O23" s="19"/>
      <c r="P23" s="19"/>
    </row>
    <row r="24" spans="2:16" x14ac:dyDescent="0.2">
      <c r="B24" t="s">
        <v>565</v>
      </c>
      <c r="C24" t="s">
        <v>394</v>
      </c>
      <c r="D24" s="18">
        <v>42374.458680555559</v>
      </c>
      <c r="E24" t="s">
        <v>156</v>
      </c>
      <c r="F24" s="19">
        <v>0.95690186340042571</v>
      </c>
      <c r="G24" s="19">
        <v>0.91222675064838821</v>
      </c>
      <c r="H24" s="19">
        <v>0.91470747405408981</v>
      </c>
      <c r="I24" s="19">
        <v>4.6281048925901021E-2</v>
      </c>
      <c r="J24" s="19">
        <v>0.944543303947883</v>
      </c>
      <c r="K24" s="19">
        <v>3.3536032375189533E-2</v>
      </c>
      <c r="L24" s="19"/>
      <c r="M24" s="19"/>
      <c r="N24" s="19"/>
      <c r="O24" s="19"/>
      <c r="P24" s="19"/>
    </row>
    <row r="25" spans="2:16" x14ac:dyDescent="0.2">
      <c r="B25" t="s">
        <v>559</v>
      </c>
      <c r="C25" t="s">
        <v>389</v>
      </c>
      <c r="D25" s="18">
        <v>42374.458680555559</v>
      </c>
      <c r="E25" t="s">
        <v>154</v>
      </c>
      <c r="F25" s="19">
        <v>0.95601757830990475</v>
      </c>
      <c r="G25" s="19">
        <v>0.88445612034321708</v>
      </c>
      <c r="H25" s="19">
        <v>0.89556821593119007</v>
      </c>
      <c r="I25" s="19">
        <v>4.1774783910117887E-2</v>
      </c>
      <c r="J25" s="19">
        <v>0.88571659653749213</v>
      </c>
      <c r="K25" s="19">
        <v>5.4201882173675886E-2</v>
      </c>
      <c r="L25" s="19"/>
      <c r="M25" s="19"/>
      <c r="N25" s="19"/>
      <c r="O25" s="19"/>
      <c r="P25" s="19"/>
    </row>
    <row r="26" spans="2:16" x14ac:dyDescent="0.2">
      <c r="B26" t="s">
        <v>582</v>
      </c>
      <c r="C26" t="s">
        <v>394</v>
      </c>
      <c r="D26" s="18">
        <v>42374.458680555559</v>
      </c>
      <c r="E26" t="s">
        <v>163</v>
      </c>
      <c r="F26" s="19">
        <v>0.97082930882836982</v>
      </c>
      <c r="G26" s="19">
        <v>0.89079084287200838</v>
      </c>
      <c r="H26" s="19">
        <v>0.95506405555795193</v>
      </c>
      <c r="I26" s="19">
        <v>3.6958619792387924E-2</v>
      </c>
      <c r="J26" s="19">
        <v>0.97880545180525536</v>
      </c>
      <c r="K26" s="19">
        <v>2.3860397973589471E-2</v>
      </c>
      <c r="L26" s="19"/>
      <c r="M26" s="19"/>
      <c r="N26" s="19"/>
      <c r="O26" s="19"/>
      <c r="P26" s="19"/>
    </row>
    <row r="27" spans="2:16" x14ac:dyDescent="0.2">
      <c r="B27" t="s">
        <v>611</v>
      </c>
      <c r="C27" t="s">
        <v>389</v>
      </c>
      <c r="D27" s="18">
        <v>42374.458680555559</v>
      </c>
      <c r="E27" t="s">
        <v>175</v>
      </c>
      <c r="F27" s="19">
        <v>0.96010699414473621</v>
      </c>
      <c r="G27" s="19">
        <v>0.85267569310122515</v>
      </c>
      <c r="H27" s="19">
        <v>0.89498689466746806</v>
      </c>
      <c r="I27" s="19">
        <v>5.1592444343412043E-2</v>
      </c>
      <c r="J27" s="19">
        <v>0.93914067378878652</v>
      </c>
      <c r="K27" s="19">
        <v>4.1643613425293824E-2</v>
      </c>
      <c r="L27" s="19"/>
      <c r="M27" s="19"/>
      <c r="N27" s="19"/>
      <c r="O27" s="19"/>
      <c r="P27" s="19"/>
    </row>
    <row r="28" spans="2:16" x14ac:dyDescent="0.2">
      <c r="B28" t="s">
        <v>597</v>
      </c>
      <c r="C28" t="s">
        <v>408</v>
      </c>
      <c r="D28" s="18">
        <v>42374.458680555559</v>
      </c>
      <c r="E28" t="s">
        <v>169</v>
      </c>
      <c r="F28" s="19">
        <v>0.92117616134938085</v>
      </c>
      <c r="G28" s="19">
        <v>0.91614906832298137</v>
      </c>
      <c r="H28" s="19">
        <v>0.87941783882683011</v>
      </c>
      <c r="I28" s="19">
        <v>4.6155200796287515E-2</v>
      </c>
      <c r="J28" s="19">
        <v>0.89413505314172725</v>
      </c>
      <c r="K28" s="19">
        <v>4.8007523955498003E-2</v>
      </c>
      <c r="L28" s="19"/>
      <c r="M28" s="19"/>
      <c r="N28" s="19"/>
      <c r="O28" s="19"/>
      <c r="P28" s="19"/>
    </row>
    <row r="29" spans="2:16" x14ac:dyDescent="0.2">
      <c r="B29" t="s">
        <v>567</v>
      </c>
      <c r="C29" t="s">
        <v>384</v>
      </c>
      <c r="D29" s="18">
        <v>42374.458680555559</v>
      </c>
      <c r="E29" t="s">
        <v>157</v>
      </c>
      <c r="F29" s="19">
        <v>0.97950653423445444</v>
      </c>
      <c r="G29" s="19">
        <v>0.92613019350315096</v>
      </c>
      <c r="H29" s="19">
        <v>0.92024221400119943</v>
      </c>
      <c r="I29" s="19">
        <v>4.3930442106918551E-2</v>
      </c>
      <c r="J29" s="19">
        <v>0.9009935256510837</v>
      </c>
      <c r="K29" s="19">
        <v>4.807069998297045E-2</v>
      </c>
      <c r="L29" s="19"/>
      <c r="M29" s="19"/>
      <c r="N29" s="19"/>
      <c r="O29" s="19"/>
      <c r="P29" s="19"/>
    </row>
    <row r="30" spans="2:16" x14ac:dyDescent="0.2">
      <c r="B30" t="s">
        <v>626</v>
      </c>
      <c r="C30" t="s">
        <v>373</v>
      </c>
      <c r="D30" s="18">
        <v>42374.458680555559</v>
      </c>
      <c r="E30" t="s">
        <v>181</v>
      </c>
      <c r="F30" s="19">
        <v>0.97083819419625006</v>
      </c>
      <c r="G30" s="19">
        <v>0.95297951582867779</v>
      </c>
      <c r="H30" s="19">
        <v>0.91828318006920673</v>
      </c>
      <c r="I30" s="19">
        <v>3.998971318316457E-2</v>
      </c>
      <c r="J30" s="19">
        <v>0.91904552613265944</v>
      </c>
      <c r="K30" s="19">
        <v>4.5578205498796438E-2</v>
      </c>
      <c r="L30" s="19"/>
      <c r="M30" s="19"/>
      <c r="N30" s="19"/>
      <c r="O30" s="19"/>
      <c r="P30" s="19"/>
    </row>
    <row r="31" spans="2:16" x14ac:dyDescent="0.2">
      <c r="B31" t="s">
        <v>619</v>
      </c>
      <c r="C31" t="s">
        <v>408</v>
      </c>
      <c r="D31" s="18">
        <v>42374.458680555559</v>
      </c>
      <c r="E31" t="s">
        <v>179</v>
      </c>
      <c r="F31" s="19">
        <v>0.94623166008902881</v>
      </c>
      <c r="G31" s="19">
        <v>0.89815585960737654</v>
      </c>
      <c r="H31" s="19">
        <v>0.9305093110482332</v>
      </c>
      <c r="I31" s="19">
        <v>4.5203592670496846E-2</v>
      </c>
      <c r="J31" s="19">
        <v>0.97102996254681662</v>
      </c>
      <c r="K31" s="19">
        <v>2.7025131266069095E-2</v>
      </c>
      <c r="L31" s="19"/>
      <c r="M31" s="19"/>
      <c r="N31" s="19"/>
      <c r="O31" s="19"/>
      <c r="P31" s="19"/>
    </row>
    <row r="32" spans="2:16" x14ac:dyDescent="0.2">
      <c r="B32" t="s">
        <v>394</v>
      </c>
      <c r="C32" t="s">
        <v>394</v>
      </c>
      <c r="D32" s="18">
        <v>42374.458680555559</v>
      </c>
      <c r="E32" t="s">
        <v>667</v>
      </c>
      <c r="F32" s="19">
        <v>0.96501248042945909</v>
      </c>
      <c r="G32" s="19">
        <v>0.9267909910392611</v>
      </c>
      <c r="H32" s="19">
        <v>0.9336016278367506</v>
      </c>
      <c r="I32" s="19">
        <v>1.2705766420396572E-2</v>
      </c>
      <c r="J32" s="19">
        <v>0.90607700815432457</v>
      </c>
      <c r="K32" s="19">
        <v>2.0556487878228252E-2</v>
      </c>
      <c r="L32" s="19"/>
      <c r="M32" s="19"/>
      <c r="N32" s="19"/>
      <c r="O32" s="19"/>
      <c r="P32" s="19"/>
    </row>
    <row r="33" spans="2:16" x14ac:dyDescent="0.2">
      <c r="B33" t="s">
        <v>212</v>
      </c>
      <c r="C33" t="s">
        <v>394</v>
      </c>
      <c r="D33" s="18">
        <v>42374.458680555559</v>
      </c>
      <c r="E33" t="s">
        <v>160</v>
      </c>
      <c r="F33" s="19">
        <v>0.98905237004542101</v>
      </c>
      <c r="G33" s="19">
        <v>0.95353244078269805</v>
      </c>
      <c r="H33" s="19">
        <v>0.96730348971489943</v>
      </c>
      <c r="I33" s="19">
        <v>3.4325997387215777E-2</v>
      </c>
      <c r="J33" s="19">
        <v>0.90466426300662917</v>
      </c>
      <c r="K33" s="19">
        <v>5.2976962994764849E-2</v>
      </c>
      <c r="L33" s="19">
        <v>1</v>
      </c>
      <c r="M33" s="19">
        <v>0.9527406412662911</v>
      </c>
      <c r="N33" s="19">
        <v>3.4903923101055979E-2</v>
      </c>
      <c r="O33" s="19">
        <v>0.97667166653509119</v>
      </c>
      <c r="P33" s="19">
        <v>2.2442018434798996E-2</v>
      </c>
    </row>
    <row r="34" spans="2:16" x14ac:dyDescent="0.2">
      <c r="B34" t="s">
        <v>575</v>
      </c>
      <c r="C34" t="s">
        <v>394</v>
      </c>
      <c r="D34" s="18">
        <v>42374.458680555559</v>
      </c>
      <c r="E34" t="s">
        <v>160</v>
      </c>
      <c r="F34" s="19">
        <v>0.98905237004542101</v>
      </c>
      <c r="G34" s="19">
        <v>0.95353244078269805</v>
      </c>
      <c r="H34" s="19">
        <v>0.96730348971489943</v>
      </c>
      <c r="I34" s="19">
        <v>3.4325997387215777E-2</v>
      </c>
      <c r="J34" s="19">
        <v>0.90466426300662917</v>
      </c>
      <c r="K34" s="19">
        <v>5.2976962994764849E-2</v>
      </c>
      <c r="L34" s="19">
        <v>1</v>
      </c>
      <c r="M34" s="19">
        <v>0.9527406412662911</v>
      </c>
      <c r="N34" s="19">
        <v>3.4903923101055979E-2</v>
      </c>
      <c r="O34" s="19">
        <v>0.97667166653509119</v>
      </c>
      <c r="P34" s="19">
        <v>2.2442018434798996E-2</v>
      </c>
    </row>
    <row r="35" spans="2:16" x14ac:dyDescent="0.2">
      <c r="B35" t="s">
        <v>557</v>
      </c>
      <c r="C35" t="s">
        <v>384</v>
      </c>
      <c r="D35" s="18">
        <v>42374.458680555559</v>
      </c>
      <c r="E35" t="s">
        <v>153</v>
      </c>
      <c r="F35" s="19">
        <v>0.92183695479845285</v>
      </c>
      <c r="G35" s="19">
        <v>0.88559609667621841</v>
      </c>
      <c r="H35" s="19">
        <v>0.91630605507638796</v>
      </c>
      <c r="I35" s="19">
        <v>4.1046399082281797E-2</v>
      </c>
      <c r="J35" s="19">
        <v>0.92951824729357757</v>
      </c>
      <c r="K35" s="19">
        <v>3.8788517472027377E-2</v>
      </c>
      <c r="L35" s="19"/>
      <c r="M35" s="19"/>
      <c r="N35" s="19"/>
      <c r="O35" s="19"/>
      <c r="P35" s="19"/>
    </row>
    <row r="36" spans="2:16" x14ac:dyDescent="0.2">
      <c r="B36" t="s">
        <v>613</v>
      </c>
      <c r="C36" t="s">
        <v>389</v>
      </c>
      <c r="D36" s="18">
        <v>42374.458680555559</v>
      </c>
      <c r="E36" t="s">
        <v>176</v>
      </c>
      <c r="F36" s="19">
        <v>0.96829933072283403</v>
      </c>
      <c r="G36" s="19">
        <v>0.92067323164059967</v>
      </c>
      <c r="H36" s="19">
        <v>0.92685063803416068</v>
      </c>
      <c r="I36" s="19">
        <v>4.5476456720553671E-2</v>
      </c>
      <c r="J36" s="19">
        <v>0.94442286397582986</v>
      </c>
      <c r="K36" s="19">
        <v>4.6656277931826369E-2</v>
      </c>
      <c r="L36" s="19"/>
      <c r="M36" s="19"/>
      <c r="N36" s="19"/>
      <c r="O36" s="19"/>
      <c r="P36" s="19"/>
    </row>
    <row r="37" spans="2:16" x14ac:dyDescent="0.2">
      <c r="B37" t="s">
        <v>553</v>
      </c>
      <c r="C37" t="s">
        <v>384</v>
      </c>
      <c r="D37" s="18">
        <v>42374.458680555559</v>
      </c>
      <c r="E37" t="s">
        <v>94</v>
      </c>
      <c r="F37" s="19">
        <v>0.99117324623365466</v>
      </c>
      <c r="G37" s="19">
        <v>1</v>
      </c>
      <c r="H37" s="19">
        <v>0.95353361112355683</v>
      </c>
      <c r="I37" s="19">
        <v>3.2407502926613534E-2</v>
      </c>
      <c r="J37" s="19">
        <v>0.93317521753048327</v>
      </c>
      <c r="K37" s="19">
        <v>3.9162338713145457E-2</v>
      </c>
      <c r="L37" s="19"/>
      <c r="M37" s="19"/>
      <c r="N37" s="19"/>
      <c r="O37" s="19"/>
      <c r="P37" s="19"/>
    </row>
    <row r="38" spans="2:16" x14ac:dyDescent="0.2">
      <c r="B38" t="s">
        <v>555</v>
      </c>
      <c r="C38" t="s">
        <v>389</v>
      </c>
      <c r="D38" s="18">
        <v>42374.458680555559</v>
      </c>
      <c r="E38" t="s">
        <v>152</v>
      </c>
      <c r="F38" s="19">
        <v>0.9868946128128735</v>
      </c>
      <c r="G38" s="19">
        <v>0.97209996270048493</v>
      </c>
      <c r="H38" s="19">
        <v>0.92617298498912159</v>
      </c>
      <c r="I38" s="19">
        <v>4.0964917430248916E-2</v>
      </c>
      <c r="J38" s="19">
        <v>0.94333841395382767</v>
      </c>
      <c r="K38" s="19">
        <v>3.4840560243678452E-2</v>
      </c>
      <c r="L38" s="19"/>
      <c r="M38" s="19"/>
      <c r="N38" s="19"/>
      <c r="O38" s="19"/>
      <c r="P38" s="19"/>
    </row>
    <row r="39" spans="2:16" x14ac:dyDescent="0.2">
      <c r="B39" t="s">
        <v>522</v>
      </c>
      <c r="C39" t="s">
        <v>373</v>
      </c>
      <c r="D39" s="18">
        <v>42374.458680555559</v>
      </c>
      <c r="E39" t="s">
        <v>141</v>
      </c>
      <c r="F39" s="19">
        <v>0.9309579048110056</v>
      </c>
      <c r="G39" s="19">
        <v>0.82271031855864396</v>
      </c>
      <c r="H39" s="19">
        <v>0.90256916498993978</v>
      </c>
      <c r="I39" s="19">
        <v>4.8066180689815712E-2</v>
      </c>
      <c r="J39" s="19">
        <v>0.92324390080204044</v>
      </c>
      <c r="K39" s="19">
        <v>4.1670066440340679E-2</v>
      </c>
      <c r="L39" s="19"/>
      <c r="M39" s="19"/>
      <c r="N39" s="19"/>
      <c r="O39" s="19"/>
      <c r="P39" s="19"/>
    </row>
    <row r="40" spans="2:16" x14ac:dyDescent="0.2">
      <c r="B40" t="s">
        <v>528</v>
      </c>
      <c r="C40" t="s">
        <v>373</v>
      </c>
      <c r="D40" s="18">
        <v>42374.458680555559</v>
      </c>
      <c r="E40" t="s">
        <v>144</v>
      </c>
      <c r="F40" s="19">
        <v>0.93767883533000007</v>
      </c>
      <c r="G40" s="19">
        <v>0.88166404474742177</v>
      </c>
      <c r="H40" s="19">
        <v>0.87932553351546094</v>
      </c>
      <c r="I40" s="19">
        <v>4.375571969644497E-2</v>
      </c>
      <c r="J40" s="19">
        <v>0.85503522570817581</v>
      </c>
      <c r="K40" s="19">
        <v>5.1176209522065225E-2</v>
      </c>
      <c r="L40" s="19"/>
      <c r="M40" s="19"/>
      <c r="N40" s="19"/>
      <c r="O40" s="19"/>
      <c r="P40" s="19"/>
    </row>
    <row r="41" spans="2:16" x14ac:dyDescent="0.2">
      <c r="B41" t="s">
        <v>373</v>
      </c>
      <c r="C41" t="s">
        <v>373</v>
      </c>
      <c r="D41" s="18">
        <v>42374.458680555559</v>
      </c>
      <c r="E41" t="s">
        <v>666</v>
      </c>
      <c r="F41" s="19">
        <v>0.9602834708770337</v>
      </c>
      <c r="G41" s="19">
        <v>0.88343657779439999</v>
      </c>
      <c r="H41" s="19">
        <v>0.87075523409242972</v>
      </c>
      <c r="I41" s="19">
        <v>1.6770998241114582E-2</v>
      </c>
      <c r="J41" s="19">
        <v>0.89397814954597565</v>
      </c>
      <c r="K41" s="19">
        <v>1.5886202338098201E-2</v>
      </c>
      <c r="L41" s="19"/>
      <c r="M41" s="19"/>
      <c r="N41" s="19"/>
      <c r="O41" s="19"/>
      <c r="P41" s="19"/>
    </row>
    <row r="42" spans="2:16" x14ac:dyDescent="0.2">
      <c r="B42" t="s">
        <v>595</v>
      </c>
      <c r="C42" t="s">
        <v>408</v>
      </c>
      <c r="D42" s="18">
        <v>42374.458680555559</v>
      </c>
      <c r="E42" t="s">
        <v>168</v>
      </c>
      <c r="F42" s="19">
        <v>0.96294267934005218</v>
      </c>
      <c r="G42" s="19">
        <v>0.93321878211716336</v>
      </c>
      <c r="H42" s="19">
        <v>0.94899377198939872</v>
      </c>
      <c r="I42" s="19">
        <v>3.4197020275535547E-2</v>
      </c>
      <c r="J42" s="19">
        <v>0.9095791342628704</v>
      </c>
      <c r="K42" s="19">
        <v>4.8814972416533139E-2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408</v>
      </c>
      <c r="C44" t="s">
        <v>408</v>
      </c>
      <c r="D44" s="18">
        <v>42374.458680555559</v>
      </c>
      <c r="E44" t="s">
        <v>669</v>
      </c>
      <c r="F44" s="19">
        <v>0.95328805892639512</v>
      </c>
      <c r="G44" s="19">
        <v>0.8880115344826045</v>
      </c>
      <c r="H44" s="19">
        <v>0.90781945305034695</v>
      </c>
      <c r="I44" s="19">
        <v>1.5941174696001072E-2</v>
      </c>
      <c r="J44" s="19">
        <v>0.93406046148647615</v>
      </c>
      <c r="K44" s="19">
        <v>1.525307463992462E-2</v>
      </c>
      <c r="L44" s="19"/>
      <c r="M44" s="19"/>
      <c r="N44" s="19"/>
      <c r="O44" s="19"/>
      <c r="P44" s="19"/>
    </row>
    <row r="45" spans="2:16" x14ac:dyDescent="0.2">
      <c r="B45" t="s">
        <v>213</v>
      </c>
      <c r="C45" t="s">
        <v>373</v>
      </c>
      <c r="D45" s="18">
        <v>42374.458680555559</v>
      </c>
      <c r="E45" t="s">
        <v>102</v>
      </c>
      <c r="F45" s="19">
        <v>0.96772408735050564</v>
      </c>
      <c r="G45" s="19">
        <v>0.93488888053247077</v>
      </c>
      <c r="H45" s="19">
        <v>0.86094930004569425</v>
      </c>
      <c r="I45" s="19">
        <v>5.1128656528516031E-2</v>
      </c>
      <c r="J45" s="19">
        <v>0.89468325884570687</v>
      </c>
      <c r="K45" s="19">
        <v>5.2004402500186231E-2</v>
      </c>
      <c r="L45" s="19">
        <v>0.91294528988622348</v>
      </c>
      <c r="M45" s="19">
        <v>0.93017667772598667</v>
      </c>
      <c r="N45" s="19">
        <v>4.3386517725416809E-2</v>
      </c>
      <c r="O45" s="19">
        <v>0.92519699830758606</v>
      </c>
      <c r="P45" s="19">
        <v>4.881325786853296E-2</v>
      </c>
    </row>
    <row r="46" spans="2:16" x14ac:dyDescent="0.2">
      <c r="B46" t="s">
        <v>530</v>
      </c>
      <c r="C46" t="s">
        <v>373</v>
      </c>
      <c r="D46" s="18">
        <v>42374.458680555559</v>
      </c>
      <c r="E46" t="s">
        <v>102</v>
      </c>
      <c r="F46" s="19">
        <v>0.96772408735050564</v>
      </c>
      <c r="G46" s="19">
        <v>0.93488888053247077</v>
      </c>
      <c r="H46" s="19">
        <v>0.86094930004569425</v>
      </c>
      <c r="I46" s="19">
        <v>5.1128656528516031E-2</v>
      </c>
      <c r="J46" s="19">
        <v>0.89468325884570687</v>
      </c>
      <c r="K46" s="19">
        <v>5.2004402500186231E-2</v>
      </c>
      <c r="L46" s="19">
        <v>0.91294528988622348</v>
      </c>
      <c r="M46" s="19">
        <v>0.93017667772598667</v>
      </c>
      <c r="N46" s="19">
        <v>4.3386517725416809E-2</v>
      </c>
      <c r="O46" s="19">
        <v>0.92519699830758606</v>
      </c>
      <c r="P46" s="19">
        <v>4.881325786853296E-2</v>
      </c>
    </row>
    <row r="47" spans="2:16" x14ac:dyDescent="0.2">
      <c r="B47" t="s">
        <v>599</v>
      </c>
      <c r="C47" t="s">
        <v>408</v>
      </c>
      <c r="D47" s="18">
        <v>42374.458680555559</v>
      </c>
      <c r="E47" t="s">
        <v>170</v>
      </c>
      <c r="F47" s="19">
        <v>0.97033674714176288</v>
      </c>
      <c r="G47" s="19">
        <v>0.86083160304530681</v>
      </c>
      <c r="H47" s="19">
        <v>0.89588482791198421</v>
      </c>
      <c r="I47" s="19">
        <v>5.09728347936673E-2</v>
      </c>
      <c r="J47" s="19">
        <v>0.93008657218889712</v>
      </c>
      <c r="K47" s="19">
        <v>4.3639410526307924E-2</v>
      </c>
      <c r="L47" s="19"/>
      <c r="M47" s="19"/>
      <c r="N47" s="19"/>
      <c r="O47" s="19"/>
      <c r="P47" s="19"/>
    </row>
    <row r="48" spans="2:16" x14ac:dyDescent="0.2">
      <c r="B48" t="s">
        <v>533</v>
      </c>
      <c r="C48" t="s">
        <v>373</v>
      </c>
      <c r="D48" s="18">
        <v>42374.458680555559</v>
      </c>
      <c r="E48" t="s">
        <v>145</v>
      </c>
      <c r="F48" s="19">
        <v>0.89264644170719065</v>
      </c>
      <c r="G48" s="19">
        <v>0.86267918932278809</v>
      </c>
      <c r="H48" s="19">
        <v>0.89501628148136447</v>
      </c>
      <c r="I48" s="19">
        <v>4.7987089016772587E-2</v>
      </c>
      <c r="J48" s="19">
        <v>0.89272950754772717</v>
      </c>
      <c r="K48" s="19">
        <v>6.1393887445169708E-2</v>
      </c>
      <c r="L48" s="19"/>
      <c r="M48" s="19"/>
      <c r="N48" s="19"/>
      <c r="O48" s="19"/>
      <c r="P48" s="19"/>
    </row>
    <row r="49" spans="2:16" x14ac:dyDescent="0.2">
      <c r="B49" t="s">
        <v>607</v>
      </c>
      <c r="C49" t="s">
        <v>408</v>
      </c>
      <c r="D49" s="18">
        <v>42374.458680555559</v>
      </c>
      <c r="E49" t="s">
        <v>173</v>
      </c>
      <c r="F49" s="19">
        <v>0.88206653692624859</v>
      </c>
      <c r="G49" s="19">
        <v>0.83834526650755758</v>
      </c>
      <c r="H49" s="19">
        <v>0.90719080781192563</v>
      </c>
      <c r="I49" s="19">
        <v>4.7938081606358478E-2</v>
      </c>
      <c r="J49" s="19">
        <v>0.9398631366609278</v>
      </c>
      <c r="K49" s="19">
        <v>4.0495378490909249E-2</v>
      </c>
      <c r="L49" s="19"/>
      <c r="M49" s="19"/>
      <c r="N49" s="19"/>
      <c r="O49" s="19"/>
      <c r="P49" s="19"/>
    </row>
    <row r="50" spans="2:16" x14ac:dyDescent="0.2">
      <c r="B50" t="s">
        <v>518</v>
      </c>
      <c r="C50" t="s">
        <v>373</v>
      </c>
      <c r="D50" s="18">
        <v>42374.458680555559</v>
      </c>
      <c r="E50" t="s">
        <v>140</v>
      </c>
      <c r="F50" s="19">
        <v>0.97846077807786269</v>
      </c>
      <c r="G50" s="19">
        <v>0.9234382194934766</v>
      </c>
      <c r="H50" s="19">
        <v>0.86546179515091071</v>
      </c>
      <c r="I50" s="19">
        <v>6.1458675408162765E-2</v>
      </c>
      <c r="J50" s="19">
        <v>0.96440821256038634</v>
      </c>
      <c r="K50" s="19">
        <v>2.9057881010602388E-2</v>
      </c>
      <c r="L50" s="19"/>
      <c r="M50" s="19"/>
      <c r="N50" s="19"/>
      <c r="O50" s="19"/>
      <c r="P50" s="19"/>
    </row>
    <row r="51" spans="2:16" x14ac:dyDescent="0.2">
      <c r="B51" t="s">
        <v>615</v>
      </c>
      <c r="C51" t="s">
        <v>408</v>
      </c>
      <c r="D51" s="18">
        <v>42374.458680555559</v>
      </c>
      <c r="E51" t="s">
        <v>177</v>
      </c>
      <c r="F51" s="19">
        <v>0.9152060116563574</v>
      </c>
      <c r="G51" s="19">
        <v>0.8514619883040937</v>
      </c>
      <c r="H51" s="19">
        <v>0.89313917513645757</v>
      </c>
      <c r="I51" s="19">
        <v>5.1597823076428358E-2</v>
      </c>
      <c r="J51" s="19">
        <v>0.95163276842108957</v>
      </c>
      <c r="K51" s="19">
        <v>3.5118189744587053E-2</v>
      </c>
      <c r="L51" s="19"/>
      <c r="M51" s="19"/>
      <c r="N51" s="19"/>
      <c r="O51" s="19"/>
      <c r="P51" s="19"/>
    </row>
    <row r="52" spans="2:16" x14ac:dyDescent="0.2">
      <c r="B52" t="s">
        <v>539</v>
      </c>
      <c r="C52" t="s">
        <v>373</v>
      </c>
      <c r="D52" s="18">
        <v>42374.458680555559</v>
      </c>
      <c r="E52" t="s">
        <v>106</v>
      </c>
      <c r="F52" s="19">
        <v>0.95152562622882364</v>
      </c>
      <c r="G52" s="19">
        <v>0.82786320862979113</v>
      </c>
      <c r="H52" s="19">
        <v>0.90482226030999069</v>
      </c>
      <c r="I52" s="19">
        <v>4.7945896177201491E-2</v>
      </c>
      <c r="J52" s="19">
        <v>0.91252981744131167</v>
      </c>
      <c r="K52" s="19">
        <v>4.3477177312269008E-2</v>
      </c>
      <c r="L52" s="19"/>
      <c r="M52" s="19"/>
      <c r="N52" s="19"/>
      <c r="O52" s="19"/>
      <c r="P52" s="19"/>
    </row>
    <row r="53" spans="2:16" x14ac:dyDescent="0.2">
      <c r="B53" t="s">
        <v>592</v>
      </c>
      <c r="C53" t="s">
        <v>389</v>
      </c>
      <c r="D53" s="18">
        <v>42374.458680555559</v>
      </c>
      <c r="E53" t="s">
        <v>167</v>
      </c>
      <c r="F53" s="19">
        <v>0.96758651574347176</v>
      </c>
      <c r="G53" s="19">
        <v>0.92664092664092668</v>
      </c>
      <c r="H53" s="19">
        <v>0.91584536820192564</v>
      </c>
      <c r="I53" s="19">
        <v>4.1989562474995738E-2</v>
      </c>
      <c r="J53" s="19">
        <v>0.95739158298808325</v>
      </c>
      <c r="K53" s="19">
        <v>3.150656932999759E-2</v>
      </c>
      <c r="L53" s="253"/>
      <c r="M53" s="253"/>
      <c r="N53" s="253"/>
      <c r="O53" s="253"/>
      <c r="P53" s="253"/>
    </row>
    <row r="54" spans="2:16" x14ac:dyDescent="0.2">
      <c r="B54" t="s">
        <v>628</v>
      </c>
      <c r="C54" t="s">
        <v>408</v>
      </c>
      <c r="D54" s="18">
        <v>42374.458680555559</v>
      </c>
      <c r="E54" t="s">
        <v>182</v>
      </c>
      <c r="F54" s="19">
        <v>0.97210875607030156</v>
      </c>
      <c r="G54" s="19">
        <v>0.82433043392795713</v>
      </c>
      <c r="H54" s="19">
        <v>0.88497587172823344</v>
      </c>
      <c r="I54" s="19">
        <v>4.2893779318932845E-2</v>
      </c>
      <c r="J54" s="19">
        <v>0.93916164147185455</v>
      </c>
      <c r="K54" s="19">
        <v>4.0370772834936307E-2</v>
      </c>
      <c r="L54" s="19"/>
      <c r="M54" s="19"/>
      <c r="N54" s="19"/>
      <c r="O54" s="19"/>
      <c r="P54" s="19"/>
    </row>
    <row r="55" spans="2:16" x14ac:dyDescent="0.2">
      <c r="B55" t="s">
        <v>617</v>
      </c>
      <c r="C55" t="s">
        <v>384</v>
      </c>
      <c r="D55" s="18">
        <v>42374.458680555559</v>
      </c>
      <c r="E55" t="s">
        <v>178</v>
      </c>
      <c r="F55" s="19">
        <v>0.95311336444815997</v>
      </c>
      <c r="G55" s="19">
        <v>0.95987403494514423</v>
      </c>
      <c r="H55" s="19">
        <v>0.87859865737663212</v>
      </c>
      <c r="I55" s="19">
        <v>4.8913730725727189E-2</v>
      </c>
      <c r="J55" s="19">
        <v>0.86926290446412091</v>
      </c>
      <c r="K55" s="19">
        <v>5.5930811021387188E-2</v>
      </c>
      <c r="L55" s="19"/>
      <c r="M55" s="19"/>
      <c r="N55" s="19"/>
      <c r="O55" s="19"/>
      <c r="P55" s="19"/>
    </row>
    <row r="56" spans="2:16" x14ac:dyDescent="0.2">
      <c r="B56" t="s">
        <v>601</v>
      </c>
      <c r="C56" t="s">
        <v>408</v>
      </c>
      <c r="D56" s="18">
        <v>42374.458680555559</v>
      </c>
      <c r="E56" t="s">
        <v>171</v>
      </c>
      <c r="F56" s="19">
        <v>0.95349549194089434</v>
      </c>
      <c r="G56" s="19">
        <v>0.91555691999818067</v>
      </c>
      <c r="H56" s="19">
        <v>0.92515215994231792</v>
      </c>
      <c r="I56" s="19">
        <v>3.8736358754112958E-2</v>
      </c>
      <c r="J56" s="19">
        <v>0.94596726414504961</v>
      </c>
      <c r="K56" s="19">
        <v>3.6999518770433115E-2</v>
      </c>
      <c r="L56" s="19"/>
      <c r="M56" s="19"/>
      <c r="N56" s="19"/>
      <c r="O56" s="19"/>
      <c r="P56" s="19"/>
    </row>
    <row r="57" spans="2:16" x14ac:dyDescent="0.2">
      <c r="B57" t="s">
        <v>639</v>
      </c>
      <c r="C57" t="s">
        <v>394</v>
      </c>
      <c r="D57" s="18">
        <v>42374.458680555559</v>
      </c>
      <c r="E57" t="s">
        <v>187</v>
      </c>
      <c r="F57" s="19">
        <v>0.910024646647553</v>
      </c>
      <c r="G57" s="19">
        <v>0.93712035995500576</v>
      </c>
      <c r="H57" s="19">
        <v>0.94087408895413216</v>
      </c>
      <c r="I57" s="19">
        <v>3.8048872007494412E-2</v>
      </c>
      <c r="J57" s="19">
        <v>0.93922366020526737</v>
      </c>
      <c r="K57" s="19">
        <v>3.6351795341703193E-2</v>
      </c>
      <c r="L57" s="19"/>
      <c r="M57" s="19"/>
      <c r="N57" s="19"/>
      <c r="O57" s="19"/>
      <c r="P57" s="19"/>
    </row>
    <row r="58" spans="2:16" x14ac:dyDescent="0.2">
      <c r="B58" t="s">
        <v>384</v>
      </c>
      <c r="C58" t="s">
        <v>384</v>
      </c>
      <c r="D58" s="18">
        <v>42374.458680555559</v>
      </c>
      <c r="E58" t="s">
        <v>665</v>
      </c>
      <c r="F58" s="19">
        <v>0.94873625439757014</v>
      </c>
      <c r="G58" s="19">
        <v>0.89717046357132768</v>
      </c>
      <c r="H58" s="19">
        <v>0.90588098061530897</v>
      </c>
      <c r="I58" s="19">
        <v>2.0602571827564021E-2</v>
      </c>
      <c r="J58" s="19">
        <v>0.88894016447813529</v>
      </c>
      <c r="K58" s="19">
        <v>2.6878714908559687E-2</v>
      </c>
      <c r="L58" s="19"/>
      <c r="M58" s="19"/>
      <c r="N58" s="19"/>
      <c r="O58" s="19"/>
      <c r="P58" s="19"/>
    </row>
    <row r="59" spans="2:16" x14ac:dyDescent="0.2">
      <c r="B59" t="s">
        <v>578</v>
      </c>
      <c r="C59" t="s">
        <v>394</v>
      </c>
      <c r="D59" s="18">
        <v>42374.458680555559</v>
      </c>
      <c r="E59" t="s">
        <v>161</v>
      </c>
      <c r="F59" s="19">
        <v>0.97823187234309328</v>
      </c>
      <c r="G59" s="19">
        <v>0.98217246205188924</v>
      </c>
      <c r="H59" s="19">
        <v>0.9203918640471862</v>
      </c>
      <c r="I59" s="19">
        <v>4.1042321720226767E-2</v>
      </c>
      <c r="J59" s="19">
        <v>0.88857707118716878</v>
      </c>
      <c r="K59" s="19">
        <v>5.030346262783169E-2</v>
      </c>
      <c r="L59" s="19"/>
      <c r="M59" s="19"/>
      <c r="N59" s="19"/>
      <c r="O59" s="19"/>
      <c r="P59" s="19"/>
    </row>
    <row r="60" spans="2:16" x14ac:dyDescent="0.2">
      <c r="B60" t="s">
        <v>215</v>
      </c>
      <c r="C60" t="s">
        <v>394</v>
      </c>
      <c r="D60" s="18">
        <v>42374.458680555559</v>
      </c>
      <c r="E60" t="s">
        <v>164</v>
      </c>
      <c r="F60" s="19">
        <v>0.97871948258719621</v>
      </c>
      <c r="G60" s="19">
        <v>0.93965241338245709</v>
      </c>
      <c r="H60" s="19">
        <v>0.95013162904101178</v>
      </c>
      <c r="I60" s="19">
        <v>3.5584169863787596E-2</v>
      </c>
      <c r="J60" s="19">
        <v>0.876896724869484</v>
      </c>
      <c r="K60" s="19">
        <v>5.653014573817039E-2</v>
      </c>
      <c r="L60" s="19">
        <v>1</v>
      </c>
      <c r="M60" s="19">
        <v>0.99564297054154172</v>
      </c>
      <c r="N60" s="19">
        <v>6.4823634343978394E-3</v>
      </c>
      <c r="O60" s="19">
        <v>0.99094843130183918</v>
      </c>
      <c r="P60" s="19">
        <v>1.3483231278089036E-2</v>
      </c>
    </row>
    <row r="61" spans="2:16" x14ac:dyDescent="0.2">
      <c r="B61" t="s">
        <v>584</v>
      </c>
      <c r="C61" t="s">
        <v>394</v>
      </c>
      <c r="D61" s="18">
        <v>42374.458680555559</v>
      </c>
      <c r="E61" t="s">
        <v>164</v>
      </c>
      <c r="F61" s="19">
        <v>0.97871948258719621</v>
      </c>
      <c r="G61" s="19">
        <v>0.93965241338245709</v>
      </c>
      <c r="H61" s="19">
        <v>0.95013162904101178</v>
      </c>
      <c r="I61" s="19">
        <v>3.5584169863787596E-2</v>
      </c>
      <c r="J61" s="19">
        <v>0.876896724869484</v>
      </c>
      <c r="K61" s="19">
        <v>5.653014573817039E-2</v>
      </c>
      <c r="L61" s="19">
        <v>1</v>
      </c>
      <c r="M61" s="19">
        <v>0.99564297054154172</v>
      </c>
      <c r="N61" s="19">
        <v>6.4823634343978394E-3</v>
      </c>
      <c r="O61" s="19">
        <v>0.99094843130183918</v>
      </c>
      <c r="P61" s="19">
        <v>1.3483231278089036E-2</v>
      </c>
    </row>
    <row r="62" spans="2:16" x14ac:dyDescent="0.2">
      <c r="B62" t="s">
        <v>545</v>
      </c>
      <c r="C62" t="s">
        <v>384</v>
      </c>
      <c r="D62" s="18">
        <v>42374.458680555559</v>
      </c>
      <c r="E62" t="s">
        <v>149</v>
      </c>
      <c r="F62" s="19">
        <v>0.92302944402668807</v>
      </c>
      <c r="G62" s="19">
        <v>0.82688146304098042</v>
      </c>
      <c r="H62" s="19">
        <v>0.86802281536617132</v>
      </c>
      <c r="I62" s="19">
        <v>5.5609707904932006E-2</v>
      </c>
      <c r="J62" s="19">
        <v>0.87015171720815121</v>
      </c>
      <c r="K62" s="19">
        <v>5.838166457889251E-2</v>
      </c>
      <c r="L62" s="19"/>
      <c r="M62" s="19"/>
      <c r="N62" s="19"/>
      <c r="O62" s="19"/>
      <c r="P62" s="19"/>
    </row>
    <row r="63" spans="2:16" x14ac:dyDescent="0.2">
      <c r="B63" t="s">
        <v>631</v>
      </c>
      <c r="C63" t="s">
        <v>373</v>
      </c>
      <c r="D63" s="18">
        <v>42374.458680555559</v>
      </c>
      <c r="E63" t="s">
        <v>183</v>
      </c>
      <c r="F63" s="19">
        <v>0.97482626361856239</v>
      </c>
      <c r="G63" s="19">
        <v>0.93310924369747905</v>
      </c>
      <c r="H63" s="19">
        <v>0.87728844491403335</v>
      </c>
      <c r="I63" s="19">
        <v>5.8404860319807954E-2</v>
      </c>
      <c r="J63" s="19">
        <v>0.96138227536418208</v>
      </c>
      <c r="K63" s="19">
        <v>3.768486353500286E-2</v>
      </c>
      <c r="L63" s="19"/>
      <c r="M63" s="19"/>
      <c r="N63" s="19"/>
      <c r="O63" s="19"/>
      <c r="P63" s="19"/>
    </row>
    <row r="64" spans="2:16" x14ac:dyDescent="0.2">
      <c r="B64" t="s">
        <v>700</v>
      </c>
      <c r="C64" t="s">
        <v>6</v>
      </c>
      <c r="D64" s="18">
        <v>42374.458680555559</v>
      </c>
      <c r="E64" t="s">
        <v>441</v>
      </c>
      <c r="F64" s="19"/>
      <c r="G64" s="19"/>
      <c r="H64" s="19"/>
      <c r="I64" s="19"/>
      <c r="J64" s="19"/>
      <c r="K64" s="19"/>
      <c r="L64" s="19">
        <v>0.97160112937304843</v>
      </c>
      <c r="M64" s="19">
        <v>0.96163913115719257</v>
      </c>
      <c r="N64" s="19">
        <v>1.7703075779040064E-2</v>
      </c>
      <c r="O64" s="19">
        <v>0.96424101944600116</v>
      </c>
      <c r="P64" s="19">
        <v>1.8811832979832133E-2</v>
      </c>
    </row>
    <row r="65" spans="2:16" x14ac:dyDescent="0.2">
      <c r="B65" t="s">
        <v>702</v>
      </c>
      <c r="C65" t="s">
        <v>6</v>
      </c>
      <c r="D65" s="18">
        <v>42374.458680555559</v>
      </c>
      <c r="E65" t="s">
        <v>441</v>
      </c>
      <c r="F65" s="19">
        <v>0.95793074625683206</v>
      </c>
      <c r="G65" s="19">
        <v>0.89500092594819125</v>
      </c>
      <c r="H65" s="19">
        <v>0.90338038648447916</v>
      </c>
      <c r="I65" s="19">
        <v>7.5234859257471247E-3</v>
      </c>
      <c r="J65" s="19">
        <v>0.9085906670232986</v>
      </c>
      <c r="K65" s="19">
        <v>8.7967662163893571E-3</v>
      </c>
      <c r="L65" s="19">
        <v>0.97160112937304843</v>
      </c>
      <c r="M65" s="19">
        <v>0.96163913115719257</v>
      </c>
      <c r="N65" s="19">
        <v>1.7703075779040064E-2</v>
      </c>
      <c r="O65" s="19">
        <v>0.96424101944600116</v>
      </c>
      <c r="P65" s="19">
        <v>1.8811832979832133E-2</v>
      </c>
    </row>
    <row r="66" spans="2:16" x14ac:dyDescent="0.2">
      <c r="B66" t="s">
        <v>609</v>
      </c>
      <c r="C66" t="s">
        <v>389</v>
      </c>
      <c r="D66" s="18">
        <v>42374.458680555559</v>
      </c>
      <c r="E66" t="s">
        <v>174</v>
      </c>
      <c r="F66" s="19">
        <v>0.95464857956433213</v>
      </c>
      <c r="G66" s="19">
        <v>0.84110880478415528</v>
      </c>
      <c r="H66" s="19">
        <v>0.90528507070083752</v>
      </c>
      <c r="I66" s="19">
        <v>4.3428021747033085E-2</v>
      </c>
      <c r="J66" s="19">
        <v>0.91245865527221159</v>
      </c>
      <c r="K66" s="19">
        <v>4.7151448937631242E-2</v>
      </c>
      <c r="L66" s="19"/>
      <c r="M66" s="19"/>
      <c r="N66" s="19"/>
      <c r="O66" s="19"/>
      <c r="P66" s="19"/>
    </row>
    <row r="67" spans="2:16" x14ac:dyDescent="0.2">
      <c r="B67" t="s">
        <v>674</v>
      </c>
      <c r="C67" t="s">
        <v>373</v>
      </c>
      <c r="D67" s="18">
        <v>42374.458680555559</v>
      </c>
      <c r="E67" t="s">
        <v>673</v>
      </c>
      <c r="F67" s="152">
        <v>0.96179735427129587</v>
      </c>
      <c r="G67" s="152">
        <v>0.91046501849983186</v>
      </c>
      <c r="H67" s="152">
        <v>0.90769673874512591</v>
      </c>
      <c r="I67" s="152">
        <v>0.10188268184589766</v>
      </c>
      <c r="J67" s="152">
        <v>0.81546744318342723</v>
      </c>
      <c r="K67" s="152">
        <v>3.980384430997766E-2</v>
      </c>
      <c r="L67" s="152"/>
      <c r="M67" s="152"/>
      <c r="N67" s="152"/>
      <c r="O67" s="152"/>
      <c r="P67" s="152"/>
    </row>
    <row r="68" spans="2:16" x14ac:dyDescent="0.2">
      <c r="B68" t="s">
        <v>633</v>
      </c>
      <c r="C68" t="s">
        <v>373</v>
      </c>
      <c r="D68" s="18">
        <v>42374.458680555559</v>
      </c>
      <c r="E68" t="s">
        <v>92</v>
      </c>
      <c r="F68" s="152">
        <v>0.89788239917700241</v>
      </c>
      <c r="G68" s="152">
        <v>0.81767887878042766</v>
      </c>
      <c r="H68" s="152">
        <v>0.82574129396003926</v>
      </c>
      <c r="I68" s="152">
        <v>5.3492724060872091E-2</v>
      </c>
      <c r="J68" s="152">
        <v>0.89697304195543626</v>
      </c>
      <c r="K68" s="152">
        <v>3.9208575895078542E-2</v>
      </c>
      <c r="L68" s="152"/>
      <c r="M68" s="152"/>
      <c r="N68" s="152"/>
      <c r="O68" s="152"/>
      <c r="P68" s="152"/>
    </row>
    <row r="69" spans="2:16" x14ac:dyDescent="0.2">
      <c r="B69" t="s">
        <v>643</v>
      </c>
      <c r="C69" t="s">
        <v>394</v>
      </c>
      <c r="D69" s="18">
        <v>42374.458680555559</v>
      </c>
      <c r="E69" t="s">
        <v>188</v>
      </c>
      <c r="F69" s="152">
        <v>0.95669168230143831</v>
      </c>
      <c r="G69" s="152">
        <v>0.88987641780937876</v>
      </c>
      <c r="H69" s="152">
        <v>0.93224815313155673</v>
      </c>
      <c r="I69" s="152">
        <v>4.003131093348429E-2</v>
      </c>
      <c r="J69" s="152">
        <v>0.90713323760954589</v>
      </c>
      <c r="K69" s="152">
        <v>5.9600314474417715E-2</v>
      </c>
      <c r="L69" s="152"/>
      <c r="M69" s="152"/>
      <c r="N69" s="152"/>
      <c r="O69" s="152"/>
      <c r="P69" s="152"/>
    </row>
    <row r="70" spans="2:16" x14ac:dyDescent="0.2">
      <c r="B70" t="s">
        <v>647</v>
      </c>
      <c r="C70" t="s">
        <v>373</v>
      </c>
      <c r="D70" s="18">
        <v>42374.458680555559</v>
      </c>
      <c r="E70" t="s">
        <v>190</v>
      </c>
      <c r="F70" s="152">
        <v>0.92686134555715871</v>
      </c>
      <c r="G70" s="152">
        <v>0.82216603455541515</v>
      </c>
      <c r="H70" s="152">
        <v>0.86779042182519106</v>
      </c>
      <c r="I70" s="152">
        <v>4.6849540436246569E-2</v>
      </c>
      <c r="J70" s="152">
        <v>0.88755736108471039</v>
      </c>
      <c r="K70" s="152">
        <v>5.0868954657902206E-2</v>
      </c>
      <c r="L70" s="152"/>
      <c r="M70" s="152"/>
      <c r="N70" s="152"/>
      <c r="O70" s="152"/>
      <c r="P70" s="152"/>
    </row>
    <row r="71" spans="2:16" x14ac:dyDescent="0.2">
      <c r="B71" t="s">
        <v>547</v>
      </c>
      <c r="C71" t="s">
        <v>373</v>
      </c>
      <c r="D71" s="18">
        <v>42374.458680555559</v>
      </c>
      <c r="E71" t="s">
        <v>150</v>
      </c>
      <c r="F71" s="152">
        <v>0.96590175676835222</v>
      </c>
      <c r="G71" s="152">
        <v>0.85800305184114367</v>
      </c>
      <c r="H71" s="152">
        <v>0.82970171691976191</v>
      </c>
      <c r="I71" s="152">
        <v>5.3853925693320551E-2</v>
      </c>
      <c r="J71" s="152">
        <v>0.94813896229333006</v>
      </c>
      <c r="K71" s="152">
        <v>3.6797931644336403E-2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954</v>
      </c>
      <c r="C2" t="s">
        <v>955</v>
      </c>
      <c r="D2" t="s">
        <v>136</v>
      </c>
      <c r="F2" t="s">
        <v>949</v>
      </c>
      <c r="G2" t="s">
        <v>936</v>
      </c>
      <c r="H2" t="s">
        <v>937</v>
      </c>
      <c r="I2" t="s">
        <v>938</v>
      </c>
      <c r="J2" t="s">
        <v>939</v>
      </c>
      <c r="K2" t="s">
        <v>940</v>
      </c>
      <c r="L2" t="s">
        <v>941</v>
      </c>
      <c r="M2" t="s">
        <v>942</v>
      </c>
      <c r="N2" t="s">
        <v>943</v>
      </c>
      <c r="O2" t="s">
        <v>944</v>
      </c>
      <c r="P2" t="s">
        <v>945</v>
      </c>
      <c r="Q2" t="s">
        <v>946</v>
      </c>
      <c r="R2" t="s">
        <v>947</v>
      </c>
      <c r="S2" t="s">
        <v>948</v>
      </c>
      <c r="V2" t="s">
        <v>950</v>
      </c>
      <c r="W2" t="s">
        <v>936</v>
      </c>
      <c r="X2" t="s">
        <v>937</v>
      </c>
      <c r="Y2" t="s">
        <v>938</v>
      </c>
      <c r="Z2" t="s">
        <v>939</v>
      </c>
      <c r="AA2" t="s">
        <v>940</v>
      </c>
      <c r="AB2" t="s">
        <v>941</v>
      </c>
      <c r="AC2" t="s">
        <v>942</v>
      </c>
      <c r="AD2" t="s">
        <v>943</v>
      </c>
      <c r="AE2" t="s">
        <v>944</v>
      </c>
      <c r="AF2" t="s">
        <v>945</v>
      </c>
      <c r="AG2" t="s">
        <v>946</v>
      </c>
      <c r="AH2" t="s">
        <v>947</v>
      </c>
      <c r="AI2" t="s">
        <v>948</v>
      </c>
      <c r="AL2" t="s">
        <v>951</v>
      </c>
      <c r="AM2" t="s">
        <v>936</v>
      </c>
      <c r="AN2" t="s">
        <v>937</v>
      </c>
      <c r="AO2" t="s">
        <v>938</v>
      </c>
      <c r="AP2" t="s">
        <v>939</v>
      </c>
      <c r="AQ2" t="s">
        <v>940</v>
      </c>
      <c r="AR2" t="s">
        <v>941</v>
      </c>
      <c r="AS2" t="s">
        <v>942</v>
      </c>
      <c r="AT2" t="s">
        <v>943</v>
      </c>
      <c r="AU2" t="s">
        <v>944</v>
      </c>
      <c r="AV2" t="s">
        <v>945</v>
      </c>
      <c r="AW2" t="s">
        <v>946</v>
      </c>
      <c r="AX2" t="s">
        <v>947</v>
      </c>
      <c r="AY2" t="s">
        <v>948</v>
      </c>
    </row>
    <row r="3" spans="2:51" x14ac:dyDescent="0.2">
      <c r="B3" t="s">
        <v>957</v>
      </c>
      <c r="C3">
        <v>395416</v>
      </c>
      <c r="D3">
        <v>423.47848664690002</v>
      </c>
      <c r="F3" t="s">
        <v>8</v>
      </c>
      <c r="G3">
        <v>10781</v>
      </c>
      <c r="P3">
        <v>10781</v>
      </c>
      <c r="Q3">
        <v>184.034793097</v>
      </c>
      <c r="V3" t="s">
        <v>312</v>
      </c>
      <c r="W3">
        <v>423</v>
      </c>
      <c r="X3">
        <v>293</v>
      </c>
      <c r="Y3">
        <v>340.07167235489999</v>
      </c>
      <c r="Z3">
        <v>30</v>
      </c>
      <c r="AA3">
        <v>644</v>
      </c>
      <c r="AB3">
        <v>77</v>
      </c>
      <c r="AC3">
        <v>586.28571428570001</v>
      </c>
      <c r="AD3">
        <v>35</v>
      </c>
      <c r="AE3">
        <v>711.68571428569999</v>
      </c>
      <c r="AF3">
        <v>17</v>
      </c>
      <c r="AG3">
        <v>228</v>
      </c>
      <c r="AH3">
        <v>1</v>
      </c>
      <c r="AI3">
        <v>194</v>
      </c>
      <c r="AL3" t="s">
        <v>312</v>
      </c>
      <c r="AM3">
        <v>8</v>
      </c>
      <c r="AN3">
        <v>4</v>
      </c>
      <c r="AO3">
        <v>519.25</v>
      </c>
      <c r="AP3">
        <v>2</v>
      </c>
      <c r="AQ3">
        <v>252</v>
      </c>
      <c r="AR3">
        <v>2</v>
      </c>
      <c r="AS3">
        <v>364</v>
      </c>
      <c r="AT3">
        <v>2</v>
      </c>
      <c r="AU3">
        <v>80.5</v>
      </c>
    </row>
    <row r="4" spans="2:51" x14ac:dyDescent="0.2">
      <c r="B4" t="s">
        <v>956</v>
      </c>
      <c r="C4">
        <v>36403</v>
      </c>
      <c r="D4">
        <v>423.47848664690002</v>
      </c>
      <c r="F4" t="s">
        <v>8</v>
      </c>
      <c r="G4">
        <v>10781</v>
      </c>
      <c r="P4">
        <v>10781</v>
      </c>
      <c r="Q4">
        <v>184.034793097</v>
      </c>
      <c r="V4" t="s">
        <v>8</v>
      </c>
      <c r="W4">
        <v>4684</v>
      </c>
      <c r="X4">
        <v>3460</v>
      </c>
      <c r="Y4">
        <v>454.17317143679998</v>
      </c>
      <c r="Z4">
        <v>435</v>
      </c>
      <c r="AA4">
        <v>494.96321839080002</v>
      </c>
      <c r="AB4">
        <v>464</v>
      </c>
      <c r="AC4">
        <v>543.41594827589995</v>
      </c>
      <c r="AD4">
        <v>718</v>
      </c>
      <c r="AE4">
        <v>832.77019498610002</v>
      </c>
      <c r="AF4">
        <v>33</v>
      </c>
      <c r="AG4">
        <v>324.90909090909997</v>
      </c>
      <c r="AH4">
        <v>9</v>
      </c>
      <c r="AI4">
        <v>308.7777777778</v>
      </c>
      <c r="AL4" t="s">
        <v>8</v>
      </c>
      <c r="AM4">
        <v>62</v>
      </c>
      <c r="AN4">
        <v>53</v>
      </c>
      <c r="AO4">
        <v>205.92452830190001</v>
      </c>
      <c r="AP4">
        <v>5</v>
      </c>
      <c r="AQ4">
        <v>393.8</v>
      </c>
      <c r="AR4">
        <v>9</v>
      </c>
      <c r="AS4">
        <v>181.6666666667</v>
      </c>
    </row>
    <row r="5" spans="2:51" x14ac:dyDescent="0.2">
      <c r="B5" t="s">
        <v>968</v>
      </c>
      <c r="C5">
        <v>22595</v>
      </c>
      <c r="D5">
        <v>584.87537065720005</v>
      </c>
      <c r="F5" t="s">
        <v>46</v>
      </c>
      <c r="G5">
        <v>613</v>
      </c>
      <c r="H5">
        <v>504</v>
      </c>
      <c r="I5">
        <v>249.11706349209999</v>
      </c>
      <c r="J5">
        <v>25</v>
      </c>
      <c r="K5">
        <v>556.72</v>
      </c>
      <c r="L5">
        <v>82</v>
      </c>
      <c r="M5">
        <v>227.75609756099999</v>
      </c>
      <c r="N5">
        <v>26</v>
      </c>
      <c r="O5">
        <v>248.1538461538</v>
      </c>
      <c r="R5">
        <v>1</v>
      </c>
      <c r="S5">
        <v>190</v>
      </c>
      <c r="V5" t="s">
        <v>8</v>
      </c>
      <c r="W5">
        <v>5107</v>
      </c>
      <c r="X5">
        <v>3753</v>
      </c>
      <c r="Y5">
        <v>445.26279317699999</v>
      </c>
      <c r="Z5">
        <v>465</v>
      </c>
      <c r="AA5">
        <v>504.57849462370001</v>
      </c>
      <c r="AB5">
        <v>541</v>
      </c>
      <c r="AC5">
        <v>549.51756007389997</v>
      </c>
      <c r="AD5">
        <v>753</v>
      </c>
      <c r="AE5">
        <v>827.14209827360003</v>
      </c>
      <c r="AF5">
        <v>50</v>
      </c>
      <c r="AG5">
        <v>291.95999999999998</v>
      </c>
      <c r="AH5">
        <v>10</v>
      </c>
      <c r="AI5">
        <v>297.3</v>
      </c>
      <c r="AL5" t="s">
        <v>8</v>
      </c>
      <c r="AM5">
        <v>70</v>
      </c>
      <c r="AN5">
        <v>57</v>
      </c>
      <c r="AO5">
        <v>227.9122807018</v>
      </c>
      <c r="AP5">
        <v>7</v>
      </c>
      <c r="AQ5">
        <v>353.28571428570001</v>
      </c>
      <c r="AR5">
        <v>11</v>
      </c>
      <c r="AS5">
        <v>214.8181818182</v>
      </c>
      <c r="AT5">
        <v>2</v>
      </c>
      <c r="AU5">
        <v>80.5</v>
      </c>
    </row>
    <row r="6" spans="2:51" x14ac:dyDescent="0.2">
      <c r="B6" t="s">
        <v>244</v>
      </c>
      <c r="C6">
        <v>54645</v>
      </c>
      <c r="D6">
        <v>609.2710586513</v>
      </c>
      <c r="F6" t="s">
        <v>40</v>
      </c>
      <c r="G6">
        <v>8244</v>
      </c>
      <c r="H6">
        <v>6379</v>
      </c>
      <c r="I6">
        <v>450.52672832730002</v>
      </c>
      <c r="J6">
        <v>238</v>
      </c>
      <c r="K6">
        <v>888.23949579830003</v>
      </c>
      <c r="L6">
        <v>1287</v>
      </c>
      <c r="M6">
        <v>594.73970473969996</v>
      </c>
      <c r="N6">
        <v>561</v>
      </c>
      <c r="O6">
        <v>607.87522281639997</v>
      </c>
      <c r="R6">
        <v>17</v>
      </c>
      <c r="S6">
        <v>753.23529411760001</v>
      </c>
      <c r="V6" t="s">
        <v>403</v>
      </c>
      <c r="W6">
        <v>1362</v>
      </c>
      <c r="X6">
        <v>697</v>
      </c>
      <c r="Y6">
        <v>168.9942611191</v>
      </c>
      <c r="Z6">
        <v>213</v>
      </c>
      <c r="AA6">
        <v>309.19248826289999</v>
      </c>
      <c r="AB6">
        <v>455</v>
      </c>
      <c r="AC6">
        <v>273.4065934066</v>
      </c>
      <c r="AD6">
        <v>120</v>
      </c>
      <c r="AE6">
        <v>273.38333333330002</v>
      </c>
      <c r="AF6">
        <v>86</v>
      </c>
      <c r="AG6">
        <v>175.8023255814</v>
      </c>
      <c r="AH6">
        <v>4</v>
      </c>
      <c r="AI6">
        <v>183.5</v>
      </c>
      <c r="AL6" t="s">
        <v>403</v>
      </c>
      <c r="AM6">
        <v>32</v>
      </c>
      <c r="AN6">
        <v>22</v>
      </c>
      <c r="AO6">
        <v>136.3181818182</v>
      </c>
      <c r="AP6">
        <v>12</v>
      </c>
      <c r="AQ6">
        <v>249.1666666667</v>
      </c>
      <c r="AR6">
        <v>9</v>
      </c>
      <c r="AS6">
        <v>211.1111111111</v>
      </c>
      <c r="AT6">
        <v>1</v>
      </c>
      <c r="AU6">
        <v>120</v>
      </c>
    </row>
    <row r="7" spans="2:51" x14ac:dyDescent="0.2">
      <c r="B7" t="s">
        <v>243</v>
      </c>
      <c r="C7">
        <v>235365</v>
      </c>
      <c r="D7">
        <v>403.53769869090002</v>
      </c>
      <c r="F7" t="s">
        <v>45</v>
      </c>
      <c r="G7">
        <v>5546</v>
      </c>
      <c r="H7">
        <v>3902</v>
      </c>
      <c r="I7">
        <v>408.39774474630002</v>
      </c>
      <c r="J7">
        <v>838</v>
      </c>
      <c r="K7">
        <v>483.27326968969999</v>
      </c>
      <c r="L7">
        <v>1047</v>
      </c>
      <c r="M7">
        <v>620.27698185290001</v>
      </c>
      <c r="N7">
        <v>584</v>
      </c>
      <c r="O7">
        <v>424.0188356164</v>
      </c>
      <c r="R7">
        <v>13</v>
      </c>
      <c r="S7">
        <v>520.84615384619997</v>
      </c>
      <c r="V7" t="s">
        <v>395</v>
      </c>
      <c r="W7">
        <v>13606</v>
      </c>
      <c r="X7">
        <v>9961</v>
      </c>
      <c r="Y7">
        <v>639.23622126290002</v>
      </c>
      <c r="Z7">
        <v>577</v>
      </c>
      <c r="AA7">
        <v>1186.2443674177</v>
      </c>
      <c r="AB7">
        <v>2570</v>
      </c>
      <c r="AC7">
        <v>1337.0984435798</v>
      </c>
      <c r="AD7">
        <v>871</v>
      </c>
      <c r="AE7">
        <v>884.42479908150005</v>
      </c>
      <c r="AF7">
        <v>183</v>
      </c>
      <c r="AG7">
        <v>232.81420765030001</v>
      </c>
      <c r="AH7">
        <v>21</v>
      </c>
      <c r="AI7">
        <v>713.52380952379997</v>
      </c>
      <c r="AL7" t="s">
        <v>395</v>
      </c>
      <c r="AM7">
        <v>371</v>
      </c>
      <c r="AN7">
        <v>292</v>
      </c>
      <c r="AO7">
        <v>521.82876712330005</v>
      </c>
      <c r="AP7">
        <v>42</v>
      </c>
      <c r="AQ7">
        <v>941.02380952379997</v>
      </c>
      <c r="AR7">
        <v>73</v>
      </c>
      <c r="AS7">
        <v>505.41095890410003</v>
      </c>
      <c r="AT7">
        <v>6</v>
      </c>
      <c r="AU7">
        <v>190.8333333333</v>
      </c>
    </row>
    <row r="8" spans="2:51" x14ac:dyDescent="0.2">
      <c r="B8" t="s">
        <v>245</v>
      </c>
      <c r="C8">
        <v>25144</v>
      </c>
      <c r="D8">
        <v>525.34550517100001</v>
      </c>
      <c r="F8" t="s">
        <v>53</v>
      </c>
      <c r="G8">
        <v>1110</v>
      </c>
      <c r="H8">
        <v>368</v>
      </c>
      <c r="I8">
        <v>92.315217391299996</v>
      </c>
      <c r="J8">
        <v>343</v>
      </c>
      <c r="K8">
        <v>222.93294460640001</v>
      </c>
      <c r="L8">
        <v>511</v>
      </c>
      <c r="M8">
        <v>224.83757338550001</v>
      </c>
      <c r="N8">
        <v>228</v>
      </c>
      <c r="O8">
        <v>213.7938596491</v>
      </c>
      <c r="R8">
        <v>3</v>
      </c>
      <c r="S8">
        <v>330.3333333333</v>
      </c>
      <c r="V8" t="s">
        <v>426</v>
      </c>
      <c r="W8">
        <v>1347</v>
      </c>
      <c r="X8">
        <v>874</v>
      </c>
      <c r="Y8">
        <v>211.53890160180001</v>
      </c>
      <c r="Z8">
        <v>215</v>
      </c>
      <c r="AA8">
        <v>343.16279069770002</v>
      </c>
      <c r="AB8">
        <v>186</v>
      </c>
      <c r="AC8">
        <v>125.876344086</v>
      </c>
      <c r="AD8">
        <v>200</v>
      </c>
      <c r="AE8">
        <v>374.005</v>
      </c>
      <c r="AF8">
        <v>84</v>
      </c>
      <c r="AG8">
        <v>179.3928571429</v>
      </c>
      <c r="AH8">
        <v>3</v>
      </c>
      <c r="AI8">
        <v>202.6666666667</v>
      </c>
      <c r="AL8" t="s">
        <v>426</v>
      </c>
      <c r="AM8">
        <v>33</v>
      </c>
      <c r="AN8">
        <v>24</v>
      </c>
      <c r="AO8">
        <v>141.8333333333</v>
      </c>
      <c r="AP8">
        <v>6</v>
      </c>
      <c r="AQ8">
        <v>245.8333333333</v>
      </c>
      <c r="AR8">
        <v>8</v>
      </c>
      <c r="AS8">
        <v>182.625</v>
      </c>
      <c r="AT8">
        <v>1</v>
      </c>
      <c r="AU8">
        <v>38</v>
      </c>
    </row>
    <row r="9" spans="2:51" x14ac:dyDescent="0.2">
      <c r="B9" t="s">
        <v>246</v>
      </c>
      <c r="C9">
        <v>10781</v>
      </c>
      <c r="D9">
        <v>184.034793097</v>
      </c>
      <c r="F9" t="s">
        <v>84</v>
      </c>
      <c r="G9">
        <v>1218</v>
      </c>
      <c r="H9">
        <v>823</v>
      </c>
      <c r="I9">
        <v>206.9671931956</v>
      </c>
      <c r="J9">
        <v>224</v>
      </c>
      <c r="K9">
        <v>347.92857142859998</v>
      </c>
      <c r="L9">
        <v>181</v>
      </c>
      <c r="M9">
        <v>100.1215469613</v>
      </c>
      <c r="N9">
        <v>211</v>
      </c>
      <c r="O9">
        <v>379.41706161140002</v>
      </c>
      <c r="R9">
        <v>3</v>
      </c>
      <c r="S9">
        <v>202.6666666667</v>
      </c>
      <c r="V9" t="s">
        <v>396</v>
      </c>
      <c r="W9">
        <v>8226</v>
      </c>
      <c r="X9">
        <v>6353</v>
      </c>
      <c r="Y9">
        <v>505.35101526839998</v>
      </c>
      <c r="Z9">
        <v>279</v>
      </c>
      <c r="AA9">
        <v>967.31541218639995</v>
      </c>
      <c r="AB9">
        <v>1302</v>
      </c>
      <c r="AC9">
        <v>979.63901689709996</v>
      </c>
      <c r="AD9">
        <v>423</v>
      </c>
      <c r="AE9">
        <v>692.63356973999998</v>
      </c>
      <c r="AF9">
        <v>144</v>
      </c>
      <c r="AG9">
        <v>166.1041666667</v>
      </c>
      <c r="AH9">
        <v>4</v>
      </c>
      <c r="AI9">
        <v>139</v>
      </c>
      <c r="AL9" t="s">
        <v>396</v>
      </c>
      <c r="AM9">
        <v>173</v>
      </c>
      <c r="AN9">
        <v>157</v>
      </c>
      <c r="AO9">
        <v>528.43949044589999</v>
      </c>
      <c r="AP9">
        <v>18</v>
      </c>
      <c r="AQ9">
        <v>782.88888888890006</v>
      </c>
      <c r="AR9">
        <v>14</v>
      </c>
      <c r="AS9">
        <v>242.71428571429999</v>
      </c>
      <c r="AT9">
        <v>2</v>
      </c>
      <c r="AU9">
        <v>180</v>
      </c>
    </row>
    <row r="10" spans="2:51" x14ac:dyDescent="0.2">
      <c r="B10" t="s">
        <v>952</v>
      </c>
      <c r="C10">
        <v>478</v>
      </c>
      <c r="D10">
        <v>464.87447698739999</v>
      </c>
      <c r="F10" t="s">
        <v>79</v>
      </c>
      <c r="G10">
        <v>1743</v>
      </c>
      <c r="H10">
        <v>688</v>
      </c>
      <c r="I10">
        <v>117.4433139535</v>
      </c>
      <c r="J10">
        <v>579</v>
      </c>
      <c r="K10">
        <v>211.5077720207</v>
      </c>
      <c r="L10">
        <v>965</v>
      </c>
      <c r="M10">
        <v>288.80829015540002</v>
      </c>
      <c r="N10">
        <v>90</v>
      </c>
      <c r="O10">
        <v>164.46666666670001</v>
      </c>
      <c r="V10" t="s">
        <v>398</v>
      </c>
      <c r="W10">
        <v>8428</v>
      </c>
      <c r="X10">
        <v>6306</v>
      </c>
      <c r="Y10">
        <v>447.63796384400001</v>
      </c>
      <c r="Z10">
        <v>243</v>
      </c>
      <c r="AA10">
        <v>857.03292181070003</v>
      </c>
      <c r="AB10">
        <v>1284</v>
      </c>
      <c r="AC10">
        <v>597.9330218069</v>
      </c>
      <c r="AD10">
        <v>558</v>
      </c>
      <c r="AE10">
        <v>602.43189964160001</v>
      </c>
      <c r="AF10">
        <v>263</v>
      </c>
      <c r="AG10">
        <v>181.72623574139999</v>
      </c>
      <c r="AH10">
        <v>17</v>
      </c>
      <c r="AI10">
        <v>753.23529411760001</v>
      </c>
      <c r="AL10" t="s">
        <v>398</v>
      </c>
      <c r="AM10">
        <v>350</v>
      </c>
      <c r="AN10">
        <v>249</v>
      </c>
      <c r="AO10">
        <v>394.47389558229997</v>
      </c>
      <c r="AP10">
        <v>17</v>
      </c>
      <c r="AQ10">
        <v>678.58823529409995</v>
      </c>
      <c r="AR10">
        <v>90</v>
      </c>
      <c r="AS10">
        <v>385.67777777779997</v>
      </c>
      <c r="AT10">
        <v>11</v>
      </c>
      <c r="AU10">
        <v>214.1818181818</v>
      </c>
    </row>
    <row r="11" spans="2:51" x14ac:dyDescent="0.2">
      <c r="F11" t="s">
        <v>41</v>
      </c>
      <c r="G11">
        <v>13618</v>
      </c>
      <c r="H11">
        <v>10112</v>
      </c>
      <c r="I11">
        <v>645.88835047470002</v>
      </c>
      <c r="J11">
        <v>576</v>
      </c>
      <c r="K11">
        <v>1219.671875</v>
      </c>
      <c r="L11">
        <v>2626</v>
      </c>
      <c r="M11">
        <v>1349.1447067784</v>
      </c>
      <c r="N11">
        <v>859</v>
      </c>
      <c r="O11">
        <v>898.70197904539998</v>
      </c>
      <c r="R11">
        <v>21</v>
      </c>
      <c r="S11">
        <v>713.52380952379997</v>
      </c>
      <c r="V11" t="s">
        <v>399</v>
      </c>
      <c r="W11">
        <v>5831</v>
      </c>
      <c r="X11">
        <v>3897</v>
      </c>
      <c r="Y11">
        <v>410.98255067999997</v>
      </c>
      <c r="Z11">
        <v>826</v>
      </c>
      <c r="AA11">
        <v>488.87893462469998</v>
      </c>
      <c r="AB11">
        <v>1058</v>
      </c>
      <c r="AC11">
        <v>633.97258979210005</v>
      </c>
      <c r="AD11">
        <v>593</v>
      </c>
      <c r="AE11">
        <v>431.13322091060002</v>
      </c>
      <c r="AF11">
        <v>270</v>
      </c>
      <c r="AG11">
        <v>192.96666666670001</v>
      </c>
      <c r="AH11">
        <v>13</v>
      </c>
      <c r="AI11">
        <v>520.84615384619997</v>
      </c>
      <c r="AL11" t="s">
        <v>399</v>
      </c>
      <c r="AM11">
        <v>256</v>
      </c>
      <c r="AN11">
        <v>203</v>
      </c>
      <c r="AO11">
        <v>387.14285714290003</v>
      </c>
      <c r="AP11">
        <v>16</v>
      </c>
      <c r="AQ11">
        <v>497.9375</v>
      </c>
      <c r="AR11">
        <v>46</v>
      </c>
      <c r="AS11">
        <v>379.54347826089997</v>
      </c>
      <c r="AT11">
        <v>6</v>
      </c>
      <c r="AU11">
        <v>454</v>
      </c>
      <c r="AV11">
        <v>1</v>
      </c>
      <c r="AW11">
        <v>165</v>
      </c>
    </row>
    <row r="12" spans="2:51" x14ac:dyDescent="0.2">
      <c r="F12" t="s">
        <v>59</v>
      </c>
      <c r="G12">
        <v>3315</v>
      </c>
      <c r="H12">
        <v>2801</v>
      </c>
      <c r="I12">
        <v>291.22277757939997</v>
      </c>
      <c r="J12">
        <v>290</v>
      </c>
      <c r="K12">
        <v>522.50344827590004</v>
      </c>
      <c r="L12">
        <v>472</v>
      </c>
      <c r="M12">
        <v>315.39194915249999</v>
      </c>
      <c r="N12">
        <v>42</v>
      </c>
      <c r="O12">
        <v>176.45238095240001</v>
      </c>
      <c r="V12" t="s">
        <v>401</v>
      </c>
      <c r="W12">
        <v>6892</v>
      </c>
      <c r="X12">
        <v>5730</v>
      </c>
      <c r="Y12">
        <v>301.25636998250002</v>
      </c>
      <c r="Z12">
        <v>379</v>
      </c>
      <c r="AA12">
        <v>641.26649076520005</v>
      </c>
      <c r="AB12">
        <v>384</v>
      </c>
      <c r="AC12">
        <v>204.0442708333</v>
      </c>
      <c r="AD12">
        <v>496</v>
      </c>
      <c r="AE12">
        <v>356.52217741940001</v>
      </c>
      <c r="AF12">
        <v>269</v>
      </c>
      <c r="AG12">
        <v>173.05947955389999</v>
      </c>
      <c r="AH12">
        <v>13</v>
      </c>
      <c r="AI12">
        <v>342.53846153849997</v>
      </c>
      <c r="AL12" t="s">
        <v>401</v>
      </c>
      <c r="AM12">
        <v>221</v>
      </c>
      <c r="AN12">
        <v>187</v>
      </c>
      <c r="AO12">
        <v>389.50802139040002</v>
      </c>
      <c r="AP12">
        <v>5</v>
      </c>
      <c r="AQ12">
        <v>621.20000000000005</v>
      </c>
      <c r="AR12">
        <v>34</v>
      </c>
      <c r="AS12">
        <v>203.79411764709999</v>
      </c>
    </row>
    <row r="13" spans="2:51" x14ac:dyDescent="0.2">
      <c r="F13" t="s">
        <v>78</v>
      </c>
      <c r="G13">
        <v>6528</v>
      </c>
      <c r="H13">
        <v>5684</v>
      </c>
      <c r="I13">
        <v>295.69334975369998</v>
      </c>
      <c r="J13">
        <v>387</v>
      </c>
      <c r="K13">
        <v>637.04651162790003</v>
      </c>
      <c r="L13">
        <v>346</v>
      </c>
      <c r="M13">
        <v>168.7138728324</v>
      </c>
      <c r="N13">
        <v>485</v>
      </c>
      <c r="O13">
        <v>351.30103092780001</v>
      </c>
      <c r="R13">
        <v>13</v>
      </c>
      <c r="S13">
        <v>383.23076923079998</v>
      </c>
      <c r="V13" t="s">
        <v>404</v>
      </c>
      <c r="W13">
        <v>1251</v>
      </c>
      <c r="X13">
        <v>397</v>
      </c>
      <c r="Y13">
        <v>118.22418136020001</v>
      </c>
      <c r="Z13">
        <v>348</v>
      </c>
      <c r="AA13">
        <v>240.72126436779999</v>
      </c>
      <c r="AB13">
        <v>503</v>
      </c>
      <c r="AC13">
        <v>231.31013916500001</v>
      </c>
      <c r="AD13">
        <v>225</v>
      </c>
      <c r="AE13">
        <v>213.31555555560001</v>
      </c>
      <c r="AF13">
        <v>124</v>
      </c>
      <c r="AG13">
        <v>189.70967741940001</v>
      </c>
      <c r="AH13">
        <v>2</v>
      </c>
      <c r="AI13">
        <v>308</v>
      </c>
      <c r="AL13" t="s">
        <v>404</v>
      </c>
      <c r="AM13">
        <v>26</v>
      </c>
      <c r="AN13">
        <v>14</v>
      </c>
      <c r="AO13">
        <v>146.92857142860001</v>
      </c>
      <c r="AP13">
        <v>6</v>
      </c>
      <c r="AQ13">
        <v>224.3333333333</v>
      </c>
      <c r="AR13">
        <v>8</v>
      </c>
      <c r="AS13">
        <v>135.625</v>
      </c>
      <c r="AT13">
        <v>4</v>
      </c>
      <c r="AU13">
        <v>145</v>
      </c>
    </row>
    <row r="14" spans="2:51" x14ac:dyDescent="0.2">
      <c r="F14" t="s">
        <v>44</v>
      </c>
      <c r="G14">
        <v>1238</v>
      </c>
      <c r="H14">
        <v>660</v>
      </c>
      <c r="I14">
        <v>142.5924242424</v>
      </c>
      <c r="J14">
        <v>217</v>
      </c>
      <c r="K14">
        <v>298.07834101380001</v>
      </c>
      <c r="L14">
        <v>455</v>
      </c>
      <c r="M14">
        <v>270.94065934069999</v>
      </c>
      <c r="N14">
        <v>119</v>
      </c>
      <c r="O14">
        <v>268.40336134450001</v>
      </c>
      <c r="R14">
        <v>4</v>
      </c>
      <c r="S14">
        <v>183.5</v>
      </c>
      <c r="V14" t="s">
        <v>405</v>
      </c>
      <c r="W14">
        <v>2183</v>
      </c>
      <c r="X14">
        <v>925</v>
      </c>
      <c r="Y14">
        <v>170.2983783784</v>
      </c>
      <c r="Z14">
        <v>578</v>
      </c>
      <c r="AA14">
        <v>221.32179930800001</v>
      </c>
      <c r="AB14">
        <v>989</v>
      </c>
      <c r="AC14">
        <v>296.00606673409999</v>
      </c>
      <c r="AD14">
        <v>101</v>
      </c>
      <c r="AE14">
        <v>233.17821782179999</v>
      </c>
      <c r="AF14">
        <v>168</v>
      </c>
      <c r="AG14">
        <v>188.6666666667</v>
      </c>
      <c r="AL14" t="s">
        <v>405</v>
      </c>
      <c r="AM14">
        <v>30</v>
      </c>
      <c r="AN14">
        <v>22</v>
      </c>
      <c r="AO14">
        <v>82.454545454500007</v>
      </c>
      <c r="AP14">
        <v>19</v>
      </c>
      <c r="AQ14">
        <v>294.10526315790003</v>
      </c>
      <c r="AR14">
        <v>3</v>
      </c>
      <c r="AS14">
        <v>143.6666666667</v>
      </c>
      <c r="AT14">
        <v>5</v>
      </c>
      <c r="AU14">
        <v>124</v>
      </c>
    </row>
    <row r="15" spans="2:51" x14ac:dyDescent="0.2">
      <c r="F15" t="s">
        <v>77</v>
      </c>
      <c r="G15">
        <v>235</v>
      </c>
      <c r="H15">
        <v>83</v>
      </c>
      <c r="I15">
        <v>121.07228915659999</v>
      </c>
      <c r="J15">
        <v>106</v>
      </c>
      <c r="K15">
        <v>191.320754717</v>
      </c>
      <c r="L15">
        <v>102</v>
      </c>
      <c r="M15">
        <v>186.60784313729999</v>
      </c>
      <c r="N15">
        <v>42</v>
      </c>
      <c r="O15">
        <v>232.5</v>
      </c>
      <c r="R15">
        <v>8</v>
      </c>
      <c r="S15">
        <v>238.375</v>
      </c>
      <c r="V15" t="s">
        <v>400</v>
      </c>
      <c r="W15">
        <v>3397</v>
      </c>
      <c r="X15">
        <v>2767</v>
      </c>
      <c r="Y15">
        <v>298.15251174560001</v>
      </c>
      <c r="Z15">
        <v>302</v>
      </c>
      <c r="AA15">
        <v>534.821192053</v>
      </c>
      <c r="AB15">
        <v>468</v>
      </c>
      <c r="AC15">
        <v>330.11538461539999</v>
      </c>
      <c r="AD15">
        <v>60</v>
      </c>
      <c r="AE15">
        <v>247.4</v>
      </c>
      <c r="AF15">
        <v>101</v>
      </c>
      <c r="AG15">
        <v>149.2475247525</v>
      </c>
      <c r="AH15">
        <v>1</v>
      </c>
      <c r="AI15">
        <v>74</v>
      </c>
      <c r="AL15" t="s">
        <v>400</v>
      </c>
      <c r="AM15">
        <v>102</v>
      </c>
      <c r="AN15">
        <v>74</v>
      </c>
      <c r="AO15">
        <v>297.48648648649998</v>
      </c>
      <c r="AP15">
        <v>2</v>
      </c>
      <c r="AQ15">
        <v>354.5</v>
      </c>
      <c r="AR15">
        <v>23</v>
      </c>
      <c r="AS15">
        <v>345.17391304350002</v>
      </c>
      <c r="AT15">
        <v>4</v>
      </c>
      <c r="AU15">
        <v>201</v>
      </c>
      <c r="AV15">
        <v>1</v>
      </c>
      <c r="AW15">
        <v>820</v>
      </c>
    </row>
    <row r="16" spans="2:51" x14ac:dyDescent="0.2">
      <c r="F16" t="s">
        <v>51</v>
      </c>
      <c r="G16">
        <v>8338</v>
      </c>
      <c r="H16">
        <v>6583</v>
      </c>
      <c r="I16">
        <v>507.26112714570002</v>
      </c>
      <c r="J16">
        <v>288</v>
      </c>
      <c r="K16">
        <v>977.48611111109994</v>
      </c>
      <c r="L16">
        <v>1333</v>
      </c>
      <c r="M16">
        <v>982.91822955739997</v>
      </c>
      <c r="N16">
        <v>418</v>
      </c>
      <c r="O16">
        <v>688.44976076559999</v>
      </c>
      <c r="R16">
        <v>4</v>
      </c>
      <c r="S16">
        <v>139</v>
      </c>
      <c r="V16" t="s">
        <v>423</v>
      </c>
      <c r="W16">
        <v>474</v>
      </c>
      <c r="X16">
        <v>373</v>
      </c>
      <c r="Y16">
        <v>249.87399463809999</v>
      </c>
      <c r="Z16">
        <v>20</v>
      </c>
      <c r="AA16">
        <v>605.95000000000005</v>
      </c>
      <c r="AB16">
        <v>65</v>
      </c>
      <c r="AC16">
        <v>306.23076923079998</v>
      </c>
      <c r="AD16">
        <v>16</v>
      </c>
      <c r="AE16">
        <v>239.375</v>
      </c>
      <c r="AF16">
        <v>19</v>
      </c>
      <c r="AG16">
        <v>126.2631578947</v>
      </c>
      <c r="AH16">
        <v>1</v>
      </c>
      <c r="AI16">
        <v>190</v>
      </c>
      <c r="AL16" t="s">
        <v>423</v>
      </c>
      <c r="AM16">
        <v>9</v>
      </c>
      <c r="AN16">
        <v>8</v>
      </c>
      <c r="AO16">
        <v>215.25</v>
      </c>
      <c r="AP16">
        <v>3</v>
      </c>
      <c r="AQ16">
        <v>493.3333333333</v>
      </c>
      <c r="AR16">
        <v>1</v>
      </c>
      <c r="AS16">
        <v>115</v>
      </c>
    </row>
    <row r="17" spans="6:49" x14ac:dyDescent="0.2">
      <c r="F17" t="s">
        <v>394</v>
      </c>
      <c r="G17">
        <v>51746</v>
      </c>
      <c r="H17">
        <v>38587</v>
      </c>
      <c r="I17">
        <v>449.61409282919999</v>
      </c>
      <c r="J17">
        <v>4111</v>
      </c>
      <c r="K17">
        <v>577.53344684989997</v>
      </c>
      <c r="L17">
        <v>9407</v>
      </c>
      <c r="M17">
        <v>749.21717869669999</v>
      </c>
      <c r="N17">
        <v>3665</v>
      </c>
      <c r="O17">
        <v>550.6016371078</v>
      </c>
      <c r="R17">
        <v>87</v>
      </c>
      <c r="S17">
        <v>511.816091954</v>
      </c>
      <c r="V17" t="s">
        <v>424</v>
      </c>
      <c r="W17">
        <v>200</v>
      </c>
      <c r="X17">
        <v>53</v>
      </c>
      <c r="Y17">
        <v>269.3396226415</v>
      </c>
      <c r="Z17">
        <v>25</v>
      </c>
      <c r="AA17">
        <v>325.04000000000002</v>
      </c>
      <c r="AB17">
        <v>52</v>
      </c>
      <c r="AC17">
        <v>254.11538461539999</v>
      </c>
      <c r="AD17">
        <v>44</v>
      </c>
      <c r="AE17">
        <v>260.52272727270002</v>
      </c>
      <c r="AF17">
        <v>43</v>
      </c>
      <c r="AG17">
        <v>251.3023255814</v>
      </c>
      <c r="AH17">
        <v>8</v>
      </c>
      <c r="AI17">
        <v>238.375</v>
      </c>
      <c r="AL17" t="s">
        <v>424</v>
      </c>
      <c r="AM17">
        <v>10</v>
      </c>
      <c r="AN17">
        <v>8</v>
      </c>
      <c r="AO17">
        <v>108.5</v>
      </c>
      <c r="AP17">
        <v>5</v>
      </c>
      <c r="AQ17">
        <v>263.60000000000002</v>
      </c>
      <c r="AR17">
        <v>2</v>
      </c>
      <c r="AS17">
        <v>241</v>
      </c>
    </row>
    <row r="18" spans="6:49" x14ac:dyDescent="0.2">
      <c r="F18" t="s">
        <v>71</v>
      </c>
      <c r="G18">
        <v>3033</v>
      </c>
      <c r="H18">
        <v>2401</v>
      </c>
      <c r="I18">
        <v>280.32111620159998</v>
      </c>
      <c r="J18">
        <v>237</v>
      </c>
      <c r="K18">
        <v>445.88185654009999</v>
      </c>
      <c r="L18">
        <v>380</v>
      </c>
      <c r="M18">
        <v>313.21842105259998</v>
      </c>
      <c r="N18">
        <v>247</v>
      </c>
      <c r="O18">
        <v>523.63562753040003</v>
      </c>
      <c r="R18">
        <v>5</v>
      </c>
      <c r="S18">
        <v>697.6</v>
      </c>
      <c r="V18" t="s">
        <v>394</v>
      </c>
      <c r="W18">
        <v>53197</v>
      </c>
      <c r="X18">
        <v>38333</v>
      </c>
      <c r="Y18">
        <v>447.8681814624</v>
      </c>
      <c r="Z18">
        <v>4005</v>
      </c>
      <c r="AA18">
        <v>584.90661672910005</v>
      </c>
      <c r="AB18">
        <v>9316</v>
      </c>
      <c r="AC18">
        <v>748.51867754399996</v>
      </c>
      <c r="AD18">
        <v>3707</v>
      </c>
      <c r="AE18">
        <v>550.65093067170005</v>
      </c>
      <c r="AF18">
        <v>1754</v>
      </c>
      <c r="AG18">
        <v>186.23660205249999</v>
      </c>
      <c r="AH18">
        <v>87</v>
      </c>
      <c r="AI18">
        <v>502.27586206900003</v>
      </c>
      <c r="AL18" t="s">
        <v>394</v>
      </c>
      <c r="AM18">
        <v>1613</v>
      </c>
      <c r="AN18">
        <v>1260</v>
      </c>
      <c r="AO18">
        <v>412.59444444439998</v>
      </c>
      <c r="AP18">
        <v>151</v>
      </c>
      <c r="AQ18">
        <v>603.50993377479995</v>
      </c>
      <c r="AR18">
        <v>311</v>
      </c>
      <c r="AS18">
        <v>362.71704180059999</v>
      </c>
      <c r="AT18">
        <v>40</v>
      </c>
      <c r="AU18">
        <v>218.67500000000001</v>
      </c>
      <c r="AV18">
        <v>2</v>
      </c>
      <c r="AW18">
        <v>492.5</v>
      </c>
    </row>
    <row r="19" spans="6:49" x14ac:dyDescent="0.2">
      <c r="F19" t="s">
        <v>37</v>
      </c>
      <c r="G19">
        <v>925</v>
      </c>
      <c r="H19">
        <v>581</v>
      </c>
      <c r="I19">
        <v>248.82444061960001</v>
      </c>
      <c r="J19">
        <v>95</v>
      </c>
      <c r="K19">
        <v>531.51578947370001</v>
      </c>
      <c r="L19">
        <v>173</v>
      </c>
      <c r="M19">
        <v>234.1098265896</v>
      </c>
      <c r="N19">
        <v>165</v>
      </c>
      <c r="O19">
        <v>584.87272727269999</v>
      </c>
      <c r="R19">
        <v>6</v>
      </c>
      <c r="S19">
        <v>247.6666666667</v>
      </c>
      <c r="V19" t="s">
        <v>412</v>
      </c>
      <c r="W19">
        <v>1002</v>
      </c>
      <c r="X19">
        <v>599</v>
      </c>
      <c r="Y19">
        <v>262.70951585979998</v>
      </c>
      <c r="Z19">
        <v>105</v>
      </c>
      <c r="AA19">
        <v>568.23809523809996</v>
      </c>
      <c r="AB19">
        <v>175</v>
      </c>
      <c r="AC19">
        <v>249.77714285709999</v>
      </c>
      <c r="AD19">
        <v>158</v>
      </c>
      <c r="AE19">
        <v>580.34177215190005</v>
      </c>
      <c r="AF19">
        <v>64</v>
      </c>
      <c r="AG19">
        <v>166.34375</v>
      </c>
      <c r="AH19">
        <v>6</v>
      </c>
      <c r="AI19">
        <v>247.6666666667</v>
      </c>
      <c r="AL19" t="s">
        <v>412</v>
      </c>
      <c r="AM19">
        <v>11</v>
      </c>
      <c r="AN19">
        <v>10</v>
      </c>
      <c r="AO19">
        <v>132.9</v>
      </c>
      <c r="AP19">
        <v>7</v>
      </c>
      <c r="AQ19">
        <v>298.42857142859998</v>
      </c>
      <c r="AR19">
        <v>1</v>
      </c>
      <c r="AS19">
        <v>144</v>
      </c>
    </row>
    <row r="20" spans="6:49" x14ac:dyDescent="0.2">
      <c r="F20" t="s">
        <v>58</v>
      </c>
      <c r="G20">
        <v>973</v>
      </c>
      <c r="H20">
        <v>445</v>
      </c>
      <c r="I20">
        <v>204.04269662920001</v>
      </c>
      <c r="J20">
        <v>163</v>
      </c>
      <c r="K20">
        <v>346.51533742330002</v>
      </c>
      <c r="L20">
        <v>149</v>
      </c>
      <c r="M20">
        <v>315.14765100670002</v>
      </c>
      <c r="N20">
        <v>369</v>
      </c>
      <c r="O20">
        <v>577.15447154469996</v>
      </c>
      <c r="R20">
        <v>10</v>
      </c>
      <c r="S20">
        <v>295.8</v>
      </c>
      <c r="V20" t="s">
        <v>428</v>
      </c>
      <c r="W20">
        <v>298</v>
      </c>
      <c r="X20">
        <v>135</v>
      </c>
      <c r="Y20">
        <v>191.0740740741</v>
      </c>
      <c r="Z20">
        <v>100</v>
      </c>
      <c r="AA20">
        <v>254.44</v>
      </c>
      <c r="AB20">
        <v>72</v>
      </c>
      <c r="AC20">
        <v>208.0138888889</v>
      </c>
      <c r="AD20">
        <v>56</v>
      </c>
      <c r="AE20">
        <v>504.30357142859998</v>
      </c>
      <c r="AF20">
        <v>35</v>
      </c>
      <c r="AG20">
        <v>120.2</v>
      </c>
      <c r="AL20" t="s">
        <v>428</v>
      </c>
      <c r="AM20">
        <v>2</v>
      </c>
      <c r="AN20">
        <v>1</v>
      </c>
      <c r="AO20">
        <v>206</v>
      </c>
      <c r="AP20">
        <v>1</v>
      </c>
      <c r="AQ20">
        <v>79</v>
      </c>
      <c r="AR20">
        <v>1</v>
      </c>
      <c r="AS20">
        <v>17</v>
      </c>
    </row>
    <row r="21" spans="6:49" x14ac:dyDescent="0.2">
      <c r="F21" t="s">
        <v>65</v>
      </c>
      <c r="G21">
        <v>8625</v>
      </c>
      <c r="H21">
        <v>7063</v>
      </c>
      <c r="I21">
        <v>394.29378451079998</v>
      </c>
      <c r="J21">
        <v>664</v>
      </c>
      <c r="K21">
        <v>613.37349397590003</v>
      </c>
      <c r="L21">
        <v>1150</v>
      </c>
      <c r="M21">
        <v>631.79130434779995</v>
      </c>
      <c r="N21">
        <v>396</v>
      </c>
      <c r="O21">
        <v>587.57575757580003</v>
      </c>
      <c r="R21">
        <v>16</v>
      </c>
      <c r="S21">
        <v>381.5</v>
      </c>
      <c r="V21" t="s">
        <v>432</v>
      </c>
      <c r="W21">
        <v>1180</v>
      </c>
      <c r="X21">
        <v>886</v>
      </c>
      <c r="Y21">
        <v>300.13995485330003</v>
      </c>
      <c r="Z21">
        <v>68</v>
      </c>
      <c r="AA21">
        <v>560.02941176469994</v>
      </c>
      <c r="AB21">
        <v>179</v>
      </c>
      <c r="AC21">
        <v>394.45810055869998</v>
      </c>
      <c r="AD21">
        <v>60</v>
      </c>
      <c r="AE21">
        <v>485.9166666667</v>
      </c>
      <c r="AF21">
        <v>54</v>
      </c>
      <c r="AG21">
        <v>149.44444444440001</v>
      </c>
      <c r="AH21">
        <v>1</v>
      </c>
      <c r="AI21">
        <v>333</v>
      </c>
      <c r="AL21" t="s">
        <v>432</v>
      </c>
      <c r="AM21">
        <v>12</v>
      </c>
      <c r="AN21">
        <v>10</v>
      </c>
      <c r="AO21">
        <v>208.6</v>
      </c>
      <c r="AP21">
        <v>5</v>
      </c>
      <c r="AQ21">
        <v>321.60000000000002</v>
      </c>
      <c r="AR21">
        <v>2</v>
      </c>
      <c r="AS21">
        <v>129.5</v>
      </c>
    </row>
    <row r="22" spans="6:49" x14ac:dyDescent="0.2">
      <c r="F22" t="s">
        <v>67</v>
      </c>
      <c r="G22">
        <v>7210</v>
      </c>
      <c r="H22">
        <v>5374</v>
      </c>
      <c r="I22">
        <v>383.12337179010001</v>
      </c>
      <c r="J22">
        <v>352</v>
      </c>
      <c r="K22">
        <v>622.76136363640001</v>
      </c>
      <c r="L22">
        <v>1442</v>
      </c>
      <c r="M22">
        <v>756.45076282939999</v>
      </c>
      <c r="N22">
        <v>384</v>
      </c>
      <c r="O22">
        <v>590.58072916670005</v>
      </c>
      <c r="R22">
        <v>10</v>
      </c>
      <c r="S22">
        <v>625.29999999999995</v>
      </c>
      <c r="V22" t="s">
        <v>417</v>
      </c>
      <c r="W22">
        <v>3112</v>
      </c>
      <c r="X22">
        <v>2371</v>
      </c>
      <c r="Y22">
        <v>288.29776465629999</v>
      </c>
      <c r="Z22">
        <v>228</v>
      </c>
      <c r="AA22">
        <v>442.06578947370002</v>
      </c>
      <c r="AB22">
        <v>381</v>
      </c>
      <c r="AC22">
        <v>333.09186351710002</v>
      </c>
      <c r="AD22">
        <v>249</v>
      </c>
      <c r="AE22">
        <v>516.0040160643</v>
      </c>
      <c r="AF22">
        <v>107</v>
      </c>
      <c r="AG22">
        <v>227.96261682240001</v>
      </c>
      <c r="AH22">
        <v>4</v>
      </c>
      <c r="AI22">
        <v>856.75</v>
      </c>
      <c r="AL22" t="s">
        <v>417</v>
      </c>
      <c r="AM22">
        <v>43</v>
      </c>
      <c r="AN22">
        <v>27</v>
      </c>
      <c r="AO22">
        <v>144.3703703704</v>
      </c>
      <c r="AP22">
        <v>18</v>
      </c>
      <c r="AQ22">
        <v>309.7777777778</v>
      </c>
      <c r="AR22">
        <v>9</v>
      </c>
      <c r="AS22">
        <v>111.55555555559999</v>
      </c>
      <c r="AT22">
        <v>7</v>
      </c>
      <c r="AU22">
        <v>224.28571428570001</v>
      </c>
    </row>
    <row r="23" spans="6:49" x14ac:dyDescent="0.2">
      <c r="F23" t="s">
        <v>76</v>
      </c>
      <c r="G23">
        <v>5223</v>
      </c>
      <c r="H23">
        <v>4167</v>
      </c>
      <c r="I23">
        <v>267.08567314610002</v>
      </c>
      <c r="J23">
        <v>443</v>
      </c>
      <c r="K23">
        <v>466.36117381489998</v>
      </c>
      <c r="L23">
        <v>768</v>
      </c>
      <c r="M23">
        <v>374.19921875</v>
      </c>
      <c r="N23">
        <v>277</v>
      </c>
      <c r="O23">
        <v>447.64981949460002</v>
      </c>
      <c r="R23">
        <v>11</v>
      </c>
      <c r="S23">
        <v>267.09090909090003</v>
      </c>
      <c r="V23" t="s">
        <v>413</v>
      </c>
      <c r="W23">
        <v>5539</v>
      </c>
      <c r="X23">
        <v>3699</v>
      </c>
      <c r="Y23">
        <v>371.7347931873</v>
      </c>
      <c r="Z23">
        <v>304</v>
      </c>
      <c r="AA23">
        <v>620.84539473680002</v>
      </c>
      <c r="AB23">
        <v>1453</v>
      </c>
      <c r="AC23">
        <v>550.21885753610002</v>
      </c>
      <c r="AD23">
        <v>246</v>
      </c>
      <c r="AE23">
        <v>473.03658536590001</v>
      </c>
      <c r="AF23">
        <v>134</v>
      </c>
      <c r="AG23">
        <v>154.66417910449999</v>
      </c>
      <c r="AH23">
        <v>7</v>
      </c>
      <c r="AI23">
        <v>339.57142857140002</v>
      </c>
      <c r="AL23" t="s">
        <v>413</v>
      </c>
      <c r="AM23">
        <v>56</v>
      </c>
      <c r="AN23">
        <v>44</v>
      </c>
      <c r="AO23">
        <v>392.90909090909997</v>
      </c>
      <c r="AP23">
        <v>20</v>
      </c>
      <c r="AQ23">
        <v>377.8</v>
      </c>
      <c r="AR23">
        <v>12</v>
      </c>
      <c r="AS23">
        <v>154.5</v>
      </c>
    </row>
    <row r="24" spans="6:49" x14ac:dyDescent="0.2">
      <c r="F24" t="s">
        <v>48</v>
      </c>
      <c r="G24">
        <v>1435</v>
      </c>
      <c r="H24">
        <v>1114</v>
      </c>
      <c r="I24">
        <v>299.13105924600001</v>
      </c>
      <c r="J24">
        <v>84</v>
      </c>
      <c r="K24">
        <v>530.01190476190004</v>
      </c>
      <c r="L24">
        <v>247</v>
      </c>
      <c r="M24">
        <v>453.33198380570002</v>
      </c>
      <c r="N24">
        <v>72</v>
      </c>
      <c r="O24">
        <v>537.7777777778</v>
      </c>
      <c r="R24">
        <v>2</v>
      </c>
      <c r="S24">
        <v>263.5</v>
      </c>
      <c r="V24" t="s">
        <v>430</v>
      </c>
      <c r="W24">
        <v>7329</v>
      </c>
      <c r="X24">
        <v>5363</v>
      </c>
      <c r="Y24">
        <v>384.00839082599998</v>
      </c>
      <c r="Z24">
        <v>365</v>
      </c>
      <c r="AA24">
        <v>614.57534246579996</v>
      </c>
      <c r="AB24">
        <v>1409</v>
      </c>
      <c r="AC24">
        <v>737.65649396740002</v>
      </c>
      <c r="AD24">
        <v>402</v>
      </c>
      <c r="AE24">
        <v>588.28855721390005</v>
      </c>
      <c r="AF24">
        <v>145</v>
      </c>
      <c r="AG24">
        <v>209.94482758620001</v>
      </c>
      <c r="AH24">
        <v>10</v>
      </c>
      <c r="AI24">
        <v>679</v>
      </c>
      <c r="AL24" t="s">
        <v>430</v>
      </c>
      <c r="AM24">
        <v>137</v>
      </c>
      <c r="AN24">
        <v>92</v>
      </c>
      <c r="AO24">
        <v>239.40217391300001</v>
      </c>
      <c r="AP24">
        <v>42</v>
      </c>
      <c r="AQ24">
        <v>380.23809523810002</v>
      </c>
      <c r="AR24">
        <v>42</v>
      </c>
      <c r="AS24">
        <v>351.07142857140002</v>
      </c>
      <c r="AT24">
        <v>3</v>
      </c>
      <c r="AU24">
        <v>160.6666666667</v>
      </c>
    </row>
    <row r="25" spans="6:49" x14ac:dyDescent="0.2">
      <c r="F25" t="s">
        <v>69</v>
      </c>
      <c r="G25">
        <v>5500</v>
      </c>
      <c r="H25">
        <v>3746</v>
      </c>
      <c r="I25">
        <v>374.50934329950002</v>
      </c>
      <c r="J25">
        <v>304</v>
      </c>
      <c r="K25">
        <v>625.28618421049998</v>
      </c>
      <c r="L25">
        <v>1504</v>
      </c>
      <c r="M25">
        <v>558.94680851060002</v>
      </c>
      <c r="N25">
        <v>242</v>
      </c>
      <c r="O25">
        <v>480.3181818182</v>
      </c>
      <c r="R25">
        <v>8</v>
      </c>
      <c r="S25">
        <v>359.875</v>
      </c>
      <c r="V25" t="s">
        <v>411</v>
      </c>
      <c r="W25">
        <v>18529</v>
      </c>
      <c r="X25">
        <v>14702</v>
      </c>
      <c r="Y25">
        <v>333.38947082030001</v>
      </c>
      <c r="Z25">
        <v>1755</v>
      </c>
      <c r="AA25">
        <v>509.97150997149998</v>
      </c>
      <c r="AB25">
        <v>2232</v>
      </c>
      <c r="AC25">
        <v>465.855734767</v>
      </c>
      <c r="AD25">
        <v>891</v>
      </c>
      <c r="AE25">
        <v>451.91245791249997</v>
      </c>
      <c r="AF25">
        <v>679</v>
      </c>
      <c r="AG25">
        <v>162.73932253309999</v>
      </c>
      <c r="AH25">
        <v>25</v>
      </c>
      <c r="AI25">
        <v>315.16000000000003</v>
      </c>
      <c r="AL25" t="s">
        <v>411</v>
      </c>
      <c r="AM25">
        <v>444</v>
      </c>
      <c r="AN25">
        <v>327</v>
      </c>
      <c r="AO25">
        <v>291.93577981649997</v>
      </c>
      <c r="AP25">
        <v>161</v>
      </c>
      <c r="AQ25">
        <v>393.950310559</v>
      </c>
      <c r="AR25">
        <v>98</v>
      </c>
      <c r="AS25">
        <v>211.24489795919999</v>
      </c>
      <c r="AT25">
        <v>18</v>
      </c>
      <c r="AU25">
        <v>115.05555555559999</v>
      </c>
      <c r="AV25">
        <v>1</v>
      </c>
      <c r="AW25">
        <v>18</v>
      </c>
    </row>
    <row r="26" spans="6:49" x14ac:dyDescent="0.2">
      <c r="F26" t="s">
        <v>35</v>
      </c>
      <c r="G26">
        <v>221</v>
      </c>
      <c r="H26">
        <v>98</v>
      </c>
      <c r="I26">
        <v>108.76530612240001</v>
      </c>
      <c r="J26">
        <v>101</v>
      </c>
      <c r="K26">
        <v>237.8811881188</v>
      </c>
      <c r="L26">
        <v>65</v>
      </c>
      <c r="M26">
        <v>157.7076923077</v>
      </c>
      <c r="N26">
        <v>58</v>
      </c>
      <c r="O26">
        <v>457.68965517240002</v>
      </c>
      <c r="V26" t="s">
        <v>409</v>
      </c>
      <c r="W26">
        <v>1943</v>
      </c>
      <c r="X26">
        <v>1418</v>
      </c>
      <c r="Y26">
        <v>301.73554301830001</v>
      </c>
      <c r="Z26">
        <v>207</v>
      </c>
      <c r="AA26">
        <v>456.08695652170002</v>
      </c>
      <c r="AB26">
        <v>339</v>
      </c>
      <c r="AC26">
        <v>263.5398230088</v>
      </c>
      <c r="AD26">
        <v>110</v>
      </c>
      <c r="AE26">
        <v>380.87272727269999</v>
      </c>
      <c r="AF26">
        <v>76</v>
      </c>
      <c r="AG26">
        <v>184.6447368421</v>
      </c>
      <c r="AL26" t="s">
        <v>409</v>
      </c>
      <c r="AM26">
        <v>33</v>
      </c>
      <c r="AN26">
        <v>24</v>
      </c>
      <c r="AO26">
        <v>333.375</v>
      </c>
      <c r="AP26">
        <v>19</v>
      </c>
      <c r="AQ26">
        <v>284.52631578950002</v>
      </c>
      <c r="AR26">
        <v>9</v>
      </c>
      <c r="AS26">
        <v>191.3333333333</v>
      </c>
    </row>
    <row r="27" spans="6:49" x14ac:dyDescent="0.2">
      <c r="F27" t="s">
        <v>74</v>
      </c>
      <c r="G27">
        <v>4372</v>
      </c>
      <c r="H27">
        <v>3996</v>
      </c>
      <c r="I27">
        <v>223.24524524520001</v>
      </c>
      <c r="J27">
        <v>495</v>
      </c>
      <c r="K27">
        <v>417.79393939390002</v>
      </c>
      <c r="L27">
        <v>180</v>
      </c>
      <c r="M27">
        <v>141.57777777780001</v>
      </c>
      <c r="N27">
        <v>190</v>
      </c>
      <c r="O27">
        <v>238.94210526320001</v>
      </c>
      <c r="R27">
        <v>6</v>
      </c>
      <c r="S27">
        <v>172.1666666667</v>
      </c>
      <c r="V27" t="s">
        <v>83</v>
      </c>
      <c r="W27">
        <v>5417</v>
      </c>
      <c r="X27">
        <v>4181</v>
      </c>
      <c r="Y27">
        <v>273.89691461370001</v>
      </c>
      <c r="Z27">
        <v>441</v>
      </c>
      <c r="AA27">
        <v>474.10884353739999</v>
      </c>
      <c r="AB27">
        <v>792</v>
      </c>
      <c r="AC27">
        <v>402.78030303029999</v>
      </c>
      <c r="AD27">
        <v>284</v>
      </c>
      <c r="AE27">
        <v>458.64084507040002</v>
      </c>
      <c r="AF27">
        <v>150</v>
      </c>
      <c r="AG27">
        <v>153.38</v>
      </c>
      <c r="AH27">
        <v>10</v>
      </c>
      <c r="AI27">
        <v>217.3</v>
      </c>
      <c r="AL27" t="s">
        <v>83</v>
      </c>
      <c r="AM27">
        <v>94</v>
      </c>
      <c r="AN27">
        <v>70</v>
      </c>
      <c r="AO27">
        <v>201.31428571430001</v>
      </c>
      <c r="AP27">
        <v>30</v>
      </c>
      <c r="AQ27">
        <v>353.06666666669997</v>
      </c>
      <c r="AR27">
        <v>21</v>
      </c>
      <c r="AS27">
        <v>125.380952381</v>
      </c>
      <c r="AT27">
        <v>3</v>
      </c>
      <c r="AU27">
        <v>79.666666666699996</v>
      </c>
    </row>
    <row r="28" spans="6:49" x14ac:dyDescent="0.2">
      <c r="F28" t="s">
        <v>34</v>
      </c>
      <c r="G28">
        <v>1758</v>
      </c>
      <c r="H28">
        <v>1321</v>
      </c>
      <c r="I28">
        <v>298.58743376230001</v>
      </c>
      <c r="J28">
        <v>204</v>
      </c>
      <c r="K28">
        <v>458.3970588235</v>
      </c>
      <c r="L28">
        <v>332</v>
      </c>
      <c r="M28">
        <v>258.00903614459997</v>
      </c>
      <c r="N28">
        <v>105</v>
      </c>
      <c r="O28">
        <v>356.32380952379998</v>
      </c>
      <c r="V28" t="s">
        <v>408</v>
      </c>
      <c r="W28">
        <v>44349</v>
      </c>
      <c r="X28">
        <v>33354</v>
      </c>
      <c r="Y28">
        <v>331.04383282359998</v>
      </c>
      <c r="Z28">
        <v>3573</v>
      </c>
      <c r="AA28">
        <v>513.72264203750001</v>
      </c>
      <c r="AB28">
        <v>7032</v>
      </c>
      <c r="AC28">
        <v>503.86262798630003</v>
      </c>
      <c r="AD28">
        <v>2456</v>
      </c>
      <c r="AE28">
        <v>490.7320846906</v>
      </c>
      <c r="AF28">
        <v>1444</v>
      </c>
      <c r="AG28">
        <v>170.37534626039999</v>
      </c>
      <c r="AH28">
        <v>63</v>
      </c>
      <c r="AI28">
        <v>388.3333333333</v>
      </c>
      <c r="AL28" t="s">
        <v>408</v>
      </c>
      <c r="AM28">
        <v>832</v>
      </c>
      <c r="AN28">
        <v>605</v>
      </c>
      <c r="AO28">
        <v>271.71570247929998</v>
      </c>
      <c r="AP28">
        <v>303</v>
      </c>
      <c r="AQ28">
        <v>370.63366336630003</v>
      </c>
      <c r="AR28">
        <v>195</v>
      </c>
      <c r="AS28">
        <v>220.92307692310001</v>
      </c>
      <c r="AT28">
        <v>31</v>
      </c>
      <c r="AU28">
        <v>140.70967741940001</v>
      </c>
      <c r="AV28">
        <v>1</v>
      </c>
      <c r="AW28">
        <v>18</v>
      </c>
    </row>
    <row r="29" spans="6:49" x14ac:dyDescent="0.2">
      <c r="F29" t="s">
        <v>55</v>
      </c>
      <c r="G29">
        <v>4790</v>
      </c>
      <c r="H29">
        <v>3669</v>
      </c>
      <c r="I29">
        <v>330.77623330609998</v>
      </c>
      <c r="J29">
        <v>617</v>
      </c>
      <c r="K29">
        <v>467.31928687200002</v>
      </c>
      <c r="L29">
        <v>874</v>
      </c>
      <c r="M29">
        <v>308.81235697940002</v>
      </c>
      <c r="N29">
        <v>247</v>
      </c>
      <c r="O29">
        <v>347.7894736842</v>
      </c>
      <c r="V29" t="s">
        <v>392</v>
      </c>
      <c r="W29">
        <v>10731</v>
      </c>
      <c r="X29">
        <v>5290</v>
      </c>
      <c r="Y29">
        <v>281.78120272310002</v>
      </c>
      <c r="Z29">
        <v>621</v>
      </c>
      <c r="AA29">
        <v>610.45893719809999</v>
      </c>
      <c r="AB29">
        <v>3680</v>
      </c>
      <c r="AC29">
        <v>780.54157608699995</v>
      </c>
      <c r="AD29">
        <v>1268</v>
      </c>
      <c r="AE29">
        <v>507.97000789269998</v>
      </c>
      <c r="AF29">
        <v>468</v>
      </c>
      <c r="AG29">
        <v>175.78632478630001</v>
      </c>
      <c r="AH29">
        <v>25</v>
      </c>
      <c r="AI29">
        <v>556.32000000000005</v>
      </c>
      <c r="AL29" t="s">
        <v>392</v>
      </c>
      <c r="AM29">
        <v>284</v>
      </c>
      <c r="AN29">
        <v>204</v>
      </c>
      <c r="AO29">
        <v>371.6274509804</v>
      </c>
      <c r="AP29">
        <v>16</v>
      </c>
      <c r="AQ29">
        <v>617.625</v>
      </c>
      <c r="AR29">
        <v>69</v>
      </c>
      <c r="AS29">
        <v>455.884057971</v>
      </c>
      <c r="AT29">
        <v>10</v>
      </c>
      <c r="AU29">
        <v>133.4</v>
      </c>
      <c r="AV29">
        <v>1</v>
      </c>
      <c r="AW29">
        <v>3</v>
      </c>
    </row>
    <row r="30" spans="6:49" x14ac:dyDescent="0.2">
      <c r="F30" t="s">
        <v>408</v>
      </c>
      <c r="G30">
        <v>44065</v>
      </c>
      <c r="H30">
        <v>33975</v>
      </c>
      <c r="I30">
        <v>327.06719646800002</v>
      </c>
      <c r="J30">
        <v>3759</v>
      </c>
      <c r="K30">
        <v>503.59962756049998</v>
      </c>
      <c r="L30">
        <v>7264</v>
      </c>
      <c r="M30">
        <v>503.18736233480001</v>
      </c>
      <c r="N30">
        <v>2752</v>
      </c>
      <c r="O30">
        <v>498.72601744190001</v>
      </c>
      <c r="R30">
        <v>74</v>
      </c>
      <c r="S30">
        <v>373.86486486490003</v>
      </c>
      <c r="V30" t="s">
        <v>429</v>
      </c>
      <c r="W30">
        <v>31144</v>
      </c>
      <c r="X30">
        <v>26843</v>
      </c>
      <c r="Y30">
        <v>456.00525315750002</v>
      </c>
      <c r="Z30">
        <v>1267</v>
      </c>
      <c r="AA30">
        <v>718.30307813729996</v>
      </c>
      <c r="AB30">
        <v>1184</v>
      </c>
      <c r="AC30">
        <v>341.07347972970001</v>
      </c>
      <c r="AD30">
        <v>2135</v>
      </c>
      <c r="AE30">
        <v>337.00327868850002</v>
      </c>
      <c r="AF30">
        <v>974</v>
      </c>
      <c r="AG30">
        <v>183.40657084189999</v>
      </c>
      <c r="AH30">
        <v>8</v>
      </c>
      <c r="AI30">
        <v>434</v>
      </c>
      <c r="AL30" t="s">
        <v>429</v>
      </c>
      <c r="AM30">
        <v>603</v>
      </c>
      <c r="AN30">
        <v>519</v>
      </c>
      <c r="AO30">
        <v>317.60886319849999</v>
      </c>
      <c r="AP30">
        <v>129</v>
      </c>
      <c r="AQ30">
        <v>511.06976744190001</v>
      </c>
      <c r="AR30">
        <v>77</v>
      </c>
      <c r="AS30">
        <v>185.6753246753</v>
      </c>
      <c r="AT30">
        <v>7</v>
      </c>
      <c r="AU30">
        <v>310.85714285709997</v>
      </c>
    </row>
    <row r="31" spans="6:49" x14ac:dyDescent="0.2">
      <c r="F31" t="s">
        <v>25</v>
      </c>
      <c r="G31">
        <v>17262</v>
      </c>
      <c r="H31">
        <v>14944</v>
      </c>
      <c r="I31">
        <v>549.08573149510005</v>
      </c>
      <c r="J31">
        <v>948</v>
      </c>
      <c r="K31">
        <v>858.43354430379998</v>
      </c>
      <c r="L31">
        <v>1329</v>
      </c>
      <c r="M31">
        <v>558.49887133180005</v>
      </c>
      <c r="N31">
        <v>965</v>
      </c>
      <c r="O31">
        <v>385.07883817430002</v>
      </c>
      <c r="R31">
        <v>24</v>
      </c>
      <c r="S31">
        <v>417.6666666667</v>
      </c>
      <c r="V31" t="s">
        <v>385</v>
      </c>
      <c r="W31">
        <v>17915</v>
      </c>
      <c r="X31">
        <v>14945</v>
      </c>
      <c r="Y31">
        <v>546.42896339419997</v>
      </c>
      <c r="Z31">
        <v>973</v>
      </c>
      <c r="AA31">
        <v>851.86125385410003</v>
      </c>
      <c r="AB31">
        <v>1406</v>
      </c>
      <c r="AC31">
        <v>577.86486486490003</v>
      </c>
      <c r="AD31">
        <v>1016</v>
      </c>
      <c r="AE31">
        <v>382.67192118230003</v>
      </c>
      <c r="AF31">
        <v>524</v>
      </c>
      <c r="AG31">
        <v>176.08604206499999</v>
      </c>
      <c r="AH31">
        <v>24</v>
      </c>
      <c r="AI31">
        <v>417.6666666667</v>
      </c>
      <c r="AL31" t="s">
        <v>385</v>
      </c>
      <c r="AM31">
        <v>375</v>
      </c>
      <c r="AN31">
        <v>281</v>
      </c>
      <c r="AO31">
        <v>348.44839857649998</v>
      </c>
      <c r="AP31">
        <v>90</v>
      </c>
      <c r="AQ31">
        <v>677.7</v>
      </c>
      <c r="AR31">
        <v>74</v>
      </c>
      <c r="AS31">
        <v>207.2162162162</v>
      </c>
      <c r="AT31">
        <v>19</v>
      </c>
      <c r="AU31">
        <v>217.94736842110001</v>
      </c>
      <c r="AV31">
        <v>1</v>
      </c>
      <c r="AW31">
        <v>207</v>
      </c>
    </row>
    <row r="32" spans="6:49" x14ac:dyDescent="0.2">
      <c r="F32" t="s">
        <v>42</v>
      </c>
      <c r="G32">
        <v>12887</v>
      </c>
      <c r="H32">
        <v>10232</v>
      </c>
      <c r="I32">
        <v>366.56973902840002</v>
      </c>
      <c r="J32">
        <v>383</v>
      </c>
      <c r="K32">
        <v>683.47258485639998</v>
      </c>
      <c r="L32">
        <v>1728</v>
      </c>
      <c r="M32">
        <v>528.94502314809995</v>
      </c>
      <c r="N32">
        <v>906</v>
      </c>
      <c r="O32">
        <v>568.99227373070005</v>
      </c>
      <c r="R32">
        <v>21</v>
      </c>
      <c r="S32">
        <v>545.90476190480001</v>
      </c>
      <c r="V32" t="s">
        <v>397</v>
      </c>
      <c r="W32">
        <v>3375</v>
      </c>
      <c r="X32">
        <v>2174</v>
      </c>
      <c r="Y32">
        <v>471.74517019320001</v>
      </c>
      <c r="Z32">
        <v>361</v>
      </c>
      <c r="AA32">
        <v>475.1468144044</v>
      </c>
      <c r="AB32">
        <v>571</v>
      </c>
      <c r="AC32">
        <v>613.35026269699995</v>
      </c>
      <c r="AD32">
        <v>496</v>
      </c>
      <c r="AE32">
        <v>593.15322580650002</v>
      </c>
      <c r="AF32">
        <v>130</v>
      </c>
      <c r="AG32">
        <v>165.1</v>
      </c>
      <c r="AH32">
        <v>4</v>
      </c>
      <c r="AI32">
        <v>582</v>
      </c>
      <c r="AL32" t="s">
        <v>397</v>
      </c>
      <c r="AM32">
        <v>130</v>
      </c>
      <c r="AN32">
        <v>104</v>
      </c>
      <c r="AO32">
        <v>445.75</v>
      </c>
      <c r="AP32">
        <v>7</v>
      </c>
      <c r="AQ32">
        <v>794.28571428570001</v>
      </c>
      <c r="AR32">
        <v>22</v>
      </c>
      <c r="AS32">
        <v>338.45454545450002</v>
      </c>
      <c r="AT32">
        <v>3</v>
      </c>
      <c r="AU32">
        <v>339.3333333333</v>
      </c>
      <c r="AV32">
        <v>1</v>
      </c>
      <c r="AW32">
        <v>640</v>
      </c>
    </row>
    <row r="33" spans="6:49" x14ac:dyDescent="0.2">
      <c r="F33" t="s">
        <v>75</v>
      </c>
      <c r="G33">
        <v>6064</v>
      </c>
      <c r="H33">
        <v>2958</v>
      </c>
      <c r="I33">
        <v>372.70094722599998</v>
      </c>
      <c r="J33">
        <v>366</v>
      </c>
      <c r="K33">
        <v>680.06284153009994</v>
      </c>
      <c r="L33">
        <v>2071</v>
      </c>
      <c r="M33">
        <v>707.1641718976</v>
      </c>
      <c r="N33">
        <v>1033</v>
      </c>
      <c r="O33">
        <v>965.04065827689999</v>
      </c>
      <c r="R33">
        <v>2</v>
      </c>
      <c r="S33">
        <v>1012.5</v>
      </c>
      <c r="V33" t="s">
        <v>388</v>
      </c>
      <c r="W33">
        <v>7105</v>
      </c>
      <c r="X33">
        <v>4412</v>
      </c>
      <c r="Y33">
        <v>285.04103377920001</v>
      </c>
      <c r="Z33">
        <v>408</v>
      </c>
      <c r="AA33">
        <v>679.4975490196</v>
      </c>
      <c r="AB33">
        <v>1520</v>
      </c>
      <c r="AC33">
        <v>368.1302631579</v>
      </c>
      <c r="AD33">
        <v>795</v>
      </c>
      <c r="AE33">
        <v>460.54088050310003</v>
      </c>
      <c r="AF33">
        <v>366</v>
      </c>
      <c r="AG33">
        <v>201.35792349729999</v>
      </c>
      <c r="AH33">
        <v>12</v>
      </c>
      <c r="AI33">
        <v>578.66666666670005</v>
      </c>
      <c r="AL33" t="s">
        <v>388</v>
      </c>
      <c r="AM33">
        <v>255</v>
      </c>
      <c r="AN33">
        <v>193</v>
      </c>
      <c r="AO33">
        <v>317.44559585489998</v>
      </c>
      <c r="AP33">
        <v>9</v>
      </c>
      <c r="AQ33">
        <v>477.55555555559999</v>
      </c>
      <c r="AR33">
        <v>52</v>
      </c>
      <c r="AS33">
        <v>283.07692307690002</v>
      </c>
      <c r="AT33">
        <v>10</v>
      </c>
      <c r="AU33">
        <v>270.39999999999998</v>
      </c>
    </row>
    <row r="34" spans="6:49" x14ac:dyDescent="0.2">
      <c r="F34" t="s">
        <v>61</v>
      </c>
      <c r="G34">
        <v>6542</v>
      </c>
      <c r="H34">
        <v>4280</v>
      </c>
      <c r="I34">
        <v>266.69502220139998</v>
      </c>
      <c r="J34">
        <v>401</v>
      </c>
      <c r="K34">
        <v>662.22194513720001</v>
      </c>
      <c r="L34">
        <v>1461</v>
      </c>
      <c r="M34">
        <v>337.26967830249998</v>
      </c>
      <c r="N34">
        <v>790</v>
      </c>
      <c r="O34">
        <v>452.11265822780001</v>
      </c>
      <c r="R34">
        <v>11</v>
      </c>
      <c r="S34">
        <v>607.36363636359999</v>
      </c>
      <c r="V34" t="s">
        <v>431</v>
      </c>
      <c r="W34">
        <v>6149</v>
      </c>
      <c r="X34">
        <v>2866</v>
      </c>
      <c r="Y34">
        <v>372.22513089009999</v>
      </c>
      <c r="Z34">
        <v>355</v>
      </c>
      <c r="AA34">
        <v>679.46478873240005</v>
      </c>
      <c r="AB34">
        <v>2008</v>
      </c>
      <c r="AC34">
        <v>707.71862549800005</v>
      </c>
      <c r="AD34">
        <v>1006</v>
      </c>
      <c r="AE34">
        <v>964.58747514909999</v>
      </c>
      <c r="AF34">
        <v>267</v>
      </c>
      <c r="AG34">
        <v>170.04494382019999</v>
      </c>
      <c r="AH34">
        <v>2</v>
      </c>
      <c r="AI34">
        <v>1012.5</v>
      </c>
      <c r="AL34" t="s">
        <v>431</v>
      </c>
      <c r="AM34">
        <v>122</v>
      </c>
      <c r="AN34">
        <v>85</v>
      </c>
      <c r="AO34">
        <v>300.45882352939998</v>
      </c>
      <c r="AP34">
        <v>27</v>
      </c>
      <c r="AQ34">
        <v>469.2222222222</v>
      </c>
      <c r="AR34">
        <v>27</v>
      </c>
      <c r="AS34">
        <v>270.6296296296</v>
      </c>
      <c r="AT34">
        <v>10</v>
      </c>
      <c r="AU34">
        <v>132.80000000000001</v>
      </c>
    </row>
    <row r="35" spans="6:49" x14ac:dyDescent="0.2">
      <c r="F35" t="s">
        <v>56</v>
      </c>
      <c r="G35">
        <v>4872</v>
      </c>
      <c r="H35">
        <v>3267</v>
      </c>
      <c r="I35">
        <v>501.42087542090002</v>
      </c>
      <c r="J35">
        <v>497</v>
      </c>
      <c r="K35">
        <v>493.77062374249999</v>
      </c>
      <c r="L35">
        <v>886</v>
      </c>
      <c r="M35">
        <v>594.16704288940002</v>
      </c>
      <c r="N35">
        <v>713</v>
      </c>
      <c r="O35">
        <v>608.95231416549996</v>
      </c>
      <c r="R35">
        <v>6</v>
      </c>
      <c r="S35">
        <v>651.5</v>
      </c>
      <c r="V35" t="s">
        <v>387</v>
      </c>
      <c r="W35">
        <v>13133</v>
      </c>
      <c r="X35">
        <v>10117</v>
      </c>
      <c r="Y35">
        <v>369.24021352310001</v>
      </c>
      <c r="Z35">
        <v>395</v>
      </c>
      <c r="AA35">
        <v>675.14683544299999</v>
      </c>
      <c r="AB35">
        <v>1728</v>
      </c>
      <c r="AC35">
        <v>533.5289351852</v>
      </c>
      <c r="AD35">
        <v>910</v>
      </c>
      <c r="AE35">
        <v>560.95384615379999</v>
      </c>
      <c r="AF35">
        <v>356</v>
      </c>
      <c r="AG35">
        <v>180.82535211269999</v>
      </c>
      <c r="AH35">
        <v>22</v>
      </c>
      <c r="AI35">
        <v>580.72727272730003</v>
      </c>
      <c r="AL35" t="s">
        <v>387</v>
      </c>
      <c r="AM35">
        <v>168</v>
      </c>
      <c r="AN35">
        <v>137</v>
      </c>
      <c r="AO35">
        <v>291.13138686129997</v>
      </c>
      <c r="AP35">
        <v>33</v>
      </c>
      <c r="AQ35">
        <v>406.78787878790001</v>
      </c>
      <c r="AR35">
        <v>26</v>
      </c>
      <c r="AS35">
        <v>210.61538461539999</v>
      </c>
      <c r="AT35">
        <v>5</v>
      </c>
      <c r="AU35">
        <v>328.6</v>
      </c>
    </row>
    <row r="36" spans="6:49" x14ac:dyDescent="0.2">
      <c r="F36" t="s">
        <v>60</v>
      </c>
      <c r="G36">
        <v>10312</v>
      </c>
      <c r="H36">
        <v>5250</v>
      </c>
      <c r="I36">
        <v>273.28144054879999</v>
      </c>
      <c r="J36">
        <v>626</v>
      </c>
      <c r="K36">
        <v>611.93290734820005</v>
      </c>
      <c r="L36">
        <v>3755</v>
      </c>
      <c r="M36">
        <v>782.63941411450003</v>
      </c>
      <c r="N36">
        <v>1282</v>
      </c>
      <c r="O36">
        <v>504.46916471510002</v>
      </c>
      <c r="R36">
        <v>25</v>
      </c>
      <c r="S36">
        <v>556.32000000000005</v>
      </c>
      <c r="V36" t="s">
        <v>384</v>
      </c>
      <c r="W36">
        <v>89552</v>
      </c>
      <c r="X36">
        <v>66647</v>
      </c>
      <c r="Y36">
        <v>434.8799933972</v>
      </c>
      <c r="Z36">
        <v>4380</v>
      </c>
      <c r="AA36">
        <v>701.98675799089995</v>
      </c>
      <c r="AB36">
        <v>12097</v>
      </c>
      <c r="AC36">
        <v>606.88765809699998</v>
      </c>
      <c r="AD36">
        <v>7626</v>
      </c>
      <c r="AE36">
        <v>510.58355194120003</v>
      </c>
      <c r="AF36">
        <v>3085</v>
      </c>
      <c r="AG36">
        <v>180.91274732400001</v>
      </c>
      <c r="AH36">
        <v>97</v>
      </c>
      <c r="AI36">
        <v>530.69072164950001</v>
      </c>
      <c r="AL36" t="s">
        <v>384</v>
      </c>
      <c r="AM36">
        <v>1937</v>
      </c>
      <c r="AN36">
        <v>1523</v>
      </c>
      <c r="AO36">
        <v>335.92514773469998</v>
      </c>
      <c r="AP36">
        <v>311</v>
      </c>
      <c r="AQ36">
        <v>555.47909967850001</v>
      </c>
      <c r="AR36">
        <v>347</v>
      </c>
      <c r="AS36">
        <v>276.76080691639999</v>
      </c>
      <c r="AT36">
        <v>64</v>
      </c>
      <c r="AU36">
        <v>224.125</v>
      </c>
      <c r="AV36">
        <v>3</v>
      </c>
      <c r="AW36">
        <v>283.3333333333</v>
      </c>
    </row>
    <row r="37" spans="6:49" x14ac:dyDescent="0.2">
      <c r="F37" t="s">
        <v>80</v>
      </c>
      <c r="G37">
        <v>30327</v>
      </c>
      <c r="H37">
        <v>27277</v>
      </c>
      <c r="I37">
        <v>455.75072410630003</v>
      </c>
      <c r="J37">
        <v>1208</v>
      </c>
      <c r="K37">
        <v>715.64238410600001</v>
      </c>
      <c r="L37">
        <v>983</v>
      </c>
      <c r="M37">
        <v>262.8504577823</v>
      </c>
      <c r="N37">
        <v>2063</v>
      </c>
      <c r="O37">
        <v>319.16529326220001</v>
      </c>
      <c r="R37">
        <v>4</v>
      </c>
      <c r="S37">
        <v>255.75</v>
      </c>
      <c r="V37" t="s">
        <v>410</v>
      </c>
      <c r="W37">
        <v>534</v>
      </c>
      <c r="X37">
        <v>275</v>
      </c>
      <c r="Y37">
        <v>129.42909090910001</v>
      </c>
      <c r="Z37">
        <v>242</v>
      </c>
      <c r="AA37">
        <v>208.3760330579</v>
      </c>
      <c r="AB37">
        <v>101</v>
      </c>
      <c r="AC37">
        <v>176.801980198</v>
      </c>
      <c r="AD37">
        <v>100</v>
      </c>
      <c r="AE37">
        <v>218.82</v>
      </c>
      <c r="AF37">
        <v>54</v>
      </c>
      <c r="AG37">
        <v>159.75925925929999</v>
      </c>
      <c r="AH37">
        <v>4</v>
      </c>
      <c r="AI37">
        <v>351.5</v>
      </c>
      <c r="AL37" t="s">
        <v>410</v>
      </c>
      <c r="AM37">
        <v>24</v>
      </c>
      <c r="AN37">
        <v>17</v>
      </c>
      <c r="AO37">
        <v>112.5882352941</v>
      </c>
      <c r="AP37">
        <v>12</v>
      </c>
      <c r="AQ37">
        <v>241.75</v>
      </c>
      <c r="AR37">
        <v>6</v>
      </c>
      <c r="AS37">
        <v>252.3333333333</v>
      </c>
      <c r="AT37">
        <v>1</v>
      </c>
      <c r="AU37">
        <v>40</v>
      </c>
    </row>
    <row r="38" spans="6:49" x14ac:dyDescent="0.2">
      <c r="F38" t="s">
        <v>384</v>
      </c>
      <c r="G38">
        <v>88266</v>
      </c>
      <c r="H38">
        <v>68208</v>
      </c>
      <c r="I38">
        <v>435.50587993779999</v>
      </c>
      <c r="J38">
        <v>4429</v>
      </c>
      <c r="K38">
        <v>696.09144276359996</v>
      </c>
      <c r="L38">
        <v>12213</v>
      </c>
      <c r="M38">
        <v>600.76762466219998</v>
      </c>
      <c r="N38">
        <v>7752</v>
      </c>
      <c r="O38">
        <v>513.5</v>
      </c>
      <c r="R38">
        <v>93</v>
      </c>
      <c r="S38">
        <v>527.24731182799997</v>
      </c>
      <c r="V38" t="s">
        <v>414</v>
      </c>
      <c r="W38">
        <v>41033</v>
      </c>
      <c r="X38">
        <v>29139</v>
      </c>
      <c r="Y38">
        <v>458.61982223140001</v>
      </c>
      <c r="Z38">
        <v>2203</v>
      </c>
      <c r="AA38">
        <v>715.08397639580005</v>
      </c>
      <c r="AB38">
        <v>8414</v>
      </c>
      <c r="AC38">
        <v>737.65295935350002</v>
      </c>
      <c r="AD38">
        <v>2293</v>
      </c>
      <c r="AE38">
        <v>551.45482322129999</v>
      </c>
      <c r="AF38">
        <v>1118</v>
      </c>
      <c r="AG38">
        <v>187.68604651160001</v>
      </c>
      <c r="AH38">
        <v>69</v>
      </c>
      <c r="AI38">
        <v>516.40579710140003</v>
      </c>
      <c r="AL38" t="s">
        <v>414</v>
      </c>
      <c r="AM38">
        <v>670</v>
      </c>
      <c r="AN38">
        <v>476</v>
      </c>
      <c r="AO38">
        <v>381.89915966389998</v>
      </c>
      <c r="AP38">
        <v>209</v>
      </c>
      <c r="AQ38">
        <v>564.44497607660003</v>
      </c>
      <c r="AR38">
        <v>173</v>
      </c>
      <c r="AS38">
        <v>363.47976878610001</v>
      </c>
      <c r="AT38">
        <v>21</v>
      </c>
      <c r="AU38">
        <v>420</v>
      </c>
    </row>
    <row r="39" spans="6:49" x14ac:dyDescent="0.2">
      <c r="F39" t="s">
        <v>82</v>
      </c>
      <c r="G39">
        <v>19353</v>
      </c>
      <c r="H39">
        <v>14485</v>
      </c>
      <c r="I39">
        <v>411.7953054884</v>
      </c>
      <c r="J39">
        <v>979</v>
      </c>
      <c r="K39">
        <v>702.87742594480005</v>
      </c>
      <c r="L39">
        <v>3803</v>
      </c>
      <c r="M39">
        <v>787.72363923219996</v>
      </c>
      <c r="N39">
        <v>1022</v>
      </c>
      <c r="O39">
        <v>503.01565557729998</v>
      </c>
      <c r="R39">
        <v>43</v>
      </c>
      <c r="S39">
        <v>557.11627906980004</v>
      </c>
      <c r="V39" t="s">
        <v>422</v>
      </c>
      <c r="W39">
        <v>425</v>
      </c>
      <c r="X39">
        <v>208</v>
      </c>
      <c r="Y39">
        <v>171.0336538462</v>
      </c>
      <c r="Z39">
        <v>88</v>
      </c>
      <c r="AA39">
        <v>256.36363636359999</v>
      </c>
      <c r="AB39">
        <v>132</v>
      </c>
      <c r="AC39">
        <v>304.92424242419997</v>
      </c>
      <c r="AD39">
        <v>63</v>
      </c>
      <c r="AE39">
        <v>418.06349206350001</v>
      </c>
      <c r="AF39">
        <v>20</v>
      </c>
      <c r="AG39">
        <v>317.55</v>
      </c>
      <c r="AH39">
        <v>2</v>
      </c>
      <c r="AI39">
        <v>527.5</v>
      </c>
      <c r="AL39" t="s">
        <v>422</v>
      </c>
      <c r="AM39">
        <v>6</v>
      </c>
      <c r="AN39">
        <v>5</v>
      </c>
      <c r="AO39">
        <v>230</v>
      </c>
      <c r="AP39">
        <v>4</v>
      </c>
      <c r="AQ39">
        <v>178.5</v>
      </c>
      <c r="AR39">
        <v>1</v>
      </c>
      <c r="AS39">
        <v>145</v>
      </c>
    </row>
    <row r="40" spans="6:49" x14ac:dyDescent="0.2">
      <c r="F40" t="s">
        <v>43</v>
      </c>
      <c r="G40">
        <v>6322</v>
      </c>
      <c r="H40">
        <v>3566</v>
      </c>
      <c r="I40">
        <v>260.10656197420002</v>
      </c>
      <c r="J40">
        <v>177</v>
      </c>
      <c r="K40">
        <v>540.91525423730002</v>
      </c>
      <c r="L40">
        <v>2385</v>
      </c>
      <c r="M40">
        <v>725.78113207549995</v>
      </c>
      <c r="N40">
        <v>363</v>
      </c>
      <c r="O40">
        <v>415.00550964190001</v>
      </c>
      <c r="R40">
        <v>8</v>
      </c>
      <c r="S40">
        <v>294.875</v>
      </c>
      <c r="V40" t="s">
        <v>425</v>
      </c>
      <c r="W40">
        <v>334</v>
      </c>
      <c r="X40">
        <v>238</v>
      </c>
      <c r="Y40">
        <v>279.99579831929998</v>
      </c>
      <c r="Z40">
        <v>41</v>
      </c>
      <c r="AA40">
        <v>542.07317073169997</v>
      </c>
      <c r="AB40">
        <v>43</v>
      </c>
      <c r="AC40">
        <v>464.18604651160001</v>
      </c>
      <c r="AD40">
        <v>29</v>
      </c>
      <c r="AE40">
        <v>350.62068965520001</v>
      </c>
      <c r="AF40">
        <v>23</v>
      </c>
      <c r="AG40">
        <v>217.08695652169999</v>
      </c>
      <c r="AH40">
        <v>1</v>
      </c>
      <c r="AI40">
        <v>435</v>
      </c>
      <c r="AL40" t="s">
        <v>425</v>
      </c>
      <c r="AM40">
        <v>7</v>
      </c>
      <c r="AN40">
        <v>2</v>
      </c>
      <c r="AO40">
        <v>495.5</v>
      </c>
      <c r="AR40">
        <v>5</v>
      </c>
      <c r="AS40">
        <v>124.2</v>
      </c>
    </row>
    <row r="41" spans="6:49" x14ac:dyDescent="0.2">
      <c r="F41" t="s">
        <v>49</v>
      </c>
      <c r="G41">
        <v>20379</v>
      </c>
      <c r="H41">
        <v>14472</v>
      </c>
      <c r="I41">
        <v>515.95550027640002</v>
      </c>
      <c r="J41">
        <v>1244</v>
      </c>
      <c r="K41">
        <v>742.58922829580001</v>
      </c>
      <c r="L41">
        <v>4650</v>
      </c>
      <c r="M41">
        <v>702.27182795700003</v>
      </c>
      <c r="N41">
        <v>1234</v>
      </c>
      <c r="O41">
        <v>605.25324675319996</v>
      </c>
      <c r="R41">
        <v>23</v>
      </c>
      <c r="S41">
        <v>439.04347826089997</v>
      </c>
      <c r="V41" t="s">
        <v>415</v>
      </c>
      <c r="W41">
        <v>5350</v>
      </c>
      <c r="X41">
        <v>4116</v>
      </c>
      <c r="Y41">
        <v>488.24757045680002</v>
      </c>
      <c r="Z41">
        <v>218</v>
      </c>
      <c r="AA41">
        <v>814.75688073389995</v>
      </c>
      <c r="AB41">
        <v>571</v>
      </c>
      <c r="AC41">
        <v>277.74430823120002</v>
      </c>
      <c r="AD41">
        <v>463</v>
      </c>
      <c r="AE41">
        <v>589.93520518360003</v>
      </c>
      <c r="AF41">
        <v>197</v>
      </c>
      <c r="AG41">
        <v>203.54314720810001</v>
      </c>
      <c r="AH41">
        <v>3</v>
      </c>
      <c r="AI41">
        <v>219</v>
      </c>
      <c r="AL41" t="s">
        <v>415</v>
      </c>
      <c r="AM41">
        <v>181</v>
      </c>
      <c r="AN41">
        <v>144</v>
      </c>
      <c r="AO41">
        <v>389.49305555559999</v>
      </c>
      <c r="AP41">
        <v>15</v>
      </c>
      <c r="AQ41">
        <v>835.06666666670003</v>
      </c>
      <c r="AR41">
        <v>33</v>
      </c>
      <c r="AS41">
        <v>324.60606060610002</v>
      </c>
      <c r="AT41">
        <v>4</v>
      </c>
      <c r="AU41">
        <v>529</v>
      </c>
    </row>
    <row r="42" spans="6:49" x14ac:dyDescent="0.2">
      <c r="F42" t="s">
        <v>52</v>
      </c>
      <c r="G42">
        <v>4691</v>
      </c>
      <c r="H42">
        <v>3105</v>
      </c>
      <c r="I42">
        <v>310.67504025760002</v>
      </c>
      <c r="J42">
        <v>288</v>
      </c>
      <c r="K42">
        <v>557.4375</v>
      </c>
      <c r="L42">
        <v>1037</v>
      </c>
      <c r="M42">
        <v>395.21600771459998</v>
      </c>
      <c r="N42">
        <v>539</v>
      </c>
      <c r="O42">
        <v>592.90352504639998</v>
      </c>
      <c r="R42">
        <v>10</v>
      </c>
      <c r="S42">
        <v>542.9</v>
      </c>
      <c r="V42" t="s">
        <v>407</v>
      </c>
      <c r="W42">
        <v>6441</v>
      </c>
      <c r="X42">
        <v>3554</v>
      </c>
      <c r="Y42">
        <v>268.30697805289998</v>
      </c>
      <c r="Z42">
        <v>177</v>
      </c>
      <c r="AA42">
        <v>546.12429378529998</v>
      </c>
      <c r="AB42">
        <v>2274</v>
      </c>
      <c r="AC42">
        <v>715.84256816180005</v>
      </c>
      <c r="AD42">
        <v>366</v>
      </c>
      <c r="AE42">
        <v>429.64207650269998</v>
      </c>
      <c r="AF42">
        <v>239</v>
      </c>
      <c r="AG42">
        <v>196.9414225941</v>
      </c>
      <c r="AH42">
        <v>8</v>
      </c>
      <c r="AI42">
        <v>294.875</v>
      </c>
      <c r="AL42" t="s">
        <v>407</v>
      </c>
      <c r="AM42">
        <v>99</v>
      </c>
      <c r="AN42">
        <v>58</v>
      </c>
      <c r="AO42">
        <v>254.81034482760001</v>
      </c>
      <c r="AP42">
        <v>26</v>
      </c>
      <c r="AQ42">
        <v>268</v>
      </c>
      <c r="AR42">
        <v>39</v>
      </c>
      <c r="AS42">
        <v>593.02564102559995</v>
      </c>
      <c r="AT42">
        <v>2</v>
      </c>
      <c r="AU42">
        <v>213</v>
      </c>
    </row>
    <row r="43" spans="6:49" x14ac:dyDescent="0.2">
      <c r="F43" t="s">
        <v>39</v>
      </c>
      <c r="G43">
        <v>288</v>
      </c>
      <c r="H43">
        <v>225</v>
      </c>
      <c r="I43">
        <v>279.91555555560001</v>
      </c>
      <c r="J43">
        <v>48</v>
      </c>
      <c r="K43">
        <v>557.91666666670005</v>
      </c>
      <c r="L43">
        <v>32</v>
      </c>
      <c r="M43">
        <v>375.9375</v>
      </c>
      <c r="N43">
        <v>30</v>
      </c>
      <c r="O43">
        <v>333.56666666669997</v>
      </c>
      <c r="R43">
        <v>1</v>
      </c>
      <c r="S43">
        <v>435</v>
      </c>
      <c r="V43" t="s">
        <v>416</v>
      </c>
      <c r="W43">
        <v>4844</v>
      </c>
      <c r="X43">
        <v>2926</v>
      </c>
      <c r="Y43">
        <v>197.81613123720001</v>
      </c>
      <c r="Z43">
        <v>355</v>
      </c>
      <c r="AA43">
        <v>349.70704225349999</v>
      </c>
      <c r="AB43">
        <v>1067</v>
      </c>
      <c r="AC43">
        <v>240.08153701969999</v>
      </c>
      <c r="AD43">
        <v>557</v>
      </c>
      <c r="AE43">
        <v>332.19210053860002</v>
      </c>
      <c r="AF43">
        <v>288</v>
      </c>
      <c r="AG43">
        <v>181.1666666667</v>
      </c>
      <c r="AH43">
        <v>6</v>
      </c>
      <c r="AI43">
        <v>245.6666666667</v>
      </c>
      <c r="AL43" t="s">
        <v>416</v>
      </c>
      <c r="AM43">
        <v>110</v>
      </c>
      <c r="AN43">
        <v>79</v>
      </c>
      <c r="AO43">
        <v>169.59493670890001</v>
      </c>
      <c r="AP43">
        <v>40</v>
      </c>
      <c r="AQ43">
        <v>242.22499999999999</v>
      </c>
      <c r="AR43">
        <v>25</v>
      </c>
      <c r="AS43">
        <v>144.91999999999999</v>
      </c>
      <c r="AT43">
        <v>5</v>
      </c>
      <c r="AU43">
        <v>322.60000000000002</v>
      </c>
      <c r="AV43">
        <v>1</v>
      </c>
      <c r="AW43">
        <v>171</v>
      </c>
    </row>
    <row r="44" spans="6:49" x14ac:dyDescent="0.2">
      <c r="F44" t="s">
        <v>27</v>
      </c>
      <c r="G44">
        <v>4525</v>
      </c>
      <c r="H44">
        <v>2880</v>
      </c>
      <c r="I44">
        <v>188.0607638889</v>
      </c>
      <c r="J44">
        <v>354</v>
      </c>
      <c r="K44">
        <v>340.43502824860002</v>
      </c>
      <c r="L44">
        <v>1063</v>
      </c>
      <c r="M44">
        <v>233.34713076200001</v>
      </c>
      <c r="N44">
        <v>576</v>
      </c>
      <c r="O44">
        <v>322.9184027778</v>
      </c>
      <c r="R44">
        <v>6</v>
      </c>
      <c r="S44">
        <v>245.6666666667</v>
      </c>
      <c r="V44" t="s">
        <v>391</v>
      </c>
      <c r="W44">
        <v>5902</v>
      </c>
      <c r="X44">
        <v>4770</v>
      </c>
      <c r="Y44">
        <v>440.85157232699999</v>
      </c>
      <c r="Z44">
        <v>471</v>
      </c>
      <c r="AA44">
        <v>658.44798301490005</v>
      </c>
      <c r="AB44">
        <v>540</v>
      </c>
      <c r="AC44">
        <v>428.30925925930001</v>
      </c>
      <c r="AD44">
        <v>397</v>
      </c>
      <c r="AE44">
        <v>445.77581863979998</v>
      </c>
      <c r="AF44">
        <v>181</v>
      </c>
      <c r="AG44">
        <v>191.69060773480001</v>
      </c>
      <c r="AH44">
        <v>14</v>
      </c>
      <c r="AI44">
        <v>411.42857142859998</v>
      </c>
      <c r="AL44" t="s">
        <v>391</v>
      </c>
      <c r="AM44">
        <v>199</v>
      </c>
      <c r="AN44">
        <v>157</v>
      </c>
      <c r="AO44">
        <v>397.22929936309998</v>
      </c>
      <c r="AP44">
        <v>6</v>
      </c>
      <c r="AQ44">
        <v>642.83333333329995</v>
      </c>
      <c r="AR44">
        <v>41</v>
      </c>
      <c r="AS44">
        <v>252.19512195120001</v>
      </c>
      <c r="AT44">
        <v>1</v>
      </c>
      <c r="AU44">
        <v>145</v>
      </c>
    </row>
    <row r="45" spans="6:49" x14ac:dyDescent="0.2">
      <c r="F45" t="s">
        <v>54</v>
      </c>
      <c r="G45">
        <v>5304</v>
      </c>
      <c r="H45">
        <v>4253</v>
      </c>
      <c r="I45">
        <v>489.96167411239998</v>
      </c>
      <c r="J45">
        <v>223</v>
      </c>
      <c r="K45">
        <v>824.17937219730004</v>
      </c>
      <c r="L45">
        <v>570</v>
      </c>
      <c r="M45">
        <v>266.0877192982</v>
      </c>
      <c r="N45">
        <v>477</v>
      </c>
      <c r="O45">
        <v>606.97693920339998</v>
      </c>
      <c r="R45">
        <v>4</v>
      </c>
      <c r="S45">
        <v>275.75</v>
      </c>
      <c r="V45" t="s">
        <v>393</v>
      </c>
      <c r="W45">
        <v>4909</v>
      </c>
      <c r="X45">
        <v>3160</v>
      </c>
      <c r="Y45">
        <v>320.2547468354</v>
      </c>
      <c r="Z45">
        <v>301</v>
      </c>
      <c r="AA45">
        <v>563.54817275749997</v>
      </c>
      <c r="AB45">
        <v>1047</v>
      </c>
      <c r="AC45">
        <v>406.5109837631</v>
      </c>
      <c r="AD45">
        <v>538</v>
      </c>
      <c r="AE45">
        <v>602.31784386619995</v>
      </c>
      <c r="AF45">
        <v>154</v>
      </c>
      <c r="AG45">
        <v>242.57142857139999</v>
      </c>
      <c r="AH45">
        <v>10</v>
      </c>
      <c r="AI45">
        <v>542.9</v>
      </c>
      <c r="AL45" t="s">
        <v>393</v>
      </c>
      <c r="AM45">
        <v>171</v>
      </c>
      <c r="AN45">
        <v>124</v>
      </c>
      <c r="AO45">
        <v>333.04838709680001</v>
      </c>
      <c r="AP45">
        <v>5</v>
      </c>
      <c r="AQ45">
        <v>401</v>
      </c>
      <c r="AR45">
        <v>45</v>
      </c>
      <c r="AS45">
        <v>398.24444444440002</v>
      </c>
      <c r="AT45">
        <v>2</v>
      </c>
      <c r="AU45">
        <v>422.5</v>
      </c>
    </row>
    <row r="46" spans="6:49" x14ac:dyDescent="0.2">
      <c r="F46" t="s">
        <v>62</v>
      </c>
      <c r="G46">
        <v>5743</v>
      </c>
      <c r="H46">
        <v>4789</v>
      </c>
      <c r="I46">
        <v>442.80288160369997</v>
      </c>
      <c r="J46">
        <v>475</v>
      </c>
      <c r="K46">
        <v>659.69473684210004</v>
      </c>
      <c r="L46">
        <v>538</v>
      </c>
      <c r="M46">
        <v>399.1784386617</v>
      </c>
      <c r="N46">
        <v>402</v>
      </c>
      <c r="O46">
        <v>455.39552238810001</v>
      </c>
      <c r="R46">
        <v>14</v>
      </c>
      <c r="S46">
        <v>411.42857142859998</v>
      </c>
      <c r="V46" t="s">
        <v>389</v>
      </c>
      <c r="W46">
        <v>69772</v>
      </c>
      <c r="X46">
        <v>48386</v>
      </c>
      <c r="Y46">
        <v>416.61631463650002</v>
      </c>
      <c r="Z46">
        <v>4096</v>
      </c>
      <c r="AA46">
        <v>622.24755859380002</v>
      </c>
      <c r="AB46">
        <v>14189</v>
      </c>
      <c r="AC46">
        <v>633.17837761650003</v>
      </c>
      <c r="AD46">
        <v>4806</v>
      </c>
      <c r="AE46">
        <v>507.53767693589998</v>
      </c>
      <c r="AF46">
        <v>2274</v>
      </c>
      <c r="AG46">
        <v>194.01890941069999</v>
      </c>
      <c r="AH46">
        <v>117</v>
      </c>
      <c r="AI46">
        <v>463.30769230769999</v>
      </c>
      <c r="AL46" t="s">
        <v>389</v>
      </c>
      <c r="AM46">
        <v>1467</v>
      </c>
      <c r="AN46">
        <v>1062</v>
      </c>
      <c r="AO46">
        <v>351.94538606399999</v>
      </c>
      <c r="AP46">
        <v>317</v>
      </c>
      <c r="AQ46">
        <v>494.09779179809999</v>
      </c>
      <c r="AR46">
        <v>368</v>
      </c>
      <c r="AS46">
        <v>355.66847826089997</v>
      </c>
      <c r="AT46">
        <v>36</v>
      </c>
      <c r="AU46">
        <v>389.0277777778</v>
      </c>
      <c r="AV46">
        <v>1</v>
      </c>
      <c r="AW46">
        <v>171</v>
      </c>
    </row>
    <row r="47" spans="6:49" x14ac:dyDescent="0.2">
      <c r="F47" t="s">
        <v>184</v>
      </c>
      <c r="G47">
        <v>349</v>
      </c>
      <c r="H47">
        <v>166</v>
      </c>
      <c r="I47">
        <v>99.933734939800004</v>
      </c>
      <c r="J47">
        <v>83</v>
      </c>
      <c r="K47">
        <v>247.53012048190001</v>
      </c>
      <c r="L47">
        <v>119</v>
      </c>
      <c r="M47">
        <v>283.9411764706</v>
      </c>
      <c r="N47">
        <v>62</v>
      </c>
      <c r="O47">
        <v>411.67741935480001</v>
      </c>
      <c r="R47">
        <v>2</v>
      </c>
      <c r="S47">
        <v>527.5</v>
      </c>
      <c r="V47" t="s">
        <v>420</v>
      </c>
      <c r="W47">
        <v>455</v>
      </c>
      <c r="X47">
        <v>310</v>
      </c>
      <c r="Y47">
        <v>256.95483870970003</v>
      </c>
      <c r="Z47">
        <v>38</v>
      </c>
      <c r="AA47">
        <v>393.13157894739999</v>
      </c>
      <c r="AB47">
        <v>48</v>
      </c>
      <c r="AC47">
        <v>377.3333333333</v>
      </c>
      <c r="AD47">
        <v>73</v>
      </c>
      <c r="AE47">
        <v>285.79452054789999</v>
      </c>
      <c r="AF47">
        <v>22</v>
      </c>
      <c r="AG47">
        <v>197</v>
      </c>
      <c r="AH47">
        <v>2</v>
      </c>
      <c r="AI47">
        <v>214</v>
      </c>
      <c r="AL47" t="s">
        <v>420</v>
      </c>
      <c r="AM47">
        <v>25</v>
      </c>
      <c r="AN47">
        <v>24</v>
      </c>
      <c r="AO47">
        <v>176.4166666667</v>
      </c>
      <c r="AP47">
        <v>3</v>
      </c>
      <c r="AQ47">
        <v>433.3333333333</v>
      </c>
      <c r="AR47">
        <v>1</v>
      </c>
      <c r="AS47">
        <v>131</v>
      </c>
    </row>
    <row r="48" spans="6:49" x14ac:dyDescent="0.2">
      <c r="F48" t="s">
        <v>73</v>
      </c>
      <c r="G48">
        <v>892</v>
      </c>
      <c r="H48">
        <v>684</v>
      </c>
      <c r="I48">
        <v>174.5380116959</v>
      </c>
      <c r="J48">
        <v>253</v>
      </c>
      <c r="K48">
        <v>199.3675889328</v>
      </c>
      <c r="L48">
        <v>95</v>
      </c>
      <c r="M48">
        <v>119.35789473680001</v>
      </c>
      <c r="N48">
        <v>110</v>
      </c>
      <c r="O48">
        <v>194.34545454549999</v>
      </c>
      <c r="R48">
        <v>3</v>
      </c>
      <c r="S48">
        <v>212.6666666667</v>
      </c>
      <c r="V48" t="s">
        <v>421</v>
      </c>
      <c r="W48">
        <v>124</v>
      </c>
      <c r="X48">
        <v>85</v>
      </c>
      <c r="Y48">
        <v>160.1647058824</v>
      </c>
      <c r="Z48">
        <v>41</v>
      </c>
      <c r="AA48">
        <v>285.0487804878</v>
      </c>
      <c r="AB48">
        <v>6</v>
      </c>
      <c r="AC48">
        <v>161.5</v>
      </c>
      <c r="AD48">
        <v>20</v>
      </c>
      <c r="AE48">
        <v>348.8</v>
      </c>
      <c r="AF48">
        <v>12</v>
      </c>
      <c r="AG48">
        <v>149.3333333333</v>
      </c>
      <c r="AH48">
        <v>1</v>
      </c>
      <c r="AI48">
        <v>157</v>
      </c>
      <c r="AL48" t="s">
        <v>421</v>
      </c>
      <c r="AM48">
        <v>10</v>
      </c>
      <c r="AN48">
        <v>9</v>
      </c>
      <c r="AO48">
        <v>165.8888888889</v>
      </c>
      <c r="AP48">
        <v>2</v>
      </c>
      <c r="AQ48">
        <v>349.5</v>
      </c>
      <c r="AT48">
        <v>1</v>
      </c>
      <c r="AU48">
        <v>597</v>
      </c>
    </row>
    <row r="49" spans="6:49" x14ac:dyDescent="0.2">
      <c r="F49" t="s">
        <v>389</v>
      </c>
      <c r="G49">
        <v>67846</v>
      </c>
      <c r="H49">
        <v>48625</v>
      </c>
      <c r="I49">
        <v>416.84129562980002</v>
      </c>
      <c r="J49">
        <v>4124</v>
      </c>
      <c r="K49">
        <v>626.48108632399999</v>
      </c>
      <c r="L49">
        <v>14292</v>
      </c>
      <c r="M49">
        <v>634.8823117828</v>
      </c>
      <c r="N49">
        <v>4815</v>
      </c>
      <c r="O49">
        <v>508.09952212759998</v>
      </c>
      <c r="R49">
        <v>114</v>
      </c>
      <c r="S49">
        <v>458.8333333333</v>
      </c>
      <c r="V49" t="s">
        <v>427</v>
      </c>
      <c r="W49">
        <v>614</v>
      </c>
      <c r="X49">
        <v>371</v>
      </c>
      <c r="Y49">
        <v>362.3827493261</v>
      </c>
      <c r="Z49">
        <v>48</v>
      </c>
      <c r="AA49">
        <v>508.5833333333</v>
      </c>
      <c r="AB49">
        <v>142</v>
      </c>
      <c r="AC49">
        <v>445.76760563379997</v>
      </c>
      <c r="AD49">
        <v>72</v>
      </c>
      <c r="AE49">
        <v>605.7777777778</v>
      </c>
      <c r="AF49">
        <v>29</v>
      </c>
      <c r="AG49">
        <v>162.4827586207</v>
      </c>
      <c r="AL49" t="s">
        <v>427</v>
      </c>
      <c r="AM49">
        <v>17</v>
      </c>
      <c r="AN49">
        <v>14</v>
      </c>
      <c r="AO49">
        <v>280.78571428570001</v>
      </c>
      <c r="AP49">
        <v>1</v>
      </c>
      <c r="AQ49">
        <v>442</v>
      </c>
      <c r="AR49">
        <v>2</v>
      </c>
      <c r="AS49">
        <v>206</v>
      </c>
      <c r="AV49">
        <v>1</v>
      </c>
      <c r="AW49">
        <v>456</v>
      </c>
    </row>
    <row r="50" spans="6:49" x14ac:dyDescent="0.2">
      <c r="F50" t="s">
        <v>215</v>
      </c>
      <c r="G50">
        <v>1896</v>
      </c>
      <c r="H50">
        <v>1345</v>
      </c>
      <c r="I50">
        <v>294.21115241640001</v>
      </c>
      <c r="J50">
        <v>642</v>
      </c>
      <c r="K50">
        <v>408.86760124609998</v>
      </c>
      <c r="L50">
        <v>479</v>
      </c>
      <c r="M50">
        <v>298.42797494780001</v>
      </c>
      <c r="N50">
        <v>72</v>
      </c>
      <c r="O50">
        <v>238.2638888889</v>
      </c>
      <c r="V50" t="s">
        <v>380</v>
      </c>
      <c r="W50">
        <v>5617</v>
      </c>
      <c r="X50">
        <v>4422</v>
      </c>
      <c r="Y50">
        <v>547.95658073269999</v>
      </c>
      <c r="Z50">
        <v>291</v>
      </c>
      <c r="AA50">
        <v>886.88316151200002</v>
      </c>
      <c r="AB50">
        <v>832</v>
      </c>
      <c r="AC50">
        <v>829.88701923079998</v>
      </c>
      <c r="AD50">
        <v>275</v>
      </c>
      <c r="AE50">
        <v>638.01454545449997</v>
      </c>
      <c r="AF50">
        <v>85</v>
      </c>
      <c r="AG50">
        <v>134.8117647059</v>
      </c>
      <c r="AH50">
        <v>3</v>
      </c>
      <c r="AI50">
        <v>694</v>
      </c>
      <c r="AL50" t="s">
        <v>380</v>
      </c>
      <c r="AM50">
        <v>93</v>
      </c>
      <c r="AN50">
        <v>77</v>
      </c>
      <c r="AO50">
        <v>243.45454545449999</v>
      </c>
      <c r="AP50">
        <v>9</v>
      </c>
      <c r="AQ50">
        <v>404.1111111111</v>
      </c>
      <c r="AR50">
        <v>14</v>
      </c>
      <c r="AS50">
        <v>235.92857142860001</v>
      </c>
      <c r="AT50">
        <v>2</v>
      </c>
      <c r="AU50">
        <v>498</v>
      </c>
    </row>
    <row r="51" spans="6:49" x14ac:dyDescent="0.2">
      <c r="F51" t="s">
        <v>212</v>
      </c>
      <c r="G51">
        <v>2698</v>
      </c>
      <c r="H51">
        <v>2096</v>
      </c>
      <c r="I51">
        <v>406.93511450379998</v>
      </c>
      <c r="J51">
        <v>150</v>
      </c>
      <c r="K51">
        <v>742.8466666667</v>
      </c>
      <c r="L51">
        <v>546</v>
      </c>
      <c r="M51">
        <v>364.9578754579</v>
      </c>
      <c r="N51">
        <v>56</v>
      </c>
      <c r="O51">
        <v>256.17857142859998</v>
      </c>
      <c r="V51" t="s">
        <v>63</v>
      </c>
      <c r="W51">
        <v>5417</v>
      </c>
      <c r="X51">
        <v>3597</v>
      </c>
      <c r="Y51">
        <v>258.88935223800001</v>
      </c>
      <c r="Z51">
        <v>755</v>
      </c>
      <c r="AA51">
        <v>412.43973509929998</v>
      </c>
      <c r="AB51">
        <v>892</v>
      </c>
      <c r="AC51">
        <v>307.45627802690001</v>
      </c>
      <c r="AD51">
        <v>649</v>
      </c>
      <c r="AE51">
        <v>616.4976887519</v>
      </c>
      <c r="AF51">
        <v>250</v>
      </c>
      <c r="AG51">
        <v>179.99199999999999</v>
      </c>
      <c r="AH51">
        <v>29</v>
      </c>
      <c r="AI51">
        <v>594.82758620690004</v>
      </c>
      <c r="AL51" t="s">
        <v>63</v>
      </c>
      <c r="AM51">
        <v>255</v>
      </c>
      <c r="AN51">
        <v>208</v>
      </c>
      <c r="AO51">
        <v>265.88461538460001</v>
      </c>
      <c r="AP51">
        <v>38</v>
      </c>
      <c r="AQ51">
        <v>379.86842105260001</v>
      </c>
      <c r="AR51">
        <v>40</v>
      </c>
      <c r="AS51">
        <v>257.82499999999999</v>
      </c>
      <c r="AT51">
        <v>7</v>
      </c>
      <c r="AU51">
        <v>153.1428571429</v>
      </c>
    </row>
    <row r="52" spans="6:49" x14ac:dyDescent="0.2">
      <c r="F52" t="s">
        <v>213</v>
      </c>
      <c r="G52">
        <v>2777</v>
      </c>
      <c r="H52">
        <v>2254</v>
      </c>
      <c r="I52">
        <v>284.59582963619999</v>
      </c>
      <c r="J52">
        <v>522</v>
      </c>
      <c r="K52">
        <v>466.9616858238</v>
      </c>
      <c r="L52">
        <v>419</v>
      </c>
      <c r="M52">
        <v>211.44868735079999</v>
      </c>
      <c r="N52">
        <v>104</v>
      </c>
      <c r="O52">
        <v>249.9615384615</v>
      </c>
      <c r="V52" t="s">
        <v>382</v>
      </c>
      <c r="W52">
        <v>15069</v>
      </c>
      <c r="X52">
        <v>10192</v>
      </c>
      <c r="Y52">
        <v>370.94092826999997</v>
      </c>
      <c r="Z52">
        <v>724</v>
      </c>
      <c r="AA52">
        <v>789.74171270720001</v>
      </c>
      <c r="AB52">
        <v>3794</v>
      </c>
      <c r="AC52">
        <v>815.93331576169999</v>
      </c>
      <c r="AD52">
        <v>763</v>
      </c>
      <c r="AE52">
        <v>559.08912188730005</v>
      </c>
      <c r="AF52">
        <v>314</v>
      </c>
      <c r="AG52">
        <v>172.0891719745</v>
      </c>
      <c r="AH52">
        <v>6</v>
      </c>
      <c r="AI52">
        <v>363</v>
      </c>
      <c r="AL52" t="s">
        <v>382</v>
      </c>
      <c r="AM52">
        <v>162</v>
      </c>
      <c r="AN52">
        <v>131</v>
      </c>
      <c r="AO52">
        <v>248.13740458020001</v>
      </c>
      <c r="AP52">
        <v>24</v>
      </c>
      <c r="AQ52">
        <v>404.375</v>
      </c>
      <c r="AR52">
        <v>19</v>
      </c>
      <c r="AS52">
        <v>204.15789473679999</v>
      </c>
      <c r="AT52">
        <v>12</v>
      </c>
      <c r="AU52">
        <v>211.4166666667</v>
      </c>
    </row>
    <row r="53" spans="6:49" x14ac:dyDescent="0.2">
      <c r="F53" t="s">
        <v>466</v>
      </c>
      <c r="G53">
        <v>7371</v>
      </c>
      <c r="H53">
        <v>5695</v>
      </c>
      <c r="I53">
        <v>331.89271290609997</v>
      </c>
      <c r="J53">
        <v>1314</v>
      </c>
      <c r="K53">
        <v>470.07153729070001</v>
      </c>
      <c r="L53">
        <v>1444</v>
      </c>
      <c r="M53">
        <v>298.345567867</v>
      </c>
      <c r="N53">
        <v>232</v>
      </c>
      <c r="O53">
        <v>247.8318965517</v>
      </c>
      <c r="V53" t="s">
        <v>378</v>
      </c>
      <c r="W53">
        <v>4183</v>
      </c>
      <c r="X53">
        <v>2900</v>
      </c>
      <c r="Y53">
        <v>324.84655172409998</v>
      </c>
      <c r="Z53">
        <v>382</v>
      </c>
      <c r="AA53">
        <v>520.40837696339997</v>
      </c>
      <c r="AB53">
        <v>572</v>
      </c>
      <c r="AC53">
        <v>270.64685314690001</v>
      </c>
      <c r="AD53">
        <v>553</v>
      </c>
      <c r="AE53">
        <v>513.26220614830004</v>
      </c>
      <c r="AF53">
        <v>152</v>
      </c>
      <c r="AG53">
        <v>222.13815789469999</v>
      </c>
      <c r="AH53">
        <v>6</v>
      </c>
      <c r="AI53">
        <v>508.5</v>
      </c>
      <c r="AL53" t="s">
        <v>378</v>
      </c>
      <c r="AM53">
        <v>182</v>
      </c>
      <c r="AN53">
        <v>146</v>
      </c>
      <c r="AO53">
        <v>231.11643835620001</v>
      </c>
      <c r="AP53">
        <v>25</v>
      </c>
      <c r="AQ53">
        <v>249.28</v>
      </c>
      <c r="AR53">
        <v>29</v>
      </c>
      <c r="AS53">
        <v>205.4827586207</v>
      </c>
      <c r="AT53">
        <v>6</v>
      </c>
      <c r="AU53">
        <v>343.3333333333</v>
      </c>
      <c r="AV53">
        <v>1</v>
      </c>
      <c r="AW53">
        <v>325</v>
      </c>
    </row>
    <row r="54" spans="6:49" x14ac:dyDescent="0.2">
      <c r="F54" t="s">
        <v>81</v>
      </c>
      <c r="G54">
        <v>421</v>
      </c>
      <c r="H54">
        <v>312</v>
      </c>
      <c r="I54">
        <v>212.56410256410001</v>
      </c>
      <c r="J54">
        <v>41</v>
      </c>
      <c r="K54">
        <v>393.9512195122</v>
      </c>
      <c r="L54">
        <v>39</v>
      </c>
      <c r="M54">
        <v>301.17948717949997</v>
      </c>
      <c r="N54">
        <v>68</v>
      </c>
      <c r="O54">
        <v>270.6176470588</v>
      </c>
      <c r="R54">
        <v>2</v>
      </c>
      <c r="S54">
        <v>214</v>
      </c>
      <c r="V54" t="s">
        <v>377</v>
      </c>
      <c r="W54">
        <v>1111</v>
      </c>
      <c r="X54">
        <v>690</v>
      </c>
      <c r="Y54">
        <v>201.86231884060001</v>
      </c>
      <c r="Z54">
        <v>126</v>
      </c>
      <c r="AA54">
        <v>308.91269841270002</v>
      </c>
      <c r="AB54">
        <v>177</v>
      </c>
      <c r="AC54">
        <v>225.98305084750001</v>
      </c>
      <c r="AD54">
        <v>164</v>
      </c>
      <c r="AE54">
        <v>318.16463414629999</v>
      </c>
      <c r="AF54">
        <v>79</v>
      </c>
      <c r="AG54">
        <v>177.69620253159999</v>
      </c>
      <c r="AH54">
        <v>1</v>
      </c>
      <c r="AI54">
        <v>173</v>
      </c>
      <c r="AL54" t="s">
        <v>377</v>
      </c>
      <c r="AM54">
        <v>51</v>
      </c>
      <c r="AN54">
        <v>45</v>
      </c>
      <c r="AO54">
        <v>261.13333333330002</v>
      </c>
      <c r="AP54">
        <v>10</v>
      </c>
      <c r="AQ54">
        <v>310.5</v>
      </c>
      <c r="AR54">
        <v>6</v>
      </c>
      <c r="AS54">
        <v>150.5</v>
      </c>
    </row>
    <row r="55" spans="6:49" x14ac:dyDescent="0.2">
      <c r="F55" t="s">
        <v>38</v>
      </c>
      <c r="G55">
        <v>3278</v>
      </c>
      <c r="H55">
        <v>2110</v>
      </c>
      <c r="I55">
        <v>453.16785206259999</v>
      </c>
      <c r="J55">
        <v>313</v>
      </c>
      <c r="K55">
        <v>542.36741214059998</v>
      </c>
      <c r="L55">
        <v>830</v>
      </c>
      <c r="M55">
        <v>557.49759036139994</v>
      </c>
      <c r="N55">
        <v>320</v>
      </c>
      <c r="O55">
        <v>640.125</v>
      </c>
      <c r="R55">
        <v>18</v>
      </c>
      <c r="S55">
        <v>264.2777777778</v>
      </c>
      <c r="V55" t="s">
        <v>379</v>
      </c>
      <c r="W55">
        <v>7126</v>
      </c>
      <c r="X55">
        <v>4894</v>
      </c>
      <c r="Y55">
        <v>397.6356763384</v>
      </c>
      <c r="Z55">
        <v>494</v>
      </c>
      <c r="AA55">
        <v>460.58299595139999</v>
      </c>
      <c r="AB55">
        <v>960</v>
      </c>
      <c r="AC55">
        <v>448.06979166669998</v>
      </c>
      <c r="AD55">
        <v>971</v>
      </c>
      <c r="AE55">
        <v>665.49639546859999</v>
      </c>
      <c r="AF55">
        <v>291</v>
      </c>
      <c r="AG55">
        <v>202.7491408935</v>
      </c>
      <c r="AH55">
        <v>10</v>
      </c>
      <c r="AI55">
        <v>651.29999999999995</v>
      </c>
      <c r="AL55" t="s">
        <v>379</v>
      </c>
      <c r="AM55">
        <v>255</v>
      </c>
      <c r="AN55">
        <v>204</v>
      </c>
      <c r="AO55">
        <v>279.0539215686</v>
      </c>
      <c r="AP55">
        <v>38</v>
      </c>
      <c r="AQ55">
        <v>342.15789473680002</v>
      </c>
      <c r="AR55">
        <v>37</v>
      </c>
      <c r="AS55">
        <v>175.16216216219999</v>
      </c>
      <c r="AT55">
        <v>13</v>
      </c>
      <c r="AU55">
        <v>358.07692307690002</v>
      </c>
      <c r="AV55">
        <v>1</v>
      </c>
      <c r="AW55">
        <v>38</v>
      </c>
    </row>
    <row r="56" spans="6:49" x14ac:dyDescent="0.2">
      <c r="F56" t="s">
        <v>64</v>
      </c>
      <c r="G56">
        <v>2645</v>
      </c>
      <c r="H56">
        <v>1987</v>
      </c>
      <c r="I56">
        <v>333.67689984899999</v>
      </c>
      <c r="J56">
        <v>253</v>
      </c>
      <c r="K56">
        <v>631.79841897230006</v>
      </c>
      <c r="L56">
        <v>279</v>
      </c>
      <c r="M56">
        <v>90.724014336899998</v>
      </c>
      <c r="N56">
        <v>376</v>
      </c>
      <c r="O56">
        <v>455.44148936170001</v>
      </c>
      <c r="R56">
        <v>3</v>
      </c>
      <c r="S56">
        <v>635.33333333329995</v>
      </c>
      <c r="V56" t="s">
        <v>376</v>
      </c>
      <c r="W56">
        <v>333</v>
      </c>
      <c r="X56">
        <v>174</v>
      </c>
      <c r="Y56">
        <v>143.632183908</v>
      </c>
      <c r="Z56">
        <v>73</v>
      </c>
      <c r="AA56">
        <v>201.63013698629999</v>
      </c>
      <c r="AB56">
        <v>79</v>
      </c>
      <c r="AC56">
        <v>176.83544303799999</v>
      </c>
      <c r="AD56">
        <v>37</v>
      </c>
      <c r="AE56">
        <v>286.02702702699997</v>
      </c>
      <c r="AF56">
        <v>39</v>
      </c>
      <c r="AG56">
        <v>222.25641025639999</v>
      </c>
      <c r="AH56">
        <v>4</v>
      </c>
      <c r="AI56">
        <v>136.5</v>
      </c>
      <c r="AL56" t="s">
        <v>376</v>
      </c>
      <c r="AM56">
        <v>22</v>
      </c>
      <c r="AN56">
        <v>15</v>
      </c>
      <c r="AO56">
        <v>247.46666666670001</v>
      </c>
      <c r="AP56">
        <v>5</v>
      </c>
      <c r="AQ56">
        <v>350.6</v>
      </c>
      <c r="AR56">
        <v>5</v>
      </c>
      <c r="AS56">
        <v>256.60000000000002</v>
      </c>
      <c r="AT56">
        <v>2</v>
      </c>
      <c r="AU56">
        <v>139</v>
      </c>
    </row>
    <row r="57" spans="6:49" x14ac:dyDescent="0.2">
      <c r="F57" t="s">
        <v>24</v>
      </c>
      <c r="G57">
        <v>1880</v>
      </c>
      <c r="H57">
        <v>1149</v>
      </c>
      <c r="I57">
        <v>194.2306353351</v>
      </c>
      <c r="J57">
        <v>364</v>
      </c>
      <c r="K57">
        <v>288.04395604400003</v>
      </c>
      <c r="L57">
        <v>514</v>
      </c>
      <c r="M57">
        <v>338.14202334629999</v>
      </c>
      <c r="N57">
        <v>204</v>
      </c>
      <c r="O57">
        <v>513.181372549</v>
      </c>
      <c r="R57">
        <v>13</v>
      </c>
      <c r="S57">
        <v>709.30769230769999</v>
      </c>
      <c r="V57" t="s">
        <v>375</v>
      </c>
      <c r="W57">
        <v>3419</v>
      </c>
      <c r="X57">
        <v>2039</v>
      </c>
      <c r="Y57">
        <v>438.26545632969999</v>
      </c>
      <c r="Z57">
        <v>362</v>
      </c>
      <c r="AA57">
        <v>465.43370165750002</v>
      </c>
      <c r="AB57">
        <v>859</v>
      </c>
      <c r="AC57">
        <v>519.02793946450004</v>
      </c>
      <c r="AD57">
        <v>360</v>
      </c>
      <c r="AE57">
        <v>590.25555555560004</v>
      </c>
      <c r="AF57">
        <v>142</v>
      </c>
      <c r="AG57">
        <v>178.12676056340001</v>
      </c>
      <c r="AH57">
        <v>19</v>
      </c>
      <c r="AI57">
        <v>194.31578947369999</v>
      </c>
      <c r="AL57" t="s">
        <v>375</v>
      </c>
      <c r="AM57">
        <v>106</v>
      </c>
      <c r="AN57">
        <v>86</v>
      </c>
      <c r="AO57">
        <v>263.65116279070003</v>
      </c>
      <c r="AP57">
        <v>21</v>
      </c>
      <c r="AQ57">
        <v>504.52380952380003</v>
      </c>
      <c r="AR57">
        <v>17</v>
      </c>
      <c r="AS57">
        <v>271.23529411760001</v>
      </c>
      <c r="AT57">
        <v>3</v>
      </c>
      <c r="AU57">
        <v>290</v>
      </c>
    </row>
    <row r="58" spans="6:49" x14ac:dyDescent="0.2">
      <c r="F58" t="s">
        <v>72</v>
      </c>
      <c r="G58">
        <v>15310</v>
      </c>
      <c r="H58">
        <v>10509</v>
      </c>
      <c r="I58">
        <v>361.61905215069999</v>
      </c>
      <c r="J58">
        <v>734</v>
      </c>
      <c r="K58">
        <v>787.09945504090001</v>
      </c>
      <c r="L58">
        <v>4024</v>
      </c>
      <c r="M58">
        <v>825.80392644139999</v>
      </c>
      <c r="N58">
        <v>771</v>
      </c>
      <c r="O58">
        <v>552.25940337220004</v>
      </c>
      <c r="R58">
        <v>6</v>
      </c>
      <c r="S58">
        <v>363</v>
      </c>
      <c r="V58" t="s">
        <v>419</v>
      </c>
      <c r="W58">
        <v>656</v>
      </c>
      <c r="X58">
        <v>509</v>
      </c>
      <c r="Y58">
        <v>291.11198428289998</v>
      </c>
      <c r="Z58">
        <v>51</v>
      </c>
      <c r="AA58">
        <v>590.27450980389995</v>
      </c>
      <c r="AB58">
        <v>71</v>
      </c>
      <c r="AC58">
        <v>251.2394366197</v>
      </c>
      <c r="AD58">
        <v>43</v>
      </c>
      <c r="AE58">
        <v>319.6976744186</v>
      </c>
      <c r="AF58">
        <v>33</v>
      </c>
      <c r="AG58">
        <v>249.84848484849999</v>
      </c>
      <c r="AL58" t="s">
        <v>419</v>
      </c>
      <c r="AM58">
        <v>13</v>
      </c>
      <c r="AN58">
        <v>11</v>
      </c>
      <c r="AO58">
        <v>348.36363636359999</v>
      </c>
      <c r="AP58">
        <v>3</v>
      </c>
      <c r="AQ58">
        <v>227</v>
      </c>
      <c r="AR58">
        <v>2</v>
      </c>
      <c r="AS58">
        <v>248.5</v>
      </c>
    </row>
    <row r="59" spans="6:49" x14ac:dyDescent="0.2">
      <c r="F59" t="s">
        <v>47</v>
      </c>
      <c r="G59">
        <v>977</v>
      </c>
      <c r="H59">
        <v>660</v>
      </c>
      <c r="I59">
        <v>184.35606060609999</v>
      </c>
      <c r="J59">
        <v>128</v>
      </c>
      <c r="K59">
        <v>298</v>
      </c>
      <c r="L59">
        <v>165</v>
      </c>
      <c r="M59">
        <v>185.43636363639999</v>
      </c>
      <c r="N59">
        <v>151</v>
      </c>
      <c r="O59">
        <v>287.39072847680001</v>
      </c>
      <c r="R59">
        <v>1</v>
      </c>
      <c r="S59">
        <v>173</v>
      </c>
      <c r="V59" t="s">
        <v>383</v>
      </c>
      <c r="W59">
        <v>2311</v>
      </c>
      <c r="X59">
        <v>1479</v>
      </c>
      <c r="Y59">
        <v>376.01757944560001</v>
      </c>
      <c r="Z59">
        <v>247</v>
      </c>
      <c r="AA59">
        <v>418.89473684209997</v>
      </c>
      <c r="AB59">
        <v>159</v>
      </c>
      <c r="AC59">
        <v>280.86792452830002</v>
      </c>
      <c r="AD59">
        <v>530</v>
      </c>
      <c r="AE59">
        <v>486.45660377360002</v>
      </c>
      <c r="AF59">
        <v>137</v>
      </c>
      <c r="AG59">
        <v>166</v>
      </c>
      <c r="AH59">
        <v>6</v>
      </c>
      <c r="AI59">
        <v>666.16666666670005</v>
      </c>
      <c r="AL59" t="s">
        <v>383</v>
      </c>
      <c r="AM59">
        <v>47</v>
      </c>
      <c r="AN59">
        <v>34</v>
      </c>
      <c r="AO59">
        <v>259.79411764709999</v>
      </c>
      <c r="AP59">
        <v>4</v>
      </c>
      <c r="AQ59">
        <v>261</v>
      </c>
      <c r="AR59">
        <v>12</v>
      </c>
      <c r="AS59">
        <v>200.25</v>
      </c>
      <c r="AT59">
        <v>1</v>
      </c>
      <c r="AU59">
        <v>61</v>
      </c>
    </row>
    <row r="60" spans="6:49" x14ac:dyDescent="0.2">
      <c r="F60" t="s">
        <v>63</v>
      </c>
      <c r="G60">
        <v>3156</v>
      </c>
      <c r="H60">
        <v>2328</v>
      </c>
      <c r="I60">
        <v>270.61855670099999</v>
      </c>
      <c r="J60">
        <v>398</v>
      </c>
      <c r="K60">
        <v>517.24623115580005</v>
      </c>
      <c r="L60">
        <v>351</v>
      </c>
      <c r="M60">
        <v>227.1111111111</v>
      </c>
      <c r="N60">
        <v>458</v>
      </c>
      <c r="O60">
        <v>666.07205240170003</v>
      </c>
      <c r="R60">
        <v>19</v>
      </c>
      <c r="S60">
        <v>478.15789473680002</v>
      </c>
      <c r="V60" t="s">
        <v>386</v>
      </c>
      <c r="W60">
        <v>10019</v>
      </c>
      <c r="X60">
        <v>7155</v>
      </c>
      <c r="Y60">
        <v>266.0684835779</v>
      </c>
      <c r="Z60">
        <v>1114</v>
      </c>
      <c r="AA60">
        <v>515.00628366249998</v>
      </c>
      <c r="AB60">
        <v>1267</v>
      </c>
      <c r="AC60">
        <v>227.66061562749999</v>
      </c>
      <c r="AD60">
        <v>1013</v>
      </c>
      <c r="AE60">
        <v>370.79466929910001</v>
      </c>
      <c r="AF60">
        <v>567</v>
      </c>
      <c r="AG60">
        <v>174.62720848059999</v>
      </c>
      <c r="AH60">
        <v>17</v>
      </c>
      <c r="AI60">
        <v>313.1176470588</v>
      </c>
      <c r="AL60" t="s">
        <v>386</v>
      </c>
      <c r="AM60">
        <v>210</v>
      </c>
      <c r="AN60">
        <v>170</v>
      </c>
      <c r="AO60">
        <v>272.8529411765</v>
      </c>
      <c r="AP60">
        <v>40</v>
      </c>
      <c r="AQ60">
        <v>356.9</v>
      </c>
      <c r="AR60">
        <v>26</v>
      </c>
      <c r="AS60">
        <v>202.30769230769999</v>
      </c>
      <c r="AT60">
        <v>12</v>
      </c>
      <c r="AU60">
        <v>229.3333333333</v>
      </c>
      <c r="AV60">
        <v>2</v>
      </c>
      <c r="AW60">
        <v>370</v>
      </c>
    </row>
    <row r="61" spans="6:49" x14ac:dyDescent="0.2">
      <c r="F61" t="s">
        <v>36</v>
      </c>
      <c r="G61">
        <v>5616</v>
      </c>
      <c r="H61">
        <v>4468</v>
      </c>
      <c r="I61">
        <v>571.51410026860003</v>
      </c>
      <c r="J61">
        <v>302</v>
      </c>
      <c r="K61">
        <v>918.059602649</v>
      </c>
      <c r="L61">
        <v>865</v>
      </c>
      <c r="M61">
        <v>832.97687861270003</v>
      </c>
      <c r="N61">
        <v>279</v>
      </c>
      <c r="O61">
        <v>662.63799283150001</v>
      </c>
      <c r="R61">
        <v>4</v>
      </c>
      <c r="S61">
        <v>756.75</v>
      </c>
      <c r="V61" t="s">
        <v>418</v>
      </c>
      <c r="W61">
        <v>599</v>
      </c>
      <c r="X61">
        <v>380</v>
      </c>
      <c r="Y61">
        <v>393.47894736839999</v>
      </c>
      <c r="Z61">
        <v>16</v>
      </c>
      <c r="AA61">
        <v>838.6875</v>
      </c>
      <c r="AB61">
        <v>168</v>
      </c>
      <c r="AC61">
        <v>863.13095238100004</v>
      </c>
      <c r="AD61">
        <v>41</v>
      </c>
      <c r="AE61">
        <v>570.24390243899995</v>
      </c>
      <c r="AF61">
        <v>10</v>
      </c>
      <c r="AG61">
        <v>179</v>
      </c>
      <c r="AL61" t="s">
        <v>418</v>
      </c>
      <c r="AM61">
        <v>16</v>
      </c>
      <c r="AN61">
        <v>14</v>
      </c>
      <c r="AO61">
        <v>245</v>
      </c>
      <c r="AP61">
        <v>2</v>
      </c>
      <c r="AQ61">
        <v>740</v>
      </c>
      <c r="AR61">
        <v>2</v>
      </c>
      <c r="AS61">
        <v>103</v>
      </c>
    </row>
    <row r="62" spans="6:49" x14ac:dyDescent="0.2">
      <c r="F62" t="s">
        <v>50</v>
      </c>
      <c r="G62">
        <v>1959</v>
      </c>
      <c r="H62">
        <v>1317</v>
      </c>
      <c r="I62">
        <v>346.0850417616</v>
      </c>
      <c r="J62">
        <v>243</v>
      </c>
      <c r="K62">
        <v>394.3333333333</v>
      </c>
      <c r="L62">
        <v>134</v>
      </c>
      <c r="M62">
        <v>196.35820895520001</v>
      </c>
      <c r="N62">
        <v>502</v>
      </c>
      <c r="O62">
        <v>459.64342629480001</v>
      </c>
      <c r="R62">
        <v>6</v>
      </c>
      <c r="S62">
        <v>666.16666666670005</v>
      </c>
      <c r="V62" t="s">
        <v>373</v>
      </c>
      <c r="W62">
        <v>57053</v>
      </c>
      <c r="X62">
        <v>39197</v>
      </c>
      <c r="Y62">
        <v>358.85587447379999</v>
      </c>
      <c r="Z62">
        <v>4762</v>
      </c>
      <c r="AA62">
        <v>537.89290214200003</v>
      </c>
      <c r="AB62">
        <v>10026</v>
      </c>
      <c r="AC62">
        <v>570.86245761019995</v>
      </c>
      <c r="AD62">
        <v>5564</v>
      </c>
      <c r="AE62">
        <v>530.09525521210003</v>
      </c>
      <c r="AF62">
        <v>2162</v>
      </c>
      <c r="AG62">
        <v>182.1897269783</v>
      </c>
      <c r="AH62">
        <v>104</v>
      </c>
      <c r="AI62">
        <v>436.44230769230001</v>
      </c>
      <c r="AL62" t="s">
        <v>373</v>
      </c>
      <c r="AM62">
        <v>1464</v>
      </c>
      <c r="AN62">
        <v>1188</v>
      </c>
      <c r="AO62">
        <v>258.8392255892</v>
      </c>
      <c r="AP62">
        <v>225</v>
      </c>
      <c r="AQ62">
        <v>366.16</v>
      </c>
      <c r="AR62">
        <v>212</v>
      </c>
      <c r="AS62">
        <v>215.28773584909999</v>
      </c>
      <c r="AT62">
        <v>59</v>
      </c>
      <c r="AU62">
        <v>269.11864406780001</v>
      </c>
      <c r="AV62">
        <v>5</v>
      </c>
      <c r="AW62">
        <v>311.8</v>
      </c>
    </row>
    <row r="63" spans="6:49" x14ac:dyDescent="0.2">
      <c r="F63" t="s">
        <v>57</v>
      </c>
      <c r="G63">
        <v>593</v>
      </c>
      <c r="H63">
        <v>483</v>
      </c>
      <c r="I63">
        <v>267.02691511389997</v>
      </c>
      <c r="J63">
        <v>49</v>
      </c>
      <c r="K63">
        <v>618.5306122449</v>
      </c>
      <c r="L63">
        <v>64</v>
      </c>
      <c r="M63">
        <v>150.28125</v>
      </c>
      <c r="N63">
        <v>46</v>
      </c>
      <c r="O63">
        <v>277.21739130430001</v>
      </c>
      <c r="V63" t="s">
        <v>702</v>
      </c>
      <c r="W63">
        <v>319030</v>
      </c>
      <c r="X63">
        <v>229670</v>
      </c>
      <c r="Y63">
        <v>405.31433261630002</v>
      </c>
      <c r="Z63">
        <v>21281</v>
      </c>
      <c r="AA63">
        <v>591.9639584606</v>
      </c>
      <c r="AB63">
        <v>53201</v>
      </c>
      <c r="AC63">
        <v>617.71030619730004</v>
      </c>
      <c r="AD63">
        <v>24912</v>
      </c>
      <c r="AE63">
        <v>527.93034366469999</v>
      </c>
      <c r="AF63">
        <v>10769</v>
      </c>
      <c r="AG63">
        <v>183.9071149916</v>
      </c>
      <c r="AH63">
        <v>478</v>
      </c>
      <c r="AI63">
        <v>464.87447698739999</v>
      </c>
      <c r="AL63" t="s">
        <v>702</v>
      </c>
      <c r="AM63">
        <v>7383</v>
      </c>
      <c r="AN63">
        <v>5695</v>
      </c>
      <c r="AO63">
        <v>331.89271290609997</v>
      </c>
      <c r="AP63">
        <v>1314</v>
      </c>
      <c r="AQ63">
        <v>470.07153729070001</v>
      </c>
      <c r="AR63">
        <v>1444</v>
      </c>
      <c r="AS63">
        <v>298.345567867</v>
      </c>
      <c r="AT63">
        <v>232</v>
      </c>
      <c r="AU63">
        <v>247.8318965517</v>
      </c>
      <c r="AV63">
        <v>12</v>
      </c>
      <c r="AW63">
        <v>298.5833333333</v>
      </c>
    </row>
    <row r="64" spans="6:49" x14ac:dyDescent="0.2">
      <c r="F64" t="s">
        <v>68</v>
      </c>
      <c r="G64">
        <v>5047</v>
      </c>
      <c r="H64">
        <v>3917</v>
      </c>
      <c r="I64">
        <v>570.51595608879995</v>
      </c>
      <c r="J64">
        <v>170</v>
      </c>
      <c r="K64">
        <v>1122.9882352940999</v>
      </c>
      <c r="L64">
        <v>217</v>
      </c>
      <c r="M64">
        <v>661.7926267281</v>
      </c>
      <c r="N64">
        <v>911</v>
      </c>
      <c r="O64">
        <v>881.72447859500005</v>
      </c>
      <c r="R64">
        <v>2</v>
      </c>
      <c r="S64">
        <v>835</v>
      </c>
    </row>
    <row r="65" spans="6:19" x14ac:dyDescent="0.2">
      <c r="F65" t="s">
        <v>70</v>
      </c>
      <c r="G65">
        <v>472</v>
      </c>
      <c r="H65">
        <v>253</v>
      </c>
      <c r="I65">
        <v>97.086956521700003</v>
      </c>
      <c r="J65">
        <v>135</v>
      </c>
      <c r="K65">
        <v>205.0740740741</v>
      </c>
      <c r="L65">
        <v>137</v>
      </c>
      <c r="M65">
        <v>143.4379562044</v>
      </c>
      <c r="N65">
        <v>76</v>
      </c>
      <c r="O65">
        <v>244.32894736840001</v>
      </c>
      <c r="R65">
        <v>6</v>
      </c>
      <c r="S65">
        <v>109.1666666667</v>
      </c>
    </row>
    <row r="66" spans="6:19" x14ac:dyDescent="0.2">
      <c r="F66" t="s">
        <v>85</v>
      </c>
      <c r="G66">
        <v>186</v>
      </c>
      <c r="H66">
        <v>44</v>
      </c>
      <c r="I66">
        <v>1077.6136363636001</v>
      </c>
      <c r="J66">
        <v>4</v>
      </c>
      <c r="K66">
        <v>1434.5</v>
      </c>
      <c r="L66">
        <v>76</v>
      </c>
      <c r="M66">
        <v>626.30263157889999</v>
      </c>
      <c r="N66">
        <v>66</v>
      </c>
      <c r="O66">
        <v>640.31818181819995</v>
      </c>
    </row>
    <row r="67" spans="6:19" x14ac:dyDescent="0.2">
      <c r="F67" t="s">
        <v>66</v>
      </c>
      <c r="G67">
        <v>5568</v>
      </c>
      <c r="H67">
        <v>3758</v>
      </c>
      <c r="I67">
        <v>269.98190526880001</v>
      </c>
      <c r="J67">
        <v>578</v>
      </c>
      <c r="K67">
        <v>327.29238754329998</v>
      </c>
      <c r="L67">
        <v>1129</v>
      </c>
      <c r="M67">
        <v>397.4898139947</v>
      </c>
      <c r="N67">
        <v>671</v>
      </c>
      <c r="O67">
        <v>594.38748137109997</v>
      </c>
      <c r="R67">
        <v>10</v>
      </c>
      <c r="S67">
        <v>547.5</v>
      </c>
    </row>
    <row r="68" spans="6:19" x14ac:dyDescent="0.2">
      <c r="F68" t="s">
        <v>434</v>
      </c>
      <c r="G68">
        <v>20</v>
      </c>
      <c r="H68">
        <v>7</v>
      </c>
      <c r="I68">
        <v>389</v>
      </c>
      <c r="L68">
        <v>4</v>
      </c>
      <c r="M68">
        <v>606</v>
      </c>
      <c r="N68">
        <v>8</v>
      </c>
      <c r="O68">
        <v>174.25</v>
      </c>
      <c r="R68">
        <v>1</v>
      </c>
      <c r="S68">
        <v>367</v>
      </c>
    </row>
    <row r="69" spans="6:19" x14ac:dyDescent="0.2">
      <c r="F69" t="s">
        <v>86</v>
      </c>
      <c r="G69">
        <v>9096</v>
      </c>
      <c r="H69">
        <v>6893</v>
      </c>
      <c r="I69">
        <v>249.43623966339999</v>
      </c>
      <c r="J69">
        <v>1104</v>
      </c>
      <c r="K69">
        <v>509.36775362319997</v>
      </c>
      <c r="L69">
        <v>1188</v>
      </c>
      <c r="M69">
        <v>185.78198653199999</v>
      </c>
      <c r="N69">
        <v>997</v>
      </c>
      <c r="O69">
        <v>357.1735205617</v>
      </c>
      <c r="R69">
        <v>18</v>
      </c>
      <c r="S69">
        <v>309.94444444440001</v>
      </c>
    </row>
    <row r="70" spans="6:19" x14ac:dyDescent="0.2">
      <c r="F70" t="s">
        <v>138</v>
      </c>
      <c r="G70">
        <v>114</v>
      </c>
      <c r="H70">
        <v>80</v>
      </c>
      <c r="I70">
        <v>141.33750000000001</v>
      </c>
      <c r="J70">
        <v>42</v>
      </c>
      <c r="K70">
        <v>289.02380952380003</v>
      </c>
      <c r="L70">
        <v>9</v>
      </c>
      <c r="M70">
        <v>300.7777777778</v>
      </c>
      <c r="N70">
        <v>24</v>
      </c>
      <c r="O70">
        <v>496.9166666667</v>
      </c>
      <c r="R70">
        <v>1</v>
      </c>
      <c r="S70">
        <v>157</v>
      </c>
    </row>
    <row r="71" spans="6:19" x14ac:dyDescent="0.2">
      <c r="F71" t="s">
        <v>373</v>
      </c>
      <c r="G71">
        <v>56338</v>
      </c>
      <c r="H71">
        <v>40275</v>
      </c>
      <c r="I71">
        <v>363.83616815239998</v>
      </c>
      <c r="J71">
        <v>4858</v>
      </c>
      <c r="K71">
        <v>548.31556195969995</v>
      </c>
      <c r="L71">
        <v>10025</v>
      </c>
      <c r="M71">
        <v>573.45177057360002</v>
      </c>
      <c r="N71">
        <v>5928</v>
      </c>
      <c r="O71">
        <v>562.43792172739995</v>
      </c>
      <c r="R71">
        <v>110</v>
      </c>
      <c r="S71">
        <v>442.5</v>
      </c>
    </row>
    <row r="72" spans="6:19" x14ac:dyDescent="0.2">
      <c r="F72" t="s">
        <v>702</v>
      </c>
      <c r="G72">
        <v>326413</v>
      </c>
      <c r="H72">
        <v>235365</v>
      </c>
      <c r="I72">
        <v>403.53769869090002</v>
      </c>
      <c r="J72">
        <v>22595</v>
      </c>
      <c r="K72">
        <v>584.87537065720005</v>
      </c>
      <c r="L72">
        <v>54645</v>
      </c>
      <c r="M72">
        <v>609.2710586513</v>
      </c>
      <c r="N72">
        <v>25144</v>
      </c>
      <c r="O72">
        <v>525.34550517100001</v>
      </c>
      <c r="P72">
        <v>10781</v>
      </c>
      <c r="Q72">
        <v>184.034793097</v>
      </c>
      <c r="R72">
        <v>478</v>
      </c>
      <c r="S72">
        <v>464.87447698739999</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498</v>
      </c>
      <c r="B1" t="s">
        <v>370</v>
      </c>
      <c r="C1" t="s">
        <v>497</v>
      </c>
      <c r="D1" t="s">
        <v>499</v>
      </c>
      <c r="E1" t="s">
        <v>500</v>
      </c>
      <c r="F1" t="s">
        <v>501</v>
      </c>
      <c r="G1" t="s">
        <v>502</v>
      </c>
      <c r="H1" t="s">
        <v>503</v>
      </c>
      <c r="I1" t="s">
        <v>504</v>
      </c>
      <c r="J1" t="s">
        <v>505</v>
      </c>
      <c r="K1" t="s">
        <v>506</v>
      </c>
      <c r="L1" t="s">
        <v>371</v>
      </c>
      <c r="M1" t="s">
        <v>507</v>
      </c>
      <c r="N1" t="s">
        <v>508</v>
      </c>
      <c r="O1" t="s">
        <v>509</v>
      </c>
      <c r="P1" t="s">
        <v>510</v>
      </c>
      <c r="Q1" t="s">
        <v>511</v>
      </c>
      <c r="R1" t="s">
        <v>682</v>
      </c>
    </row>
    <row r="2" spans="1:18" x14ac:dyDescent="0.2">
      <c r="A2">
        <v>1</v>
      </c>
      <c r="B2">
        <v>-99</v>
      </c>
      <c r="C2" t="s">
        <v>441</v>
      </c>
      <c r="D2" t="s">
        <v>702</v>
      </c>
      <c r="E2" t="s">
        <v>441</v>
      </c>
      <c r="F2" t="s">
        <v>702</v>
      </c>
      <c r="G2" t="s">
        <v>441</v>
      </c>
      <c r="H2" t="s">
        <v>6</v>
      </c>
      <c r="I2">
        <v>-99</v>
      </c>
      <c r="J2">
        <v>1</v>
      </c>
      <c r="K2" t="s">
        <v>6</v>
      </c>
      <c r="L2">
        <v>-99</v>
      </c>
      <c r="M2" t="s">
        <v>658</v>
      </c>
      <c r="N2" t="s">
        <v>658</v>
      </c>
      <c r="O2">
        <v>-99</v>
      </c>
      <c r="P2">
        <v>-99</v>
      </c>
      <c r="Q2">
        <v>1</v>
      </c>
      <c r="R2" t="s">
        <v>658</v>
      </c>
    </row>
    <row r="3" spans="1:18" x14ac:dyDescent="0.2">
      <c r="A3">
        <v>2</v>
      </c>
      <c r="B3">
        <v>-99</v>
      </c>
      <c r="C3" t="s">
        <v>442</v>
      </c>
      <c r="D3" t="s">
        <v>6</v>
      </c>
      <c r="E3" t="s">
        <v>442</v>
      </c>
      <c r="F3" t="s">
        <v>1040</v>
      </c>
      <c r="G3" t="s">
        <v>441</v>
      </c>
      <c r="H3" t="s">
        <v>6</v>
      </c>
      <c r="I3">
        <v>-99</v>
      </c>
      <c r="J3">
        <v>1</v>
      </c>
      <c r="K3" t="s">
        <v>6</v>
      </c>
      <c r="L3">
        <v>-99</v>
      </c>
      <c r="M3" t="s">
        <v>658</v>
      </c>
      <c r="N3" t="s">
        <v>658</v>
      </c>
      <c r="O3">
        <v>-99</v>
      </c>
      <c r="P3">
        <v>-99</v>
      </c>
      <c r="Q3">
        <v>1</v>
      </c>
      <c r="R3" t="s">
        <v>658</v>
      </c>
    </row>
    <row r="4" spans="1:18" x14ac:dyDescent="0.2">
      <c r="A4">
        <v>3</v>
      </c>
      <c r="B4">
        <v>-99</v>
      </c>
      <c r="C4" t="s">
        <v>659</v>
      </c>
      <c r="D4" t="s">
        <v>6</v>
      </c>
      <c r="E4" t="s">
        <v>659</v>
      </c>
      <c r="F4" t="s">
        <v>1042</v>
      </c>
      <c r="G4" t="s">
        <v>441</v>
      </c>
      <c r="H4" t="s">
        <v>6</v>
      </c>
      <c r="I4">
        <v>-99</v>
      </c>
      <c r="J4">
        <v>1</v>
      </c>
      <c r="K4" t="s">
        <v>6</v>
      </c>
      <c r="L4">
        <v>-99</v>
      </c>
      <c r="M4" t="s">
        <v>658</v>
      </c>
      <c r="N4" t="s">
        <v>658</v>
      </c>
      <c r="O4">
        <v>-99</v>
      </c>
      <c r="P4">
        <v>-99</v>
      </c>
      <c r="Q4">
        <v>1</v>
      </c>
      <c r="R4" t="s">
        <v>211</v>
      </c>
    </row>
    <row r="5" spans="1:18" x14ac:dyDescent="0.2">
      <c r="A5">
        <v>4</v>
      </c>
      <c r="B5">
        <v>-99</v>
      </c>
      <c r="C5" t="s">
        <v>443</v>
      </c>
      <c r="D5" t="s">
        <v>6</v>
      </c>
      <c r="E5" t="s">
        <v>443</v>
      </c>
      <c r="F5" t="s">
        <v>1048</v>
      </c>
      <c r="G5" t="s">
        <v>441</v>
      </c>
      <c r="H5" t="s">
        <v>6</v>
      </c>
      <c r="I5">
        <v>-99</v>
      </c>
      <c r="J5">
        <v>1</v>
      </c>
      <c r="K5" t="s">
        <v>6</v>
      </c>
      <c r="L5">
        <v>-99</v>
      </c>
      <c r="M5" t="s">
        <v>658</v>
      </c>
      <c r="N5" t="s">
        <v>658</v>
      </c>
      <c r="O5">
        <v>-99</v>
      </c>
      <c r="P5">
        <v>-99</v>
      </c>
      <c r="Q5">
        <v>1</v>
      </c>
      <c r="R5" t="s">
        <v>687</v>
      </c>
    </row>
    <row r="6" spans="1:18" x14ac:dyDescent="0.2">
      <c r="A6">
        <v>5</v>
      </c>
      <c r="B6">
        <v>-99</v>
      </c>
      <c r="C6" t="s">
        <v>444</v>
      </c>
      <c r="D6" t="s">
        <v>6</v>
      </c>
      <c r="E6" t="s">
        <v>444</v>
      </c>
      <c r="F6" t="s">
        <v>699</v>
      </c>
      <c r="G6" t="s">
        <v>441</v>
      </c>
      <c r="H6" t="s">
        <v>6</v>
      </c>
      <c r="I6">
        <v>-99</v>
      </c>
      <c r="J6">
        <v>1</v>
      </c>
      <c r="K6" t="s">
        <v>6</v>
      </c>
      <c r="L6">
        <v>-99</v>
      </c>
      <c r="M6" t="s">
        <v>658</v>
      </c>
      <c r="N6" t="s">
        <v>658</v>
      </c>
      <c r="O6">
        <v>-99</v>
      </c>
      <c r="P6">
        <v>-99</v>
      </c>
      <c r="Q6">
        <v>1</v>
      </c>
      <c r="R6" t="s">
        <v>683</v>
      </c>
    </row>
    <row r="7" spans="1:18" x14ac:dyDescent="0.2">
      <c r="A7">
        <v>6</v>
      </c>
      <c r="B7">
        <v>-99</v>
      </c>
      <c r="C7" t="s">
        <v>445</v>
      </c>
      <c r="D7" t="s">
        <v>6</v>
      </c>
      <c r="E7" t="s">
        <v>445</v>
      </c>
      <c r="F7" t="s">
        <v>1043</v>
      </c>
      <c r="G7" t="s">
        <v>441</v>
      </c>
      <c r="H7" t="s">
        <v>6</v>
      </c>
      <c r="I7">
        <v>-99</v>
      </c>
      <c r="J7">
        <v>1</v>
      </c>
      <c r="K7" t="s">
        <v>6</v>
      </c>
      <c r="L7">
        <v>-99</v>
      </c>
      <c r="M7" t="s">
        <v>658</v>
      </c>
      <c r="N7" t="s">
        <v>658</v>
      </c>
      <c r="O7">
        <v>-99</v>
      </c>
      <c r="P7">
        <v>-99</v>
      </c>
      <c r="Q7">
        <v>1</v>
      </c>
      <c r="R7" t="s">
        <v>684</v>
      </c>
    </row>
    <row r="8" spans="1:18" x14ac:dyDescent="0.2">
      <c r="A8">
        <v>7</v>
      </c>
      <c r="B8">
        <v>-99</v>
      </c>
      <c r="C8" t="s">
        <v>446</v>
      </c>
      <c r="D8" t="s">
        <v>6</v>
      </c>
      <c r="E8" t="s">
        <v>446</v>
      </c>
      <c r="F8" t="s">
        <v>1049</v>
      </c>
      <c r="G8" t="s">
        <v>441</v>
      </c>
      <c r="H8" t="s">
        <v>6</v>
      </c>
      <c r="I8">
        <v>-99</v>
      </c>
      <c r="J8">
        <v>1</v>
      </c>
      <c r="K8" t="s">
        <v>6</v>
      </c>
      <c r="L8">
        <v>-99</v>
      </c>
      <c r="M8" t="s">
        <v>658</v>
      </c>
      <c r="N8" t="s">
        <v>658</v>
      </c>
      <c r="O8">
        <v>-99</v>
      </c>
      <c r="P8">
        <v>-99</v>
      </c>
      <c r="Q8">
        <v>1</v>
      </c>
      <c r="R8" t="s">
        <v>685</v>
      </c>
    </row>
    <row r="9" spans="1:18" x14ac:dyDescent="0.2">
      <c r="A9">
        <v>8</v>
      </c>
      <c r="B9">
        <v>-99</v>
      </c>
      <c r="C9" t="s">
        <v>447</v>
      </c>
      <c r="D9" t="s">
        <v>6</v>
      </c>
      <c r="E9" t="s">
        <v>447</v>
      </c>
      <c r="F9" t="s">
        <v>1050</v>
      </c>
      <c r="G9" t="s">
        <v>441</v>
      </c>
      <c r="H9" t="s">
        <v>6</v>
      </c>
      <c r="I9">
        <v>-99</v>
      </c>
      <c r="J9">
        <v>1</v>
      </c>
      <c r="K9" t="s">
        <v>6</v>
      </c>
      <c r="L9">
        <v>-99</v>
      </c>
      <c r="M9" t="s">
        <v>658</v>
      </c>
      <c r="N9" t="s">
        <v>658</v>
      </c>
      <c r="O9">
        <v>-99</v>
      </c>
      <c r="P9">
        <v>-99</v>
      </c>
      <c r="Q9">
        <v>1</v>
      </c>
      <c r="R9" t="s">
        <v>402</v>
      </c>
    </row>
    <row r="10" spans="1:18" x14ac:dyDescent="0.2">
      <c r="A10">
        <v>9</v>
      </c>
      <c r="B10">
        <v>-99</v>
      </c>
      <c r="C10" t="s">
        <v>448</v>
      </c>
      <c r="D10" t="s">
        <v>6</v>
      </c>
      <c r="E10" t="s">
        <v>448</v>
      </c>
      <c r="F10" t="s">
        <v>1051</v>
      </c>
      <c r="G10" t="s">
        <v>441</v>
      </c>
      <c r="H10" t="s">
        <v>6</v>
      </c>
      <c r="I10">
        <v>-99</v>
      </c>
      <c r="J10">
        <v>1</v>
      </c>
      <c r="K10" t="s">
        <v>6</v>
      </c>
      <c r="L10">
        <v>-99</v>
      </c>
      <c r="M10" t="s">
        <v>658</v>
      </c>
      <c r="N10" t="s">
        <v>658</v>
      </c>
      <c r="O10">
        <v>-99</v>
      </c>
      <c r="P10">
        <v>-99</v>
      </c>
      <c r="Q10">
        <v>1</v>
      </c>
      <c r="R10" t="s">
        <v>688</v>
      </c>
    </row>
    <row r="11" spans="1:18" x14ac:dyDescent="0.2">
      <c r="A11">
        <v>10</v>
      </c>
      <c r="B11">
        <v>-99</v>
      </c>
      <c r="C11" t="s">
        <v>449</v>
      </c>
      <c r="D11" t="s">
        <v>6</v>
      </c>
      <c r="E11" t="s">
        <v>449</v>
      </c>
      <c r="F11" t="s">
        <v>1052</v>
      </c>
      <c r="G11" t="s">
        <v>441</v>
      </c>
      <c r="H11" t="s">
        <v>6</v>
      </c>
      <c r="I11">
        <v>-99</v>
      </c>
      <c r="J11">
        <v>1</v>
      </c>
      <c r="K11" t="s">
        <v>6</v>
      </c>
      <c r="L11">
        <v>-99</v>
      </c>
      <c r="M11" t="s">
        <v>658</v>
      </c>
      <c r="N11" t="s">
        <v>658</v>
      </c>
      <c r="O11">
        <v>-99</v>
      </c>
      <c r="P11">
        <v>-99</v>
      </c>
      <c r="Q11">
        <v>1</v>
      </c>
      <c r="R11" t="s">
        <v>658</v>
      </c>
    </row>
    <row r="12" spans="1:18" x14ac:dyDescent="0.2">
      <c r="A12">
        <v>11</v>
      </c>
      <c r="B12">
        <v>-99</v>
      </c>
      <c r="C12" t="s">
        <v>451</v>
      </c>
      <c r="D12" t="s">
        <v>512</v>
      </c>
      <c r="E12" t="s">
        <v>660</v>
      </c>
      <c r="F12" t="s">
        <v>132</v>
      </c>
      <c r="G12" t="s">
        <v>660</v>
      </c>
      <c r="H12" t="s">
        <v>374</v>
      </c>
      <c r="I12">
        <v>-99</v>
      </c>
      <c r="J12">
        <v>-99</v>
      </c>
      <c r="K12" t="s">
        <v>658</v>
      </c>
      <c r="L12">
        <v>-99</v>
      </c>
      <c r="M12" t="s">
        <v>658</v>
      </c>
      <c r="N12" t="s">
        <v>658</v>
      </c>
      <c r="O12">
        <v>-99</v>
      </c>
      <c r="P12">
        <v>-99</v>
      </c>
      <c r="Q12">
        <v>2</v>
      </c>
      <c r="R12" t="s">
        <v>658</v>
      </c>
    </row>
    <row r="13" spans="1:18" x14ac:dyDescent="0.2">
      <c r="A13">
        <v>12</v>
      </c>
      <c r="B13">
        <v>-99</v>
      </c>
      <c r="C13" t="s">
        <v>453</v>
      </c>
      <c r="D13" t="s">
        <v>512</v>
      </c>
      <c r="E13" t="s">
        <v>661</v>
      </c>
      <c r="F13" t="s">
        <v>133</v>
      </c>
      <c r="G13" t="s">
        <v>661</v>
      </c>
      <c r="H13" t="s">
        <v>381</v>
      </c>
      <c r="I13">
        <v>-99</v>
      </c>
      <c r="J13">
        <v>-99</v>
      </c>
      <c r="K13" t="s">
        <v>658</v>
      </c>
      <c r="L13">
        <v>-99</v>
      </c>
      <c r="M13" t="s">
        <v>658</v>
      </c>
      <c r="N13" t="s">
        <v>658</v>
      </c>
      <c r="O13">
        <v>-99</v>
      </c>
      <c r="P13">
        <v>-99</v>
      </c>
      <c r="Q13">
        <v>2</v>
      </c>
      <c r="R13" t="s">
        <v>658</v>
      </c>
    </row>
    <row r="14" spans="1:18" x14ac:dyDescent="0.2">
      <c r="A14">
        <v>13</v>
      </c>
      <c r="B14">
        <v>-99</v>
      </c>
      <c r="C14" t="s">
        <v>456</v>
      </c>
      <c r="D14" t="s">
        <v>512</v>
      </c>
      <c r="E14" t="s">
        <v>662</v>
      </c>
      <c r="F14" t="s">
        <v>134</v>
      </c>
      <c r="G14" t="s">
        <v>662</v>
      </c>
      <c r="H14" t="s">
        <v>390</v>
      </c>
      <c r="I14">
        <v>-99</v>
      </c>
      <c r="J14">
        <v>-99</v>
      </c>
      <c r="K14" t="s">
        <v>658</v>
      </c>
      <c r="L14">
        <v>-99</v>
      </c>
      <c r="M14" t="s">
        <v>658</v>
      </c>
      <c r="N14" t="s">
        <v>658</v>
      </c>
      <c r="O14">
        <v>-99</v>
      </c>
      <c r="P14">
        <v>-99</v>
      </c>
      <c r="Q14">
        <v>2</v>
      </c>
      <c r="R14" t="s">
        <v>658</v>
      </c>
    </row>
    <row r="15" spans="1:18" x14ac:dyDescent="0.2">
      <c r="A15">
        <v>14</v>
      </c>
      <c r="B15">
        <v>-99</v>
      </c>
      <c r="C15" t="s">
        <v>663</v>
      </c>
      <c r="D15" t="s">
        <v>512</v>
      </c>
      <c r="E15" t="s">
        <v>664</v>
      </c>
      <c r="F15" t="s">
        <v>135</v>
      </c>
      <c r="G15" t="s">
        <v>664</v>
      </c>
      <c r="H15" t="s">
        <v>406</v>
      </c>
      <c r="I15">
        <v>-99</v>
      </c>
      <c r="J15">
        <v>-99</v>
      </c>
      <c r="K15" t="s">
        <v>658</v>
      </c>
      <c r="L15">
        <v>-99</v>
      </c>
      <c r="M15" t="s">
        <v>658</v>
      </c>
      <c r="N15" t="s">
        <v>658</v>
      </c>
      <c r="O15">
        <v>-99</v>
      </c>
      <c r="P15">
        <v>-99</v>
      </c>
      <c r="Q15">
        <v>2</v>
      </c>
      <c r="R15" t="s">
        <v>658</v>
      </c>
    </row>
    <row r="16" spans="1:18" x14ac:dyDescent="0.2">
      <c r="A16">
        <v>15</v>
      </c>
      <c r="B16">
        <v>-99</v>
      </c>
      <c r="C16" t="s">
        <v>666</v>
      </c>
      <c r="D16" t="s">
        <v>433</v>
      </c>
      <c r="E16" t="s">
        <v>666</v>
      </c>
      <c r="F16" t="s">
        <v>433</v>
      </c>
      <c r="G16" t="s">
        <v>658</v>
      </c>
      <c r="H16" t="s">
        <v>658</v>
      </c>
      <c r="I16">
        <v>-99</v>
      </c>
      <c r="J16">
        <v>30</v>
      </c>
      <c r="K16" t="s">
        <v>373</v>
      </c>
      <c r="L16">
        <v>-99</v>
      </c>
      <c r="M16" t="s">
        <v>658</v>
      </c>
      <c r="N16" t="s">
        <v>658</v>
      </c>
      <c r="O16">
        <v>-99</v>
      </c>
      <c r="P16">
        <v>-99</v>
      </c>
      <c r="Q16">
        <v>3</v>
      </c>
      <c r="R16" t="s">
        <v>658</v>
      </c>
    </row>
    <row r="17" spans="1:18" x14ac:dyDescent="0.2">
      <c r="A17">
        <v>16</v>
      </c>
      <c r="B17">
        <v>-99</v>
      </c>
      <c r="C17" t="s">
        <v>665</v>
      </c>
      <c r="D17" t="s">
        <v>439</v>
      </c>
      <c r="E17" t="s">
        <v>665</v>
      </c>
      <c r="F17" t="s">
        <v>439</v>
      </c>
      <c r="G17" t="s">
        <v>658</v>
      </c>
      <c r="H17" t="s">
        <v>658</v>
      </c>
      <c r="I17">
        <v>-99</v>
      </c>
      <c r="J17">
        <v>31</v>
      </c>
      <c r="K17" t="s">
        <v>384</v>
      </c>
      <c r="L17">
        <v>-99</v>
      </c>
      <c r="M17" t="s">
        <v>658</v>
      </c>
      <c r="N17" t="s">
        <v>658</v>
      </c>
      <c r="O17">
        <v>-99</v>
      </c>
      <c r="P17">
        <v>-99</v>
      </c>
      <c r="Q17">
        <v>3</v>
      </c>
      <c r="R17" t="s">
        <v>658</v>
      </c>
    </row>
    <row r="18" spans="1:18" x14ac:dyDescent="0.2">
      <c r="A18">
        <v>17</v>
      </c>
      <c r="B18">
        <v>-99</v>
      </c>
      <c r="C18" t="s">
        <v>667</v>
      </c>
      <c r="D18" t="s">
        <v>437</v>
      </c>
      <c r="E18" t="s">
        <v>667</v>
      </c>
      <c r="F18" t="s">
        <v>437</v>
      </c>
      <c r="G18" t="s">
        <v>658</v>
      </c>
      <c r="H18" t="s">
        <v>658</v>
      </c>
      <c r="I18">
        <v>-99</v>
      </c>
      <c r="J18">
        <v>32</v>
      </c>
      <c r="K18" t="s">
        <v>394</v>
      </c>
      <c r="L18">
        <v>-99</v>
      </c>
      <c r="M18" t="s">
        <v>658</v>
      </c>
      <c r="N18" t="s">
        <v>658</v>
      </c>
      <c r="O18">
        <v>-99</v>
      </c>
      <c r="P18">
        <v>-99</v>
      </c>
      <c r="Q18">
        <v>3</v>
      </c>
      <c r="R18" t="s">
        <v>658</v>
      </c>
    </row>
    <row r="19" spans="1:18" x14ac:dyDescent="0.2">
      <c r="A19">
        <v>18</v>
      </c>
      <c r="B19">
        <v>-99</v>
      </c>
      <c r="C19" t="s">
        <v>668</v>
      </c>
      <c r="D19" t="s">
        <v>436</v>
      </c>
      <c r="E19" t="s">
        <v>668</v>
      </c>
      <c r="F19" t="s">
        <v>436</v>
      </c>
      <c r="G19" t="s">
        <v>658</v>
      </c>
      <c r="H19" t="s">
        <v>658</v>
      </c>
      <c r="I19">
        <v>-99</v>
      </c>
      <c r="J19">
        <v>33</v>
      </c>
      <c r="K19" t="s">
        <v>389</v>
      </c>
      <c r="L19">
        <v>-99</v>
      </c>
      <c r="M19" t="s">
        <v>658</v>
      </c>
      <c r="N19" t="s">
        <v>658</v>
      </c>
      <c r="O19">
        <v>-99</v>
      </c>
      <c r="P19">
        <v>-99</v>
      </c>
      <c r="Q19">
        <v>3</v>
      </c>
      <c r="R19" t="s">
        <v>658</v>
      </c>
    </row>
    <row r="20" spans="1:18" x14ac:dyDescent="0.2">
      <c r="A20">
        <v>19</v>
      </c>
      <c r="B20">
        <v>-99</v>
      </c>
      <c r="C20" t="s">
        <v>669</v>
      </c>
      <c r="D20" t="s">
        <v>438</v>
      </c>
      <c r="E20" t="s">
        <v>669</v>
      </c>
      <c r="F20" t="s">
        <v>438</v>
      </c>
      <c r="G20" t="s">
        <v>658</v>
      </c>
      <c r="H20" t="s">
        <v>658</v>
      </c>
      <c r="I20">
        <v>-99</v>
      </c>
      <c r="J20">
        <v>34</v>
      </c>
      <c r="K20" t="s">
        <v>408</v>
      </c>
      <c r="L20">
        <v>-99</v>
      </c>
      <c r="M20" t="s">
        <v>658</v>
      </c>
      <c r="N20" t="s">
        <v>658</v>
      </c>
      <c r="O20">
        <v>-99</v>
      </c>
      <c r="P20">
        <v>-99</v>
      </c>
      <c r="Q20">
        <v>3</v>
      </c>
      <c r="R20" t="s">
        <v>658</v>
      </c>
    </row>
    <row r="21" spans="1:18" x14ac:dyDescent="0.2">
      <c r="A21">
        <v>20</v>
      </c>
      <c r="B21">
        <v>1</v>
      </c>
      <c r="C21" t="s">
        <v>671</v>
      </c>
      <c r="D21" t="s">
        <v>372</v>
      </c>
      <c r="E21" t="s">
        <v>671</v>
      </c>
      <c r="F21" t="s">
        <v>513</v>
      </c>
      <c r="G21" t="s">
        <v>672</v>
      </c>
      <c r="H21" t="s">
        <v>8</v>
      </c>
      <c r="I21">
        <v>-99</v>
      </c>
      <c r="J21">
        <v>35</v>
      </c>
      <c r="K21" t="s">
        <v>8</v>
      </c>
      <c r="L21">
        <v>8240</v>
      </c>
      <c r="M21" t="s">
        <v>514</v>
      </c>
      <c r="N21" t="s">
        <v>658</v>
      </c>
      <c r="O21">
        <v>1</v>
      </c>
      <c r="P21">
        <v>2</v>
      </c>
      <c r="Q21">
        <v>-99</v>
      </c>
      <c r="R21" t="s">
        <v>658</v>
      </c>
    </row>
    <row r="22" spans="1:18" x14ac:dyDescent="0.2">
      <c r="A22">
        <v>21</v>
      </c>
      <c r="B22">
        <v>8</v>
      </c>
      <c r="C22" t="s">
        <v>139</v>
      </c>
      <c r="D22" t="s">
        <v>38</v>
      </c>
      <c r="E22" t="s">
        <v>515</v>
      </c>
      <c r="F22" t="s">
        <v>516</v>
      </c>
      <c r="G22" t="s">
        <v>660</v>
      </c>
      <c r="H22" t="s">
        <v>374</v>
      </c>
      <c r="I22">
        <v>380</v>
      </c>
      <c r="J22">
        <v>30</v>
      </c>
      <c r="K22" t="s">
        <v>373</v>
      </c>
      <c r="L22">
        <v>8233</v>
      </c>
      <c r="M22" t="s">
        <v>329</v>
      </c>
      <c r="N22" t="s">
        <v>375</v>
      </c>
      <c r="O22">
        <v>1</v>
      </c>
      <c r="P22">
        <v>2</v>
      </c>
      <c r="Q22">
        <v>-99</v>
      </c>
      <c r="R22" t="s">
        <v>686</v>
      </c>
    </row>
    <row r="23" spans="1:18" x14ac:dyDescent="0.2">
      <c r="A23">
        <v>22</v>
      </c>
      <c r="B23">
        <v>9</v>
      </c>
      <c r="C23" t="s">
        <v>140</v>
      </c>
      <c r="D23" t="s">
        <v>70</v>
      </c>
      <c r="E23" t="s">
        <v>517</v>
      </c>
      <c r="F23" t="s">
        <v>518</v>
      </c>
      <c r="G23" t="s">
        <v>660</v>
      </c>
      <c r="H23" t="s">
        <v>374</v>
      </c>
      <c r="I23">
        <v>380</v>
      </c>
      <c r="J23">
        <v>30</v>
      </c>
      <c r="K23" t="s">
        <v>373</v>
      </c>
      <c r="L23">
        <v>8235</v>
      </c>
      <c r="M23" t="s">
        <v>364</v>
      </c>
      <c r="N23" t="s">
        <v>376</v>
      </c>
      <c r="O23">
        <v>1</v>
      </c>
      <c r="P23">
        <v>1</v>
      </c>
      <c r="Q23">
        <v>-99</v>
      </c>
      <c r="R23" t="s">
        <v>686</v>
      </c>
    </row>
    <row r="24" spans="1:18" x14ac:dyDescent="0.2">
      <c r="A24">
        <v>23</v>
      </c>
      <c r="B24">
        <v>-99</v>
      </c>
      <c r="C24" t="s">
        <v>140</v>
      </c>
      <c r="D24" t="s">
        <v>70</v>
      </c>
      <c r="E24" t="s">
        <v>519</v>
      </c>
      <c r="F24" t="s">
        <v>520</v>
      </c>
      <c r="G24" t="s">
        <v>660</v>
      </c>
      <c r="H24" t="s">
        <v>374</v>
      </c>
      <c r="I24">
        <v>380</v>
      </c>
      <c r="J24">
        <v>30</v>
      </c>
      <c r="K24" t="s">
        <v>373</v>
      </c>
      <c r="L24">
        <v>8235</v>
      </c>
      <c r="M24" t="s">
        <v>364</v>
      </c>
      <c r="N24" t="s">
        <v>376</v>
      </c>
      <c r="O24">
        <v>-99</v>
      </c>
      <c r="P24">
        <v>1</v>
      </c>
      <c r="Q24">
        <v>-99</v>
      </c>
      <c r="R24" t="s">
        <v>402</v>
      </c>
    </row>
    <row r="25" spans="1:18" x14ac:dyDescent="0.2">
      <c r="A25">
        <v>24</v>
      </c>
      <c r="B25">
        <v>10</v>
      </c>
      <c r="C25" t="s">
        <v>141</v>
      </c>
      <c r="D25" t="s">
        <v>63</v>
      </c>
      <c r="E25" t="s">
        <v>521</v>
      </c>
      <c r="F25" t="s">
        <v>522</v>
      </c>
      <c r="G25" t="s">
        <v>660</v>
      </c>
      <c r="H25" t="s">
        <v>374</v>
      </c>
      <c r="I25">
        <v>380</v>
      </c>
      <c r="J25">
        <v>30</v>
      </c>
      <c r="K25" t="s">
        <v>373</v>
      </c>
      <c r="L25">
        <v>8237</v>
      </c>
      <c r="M25" t="s">
        <v>339</v>
      </c>
      <c r="N25" t="s">
        <v>63</v>
      </c>
      <c r="O25">
        <v>1</v>
      </c>
      <c r="P25">
        <v>2</v>
      </c>
      <c r="Q25">
        <v>-99</v>
      </c>
      <c r="R25" t="s">
        <v>686</v>
      </c>
    </row>
    <row r="26" spans="1:18" x14ac:dyDescent="0.2">
      <c r="A26">
        <v>25</v>
      </c>
      <c r="B26">
        <v>11</v>
      </c>
      <c r="C26" t="s">
        <v>142</v>
      </c>
      <c r="D26" t="s">
        <v>24</v>
      </c>
      <c r="E26" t="s">
        <v>523</v>
      </c>
      <c r="F26" t="s">
        <v>524</v>
      </c>
      <c r="G26" t="s">
        <v>660</v>
      </c>
      <c r="H26" t="s">
        <v>374</v>
      </c>
      <c r="I26">
        <v>380</v>
      </c>
      <c r="J26">
        <v>30</v>
      </c>
      <c r="K26" t="s">
        <v>373</v>
      </c>
      <c r="L26">
        <v>8238</v>
      </c>
      <c r="M26" t="s">
        <v>339</v>
      </c>
      <c r="N26" t="s">
        <v>63</v>
      </c>
      <c r="O26">
        <v>1</v>
      </c>
      <c r="P26">
        <v>2</v>
      </c>
      <c r="Q26">
        <v>-99</v>
      </c>
      <c r="R26" t="s">
        <v>686</v>
      </c>
    </row>
    <row r="27" spans="1:18" x14ac:dyDescent="0.2">
      <c r="A27">
        <v>26</v>
      </c>
      <c r="B27">
        <v>12</v>
      </c>
      <c r="C27" t="s">
        <v>143</v>
      </c>
      <c r="D27" t="s">
        <v>47</v>
      </c>
      <c r="E27" t="s">
        <v>525</v>
      </c>
      <c r="F27" t="s">
        <v>526</v>
      </c>
      <c r="G27" t="s">
        <v>660</v>
      </c>
      <c r="H27" t="s">
        <v>374</v>
      </c>
      <c r="I27">
        <v>380</v>
      </c>
      <c r="J27">
        <v>30</v>
      </c>
      <c r="K27" t="s">
        <v>373</v>
      </c>
      <c r="L27">
        <v>8239</v>
      </c>
      <c r="M27" t="s">
        <v>357</v>
      </c>
      <c r="N27" t="s">
        <v>377</v>
      </c>
      <c r="O27">
        <v>1</v>
      </c>
      <c r="P27">
        <v>2</v>
      </c>
      <c r="Q27">
        <v>-99</v>
      </c>
      <c r="R27" t="s">
        <v>686</v>
      </c>
    </row>
    <row r="28" spans="1:18" x14ac:dyDescent="0.2">
      <c r="A28">
        <v>27</v>
      </c>
      <c r="B28">
        <v>13</v>
      </c>
      <c r="C28" t="s">
        <v>144</v>
      </c>
      <c r="D28" t="s">
        <v>64</v>
      </c>
      <c r="E28" t="s">
        <v>527</v>
      </c>
      <c r="F28" t="s">
        <v>528</v>
      </c>
      <c r="G28" t="s">
        <v>660</v>
      </c>
      <c r="H28" t="s">
        <v>374</v>
      </c>
      <c r="I28">
        <v>380</v>
      </c>
      <c r="J28">
        <v>30</v>
      </c>
      <c r="K28" t="s">
        <v>373</v>
      </c>
      <c r="L28">
        <v>8241</v>
      </c>
      <c r="M28" t="s">
        <v>361</v>
      </c>
      <c r="N28" t="s">
        <v>378</v>
      </c>
      <c r="O28">
        <v>1</v>
      </c>
      <c r="P28">
        <v>2</v>
      </c>
      <c r="Q28">
        <v>-99</v>
      </c>
      <c r="R28" t="s">
        <v>686</v>
      </c>
    </row>
    <row r="29" spans="1:18" x14ac:dyDescent="0.2">
      <c r="A29">
        <v>28</v>
      </c>
      <c r="B29">
        <v>14</v>
      </c>
      <c r="C29" t="s">
        <v>102</v>
      </c>
      <c r="D29" t="s">
        <v>66</v>
      </c>
      <c r="E29" t="s">
        <v>529</v>
      </c>
      <c r="F29" t="s">
        <v>530</v>
      </c>
      <c r="G29" t="s">
        <v>660</v>
      </c>
      <c r="H29" t="s">
        <v>374</v>
      </c>
      <c r="I29">
        <v>380</v>
      </c>
      <c r="J29">
        <v>30</v>
      </c>
      <c r="K29" t="s">
        <v>373</v>
      </c>
      <c r="L29">
        <v>8242</v>
      </c>
      <c r="M29" t="s">
        <v>351</v>
      </c>
      <c r="N29" t="s">
        <v>379</v>
      </c>
      <c r="O29">
        <v>1</v>
      </c>
      <c r="P29">
        <v>1</v>
      </c>
      <c r="Q29">
        <v>-99</v>
      </c>
      <c r="R29" t="s">
        <v>686</v>
      </c>
    </row>
    <row r="30" spans="1:18" x14ac:dyDescent="0.2">
      <c r="A30">
        <v>29</v>
      </c>
      <c r="B30">
        <v>-99</v>
      </c>
      <c r="C30" t="s">
        <v>102</v>
      </c>
      <c r="D30" t="s">
        <v>66</v>
      </c>
      <c r="E30" t="s">
        <v>531</v>
      </c>
      <c r="F30" t="s">
        <v>213</v>
      </c>
      <c r="G30" t="s">
        <v>660</v>
      </c>
      <c r="H30" t="s">
        <v>374</v>
      </c>
      <c r="I30">
        <v>380</v>
      </c>
      <c r="J30">
        <v>30</v>
      </c>
      <c r="K30" t="s">
        <v>373</v>
      </c>
      <c r="L30">
        <v>8242</v>
      </c>
      <c r="M30" t="s">
        <v>351</v>
      </c>
      <c r="N30" t="s">
        <v>379</v>
      </c>
      <c r="O30">
        <v>-99</v>
      </c>
      <c r="P30">
        <v>1</v>
      </c>
      <c r="Q30">
        <v>-99</v>
      </c>
      <c r="R30" t="s">
        <v>211</v>
      </c>
    </row>
    <row r="31" spans="1:18" x14ac:dyDescent="0.2">
      <c r="A31">
        <v>30</v>
      </c>
      <c r="B31">
        <v>15</v>
      </c>
      <c r="C31" t="s">
        <v>145</v>
      </c>
      <c r="D31" t="s">
        <v>68</v>
      </c>
      <c r="E31" t="s">
        <v>532</v>
      </c>
      <c r="F31" t="s">
        <v>533</v>
      </c>
      <c r="G31" t="s">
        <v>660</v>
      </c>
      <c r="H31" t="s">
        <v>374</v>
      </c>
      <c r="I31">
        <v>380</v>
      </c>
      <c r="J31">
        <v>30</v>
      </c>
      <c r="K31" t="s">
        <v>373</v>
      </c>
      <c r="L31">
        <v>8243</v>
      </c>
      <c r="M31" t="s">
        <v>351</v>
      </c>
      <c r="N31" t="s">
        <v>379</v>
      </c>
      <c r="O31">
        <v>1</v>
      </c>
      <c r="P31">
        <v>1</v>
      </c>
      <c r="Q31">
        <v>-99</v>
      </c>
      <c r="R31" t="s">
        <v>686</v>
      </c>
    </row>
    <row r="32" spans="1:18" x14ac:dyDescent="0.2">
      <c r="A32">
        <v>31</v>
      </c>
      <c r="B32">
        <v>-99</v>
      </c>
      <c r="C32" t="s">
        <v>145</v>
      </c>
      <c r="D32" t="s">
        <v>68</v>
      </c>
      <c r="E32" t="s">
        <v>534</v>
      </c>
      <c r="F32" t="s">
        <v>535</v>
      </c>
      <c r="G32" t="s">
        <v>660</v>
      </c>
      <c r="H32" t="s">
        <v>374</v>
      </c>
      <c r="I32">
        <v>380</v>
      </c>
      <c r="J32">
        <v>30</v>
      </c>
      <c r="K32" t="s">
        <v>373</v>
      </c>
      <c r="L32">
        <v>8243</v>
      </c>
      <c r="M32" t="s">
        <v>351</v>
      </c>
      <c r="N32" t="s">
        <v>379</v>
      </c>
      <c r="O32">
        <v>-99</v>
      </c>
      <c r="P32">
        <v>1</v>
      </c>
      <c r="Q32">
        <v>-99</v>
      </c>
      <c r="R32" t="s">
        <v>685</v>
      </c>
    </row>
    <row r="33" spans="1:18" x14ac:dyDescent="0.2">
      <c r="A33">
        <v>32</v>
      </c>
      <c r="B33">
        <v>16</v>
      </c>
      <c r="C33" t="s">
        <v>146</v>
      </c>
      <c r="D33" t="s">
        <v>36</v>
      </c>
      <c r="E33" t="s">
        <v>536</v>
      </c>
      <c r="F33" t="s">
        <v>537</v>
      </c>
      <c r="G33" t="s">
        <v>660</v>
      </c>
      <c r="H33" t="s">
        <v>374</v>
      </c>
      <c r="I33">
        <v>380</v>
      </c>
      <c r="J33">
        <v>30</v>
      </c>
      <c r="K33" t="s">
        <v>373</v>
      </c>
      <c r="L33">
        <v>8244</v>
      </c>
      <c r="M33" t="s">
        <v>346</v>
      </c>
      <c r="N33" t="s">
        <v>380</v>
      </c>
      <c r="O33">
        <v>1</v>
      </c>
      <c r="P33">
        <v>2</v>
      </c>
      <c r="Q33">
        <v>-99</v>
      </c>
      <c r="R33" t="s">
        <v>686</v>
      </c>
    </row>
    <row r="34" spans="1:18" x14ac:dyDescent="0.2">
      <c r="A34">
        <v>33</v>
      </c>
      <c r="B34">
        <v>23</v>
      </c>
      <c r="C34" t="s">
        <v>106</v>
      </c>
      <c r="D34" t="s">
        <v>72</v>
      </c>
      <c r="E34" t="s">
        <v>538</v>
      </c>
      <c r="F34" t="s">
        <v>539</v>
      </c>
      <c r="G34" t="s">
        <v>661</v>
      </c>
      <c r="H34" t="s">
        <v>381</v>
      </c>
      <c r="I34">
        <v>381</v>
      </c>
      <c r="J34">
        <v>30</v>
      </c>
      <c r="K34" t="s">
        <v>373</v>
      </c>
      <c r="L34">
        <v>8245</v>
      </c>
      <c r="M34" t="s">
        <v>325</v>
      </c>
      <c r="N34" t="s">
        <v>382</v>
      </c>
      <c r="O34">
        <v>1</v>
      </c>
      <c r="P34">
        <v>2</v>
      </c>
      <c r="Q34">
        <v>-99</v>
      </c>
      <c r="R34" t="s">
        <v>686</v>
      </c>
    </row>
    <row r="35" spans="1:18" x14ac:dyDescent="0.2">
      <c r="A35">
        <v>34</v>
      </c>
      <c r="B35">
        <v>24</v>
      </c>
      <c r="C35" t="s">
        <v>147</v>
      </c>
      <c r="D35" t="s">
        <v>50</v>
      </c>
      <c r="E35" t="s">
        <v>540</v>
      </c>
      <c r="F35" t="s">
        <v>541</v>
      </c>
      <c r="G35" t="s">
        <v>661</v>
      </c>
      <c r="H35" t="s">
        <v>381</v>
      </c>
      <c r="I35">
        <v>381</v>
      </c>
      <c r="J35">
        <v>30</v>
      </c>
      <c r="K35" t="s">
        <v>373</v>
      </c>
      <c r="L35">
        <v>8246</v>
      </c>
      <c r="M35" t="s">
        <v>341</v>
      </c>
      <c r="N35" t="s">
        <v>383</v>
      </c>
      <c r="O35">
        <v>1</v>
      </c>
      <c r="P35">
        <v>2</v>
      </c>
      <c r="Q35">
        <v>-99</v>
      </c>
      <c r="R35" t="s">
        <v>686</v>
      </c>
    </row>
    <row r="36" spans="1:18" x14ac:dyDescent="0.2">
      <c r="A36">
        <v>35</v>
      </c>
      <c r="B36">
        <v>30</v>
      </c>
      <c r="C36" t="s">
        <v>148</v>
      </c>
      <c r="D36" t="s">
        <v>25</v>
      </c>
      <c r="E36" t="s">
        <v>542</v>
      </c>
      <c r="F36" t="s">
        <v>543</v>
      </c>
      <c r="G36" t="s">
        <v>661</v>
      </c>
      <c r="H36" t="s">
        <v>381</v>
      </c>
      <c r="I36">
        <v>381</v>
      </c>
      <c r="J36">
        <v>31</v>
      </c>
      <c r="K36" t="s">
        <v>384</v>
      </c>
      <c r="L36">
        <v>8247</v>
      </c>
      <c r="M36" t="s">
        <v>366</v>
      </c>
      <c r="N36" t="s">
        <v>385</v>
      </c>
      <c r="O36">
        <v>1</v>
      </c>
      <c r="P36">
        <v>2</v>
      </c>
      <c r="Q36">
        <v>-99</v>
      </c>
      <c r="R36" t="s">
        <v>686</v>
      </c>
    </row>
    <row r="37" spans="1:18" x14ac:dyDescent="0.2">
      <c r="A37">
        <v>36</v>
      </c>
      <c r="B37">
        <v>194</v>
      </c>
      <c r="C37" t="s">
        <v>149</v>
      </c>
      <c r="D37" t="s">
        <v>80</v>
      </c>
      <c r="E37" t="s">
        <v>544</v>
      </c>
      <c r="F37" t="s">
        <v>545</v>
      </c>
      <c r="G37" t="s">
        <v>661</v>
      </c>
      <c r="H37" t="s">
        <v>381</v>
      </c>
      <c r="I37">
        <v>381</v>
      </c>
      <c r="J37">
        <v>31</v>
      </c>
      <c r="K37" t="s">
        <v>384</v>
      </c>
      <c r="L37">
        <v>8248</v>
      </c>
      <c r="M37" t="s">
        <v>321</v>
      </c>
      <c r="N37" t="s">
        <v>429</v>
      </c>
      <c r="O37">
        <v>1</v>
      </c>
      <c r="P37">
        <v>2</v>
      </c>
      <c r="Q37">
        <v>-99</v>
      </c>
      <c r="R37" t="s">
        <v>686</v>
      </c>
    </row>
    <row r="38" spans="1:18" x14ac:dyDescent="0.2">
      <c r="A38">
        <v>37</v>
      </c>
      <c r="B38">
        <v>34</v>
      </c>
      <c r="C38" t="s">
        <v>150</v>
      </c>
      <c r="D38" t="s">
        <v>86</v>
      </c>
      <c r="E38" t="s">
        <v>546</v>
      </c>
      <c r="F38" t="s">
        <v>547</v>
      </c>
      <c r="G38" t="s">
        <v>661</v>
      </c>
      <c r="H38" t="s">
        <v>381</v>
      </c>
      <c r="I38">
        <v>381</v>
      </c>
      <c r="J38">
        <v>30</v>
      </c>
      <c r="K38" t="s">
        <v>373</v>
      </c>
      <c r="L38">
        <v>8249</v>
      </c>
      <c r="M38" t="s">
        <v>352</v>
      </c>
      <c r="N38" t="s">
        <v>386</v>
      </c>
      <c r="O38">
        <v>1</v>
      </c>
      <c r="P38">
        <v>1</v>
      </c>
      <c r="Q38">
        <v>-99</v>
      </c>
      <c r="R38" t="s">
        <v>686</v>
      </c>
    </row>
    <row r="39" spans="1:18" x14ac:dyDescent="0.2">
      <c r="A39">
        <v>38</v>
      </c>
      <c r="B39">
        <v>-99</v>
      </c>
      <c r="C39" t="s">
        <v>150</v>
      </c>
      <c r="D39" t="s">
        <v>86</v>
      </c>
      <c r="E39" t="s">
        <v>548</v>
      </c>
      <c r="F39" t="s">
        <v>216</v>
      </c>
      <c r="G39" t="s">
        <v>661</v>
      </c>
      <c r="H39" t="s">
        <v>381</v>
      </c>
      <c r="I39">
        <v>381</v>
      </c>
      <c r="J39">
        <v>30</v>
      </c>
      <c r="K39" t="s">
        <v>373</v>
      </c>
      <c r="L39">
        <v>8249</v>
      </c>
      <c r="M39" t="s">
        <v>352</v>
      </c>
      <c r="N39" t="s">
        <v>386</v>
      </c>
      <c r="O39">
        <v>-99</v>
      </c>
      <c r="P39">
        <v>1</v>
      </c>
      <c r="Q39">
        <v>-99</v>
      </c>
      <c r="R39" t="s">
        <v>683</v>
      </c>
    </row>
    <row r="40" spans="1:18" x14ac:dyDescent="0.2">
      <c r="A40">
        <v>39</v>
      </c>
      <c r="B40">
        <v>-99</v>
      </c>
      <c r="C40" t="s">
        <v>150</v>
      </c>
      <c r="D40" t="s">
        <v>86</v>
      </c>
      <c r="E40" t="s">
        <v>549</v>
      </c>
      <c r="F40" t="s">
        <v>961</v>
      </c>
      <c r="G40" t="s">
        <v>661</v>
      </c>
      <c r="H40" t="s">
        <v>381</v>
      </c>
      <c r="I40">
        <v>381</v>
      </c>
      <c r="J40">
        <v>30</v>
      </c>
      <c r="K40" t="s">
        <v>373</v>
      </c>
      <c r="L40">
        <v>8249</v>
      </c>
      <c r="M40" t="s">
        <v>352</v>
      </c>
      <c r="N40" t="s">
        <v>386</v>
      </c>
      <c r="O40">
        <v>-99</v>
      </c>
      <c r="P40">
        <v>1</v>
      </c>
      <c r="Q40">
        <v>-99</v>
      </c>
      <c r="R40" t="s">
        <v>684</v>
      </c>
    </row>
    <row r="41" spans="1:18" x14ac:dyDescent="0.2">
      <c r="A41">
        <v>40</v>
      </c>
      <c r="B41">
        <v>35</v>
      </c>
      <c r="C41" t="s">
        <v>151</v>
      </c>
      <c r="D41" t="s">
        <v>42</v>
      </c>
      <c r="E41" t="s">
        <v>550</v>
      </c>
      <c r="F41" t="s">
        <v>551</v>
      </c>
      <c r="G41" t="s">
        <v>661</v>
      </c>
      <c r="H41" t="s">
        <v>381</v>
      </c>
      <c r="I41">
        <v>381</v>
      </c>
      <c r="J41">
        <v>31</v>
      </c>
      <c r="K41" t="s">
        <v>384</v>
      </c>
      <c r="L41">
        <v>8250</v>
      </c>
      <c r="M41" t="s">
        <v>344</v>
      </c>
      <c r="N41" t="s">
        <v>387</v>
      </c>
      <c r="O41">
        <v>1</v>
      </c>
      <c r="P41">
        <v>2</v>
      </c>
      <c r="Q41">
        <v>-99</v>
      </c>
      <c r="R41" t="s">
        <v>686</v>
      </c>
    </row>
    <row r="42" spans="1:18" x14ac:dyDescent="0.2">
      <c r="A42">
        <v>41</v>
      </c>
      <c r="B42">
        <v>36</v>
      </c>
      <c r="C42" t="s">
        <v>94</v>
      </c>
      <c r="D42" t="s">
        <v>61</v>
      </c>
      <c r="E42" t="s">
        <v>552</v>
      </c>
      <c r="F42" t="s">
        <v>553</v>
      </c>
      <c r="G42" t="s">
        <v>661</v>
      </c>
      <c r="H42" t="s">
        <v>381</v>
      </c>
      <c r="I42">
        <v>381</v>
      </c>
      <c r="J42">
        <v>31</v>
      </c>
      <c r="K42" t="s">
        <v>384</v>
      </c>
      <c r="L42">
        <v>8251</v>
      </c>
      <c r="M42" t="s">
        <v>347</v>
      </c>
      <c r="N42" t="s">
        <v>388</v>
      </c>
      <c r="O42">
        <v>1</v>
      </c>
      <c r="P42">
        <v>2</v>
      </c>
      <c r="Q42">
        <v>-99</v>
      </c>
      <c r="R42" t="s">
        <v>686</v>
      </c>
    </row>
    <row r="43" spans="1:18" x14ac:dyDescent="0.2">
      <c r="A43">
        <v>42</v>
      </c>
      <c r="B43">
        <v>37</v>
      </c>
      <c r="C43" t="s">
        <v>152</v>
      </c>
      <c r="D43" t="s">
        <v>62</v>
      </c>
      <c r="E43" t="s">
        <v>554</v>
      </c>
      <c r="F43" t="s">
        <v>555</v>
      </c>
      <c r="G43" t="s">
        <v>662</v>
      </c>
      <c r="H43" t="s">
        <v>390</v>
      </c>
      <c r="I43">
        <v>382</v>
      </c>
      <c r="J43">
        <v>33</v>
      </c>
      <c r="K43" t="s">
        <v>389</v>
      </c>
      <c r="L43">
        <v>8252</v>
      </c>
      <c r="M43" t="s">
        <v>324</v>
      </c>
      <c r="N43" t="s">
        <v>391</v>
      </c>
      <c r="O43">
        <v>1</v>
      </c>
      <c r="P43">
        <v>2</v>
      </c>
      <c r="Q43">
        <v>-99</v>
      </c>
      <c r="R43" t="s">
        <v>686</v>
      </c>
    </row>
    <row r="44" spans="1:18" x14ac:dyDescent="0.2">
      <c r="A44">
        <v>43</v>
      </c>
      <c r="B44">
        <v>38</v>
      </c>
      <c r="C44" t="s">
        <v>153</v>
      </c>
      <c r="D44" t="s">
        <v>60</v>
      </c>
      <c r="E44" t="s">
        <v>556</v>
      </c>
      <c r="F44" t="s">
        <v>557</v>
      </c>
      <c r="G44" t="s">
        <v>661</v>
      </c>
      <c r="H44" t="s">
        <v>381</v>
      </c>
      <c r="I44">
        <v>381</v>
      </c>
      <c r="J44">
        <v>31</v>
      </c>
      <c r="K44" t="s">
        <v>384</v>
      </c>
      <c r="L44">
        <v>8253</v>
      </c>
      <c r="M44" t="s">
        <v>358</v>
      </c>
      <c r="N44" t="s">
        <v>392</v>
      </c>
      <c r="O44">
        <v>1</v>
      </c>
      <c r="P44">
        <v>2</v>
      </c>
      <c r="Q44">
        <v>-99</v>
      </c>
      <c r="R44" t="s">
        <v>686</v>
      </c>
    </row>
    <row r="45" spans="1:18" x14ac:dyDescent="0.2">
      <c r="A45">
        <v>44</v>
      </c>
      <c r="B45">
        <v>39</v>
      </c>
      <c r="C45" t="s">
        <v>154</v>
      </c>
      <c r="D45" t="s">
        <v>52</v>
      </c>
      <c r="E45" t="s">
        <v>558</v>
      </c>
      <c r="F45" t="s">
        <v>559</v>
      </c>
      <c r="G45" t="s">
        <v>661</v>
      </c>
      <c r="H45" t="s">
        <v>381</v>
      </c>
      <c r="I45">
        <v>381</v>
      </c>
      <c r="J45">
        <v>33</v>
      </c>
      <c r="K45" t="s">
        <v>389</v>
      </c>
      <c r="L45">
        <v>8254</v>
      </c>
      <c r="M45" t="s">
        <v>359</v>
      </c>
      <c r="N45" t="s">
        <v>393</v>
      </c>
      <c r="O45">
        <v>1</v>
      </c>
      <c r="P45">
        <v>1</v>
      </c>
      <c r="Q45">
        <v>-99</v>
      </c>
      <c r="R45" t="s">
        <v>686</v>
      </c>
    </row>
    <row r="46" spans="1:18" x14ac:dyDescent="0.2">
      <c r="A46">
        <v>45</v>
      </c>
      <c r="B46">
        <v>-99</v>
      </c>
      <c r="C46" t="s">
        <v>154</v>
      </c>
      <c r="D46" t="s">
        <v>52</v>
      </c>
      <c r="E46" t="s">
        <v>560</v>
      </c>
      <c r="F46" t="s">
        <v>561</v>
      </c>
      <c r="G46" t="s">
        <v>661</v>
      </c>
      <c r="H46" t="s">
        <v>381</v>
      </c>
      <c r="I46">
        <v>381</v>
      </c>
      <c r="J46">
        <v>33</v>
      </c>
      <c r="K46" t="s">
        <v>389</v>
      </c>
      <c r="L46">
        <v>8254</v>
      </c>
      <c r="M46" t="s">
        <v>359</v>
      </c>
      <c r="N46" t="s">
        <v>393</v>
      </c>
      <c r="O46">
        <v>-99</v>
      </c>
      <c r="P46">
        <v>1</v>
      </c>
      <c r="Q46">
        <v>-99</v>
      </c>
      <c r="R46" t="s">
        <v>687</v>
      </c>
    </row>
    <row r="47" spans="1:18" x14ac:dyDescent="0.2">
      <c r="A47">
        <v>46</v>
      </c>
      <c r="B47">
        <v>52</v>
      </c>
      <c r="C47" t="s">
        <v>155</v>
      </c>
      <c r="D47" t="s">
        <v>41</v>
      </c>
      <c r="E47" t="s">
        <v>562</v>
      </c>
      <c r="F47" t="s">
        <v>563</v>
      </c>
      <c r="G47" t="s">
        <v>660</v>
      </c>
      <c r="H47" t="s">
        <v>374</v>
      </c>
      <c r="I47">
        <v>380</v>
      </c>
      <c r="J47">
        <v>32</v>
      </c>
      <c r="K47" t="s">
        <v>394</v>
      </c>
      <c r="L47">
        <v>8255</v>
      </c>
      <c r="M47" t="s">
        <v>360</v>
      </c>
      <c r="N47" t="s">
        <v>395</v>
      </c>
      <c r="O47">
        <v>1</v>
      </c>
      <c r="P47">
        <v>2</v>
      </c>
      <c r="Q47">
        <v>-99</v>
      </c>
      <c r="R47" t="s">
        <v>686</v>
      </c>
    </row>
    <row r="48" spans="1:18" x14ac:dyDescent="0.2">
      <c r="A48">
        <v>47</v>
      </c>
      <c r="B48">
        <v>53</v>
      </c>
      <c r="C48" t="s">
        <v>156</v>
      </c>
      <c r="D48" t="s">
        <v>51</v>
      </c>
      <c r="E48" t="s">
        <v>564</v>
      </c>
      <c r="F48" t="s">
        <v>565</v>
      </c>
      <c r="G48" t="s">
        <v>660</v>
      </c>
      <c r="H48" t="s">
        <v>374</v>
      </c>
      <c r="I48">
        <v>380</v>
      </c>
      <c r="J48">
        <v>32</v>
      </c>
      <c r="K48" t="s">
        <v>394</v>
      </c>
      <c r="L48">
        <v>8256</v>
      </c>
      <c r="M48" t="s">
        <v>334</v>
      </c>
      <c r="N48" t="s">
        <v>396</v>
      </c>
      <c r="O48">
        <v>1</v>
      </c>
      <c r="P48">
        <v>2</v>
      </c>
      <c r="Q48">
        <v>-99</v>
      </c>
      <c r="R48" t="s">
        <v>686</v>
      </c>
    </row>
    <row r="49" spans="1:18" x14ac:dyDescent="0.2">
      <c r="A49">
        <v>48</v>
      </c>
      <c r="B49">
        <v>54</v>
      </c>
      <c r="C49" t="s">
        <v>157</v>
      </c>
      <c r="D49" t="s">
        <v>56</v>
      </c>
      <c r="E49" t="s">
        <v>566</v>
      </c>
      <c r="F49" t="s">
        <v>567</v>
      </c>
      <c r="G49" t="s">
        <v>661</v>
      </c>
      <c r="H49" t="s">
        <v>381</v>
      </c>
      <c r="I49">
        <v>381</v>
      </c>
      <c r="J49">
        <v>31</v>
      </c>
      <c r="K49" t="s">
        <v>384</v>
      </c>
      <c r="L49">
        <v>8257</v>
      </c>
      <c r="M49" t="s">
        <v>340</v>
      </c>
      <c r="N49" t="s">
        <v>397</v>
      </c>
      <c r="O49">
        <v>1</v>
      </c>
      <c r="P49">
        <v>1</v>
      </c>
      <c r="Q49">
        <v>-99</v>
      </c>
      <c r="R49" t="s">
        <v>686</v>
      </c>
    </row>
    <row r="50" spans="1:18" x14ac:dyDescent="0.2">
      <c r="A50">
        <v>49</v>
      </c>
      <c r="B50">
        <v>-99</v>
      </c>
      <c r="C50" t="s">
        <v>157</v>
      </c>
      <c r="D50" t="s">
        <v>56</v>
      </c>
      <c r="E50" t="s">
        <v>568</v>
      </c>
      <c r="F50" t="s">
        <v>569</v>
      </c>
      <c r="G50" t="s">
        <v>661</v>
      </c>
      <c r="H50" t="s">
        <v>381</v>
      </c>
      <c r="I50">
        <v>381</v>
      </c>
      <c r="J50">
        <v>31</v>
      </c>
      <c r="K50" t="s">
        <v>384</v>
      </c>
      <c r="L50">
        <v>8257</v>
      </c>
      <c r="M50" t="s">
        <v>340</v>
      </c>
      <c r="N50" t="s">
        <v>397</v>
      </c>
      <c r="O50">
        <v>-99</v>
      </c>
      <c r="P50">
        <v>1</v>
      </c>
      <c r="Q50">
        <v>-99</v>
      </c>
      <c r="R50" t="s">
        <v>688</v>
      </c>
    </row>
    <row r="51" spans="1:18" x14ac:dyDescent="0.2">
      <c r="A51">
        <v>50</v>
      </c>
      <c r="B51">
        <v>55</v>
      </c>
      <c r="C51" t="s">
        <v>158</v>
      </c>
      <c r="D51" t="s">
        <v>40</v>
      </c>
      <c r="E51" t="s">
        <v>570</v>
      </c>
      <c r="F51" t="s">
        <v>571</v>
      </c>
      <c r="G51" t="s">
        <v>662</v>
      </c>
      <c r="H51" t="s">
        <v>390</v>
      </c>
      <c r="I51">
        <v>382</v>
      </c>
      <c r="J51">
        <v>32</v>
      </c>
      <c r="K51" t="s">
        <v>394</v>
      </c>
      <c r="L51">
        <v>8258</v>
      </c>
      <c r="M51" t="s">
        <v>353</v>
      </c>
      <c r="N51" t="s">
        <v>398</v>
      </c>
      <c r="O51">
        <v>1</v>
      </c>
      <c r="P51">
        <v>2</v>
      </c>
      <c r="Q51">
        <v>-99</v>
      </c>
      <c r="R51" t="s">
        <v>686</v>
      </c>
    </row>
    <row r="52" spans="1:18" x14ac:dyDescent="0.2">
      <c r="A52">
        <v>51</v>
      </c>
      <c r="B52">
        <v>56</v>
      </c>
      <c r="C52" t="s">
        <v>159</v>
      </c>
      <c r="D52" t="s">
        <v>45</v>
      </c>
      <c r="E52" t="s">
        <v>572</v>
      </c>
      <c r="F52" t="s">
        <v>573</v>
      </c>
      <c r="G52" t="s">
        <v>660</v>
      </c>
      <c r="H52" t="s">
        <v>374</v>
      </c>
      <c r="I52">
        <v>380</v>
      </c>
      <c r="J52">
        <v>32</v>
      </c>
      <c r="K52" t="s">
        <v>394</v>
      </c>
      <c r="L52">
        <v>8259</v>
      </c>
      <c r="M52" t="s">
        <v>330</v>
      </c>
      <c r="N52" t="s">
        <v>399</v>
      </c>
      <c r="O52">
        <v>1</v>
      </c>
      <c r="P52">
        <v>2</v>
      </c>
      <c r="Q52">
        <v>-99</v>
      </c>
      <c r="R52" t="s">
        <v>686</v>
      </c>
    </row>
    <row r="53" spans="1:18" x14ac:dyDescent="0.2">
      <c r="A53">
        <v>52</v>
      </c>
      <c r="B53">
        <v>57</v>
      </c>
      <c r="C53" t="s">
        <v>160</v>
      </c>
      <c r="D53" t="s">
        <v>59</v>
      </c>
      <c r="E53" t="s">
        <v>574</v>
      </c>
      <c r="F53" t="s">
        <v>575</v>
      </c>
      <c r="G53" t="s">
        <v>662</v>
      </c>
      <c r="H53" t="s">
        <v>390</v>
      </c>
      <c r="I53">
        <v>382</v>
      </c>
      <c r="J53">
        <v>32</v>
      </c>
      <c r="K53" t="s">
        <v>394</v>
      </c>
      <c r="L53">
        <v>8260</v>
      </c>
      <c r="M53" t="s">
        <v>320</v>
      </c>
      <c r="N53" t="s">
        <v>400</v>
      </c>
      <c r="O53">
        <v>1</v>
      </c>
      <c r="P53">
        <v>1</v>
      </c>
      <c r="Q53">
        <v>-99</v>
      </c>
      <c r="R53" t="s">
        <v>686</v>
      </c>
    </row>
    <row r="54" spans="1:18" x14ac:dyDescent="0.2">
      <c r="A54">
        <v>53</v>
      </c>
      <c r="B54">
        <v>-99</v>
      </c>
      <c r="C54" t="s">
        <v>160</v>
      </c>
      <c r="D54" t="s">
        <v>59</v>
      </c>
      <c r="E54" t="s">
        <v>576</v>
      </c>
      <c r="F54" t="s">
        <v>212</v>
      </c>
      <c r="G54" t="s">
        <v>662</v>
      </c>
      <c r="H54" t="s">
        <v>390</v>
      </c>
      <c r="I54">
        <v>382</v>
      </c>
      <c r="J54">
        <v>32</v>
      </c>
      <c r="K54" t="s">
        <v>394</v>
      </c>
      <c r="L54">
        <v>8260</v>
      </c>
      <c r="M54" t="s">
        <v>320</v>
      </c>
      <c r="N54" t="s">
        <v>400</v>
      </c>
      <c r="O54">
        <v>-99</v>
      </c>
      <c r="P54">
        <v>1</v>
      </c>
      <c r="Q54">
        <v>-99</v>
      </c>
      <c r="R54" t="s">
        <v>211</v>
      </c>
    </row>
    <row r="55" spans="1:18" x14ac:dyDescent="0.2">
      <c r="A55">
        <v>54</v>
      </c>
      <c r="B55">
        <v>58</v>
      </c>
      <c r="C55" t="s">
        <v>161</v>
      </c>
      <c r="D55" t="s">
        <v>78</v>
      </c>
      <c r="E55" t="s">
        <v>577</v>
      </c>
      <c r="F55" t="s">
        <v>578</v>
      </c>
      <c r="G55" t="s">
        <v>662</v>
      </c>
      <c r="H55" t="s">
        <v>390</v>
      </c>
      <c r="I55">
        <v>382</v>
      </c>
      <c r="J55">
        <v>32</v>
      </c>
      <c r="K55" t="s">
        <v>394</v>
      </c>
      <c r="L55">
        <v>8261</v>
      </c>
      <c r="M55" t="s">
        <v>343</v>
      </c>
      <c r="N55" t="s">
        <v>401</v>
      </c>
      <c r="O55">
        <v>1</v>
      </c>
      <c r="P55">
        <v>2</v>
      </c>
      <c r="Q55">
        <v>-99</v>
      </c>
      <c r="R55" t="s">
        <v>686</v>
      </c>
    </row>
    <row r="56" spans="1:18" x14ac:dyDescent="0.2">
      <c r="A56">
        <v>55</v>
      </c>
      <c r="B56">
        <v>59</v>
      </c>
      <c r="C56" t="s">
        <v>162</v>
      </c>
      <c r="D56" t="s">
        <v>44</v>
      </c>
      <c r="E56" t="s">
        <v>579</v>
      </c>
      <c r="F56" t="s">
        <v>580</v>
      </c>
      <c r="G56" t="s">
        <v>662</v>
      </c>
      <c r="H56" t="s">
        <v>390</v>
      </c>
      <c r="I56">
        <v>382</v>
      </c>
      <c r="J56">
        <v>32</v>
      </c>
      <c r="K56" t="s">
        <v>394</v>
      </c>
      <c r="L56">
        <v>8262</v>
      </c>
      <c r="M56" t="s">
        <v>367</v>
      </c>
      <c r="N56" t="s">
        <v>403</v>
      </c>
      <c r="O56">
        <v>1</v>
      </c>
      <c r="P56">
        <v>2</v>
      </c>
      <c r="Q56">
        <v>-99</v>
      </c>
      <c r="R56" t="s">
        <v>686</v>
      </c>
    </row>
    <row r="57" spans="1:18" x14ac:dyDescent="0.2">
      <c r="A57">
        <v>56</v>
      </c>
      <c r="B57">
        <v>60</v>
      </c>
      <c r="C57" t="s">
        <v>163</v>
      </c>
      <c r="D57" t="s">
        <v>53</v>
      </c>
      <c r="E57" t="s">
        <v>581</v>
      </c>
      <c r="F57" t="s">
        <v>582</v>
      </c>
      <c r="G57" t="s">
        <v>662</v>
      </c>
      <c r="H57" t="s">
        <v>390</v>
      </c>
      <c r="I57">
        <v>382</v>
      </c>
      <c r="J57">
        <v>32</v>
      </c>
      <c r="K57" t="s">
        <v>394</v>
      </c>
      <c r="L57">
        <v>8263</v>
      </c>
      <c r="M57" t="s">
        <v>326</v>
      </c>
      <c r="N57" t="s">
        <v>404</v>
      </c>
      <c r="O57">
        <v>1</v>
      </c>
      <c r="P57">
        <v>2</v>
      </c>
      <c r="Q57">
        <v>-99</v>
      </c>
      <c r="R57" t="s">
        <v>686</v>
      </c>
    </row>
    <row r="58" spans="1:18" x14ac:dyDescent="0.2">
      <c r="A58">
        <v>57</v>
      </c>
      <c r="B58">
        <v>84</v>
      </c>
      <c r="C58" t="s">
        <v>164</v>
      </c>
      <c r="D58" t="s">
        <v>79</v>
      </c>
      <c r="E58" t="s">
        <v>583</v>
      </c>
      <c r="F58" t="s">
        <v>584</v>
      </c>
      <c r="G58" t="s">
        <v>662</v>
      </c>
      <c r="H58" t="s">
        <v>390</v>
      </c>
      <c r="I58">
        <v>382</v>
      </c>
      <c r="J58">
        <v>32</v>
      </c>
      <c r="K58" t="s">
        <v>394</v>
      </c>
      <c r="L58">
        <v>8264</v>
      </c>
      <c r="M58" t="s">
        <v>337</v>
      </c>
      <c r="N58" t="s">
        <v>405</v>
      </c>
      <c r="O58">
        <v>1</v>
      </c>
      <c r="P58">
        <v>1</v>
      </c>
      <c r="Q58">
        <v>-99</v>
      </c>
      <c r="R58" t="s">
        <v>686</v>
      </c>
    </row>
    <row r="59" spans="1:18" x14ac:dyDescent="0.2">
      <c r="A59">
        <v>58</v>
      </c>
      <c r="B59">
        <v>-99</v>
      </c>
      <c r="C59" t="s">
        <v>164</v>
      </c>
      <c r="D59" t="s">
        <v>79</v>
      </c>
      <c r="E59" t="s">
        <v>585</v>
      </c>
      <c r="F59" t="s">
        <v>495</v>
      </c>
      <c r="G59" t="s">
        <v>662</v>
      </c>
      <c r="H59" t="s">
        <v>390</v>
      </c>
      <c r="I59">
        <v>382</v>
      </c>
      <c r="J59">
        <v>32</v>
      </c>
      <c r="K59" t="s">
        <v>394</v>
      </c>
      <c r="L59">
        <v>8264</v>
      </c>
      <c r="M59" t="s">
        <v>337</v>
      </c>
      <c r="N59" t="s">
        <v>405</v>
      </c>
      <c r="O59">
        <v>-99</v>
      </c>
      <c r="P59">
        <v>1</v>
      </c>
      <c r="Q59">
        <v>-99</v>
      </c>
      <c r="R59" t="s">
        <v>658</v>
      </c>
    </row>
    <row r="60" spans="1:18" x14ac:dyDescent="0.2">
      <c r="A60">
        <v>59</v>
      </c>
      <c r="B60">
        <v>-99</v>
      </c>
      <c r="C60" t="s">
        <v>164</v>
      </c>
      <c r="D60" t="s">
        <v>79</v>
      </c>
      <c r="E60" t="s">
        <v>586</v>
      </c>
      <c r="F60" t="s">
        <v>215</v>
      </c>
      <c r="G60" t="s">
        <v>662</v>
      </c>
      <c r="H60" t="s">
        <v>390</v>
      </c>
      <c r="I60">
        <v>382</v>
      </c>
      <c r="J60">
        <v>32</v>
      </c>
      <c r="K60" t="s">
        <v>394</v>
      </c>
      <c r="L60">
        <v>8264</v>
      </c>
      <c r="M60" t="s">
        <v>337</v>
      </c>
      <c r="N60" t="s">
        <v>405</v>
      </c>
      <c r="O60">
        <v>-99</v>
      </c>
      <c r="P60">
        <v>1</v>
      </c>
      <c r="Q60">
        <v>-99</v>
      </c>
      <c r="R60" t="s">
        <v>211</v>
      </c>
    </row>
    <row r="61" spans="1:18" x14ac:dyDescent="0.2">
      <c r="A61">
        <v>60</v>
      </c>
      <c r="B61">
        <v>100</v>
      </c>
      <c r="C61" t="s">
        <v>165</v>
      </c>
      <c r="D61" t="s">
        <v>43</v>
      </c>
      <c r="E61" t="s">
        <v>587</v>
      </c>
      <c r="F61" t="s">
        <v>588</v>
      </c>
      <c r="G61" t="s">
        <v>664</v>
      </c>
      <c r="H61" t="s">
        <v>406</v>
      </c>
      <c r="I61">
        <v>383</v>
      </c>
      <c r="J61">
        <v>33</v>
      </c>
      <c r="K61" t="s">
        <v>389</v>
      </c>
      <c r="L61">
        <v>8268</v>
      </c>
      <c r="M61" t="s">
        <v>354</v>
      </c>
      <c r="N61" t="s">
        <v>407</v>
      </c>
      <c r="O61">
        <v>1</v>
      </c>
      <c r="P61">
        <v>2</v>
      </c>
      <c r="Q61">
        <v>-99</v>
      </c>
      <c r="R61" t="s">
        <v>686</v>
      </c>
    </row>
    <row r="62" spans="1:18" x14ac:dyDescent="0.2">
      <c r="A62">
        <v>61</v>
      </c>
      <c r="B62">
        <v>101</v>
      </c>
      <c r="C62" t="s">
        <v>166</v>
      </c>
      <c r="D62" t="s">
        <v>34</v>
      </c>
      <c r="E62" t="s">
        <v>589</v>
      </c>
      <c r="F62" t="s">
        <v>590</v>
      </c>
      <c r="G62" t="s">
        <v>664</v>
      </c>
      <c r="H62" t="s">
        <v>406</v>
      </c>
      <c r="I62">
        <v>383</v>
      </c>
      <c r="J62">
        <v>34</v>
      </c>
      <c r="K62" t="s">
        <v>408</v>
      </c>
      <c r="L62">
        <v>8269</v>
      </c>
      <c r="M62" t="s">
        <v>322</v>
      </c>
      <c r="N62" t="s">
        <v>409</v>
      </c>
      <c r="O62">
        <v>1</v>
      </c>
      <c r="P62">
        <v>2</v>
      </c>
      <c r="Q62">
        <v>-99</v>
      </c>
      <c r="R62" t="s">
        <v>686</v>
      </c>
    </row>
    <row r="63" spans="1:18" x14ac:dyDescent="0.2">
      <c r="A63">
        <v>62</v>
      </c>
      <c r="B63">
        <v>102</v>
      </c>
      <c r="C63" t="s">
        <v>167</v>
      </c>
      <c r="D63" t="s">
        <v>73</v>
      </c>
      <c r="E63" t="s">
        <v>591</v>
      </c>
      <c r="F63" t="s">
        <v>592</v>
      </c>
      <c r="G63" t="s">
        <v>664</v>
      </c>
      <c r="H63" t="s">
        <v>406</v>
      </c>
      <c r="I63">
        <v>383</v>
      </c>
      <c r="J63">
        <v>33</v>
      </c>
      <c r="K63" t="s">
        <v>389</v>
      </c>
      <c r="L63">
        <v>8270</v>
      </c>
      <c r="M63" t="s">
        <v>348</v>
      </c>
      <c r="N63" t="s">
        <v>410</v>
      </c>
      <c r="O63">
        <v>1</v>
      </c>
      <c r="P63">
        <v>1</v>
      </c>
      <c r="Q63">
        <v>-99</v>
      </c>
      <c r="R63" t="s">
        <v>686</v>
      </c>
    </row>
    <row r="64" spans="1:18" x14ac:dyDescent="0.2">
      <c r="A64">
        <v>63</v>
      </c>
      <c r="B64">
        <v>-99</v>
      </c>
      <c r="C64" t="s">
        <v>167</v>
      </c>
      <c r="D64" t="s">
        <v>73</v>
      </c>
      <c r="E64" t="s">
        <v>593</v>
      </c>
      <c r="F64" t="s">
        <v>214</v>
      </c>
      <c r="G64" t="s">
        <v>664</v>
      </c>
      <c r="H64" t="s">
        <v>406</v>
      </c>
      <c r="I64">
        <v>383</v>
      </c>
      <c r="J64">
        <v>33</v>
      </c>
      <c r="K64" t="s">
        <v>389</v>
      </c>
      <c r="L64">
        <v>8270</v>
      </c>
      <c r="M64" t="s">
        <v>348</v>
      </c>
      <c r="N64" t="s">
        <v>410</v>
      </c>
      <c r="O64">
        <v>-99</v>
      </c>
      <c r="P64">
        <v>1</v>
      </c>
      <c r="Q64">
        <v>-99</v>
      </c>
      <c r="R64" t="s">
        <v>683</v>
      </c>
    </row>
    <row r="65" spans="1:18" x14ac:dyDescent="0.2">
      <c r="A65">
        <v>64</v>
      </c>
      <c r="B65">
        <v>103</v>
      </c>
      <c r="C65" t="s">
        <v>168</v>
      </c>
      <c r="D65" t="s">
        <v>65</v>
      </c>
      <c r="E65" t="s">
        <v>594</v>
      </c>
      <c r="F65" t="s">
        <v>595</v>
      </c>
      <c r="G65" t="s">
        <v>664</v>
      </c>
      <c r="H65" t="s">
        <v>406</v>
      </c>
      <c r="I65">
        <v>383</v>
      </c>
      <c r="J65">
        <v>34</v>
      </c>
      <c r="K65" t="s">
        <v>408</v>
      </c>
      <c r="L65">
        <v>8272</v>
      </c>
      <c r="M65" t="s">
        <v>336</v>
      </c>
      <c r="N65" t="s">
        <v>411</v>
      </c>
      <c r="O65">
        <v>1</v>
      </c>
      <c r="P65">
        <v>2</v>
      </c>
      <c r="Q65">
        <v>-99</v>
      </c>
      <c r="R65" t="s">
        <v>686</v>
      </c>
    </row>
    <row r="66" spans="1:18" x14ac:dyDescent="0.2">
      <c r="A66">
        <v>65</v>
      </c>
      <c r="B66">
        <v>104</v>
      </c>
      <c r="C66" t="s">
        <v>169</v>
      </c>
      <c r="D66" t="s">
        <v>55</v>
      </c>
      <c r="E66" t="s">
        <v>596</v>
      </c>
      <c r="F66" t="s">
        <v>597</v>
      </c>
      <c r="G66" t="s">
        <v>664</v>
      </c>
      <c r="H66" t="s">
        <v>406</v>
      </c>
      <c r="I66">
        <v>383</v>
      </c>
      <c r="J66">
        <v>34</v>
      </c>
      <c r="K66" t="s">
        <v>408</v>
      </c>
      <c r="L66">
        <v>8221</v>
      </c>
      <c r="M66" t="s">
        <v>336</v>
      </c>
      <c r="N66" t="s">
        <v>411</v>
      </c>
      <c r="O66">
        <v>1</v>
      </c>
      <c r="P66">
        <v>2</v>
      </c>
      <c r="Q66">
        <v>-99</v>
      </c>
      <c r="R66" t="s">
        <v>686</v>
      </c>
    </row>
    <row r="67" spans="1:18" x14ac:dyDescent="0.2">
      <c r="A67">
        <v>66</v>
      </c>
      <c r="B67">
        <v>196</v>
      </c>
      <c r="C67" t="s">
        <v>170</v>
      </c>
      <c r="D67" t="s">
        <v>67</v>
      </c>
      <c r="E67" t="s">
        <v>598</v>
      </c>
      <c r="F67" t="s">
        <v>599</v>
      </c>
      <c r="G67" t="s">
        <v>664</v>
      </c>
      <c r="H67" t="s">
        <v>406</v>
      </c>
      <c r="I67">
        <v>383</v>
      </c>
      <c r="J67">
        <v>34</v>
      </c>
      <c r="K67" t="s">
        <v>408</v>
      </c>
      <c r="L67">
        <v>8202</v>
      </c>
      <c r="M67" t="s">
        <v>349</v>
      </c>
      <c r="N67" t="s">
        <v>430</v>
      </c>
      <c r="O67">
        <v>1</v>
      </c>
      <c r="P67">
        <v>2</v>
      </c>
      <c r="Q67">
        <v>-99</v>
      </c>
      <c r="R67" t="s">
        <v>686</v>
      </c>
    </row>
    <row r="68" spans="1:18" x14ac:dyDescent="0.2">
      <c r="A68">
        <v>67</v>
      </c>
      <c r="B68">
        <v>110</v>
      </c>
      <c r="C68" t="s">
        <v>171</v>
      </c>
      <c r="D68" t="s">
        <v>76</v>
      </c>
      <c r="E68" t="s">
        <v>600</v>
      </c>
      <c r="F68" t="s">
        <v>601</v>
      </c>
      <c r="G68" t="s">
        <v>664</v>
      </c>
      <c r="H68" t="s">
        <v>406</v>
      </c>
      <c r="I68">
        <v>383</v>
      </c>
      <c r="J68">
        <v>34</v>
      </c>
      <c r="K68" t="s">
        <v>408</v>
      </c>
      <c r="L68">
        <v>8203</v>
      </c>
      <c r="M68" t="s">
        <v>333</v>
      </c>
      <c r="N68" t="s">
        <v>83</v>
      </c>
      <c r="O68">
        <v>1</v>
      </c>
      <c r="P68">
        <v>1</v>
      </c>
      <c r="Q68">
        <v>-99</v>
      </c>
      <c r="R68" t="s">
        <v>686</v>
      </c>
    </row>
    <row r="69" spans="1:18" x14ac:dyDescent="0.2">
      <c r="A69">
        <v>68</v>
      </c>
      <c r="B69">
        <v>-99</v>
      </c>
      <c r="C69" t="s">
        <v>171</v>
      </c>
      <c r="D69" t="s">
        <v>76</v>
      </c>
      <c r="E69" t="s">
        <v>602</v>
      </c>
      <c r="F69" t="s">
        <v>603</v>
      </c>
      <c r="G69" t="s">
        <v>664</v>
      </c>
      <c r="H69" t="s">
        <v>406</v>
      </c>
      <c r="I69">
        <v>383</v>
      </c>
      <c r="J69">
        <v>34</v>
      </c>
      <c r="K69" t="s">
        <v>408</v>
      </c>
      <c r="L69">
        <v>8203</v>
      </c>
      <c r="M69" t="s">
        <v>333</v>
      </c>
      <c r="N69" t="s">
        <v>83</v>
      </c>
      <c r="O69">
        <v>-99</v>
      </c>
      <c r="P69">
        <v>1</v>
      </c>
      <c r="Q69">
        <v>-99</v>
      </c>
      <c r="R69" t="s">
        <v>402</v>
      </c>
    </row>
    <row r="70" spans="1:18" x14ac:dyDescent="0.2">
      <c r="A70">
        <v>69</v>
      </c>
      <c r="B70">
        <v>111</v>
      </c>
      <c r="C70" t="s">
        <v>172</v>
      </c>
      <c r="D70" t="s">
        <v>37</v>
      </c>
      <c r="E70" t="s">
        <v>604</v>
      </c>
      <c r="F70" t="s">
        <v>605</v>
      </c>
      <c r="G70" t="s">
        <v>664</v>
      </c>
      <c r="H70" t="s">
        <v>406</v>
      </c>
      <c r="I70">
        <v>383</v>
      </c>
      <c r="J70">
        <v>34</v>
      </c>
      <c r="K70" t="s">
        <v>408</v>
      </c>
      <c r="L70">
        <v>8204</v>
      </c>
      <c r="M70" t="s">
        <v>338</v>
      </c>
      <c r="N70" t="s">
        <v>412</v>
      </c>
      <c r="O70">
        <v>1</v>
      </c>
      <c r="P70">
        <v>2</v>
      </c>
      <c r="Q70">
        <v>-99</v>
      </c>
      <c r="R70" t="s">
        <v>686</v>
      </c>
    </row>
    <row r="71" spans="1:18" x14ac:dyDescent="0.2">
      <c r="A71">
        <v>70</v>
      </c>
      <c r="B71">
        <v>112</v>
      </c>
      <c r="C71" t="s">
        <v>173</v>
      </c>
      <c r="D71" t="s">
        <v>69</v>
      </c>
      <c r="E71" t="s">
        <v>606</v>
      </c>
      <c r="F71" t="s">
        <v>607</v>
      </c>
      <c r="G71" t="s">
        <v>664</v>
      </c>
      <c r="H71" t="s">
        <v>406</v>
      </c>
      <c r="I71">
        <v>383</v>
      </c>
      <c r="J71">
        <v>34</v>
      </c>
      <c r="K71" t="s">
        <v>408</v>
      </c>
      <c r="L71">
        <v>8205</v>
      </c>
      <c r="M71" t="s">
        <v>355</v>
      </c>
      <c r="N71" t="s">
        <v>413</v>
      </c>
      <c r="O71">
        <v>1</v>
      </c>
      <c r="P71">
        <v>2</v>
      </c>
      <c r="Q71">
        <v>-99</v>
      </c>
      <c r="R71" t="s">
        <v>686</v>
      </c>
    </row>
    <row r="72" spans="1:18" x14ac:dyDescent="0.2">
      <c r="A72">
        <v>71</v>
      </c>
      <c r="B72">
        <v>113</v>
      </c>
      <c r="C72" t="s">
        <v>174</v>
      </c>
      <c r="D72" t="s">
        <v>82</v>
      </c>
      <c r="E72" t="s">
        <v>608</v>
      </c>
      <c r="F72" t="s">
        <v>609</v>
      </c>
      <c r="G72" t="s">
        <v>662</v>
      </c>
      <c r="H72" t="s">
        <v>390</v>
      </c>
      <c r="I72">
        <v>382</v>
      </c>
      <c r="J72">
        <v>33</v>
      </c>
      <c r="K72" t="s">
        <v>389</v>
      </c>
      <c r="L72">
        <v>8206</v>
      </c>
      <c r="M72" t="s">
        <v>331</v>
      </c>
      <c r="N72" t="s">
        <v>414</v>
      </c>
      <c r="O72">
        <v>1</v>
      </c>
      <c r="P72">
        <v>2</v>
      </c>
      <c r="Q72">
        <v>-99</v>
      </c>
      <c r="R72" t="s">
        <v>686</v>
      </c>
    </row>
    <row r="73" spans="1:18" x14ac:dyDescent="0.2">
      <c r="A73">
        <v>72</v>
      </c>
      <c r="B73">
        <v>114</v>
      </c>
      <c r="C73" t="s">
        <v>175</v>
      </c>
      <c r="D73" t="s">
        <v>54</v>
      </c>
      <c r="E73" t="s">
        <v>610</v>
      </c>
      <c r="F73" t="s">
        <v>611</v>
      </c>
      <c r="G73" t="s">
        <v>662</v>
      </c>
      <c r="H73" t="s">
        <v>390</v>
      </c>
      <c r="I73">
        <v>382</v>
      </c>
      <c r="J73">
        <v>33</v>
      </c>
      <c r="K73" t="s">
        <v>389</v>
      </c>
      <c r="L73">
        <v>8207</v>
      </c>
      <c r="M73" t="s">
        <v>319</v>
      </c>
      <c r="N73" t="s">
        <v>415</v>
      </c>
      <c r="O73">
        <v>1</v>
      </c>
      <c r="P73">
        <v>2</v>
      </c>
      <c r="Q73">
        <v>-99</v>
      </c>
      <c r="R73" t="s">
        <v>686</v>
      </c>
    </row>
    <row r="74" spans="1:18" x14ac:dyDescent="0.2">
      <c r="A74">
        <v>73</v>
      </c>
      <c r="B74">
        <v>115</v>
      </c>
      <c r="C74" t="s">
        <v>176</v>
      </c>
      <c r="D74" t="s">
        <v>27</v>
      </c>
      <c r="E74" t="s">
        <v>612</v>
      </c>
      <c r="F74" t="s">
        <v>613</v>
      </c>
      <c r="G74" t="s">
        <v>662</v>
      </c>
      <c r="H74" t="s">
        <v>390</v>
      </c>
      <c r="I74">
        <v>382</v>
      </c>
      <c r="J74">
        <v>33</v>
      </c>
      <c r="K74" t="s">
        <v>389</v>
      </c>
      <c r="L74">
        <v>8208</v>
      </c>
      <c r="M74" t="s">
        <v>342</v>
      </c>
      <c r="N74" t="s">
        <v>416</v>
      </c>
      <c r="O74">
        <v>1</v>
      </c>
      <c r="P74">
        <v>2</v>
      </c>
      <c r="Q74">
        <v>-99</v>
      </c>
      <c r="R74" t="s">
        <v>686</v>
      </c>
    </row>
    <row r="75" spans="1:18" x14ac:dyDescent="0.2">
      <c r="A75">
        <v>74</v>
      </c>
      <c r="B75">
        <v>116</v>
      </c>
      <c r="C75" t="s">
        <v>177</v>
      </c>
      <c r="D75" t="s">
        <v>71</v>
      </c>
      <c r="E75" t="s">
        <v>614</v>
      </c>
      <c r="F75" t="s">
        <v>615</v>
      </c>
      <c r="G75" t="s">
        <v>664</v>
      </c>
      <c r="H75" t="s">
        <v>406</v>
      </c>
      <c r="I75">
        <v>383</v>
      </c>
      <c r="J75">
        <v>34</v>
      </c>
      <c r="K75" t="s">
        <v>408</v>
      </c>
      <c r="L75">
        <v>8210</v>
      </c>
      <c r="M75" t="s">
        <v>332</v>
      </c>
      <c r="N75" t="s">
        <v>417</v>
      </c>
      <c r="O75">
        <v>1</v>
      </c>
      <c r="P75">
        <v>2</v>
      </c>
      <c r="Q75">
        <v>-99</v>
      </c>
      <c r="R75" t="s">
        <v>686</v>
      </c>
    </row>
    <row r="76" spans="1:18" x14ac:dyDescent="0.2">
      <c r="A76">
        <v>75</v>
      </c>
      <c r="B76">
        <v>197</v>
      </c>
      <c r="C76" t="s">
        <v>178</v>
      </c>
      <c r="D76" t="s">
        <v>75</v>
      </c>
      <c r="E76" t="s">
        <v>616</v>
      </c>
      <c r="F76" t="s">
        <v>617</v>
      </c>
      <c r="G76" t="s">
        <v>661</v>
      </c>
      <c r="H76" t="s">
        <v>381</v>
      </c>
      <c r="I76">
        <v>381</v>
      </c>
      <c r="J76">
        <v>31</v>
      </c>
      <c r="K76" t="s">
        <v>384</v>
      </c>
      <c r="L76">
        <v>8211</v>
      </c>
      <c r="M76" t="s">
        <v>335</v>
      </c>
      <c r="N76" t="s">
        <v>431</v>
      </c>
      <c r="O76">
        <v>1</v>
      </c>
      <c r="P76">
        <v>2</v>
      </c>
      <c r="Q76">
        <v>-99</v>
      </c>
      <c r="R76" t="s">
        <v>686</v>
      </c>
    </row>
    <row r="77" spans="1:18" x14ac:dyDescent="0.2">
      <c r="A77">
        <v>76</v>
      </c>
      <c r="B77">
        <v>119</v>
      </c>
      <c r="C77" t="s">
        <v>179</v>
      </c>
      <c r="D77" t="s">
        <v>58</v>
      </c>
      <c r="E77" t="s">
        <v>618</v>
      </c>
      <c r="F77" t="s">
        <v>619</v>
      </c>
      <c r="G77" t="s">
        <v>664</v>
      </c>
      <c r="H77" t="s">
        <v>406</v>
      </c>
      <c r="I77">
        <v>383</v>
      </c>
      <c r="J77">
        <v>34</v>
      </c>
      <c r="K77" t="s">
        <v>408</v>
      </c>
      <c r="L77">
        <v>8223</v>
      </c>
      <c r="M77" t="s">
        <v>620</v>
      </c>
      <c r="N77" t="s">
        <v>621</v>
      </c>
      <c r="O77">
        <v>1</v>
      </c>
      <c r="P77">
        <v>2</v>
      </c>
      <c r="Q77">
        <v>-99</v>
      </c>
      <c r="R77" t="s">
        <v>686</v>
      </c>
    </row>
    <row r="78" spans="1:18" x14ac:dyDescent="0.2">
      <c r="A78">
        <v>77</v>
      </c>
      <c r="B78">
        <v>131</v>
      </c>
      <c r="C78" t="s">
        <v>180</v>
      </c>
      <c r="D78" t="s">
        <v>49</v>
      </c>
      <c r="E78" t="s">
        <v>622</v>
      </c>
      <c r="F78" t="s">
        <v>623</v>
      </c>
      <c r="G78" t="s">
        <v>662</v>
      </c>
      <c r="H78" t="s">
        <v>390</v>
      </c>
      <c r="I78">
        <v>382</v>
      </c>
      <c r="J78">
        <v>33</v>
      </c>
      <c r="K78" t="s">
        <v>389</v>
      </c>
      <c r="L78">
        <v>8226</v>
      </c>
      <c r="M78" t="s">
        <v>331</v>
      </c>
      <c r="N78" t="s">
        <v>414</v>
      </c>
      <c r="O78">
        <v>1</v>
      </c>
      <c r="P78">
        <v>2</v>
      </c>
      <c r="Q78">
        <v>-99</v>
      </c>
      <c r="R78" t="s">
        <v>686</v>
      </c>
    </row>
    <row r="79" spans="1:18" x14ac:dyDescent="0.2">
      <c r="A79">
        <v>78</v>
      </c>
      <c r="B79">
        <v>132</v>
      </c>
      <c r="C79" t="s">
        <v>673</v>
      </c>
      <c r="D79" t="s">
        <v>434</v>
      </c>
      <c r="E79" t="s">
        <v>624</v>
      </c>
      <c r="F79" t="s">
        <v>674</v>
      </c>
      <c r="G79" t="s">
        <v>661</v>
      </c>
      <c r="H79" t="s">
        <v>381</v>
      </c>
      <c r="I79">
        <v>381</v>
      </c>
      <c r="J79">
        <v>30</v>
      </c>
      <c r="K79" t="s">
        <v>373</v>
      </c>
      <c r="L79">
        <v>8229</v>
      </c>
      <c r="M79" t="s">
        <v>350</v>
      </c>
      <c r="N79" t="s">
        <v>418</v>
      </c>
      <c r="O79">
        <v>1</v>
      </c>
      <c r="P79">
        <v>2</v>
      </c>
      <c r="Q79">
        <v>-99</v>
      </c>
      <c r="R79" t="s">
        <v>686</v>
      </c>
    </row>
    <row r="80" spans="1:18" x14ac:dyDescent="0.2">
      <c r="A80">
        <v>79</v>
      </c>
      <c r="B80">
        <v>143</v>
      </c>
      <c r="C80" t="s">
        <v>181</v>
      </c>
      <c r="D80" t="s">
        <v>57</v>
      </c>
      <c r="E80" t="s">
        <v>625</v>
      </c>
      <c r="F80" t="s">
        <v>626</v>
      </c>
      <c r="G80" t="s">
        <v>660</v>
      </c>
      <c r="H80" t="s">
        <v>374</v>
      </c>
      <c r="I80">
        <v>380</v>
      </c>
      <c r="J80">
        <v>30</v>
      </c>
      <c r="K80" t="s">
        <v>373</v>
      </c>
      <c r="L80">
        <v>8230</v>
      </c>
      <c r="M80" t="s">
        <v>363</v>
      </c>
      <c r="N80" t="s">
        <v>419</v>
      </c>
      <c r="O80">
        <v>1</v>
      </c>
      <c r="P80">
        <v>2</v>
      </c>
      <c r="Q80">
        <v>-99</v>
      </c>
      <c r="R80" t="s">
        <v>686</v>
      </c>
    </row>
    <row r="81" spans="1:18" x14ac:dyDescent="0.2">
      <c r="A81">
        <v>80</v>
      </c>
      <c r="B81">
        <v>144</v>
      </c>
      <c r="C81" t="s">
        <v>675</v>
      </c>
      <c r="D81" t="s">
        <v>493</v>
      </c>
      <c r="E81" t="s">
        <v>675</v>
      </c>
      <c r="F81" t="s">
        <v>493</v>
      </c>
      <c r="G81" t="s">
        <v>672</v>
      </c>
      <c r="H81" t="s">
        <v>8</v>
      </c>
      <c r="I81">
        <v>-99</v>
      </c>
      <c r="J81">
        <v>35</v>
      </c>
      <c r="K81" t="s">
        <v>8</v>
      </c>
      <c r="L81">
        <v>8215</v>
      </c>
      <c r="M81" t="s">
        <v>343</v>
      </c>
      <c r="N81" t="s">
        <v>401</v>
      </c>
      <c r="O81">
        <v>1</v>
      </c>
      <c r="P81">
        <v>2</v>
      </c>
      <c r="Q81">
        <v>-99</v>
      </c>
      <c r="R81" t="s">
        <v>658</v>
      </c>
    </row>
    <row r="82" spans="1:18" x14ac:dyDescent="0.2">
      <c r="A82">
        <v>81</v>
      </c>
      <c r="B82">
        <v>145</v>
      </c>
      <c r="C82" t="s">
        <v>182</v>
      </c>
      <c r="D82" t="s">
        <v>74</v>
      </c>
      <c r="E82" t="s">
        <v>627</v>
      </c>
      <c r="F82" t="s">
        <v>628</v>
      </c>
      <c r="G82" t="s">
        <v>664</v>
      </c>
      <c r="H82" t="s">
        <v>406</v>
      </c>
      <c r="I82">
        <v>383</v>
      </c>
      <c r="J82">
        <v>34</v>
      </c>
      <c r="K82" t="s">
        <v>408</v>
      </c>
      <c r="L82">
        <v>8231</v>
      </c>
      <c r="M82" t="s">
        <v>336</v>
      </c>
      <c r="N82" t="s">
        <v>411</v>
      </c>
      <c r="O82">
        <v>1</v>
      </c>
      <c r="P82">
        <v>1</v>
      </c>
      <c r="Q82">
        <v>-99</v>
      </c>
      <c r="R82" t="s">
        <v>686</v>
      </c>
    </row>
    <row r="83" spans="1:18" x14ac:dyDescent="0.2">
      <c r="A83">
        <v>82</v>
      </c>
      <c r="B83">
        <v>-99</v>
      </c>
      <c r="C83" t="s">
        <v>182</v>
      </c>
      <c r="D83" t="s">
        <v>74</v>
      </c>
      <c r="E83" t="s">
        <v>629</v>
      </c>
      <c r="F83" t="s">
        <v>960</v>
      </c>
      <c r="G83" t="s">
        <v>664</v>
      </c>
      <c r="H83" t="s">
        <v>406</v>
      </c>
      <c r="I83">
        <v>383</v>
      </c>
      <c r="J83">
        <v>34</v>
      </c>
      <c r="K83" t="s">
        <v>408</v>
      </c>
      <c r="L83">
        <v>8231</v>
      </c>
      <c r="M83" t="s">
        <v>336</v>
      </c>
      <c r="N83" t="s">
        <v>411</v>
      </c>
      <c r="O83">
        <v>-99</v>
      </c>
      <c r="P83">
        <v>1</v>
      </c>
      <c r="Q83">
        <v>-99</v>
      </c>
      <c r="R83" t="s">
        <v>684</v>
      </c>
    </row>
    <row r="84" spans="1:18" x14ac:dyDescent="0.2">
      <c r="A84">
        <v>83</v>
      </c>
      <c r="B84">
        <v>151</v>
      </c>
      <c r="C84" t="s">
        <v>676</v>
      </c>
      <c r="D84" t="s">
        <v>1061</v>
      </c>
      <c r="E84" t="s">
        <v>676</v>
      </c>
      <c r="F84" t="s">
        <v>494</v>
      </c>
      <c r="G84" t="s">
        <v>672</v>
      </c>
      <c r="H84" t="s">
        <v>8</v>
      </c>
      <c r="I84">
        <v>380</v>
      </c>
      <c r="J84">
        <v>35</v>
      </c>
      <c r="K84" t="s">
        <v>8</v>
      </c>
      <c r="L84">
        <v>3180155</v>
      </c>
      <c r="M84" t="s">
        <v>350</v>
      </c>
      <c r="N84" t="s">
        <v>418</v>
      </c>
      <c r="O84">
        <v>1</v>
      </c>
      <c r="P84">
        <v>2</v>
      </c>
      <c r="Q84">
        <v>-99</v>
      </c>
      <c r="R84" t="s">
        <v>658</v>
      </c>
    </row>
    <row r="85" spans="1:18" x14ac:dyDescent="0.2">
      <c r="A85">
        <v>84</v>
      </c>
      <c r="B85">
        <v>152</v>
      </c>
      <c r="C85" t="s">
        <v>183</v>
      </c>
      <c r="D85" t="s">
        <v>81</v>
      </c>
      <c r="E85" t="s">
        <v>630</v>
      </c>
      <c r="F85" t="s">
        <v>631</v>
      </c>
      <c r="G85" t="s">
        <v>660</v>
      </c>
      <c r="H85" t="s">
        <v>374</v>
      </c>
      <c r="I85">
        <v>380</v>
      </c>
      <c r="J85">
        <v>30</v>
      </c>
      <c r="K85" t="s">
        <v>373</v>
      </c>
      <c r="L85">
        <v>8234</v>
      </c>
      <c r="M85" t="s">
        <v>356</v>
      </c>
      <c r="N85" t="s">
        <v>420</v>
      </c>
      <c r="O85">
        <v>1</v>
      </c>
      <c r="P85">
        <v>2</v>
      </c>
      <c r="Q85">
        <v>-99</v>
      </c>
      <c r="R85" t="s">
        <v>686</v>
      </c>
    </row>
    <row r="86" spans="1:18" x14ac:dyDescent="0.2">
      <c r="A86">
        <v>85</v>
      </c>
      <c r="B86">
        <v>153</v>
      </c>
      <c r="C86" t="s">
        <v>92</v>
      </c>
      <c r="D86" t="s">
        <v>138</v>
      </c>
      <c r="E86" t="s">
        <v>632</v>
      </c>
      <c r="F86" t="s">
        <v>633</v>
      </c>
      <c r="G86" t="s">
        <v>660</v>
      </c>
      <c r="H86" t="s">
        <v>374</v>
      </c>
      <c r="I86">
        <v>380</v>
      </c>
      <c r="J86">
        <v>30</v>
      </c>
      <c r="K86" t="s">
        <v>373</v>
      </c>
      <c r="L86">
        <v>8236</v>
      </c>
      <c r="M86" t="s">
        <v>369</v>
      </c>
      <c r="N86" t="s">
        <v>421</v>
      </c>
      <c r="O86">
        <v>1</v>
      </c>
      <c r="P86">
        <v>2</v>
      </c>
      <c r="Q86">
        <v>-99</v>
      </c>
      <c r="R86" t="s">
        <v>686</v>
      </c>
    </row>
    <row r="87" spans="1:18" x14ac:dyDescent="0.2">
      <c r="A87">
        <v>86</v>
      </c>
      <c r="B87">
        <v>154</v>
      </c>
      <c r="C87" t="s">
        <v>185</v>
      </c>
      <c r="D87" t="s">
        <v>184</v>
      </c>
      <c r="E87" t="s">
        <v>634</v>
      </c>
      <c r="F87" t="s">
        <v>635</v>
      </c>
      <c r="G87" t="s">
        <v>664</v>
      </c>
      <c r="H87" t="s">
        <v>406</v>
      </c>
      <c r="I87">
        <v>383</v>
      </c>
      <c r="J87">
        <v>33</v>
      </c>
      <c r="K87" t="s">
        <v>389</v>
      </c>
      <c r="L87">
        <v>8265</v>
      </c>
      <c r="M87" t="s">
        <v>362</v>
      </c>
      <c r="N87" t="s">
        <v>422</v>
      </c>
      <c r="O87">
        <v>1</v>
      </c>
      <c r="P87">
        <v>2</v>
      </c>
      <c r="Q87">
        <v>-99</v>
      </c>
      <c r="R87" t="s">
        <v>686</v>
      </c>
    </row>
    <row r="88" spans="1:18" x14ac:dyDescent="0.2">
      <c r="A88">
        <v>87</v>
      </c>
      <c r="B88">
        <v>155</v>
      </c>
      <c r="C88" t="s">
        <v>186</v>
      </c>
      <c r="D88" t="s">
        <v>46</v>
      </c>
      <c r="E88" t="s">
        <v>636</v>
      </c>
      <c r="F88" t="s">
        <v>637</v>
      </c>
      <c r="G88" t="s">
        <v>662</v>
      </c>
      <c r="H88" t="s">
        <v>390</v>
      </c>
      <c r="I88">
        <v>382</v>
      </c>
      <c r="J88">
        <v>32</v>
      </c>
      <c r="K88" t="s">
        <v>394</v>
      </c>
      <c r="L88">
        <v>8266</v>
      </c>
      <c r="M88" t="s">
        <v>327</v>
      </c>
      <c r="N88" t="s">
        <v>423</v>
      </c>
      <c r="O88">
        <v>1</v>
      </c>
      <c r="P88">
        <v>2</v>
      </c>
      <c r="Q88">
        <v>-99</v>
      </c>
      <c r="R88" t="s">
        <v>686</v>
      </c>
    </row>
    <row r="89" spans="1:18" x14ac:dyDescent="0.2">
      <c r="A89">
        <v>88</v>
      </c>
      <c r="B89">
        <v>156</v>
      </c>
      <c r="C89" t="s">
        <v>187</v>
      </c>
      <c r="D89" t="s">
        <v>77</v>
      </c>
      <c r="E89" t="s">
        <v>638</v>
      </c>
      <c r="F89" t="s">
        <v>639</v>
      </c>
      <c r="G89" t="s">
        <v>662</v>
      </c>
      <c r="H89" t="s">
        <v>390</v>
      </c>
      <c r="I89">
        <v>382</v>
      </c>
      <c r="J89">
        <v>32</v>
      </c>
      <c r="K89" t="s">
        <v>394</v>
      </c>
      <c r="L89">
        <v>8267</v>
      </c>
      <c r="M89" t="s">
        <v>345</v>
      </c>
      <c r="N89" t="s">
        <v>424</v>
      </c>
      <c r="O89">
        <v>1</v>
      </c>
      <c r="P89">
        <v>2</v>
      </c>
      <c r="Q89">
        <v>-99</v>
      </c>
      <c r="R89" t="s">
        <v>686</v>
      </c>
    </row>
    <row r="90" spans="1:18" x14ac:dyDescent="0.2">
      <c r="A90">
        <v>89</v>
      </c>
      <c r="B90">
        <v>157</v>
      </c>
      <c r="C90" t="s">
        <v>677</v>
      </c>
      <c r="D90" t="s">
        <v>39</v>
      </c>
      <c r="E90" t="s">
        <v>640</v>
      </c>
      <c r="F90" t="s">
        <v>641</v>
      </c>
      <c r="G90" t="s">
        <v>664</v>
      </c>
      <c r="H90" t="s">
        <v>406</v>
      </c>
      <c r="I90">
        <v>383</v>
      </c>
      <c r="J90">
        <v>33</v>
      </c>
      <c r="K90" t="s">
        <v>389</v>
      </c>
      <c r="L90">
        <v>8271</v>
      </c>
      <c r="M90" t="s">
        <v>323</v>
      </c>
      <c r="N90" t="s">
        <v>425</v>
      </c>
      <c r="O90">
        <v>1</v>
      </c>
      <c r="P90">
        <v>2</v>
      </c>
      <c r="Q90">
        <v>-99</v>
      </c>
      <c r="R90" t="s">
        <v>686</v>
      </c>
    </row>
    <row r="91" spans="1:18" x14ac:dyDescent="0.2">
      <c r="A91">
        <v>90</v>
      </c>
      <c r="B91">
        <v>158</v>
      </c>
      <c r="C91" t="s">
        <v>188</v>
      </c>
      <c r="D91" t="s">
        <v>84</v>
      </c>
      <c r="E91" t="s">
        <v>642</v>
      </c>
      <c r="F91" t="s">
        <v>643</v>
      </c>
      <c r="G91" t="s">
        <v>662</v>
      </c>
      <c r="H91" t="s">
        <v>390</v>
      </c>
      <c r="I91">
        <v>382</v>
      </c>
      <c r="J91">
        <v>32</v>
      </c>
      <c r="K91" t="s">
        <v>394</v>
      </c>
      <c r="L91">
        <v>8209</v>
      </c>
      <c r="M91" t="s">
        <v>368</v>
      </c>
      <c r="N91" t="s">
        <v>426</v>
      </c>
      <c r="O91">
        <v>1</v>
      </c>
      <c r="P91">
        <v>2</v>
      </c>
      <c r="Q91">
        <v>-99</v>
      </c>
      <c r="R91" t="s">
        <v>686</v>
      </c>
    </row>
    <row r="92" spans="1:18" x14ac:dyDescent="0.2">
      <c r="A92">
        <v>91</v>
      </c>
      <c r="B92">
        <v>198</v>
      </c>
      <c r="C92" t="s">
        <v>189</v>
      </c>
      <c r="D92" t="s">
        <v>48</v>
      </c>
      <c r="E92" t="s">
        <v>644</v>
      </c>
      <c r="F92" t="s">
        <v>645</v>
      </c>
      <c r="G92" t="s">
        <v>664</v>
      </c>
      <c r="H92" t="s">
        <v>406</v>
      </c>
      <c r="I92">
        <v>383</v>
      </c>
      <c r="J92">
        <v>34</v>
      </c>
      <c r="K92" t="s">
        <v>408</v>
      </c>
      <c r="L92">
        <v>8224</v>
      </c>
      <c r="M92" t="s">
        <v>365</v>
      </c>
      <c r="N92" t="s">
        <v>432</v>
      </c>
      <c r="O92">
        <v>1</v>
      </c>
      <c r="P92">
        <v>2</v>
      </c>
      <c r="Q92">
        <v>-99</v>
      </c>
      <c r="R92" t="s">
        <v>686</v>
      </c>
    </row>
    <row r="93" spans="1:18" x14ac:dyDescent="0.2">
      <c r="A93">
        <v>92</v>
      </c>
      <c r="B93">
        <v>161</v>
      </c>
      <c r="C93" t="s">
        <v>190</v>
      </c>
      <c r="D93" t="s">
        <v>85</v>
      </c>
      <c r="E93" t="s">
        <v>646</v>
      </c>
      <c r="F93" t="s">
        <v>647</v>
      </c>
      <c r="G93" t="s">
        <v>660</v>
      </c>
      <c r="H93" t="s">
        <v>374</v>
      </c>
      <c r="I93">
        <v>380</v>
      </c>
      <c r="J93">
        <v>30</v>
      </c>
      <c r="K93" t="s">
        <v>373</v>
      </c>
      <c r="L93">
        <v>8225</v>
      </c>
      <c r="M93" t="s">
        <v>328</v>
      </c>
      <c r="N93" t="s">
        <v>427</v>
      </c>
      <c r="O93">
        <v>1</v>
      </c>
      <c r="P93">
        <v>2</v>
      </c>
      <c r="Q93">
        <v>-99</v>
      </c>
      <c r="R93" t="s">
        <v>686</v>
      </c>
    </row>
    <row r="94" spans="1:18" x14ac:dyDescent="0.2">
      <c r="A94">
        <v>93</v>
      </c>
      <c r="B94">
        <v>162</v>
      </c>
      <c r="C94" t="s">
        <v>191</v>
      </c>
      <c r="D94" t="s">
        <v>35</v>
      </c>
      <c r="E94" t="s">
        <v>648</v>
      </c>
      <c r="F94" t="s">
        <v>649</v>
      </c>
      <c r="G94" t="s">
        <v>664</v>
      </c>
      <c r="H94" t="s">
        <v>406</v>
      </c>
      <c r="I94">
        <v>383</v>
      </c>
      <c r="J94">
        <v>34</v>
      </c>
      <c r="K94" t="s">
        <v>408</v>
      </c>
      <c r="L94">
        <v>8227</v>
      </c>
      <c r="M94" t="s">
        <v>481</v>
      </c>
      <c r="N94" t="s">
        <v>428</v>
      </c>
      <c r="O94">
        <v>1</v>
      </c>
      <c r="P94">
        <v>2</v>
      </c>
      <c r="Q94">
        <v>-99</v>
      </c>
      <c r="R94" t="s">
        <v>686</v>
      </c>
    </row>
    <row r="95" spans="1:18" x14ac:dyDescent="0.2">
      <c r="A95">
        <v>94</v>
      </c>
      <c r="B95">
        <v>-99</v>
      </c>
      <c r="C95" t="s">
        <v>678</v>
      </c>
      <c r="D95" t="s">
        <v>8</v>
      </c>
      <c r="E95" t="s">
        <v>679</v>
      </c>
      <c r="F95" t="s">
        <v>227</v>
      </c>
      <c r="G95" t="s">
        <v>658</v>
      </c>
      <c r="H95" t="s">
        <v>8</v>
      </c>
      <c r="I95">
        <v>-99</v>
      </c>
      <c r="J95">
        <v>-99</v>
      </c>
      <c r="K95" t="s">
        <v>8</v>
      </c>
      <c r="L95">
        <v>-99</v>
      </c>
      <c r="M95" t="s">
        <v>658</v>
      </c>
      <c r="N95" t="s">
        <v>658</v>
      </c>
      <c r="O95">
        <v>-99</v>
      </c>
      <c r="P95">
        <v>-99</v>
      </c>
      <c r="Q95">
        <v>-99</v>
      </c>
      <c r="R95" t="s">
        <v>211</v>
      </c>
    </row>
    <row r="96" spans="1:18" x14ac:dyDescent="0.2">
      <c r="A96">
        <v>95</v>
      </c>
      <c r="B96">
        <v>-99</v>
      </c>
      <c r="C96" t="s">
        <v>678</v>
      </c>
      <c r="D96" t="s">
        <v>8</v>
      </c>
      <c r="E96" t="s">
        <v>680</v>
      </c>
      <c r="F96" t="s">
        <v>311</v>
      </c>
      <c r="G96" t="s">
        <v>658</v>
      </c>
      <c r="H96" t="s">
        <v>8</v>
      </c>
      <c r="I96">
        <v>-99</v>
      </c>
      <c r="J96">
        <v>-99</v>
      </c>
      <c r="K96" t="s">
        <v>8</v>
      </c>
      <c r="L96">
        <v>-99</v>
      </c>
      <c r="M96" t="s">
        <v>658</v>
      </c>
      <c r="N96" t="s">
        <v>658</v>
      </c>
      <c r="O96">
        <v>-99</v>
      </c>
      <c r="P96">
        <v>-99</v>
      </c>
      <c r="Q96">
        <v>-99</v>
      </c>
      <c r="R96" t="s">
        <v>683</v>
      </c>
    </row>
    <row r="97" spans="1:18" x14ac:dyDescent="0.2">
      <c r="A97">
        <v>96</v>
      </c>
      <c r="B97">
        <v>-99</v>
      </c>
      <c r="C97" t="s">
        <v>678</v>
      </c>
      <c r="D97" t="s">
        <v>8</v>
      </c>
      <c r="E97" t="s">
        <v>681</v>
      </c>
      <c r="F97" t="s">
        <v>310</v>
      </c>
      <c r="G97" t="s">
        <v>658</v>
      </c>
      <c r="H97" t="s">
        <v>8</v>
      </c>
      <c r="I97">
        <v>-99</v>
      </c>
      <c r="J97">
        <v>-99</v>
      </c>
      <c r="K97" t="s">
        <v>8</v>
      </c>
      <c r="L97">
        <v>-99</v>
      </c>
      <c r="M97" t="s">
        <v>658</v>
      </c>
      <c r="N97" t="s">
        <v>658</v>
      </c>
      <c r="O97">
        <v>-99</v>
      </c>
      <c r="P97">
        <v>-99</v>
      </c>
      <c r="Q97">
        <v>-99</v>
      </c>
      <c r="R97" t="s">
        <v>684</v>
      </c>
    </row>
    <row r="98" spans="1:18" x14ac:dyDescent="0.2">
      <c r="A98">
        <v>97</v>
      </c>
      <c r="B98">
        <v>-99</v>
      </c>
      <c r="C98" t="s">
        <v>670</v>
      </c>
      <c r="D98" t="s">
        <v>1060</v>
      </c>
      <c r="E98" t="s">
        <v>670</v>
      </c>
      <c r="F98" t="s">
        <v>1060</v>
      </c>
      <c r="G98" t="s">
        <v>658</v>
      </c>
      <c r="H98" t="s">
        <v>658</v>
      </c>
      <c r="I98">
        <v>-99</v>
      </c>
      <c r="J98">
        <v>35</v>
      </c>
      <c r="K98" t="s">
        <v>8</v>
      </c>
      <c r="L98">
        <v>-99</v>
      </c>
      <c r="M98" t="s">
        <v>658</v>
      </c>
      <c r="N98" t="s">
        <v>658</v>
      </c>
      <c r="O98">
        <v>-99</v>
      </c>
      <c r="P98">
        <v>-99</v>
      </c>
      <c r="Q98">
        <v>3</v>
      </c>
      <c r="R98" t="s">
        <v>658</v>
      </c>
    </row>
    <row r="99" spans="1:18" x14ac:dyDescent="0.2">
      <c r="A99">
        <v>98</v>
      </c>
      <c r="B99">
        <v>-99</v>
      </c>
      <c r="C99" t="s">
        <v>678</v>
      </c>
      <c r="D99" t="s">
        <v>8</v>
      </c>
      <c r="E99" t="s">
        <v>689</v>
      </c>
      <c r="F99" t="s">
        <v>690</v>
      </c>
      <c r="G99" t="s">
        <v>658</v>
      </c>
      <c r="H99" t="s">
        <v>8</v>
      </c>
      <c r="I99">
        <v>-99</v>
      </c>
      <c r="J99">
        <v>-99</v>
      </c>
      <c r="K99" t="s">
        <v>8</v>
      </c>
      <c r="L99">
        <v>-99</v>
      </c>
      <c r="M99" t="s">
        <v>658</v>
      </c>
      <c r="N99" t="s">
        <v>658</v>
      </c>
      <c r="O99">
        <v>-99</v>
      </c>
      <c r="P99">
        <v>-99</v>
      </c>
      <c r="Q99">
        <v>-99</v>
      </c>
      <c r="R99" t="s">
        <v>686</v>
      </c>
    </row>
    <row r="100" spans="1:18" x14ac:dyDescent="0.2">
      <c r="A100">
        <v>99</v>
      </c>
      <c r="B100">
        <v>250</v>
      </c>
      <c r="C100" t="s">
        <v>658</v>
      </c>
      <c r="D100" t="s">
        <v>35</v>
      </c>
      <c r="E100" t="s">
        <v>725</v>
      </c>
      <c r="F100" t="s">
        <v>691</v>
      </c>
      <c r="G100" t="s">
        <v>658</v>
      </c>
      <c r="H100" t="s">
        <v>406</v>
      </c>
      <c r="I100">
        <v>-99</v>
      </c>
      <c r="J100">
        <v>-99</v>
      </c>
      <c r="K100" t="s">
        <v>408</v>
      </c>
      <c r="L100">
        <v>-99</v>
      </c>
      <c r="M100" t="s">
        <v>658</v>
      </c>
      <c r="N100" t="s">
        <v>658</v>
      </c>
      <c r="O100">
        <v>-99</v>
      </c>
      <c r="P100">
        <v>-99</v>
      </c>
      <c r="Q100">
        <v>-99</v>
      </c>
      <c r="R100" t="s">
        <v>692</v>
      </c>
    </row>
    <row r="101" spans="1:18" x14ac:dyDescent="0.2">
      <c r="A101">
        <v>100</v>
      </c>
      <c r="B101">
        <v>256</v>
      </c>
      <c r="C101" t="s">
        <v>658</v>
      </c>
      <c r="D101" t="s">
        <v>215</v>
      </c>
      <c r="E101" t="s">
        <v>726</v>
      </c>
      <c r="F101" t="s">
        <v>693</v>
      </c>
      <c r="G101" t="s">
        <v>658</v>
      </c>
      <c r="H101" t="s">
        <v>390</v>
      </c>
      <c r="I101">
        <v>-99</v>
      </c>
      <c r="J101">
        <v>-99</v>
      </c>
      <c r="K101" t="s">
        <v>394</v>
      </c>
      <c r="L101">
        <v>-99</v>
      </c>
      <c r="M101" t="s">
        <v>658</v>
      </c>
      <c r="N101" t="s">
        <v>658</v>
      </c>
      <c r="O101">
        <v>-99</v>
      </c>
      <c r="P101">
        <v>-99</v>
      </c>
      <c r="Q101">
        <v>-99</v>
      </c>
      <c r="R101" t="s">
        <v>692</v>
      </c>
    </row>
    <row r="102" spans="1:18" x14ac:dyDescent="0.2">
      <c r="A102">
        <v>101</v>
      </c>
      <c r="B102">
        <v>257</v>
      </c>
      <c r="C102" t="s">
        <v>658</v>
      </c>
      <c r="D102" t="s">
        <v>212</v>
      </c>
      <c r="E102" t="s">
        <v>727</v>
      </c>
      <c r="F102" t="s">
        <v>694</v>
      </c>
      <c r="G102" t="s">
        <v>658</v>
      </c>
      <c r="H102" t="s">
        <v>390</v>
      </c>
      <c r="I102">
        <v>-99</v>
      </c>
      <c r="J102">
        <v>-99</v>
      </c>
      <c r="K102" t="s">
        <v>394</v>
      </c>
      <c r="L102">
        <v>-99</v>
      </c>
      <c r="M102" t="s">
        <v>658</v>
      </c>
      <c r="N102" t="s">
        <v>658</v>
      </c>
      <c r="O102">
        <v>-99</v>
      </c>
      <c r="P102">
        <v>-99</v>
      </c>
      <c r="Q102">
        <v>-99</v>
      </c>
      <c r="R102" t="s">
        <v>692</v>
      </c>
    </row>
    <row r="103" spans="1:18" x14ac:dyDescent="0.2">
      <c r="A103">
        <v>102</v>
      </c>
      <c r="B103">
        <v>258</v>
      </c>
      <c r="C103" t="s">
        <v>658</v>
      </c>
      <c r="D103" t="s">
        <v>213</v>
      </c>
      <c r="E103" t="s">
        <v>728</v>
      </c>
      <c r="F103" t="s">
        <v>695</v>
      </c>
      <c r="G103" t="s">
        <v>658</v>
      </c>
      <c r="H103" t="s">
        <v>374</v>
      </c>
      <c r="I103">
        <v>-99</v>
      </c>
      <c r="J103">
        <v>-99</v>
      </c>
      <c r="K103" t="s">
        <v>373</v>
      </c>
      <c r="L103">
        <v>-99</v>
      </c>
      <c r="M103" t="s">
        <v>658</v>
      </c>
      <c r="N103" t="s">
        <v>658</v>
      </c>
      <c r="O103">
        <v>-99</v>
      </c>
      <c r="P103">
        <v>-99</v>
      </c>
      <c r="Q103">
        <v>-99</v>
      </c>
      <c r="R103" t="s">
        <v>692</v>
      </c>
    </row>
    <row r="104" spans="1:18" x14ac:dyDescent="0.2">
      <c r="A104">
        <v>103</v>
      </c>
      <c r="B104">
        <v>259</v>
      </c>
      <c r="C104" t="s">
        <v>658</v>
      </c>
      <c r="D104" t="s">
        <v>138</v>
      </c>
      <c r="E104" t="s">
        <v>729</v>
      </c>
      <c r="F104" t="s">
        <v>696</v>
      </c>
      <c r="G104" t="s">
        <v>658</v>
      </c>
      <c r="H104" t="s">
        <v>374</v>
      </c>
      <c r="I104">
        <v>-99</v>
      </c>
      <c r="J104">
        <v>-99</v>
      </c>
      <c r="K104" t="s">
        <v>373</v>
      </c>
      <c r="L104">
        <v>-99</v>
      </c>
      <c r="M104" t="s">
        <v>658</v>
      </c>
      <c r="N104" t="s">
        <v>658</v>
      </c>
      <c r="O104">
        <v>-99</v>
      </c>
      <c r="P104">
        <v>-99</v>
      </c>
      <c r="Q104">
        <v>-99</v>
      </c>
      <c r="R104" t="s">
        <v>692</v>
      </c>
    </row>
    <row r="105" spans="1:18" x14ac:dyDescent="0.2">
      <c r="A105">
        <v>104</v>
      </c>
      <c r="B105">
        <v>260</v>
      </c>
      <c r="C105" t="s">
        <v>658</v>
      </c>
      <c r="D105" t="s">
        <v>49</v>
      </c>
      <c r="E105" t="s">
        <v>730</v>
      </c>
      <c r="F105" t="s">
        <v>697</v>
      </c>
      <c r="G105" t="s">
        <v>658</v>
      </c>
      <c r="H105" t="s">
        <v>390</v>
      </c>
      <c r="I105">
        <v>-99</v>
      </c>
      <c r="J105">
        <v>-99</v>
      </c>
      <c r="K105" t="s">
        <v>389</v>
      </c>
      <c r="L105">
        <v>-99</v>
      </c>
      <c r="M105" t="s">
        <v>658</v>
      </c>
      <c r="N105" t="s">
        <v>658</v>
      </c>
      <c r="O105">
        <v>-99</v>
      </c>
      <c r="P105">
        <v>-99</v>
      </c>
      <c r="Q105">
        <v>-99</v>
      </c>
      <c r="R105" t="s">
        <v>692</v>
      </c>
    </row>
    <row r="106" spans="1:18" x14ac:dyDescent="0.2">
      <c r="A106">
        <v>105</v>
      </c>
      <c r="B106">
        <v>261</v>
      </c>
      <c r="C106" t="s">
        <v>658</v>
      </c>
      <c r="D106" t="s">
        <v>68</v>
      </c>
      <c r="E106" t="s">
        <v>731</v>
      </c>
      <c r="F106" t="s">
        <v>698</v>
      </c>
      <c r="G106" t="s">
        <v>658</v>
      </c>
      <c r="H106" t="s">
        <v>374</v>
      </c>
      <c r="I106">
        <v>-99</v>
      </c>
      <c r="J106">
        <v>-99</v>
      </c>
      <c r="K106" t="s">
        <v>373</v>
      </c>
      <c r="L106">
        <v>-99</v>
      </c>
      <c r="M106" t="s">
        <v>658</v>
      </c>
      <c r="N106" t="s">
        <v>658</v>
      </c>
      <c r="O106">
        <v>-99</v>
      </c>
      <c r="P106">
        <v>-99</v>
      </c>
      <c r="Q106">
        <v>-99</v>
      </c>
      <c r="R106" t="s">
        <v>692</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467</v>
      </c>
      <c r="B1" t="s">
        <v>461</v>
      </c>
      <c r="C1" t="s">
        <v>468</v>
      </c>
      <c r="D1" t="s">
        <v>469</v>
      </c>
      <c r="E1" t="s">
        <v>496</v>
      </c>
    </row>
    <row r="2" spans="1:5" x14ac:dyDescent="0.2">
      <c r="A2" t="s">
        <v>329</v>
      </c>
      <c r="B2" t="s">
        <v>375</v>
      </c>
      <c r="C2" t="s">
        <v>375</v>
      </c>
      <c r="D2" t="s">
        <v>470</v>
      </c>
      <c r="E2" t="s">
        <v>373</v>
      </c>
    </row>
    <row r="3" spans="1:5" x14ac:dyDescent="0.2">
      <c r="A3" t="s">
        <v>361</v>
      </c>
      <c r="B3" t="s">
        <v>378</v>
      </c>
      <c r="C3" t="s">
        <v>378</v>
      </c>
      <c r="D3" t="s">
        <v>470</v>
      </c>
      <c r="E3" t="s">
        <v>373</v>
      </c>
    </row>
    <row r="4" spans="1:5" x14ac:dyDescent="0.2">
      <c r="A4" t="s">
        <v>356</v>
      </c>
      <c r="B4" t="s">
        <v>420</v>
      </c>
      <c r="C4" t="s">
        <v>420</v>
      </c>
      <c r="D4" t="s">
        <v>470</v>
      </c>
      <c r="E4" t="s">
        <v>373</v>
      </c>
    </row>
    <row r="5" spans="1:5" x14ac:dyDescent="0.2">
      <c r="A5" t="s">
        <v>335</v>
      </c>
      <c r="B5" t="s">
        <v>431</v>
      </c>
      <c r="C5" t="s">
        <v>431</v>
      </c>
      <c r="D5" t="s">
        <v>471</v>
      </c>
      <c r="E5" t="s">
        <v>384</v>
      </c>
    </row>
    <row r="6" spans="1:5" x14ac:dyDescent="0.2">
      <c r="A6" t="s">
        <v>359</v>
      </c>
      <c r="B6" t="s">
        <v>393</v>
      </c>
      <c r="C6" t="s">
        <v>393</v>
      </c>
      <c r="D6" t="s">
        <v>471</v>
      </c>
      <c r="E6" t="s">
        <v>389</v>
      </c>
    </row>
    <row r="7" spans="1:5" x14ac:dyDescent="0.2">
      <c r="A7" t="s">
        <v>362</v>
      </c>
      <c r="B7" t="s">
        <v>422</v>
      </c>
      <c r="C7" t="s">
        <v>422</v>
      </c>
      <c r="D7" t="s">
        <v>473</v>
      </c>
      <c r="E7" t="s">
        <v>389</v>
      </c>
    </row>
    <row r="8" spans="1:5" x14ac:dyDescent="0.2">
      <c r="A8" t="s">
        <v>337</v>
      </c>
      <c r="B8" t="s">
        <v>405</v>
      </c>
      <c r="C8" t="s">
        <v>405</v>
      </c>
      <c r="D8" t="s">
        <v>474</v>
      </c>
      <c r="E8" t="s">
        <v>394</v>
      </c>
    </row>
    <row r="9" spans="1:5" x14ac:dyDescent="0.2">
      <c r="A9" t="s">
        <v>354</v>
      </c>
      <c r="B9" t="s">
        <v>407</v>
      </c>
      <c r="C9" t="s">
        <v>407</v>
      </c>
      <c r="D9" t="s">
        <v>473</v>
      </c>
      <c r="E9" t="s">
        <v>389</v>
      </c>
    </row>
    <row r="10" spans="1:5" x14ac:dyDescent="0.2">
      <c r="A10" t="s">
        <v>482</v>
      </c>
      <c r="B10" t="s">
        <v>483</v>
      </c>
      <c r="C10" t="s">
        <v>312</v>
      </c>
      <c r="D10" t="s">
        <v>458</v>
      </c>
      <c r="E10" t="s">
        <v>8</v>
      </c>
    </row>
    <row r="11" spans="1:5" x14ac:dyDescent="0.2">
      <c r="A11" t="s">
        <v>363</v>
      </c>
      <c r="B11" t="s">
        <v>419</v>
      </c>
      <c r="C11" t="s">
        <v>419</v>
      </c>
      <c r="D11" t="s">
        <v>470</v>
      </c>
      <c r="E11" t="s">
        <v>373</v>
      </c>
    </row>
    <row r="12" spans="1:5" x14ac:dyDescent="0.2">
      <c r="A12" t="s">
        <v>341</v>
      </c>
      <c r="B12" t="s">
        <v>383</v>
      </c>
      <c r="C12" t="s">
        <v>383</v>
      </c>
      <c r="D12" t="s">
        <v>471</v>
      </c>
      <c r="E12" t="s">
        <v>373</v>
      </c>
    </row>
    <row r="13" spans="1:5" x14ac:dyDescent="0.2">
      <c r="A13" t="s">
        <v>346</v>
      </c>
      <c r="B13" t="s">
        <v>380</v>
      </c>
      <c r="C13" t="s">
        <v>380</v>
      </c>
      <c r="D13" t="s">
        <v>470</v>
      </c>
      <c r="E13" t="s">
        <v>373</v>
      </c>
    </row>
    <row r="14" spans="1:5" x14ac:dyDescent="0.2">
      <c r="A14" t="s">
        <v>344</v>
      </c>
      <c r="B14" t="s">
        <v>387</v>
      </c>
      <c r="C14" t="s">
        <v>387</v>
      </c>
      <c r="D14" t="s">
        <v>471</v>
      </c>
      <c r="E14" t="s">
        <v>384</v>
      </c>
    </row>
    <row r="15" spans="1:5" x14ac:dyDescent="0.2">
      <c r="A15" t="s">
        <v>334</v>
      </c>
      <c r="B15" t="s">
        <v>396</v>
      </c>
      <c r="C15" t="s">
        <v>396</v>
      </c>
      <c r="D15" t="s">
        <v>470</v>
      </c>
      <c r="E15" t="s">
        <v>394</v>
      </c>
    </row>
    <row r="16" spans="1:5" x14ac:dyDescent="0.2">
      <c r="A16" t="s">
        <v>348</v>
      </c>
      <c r="B16" t="s">
        <v>410</v>
      </c>
      <c r="C16" t="s">
        <v>410</v>
      </c>
      <c r="D16" t="s">
        <v>473</v>
      </c>
      <c r="E16" t="s">
        <v>389</v>
      </c>
    </row>
    <row r="17" spans="1:5" x14ac:dyDescent="0.2">
      <c r="A17" t="s">
        <v>484</v>
      </c>
      <c r="B17" t="s">
        <v>485</v>
      </c>
      <c r="C17" t="s">
        <v>312</v>
      </c>
      <c r="D17" t="s">
        <v>458</v>
      </c>
      <c r="E17" t="s">
        <v>8</v>
      </c>
    </row>
    <row r="18" spans="1:5" x14ac:dyDescent="0.2">
      <c r="A18" t="s">
        <v>360</v>
      </c>
      <c r="B18" t="s">
        <v>395</v>
      </c>
      <c r="C18" t="s">
        <v>395</v>
      </c>
      <c r="D18" t="s">
        <v>470</v>
      </c>
      <c r="E18" t="s">
        <v>394</v>
      </c>
    </row>
    <row r="19" spans="1:5" x14ac:dyDescent="0.2">
      <c r="A19" t="s">
        <v>353</v>
      </c>
      <c r="B19" t="s">
        <v>398</v>
      </c>
      <c r="C19" t="s">
        <v>398</v>
      </c>
      <c r="D19" t="s">
        <v>474</v>
      </c>
      <c r="E19" t="s">
        <v>394</v>
      </c>
    </row>
    <row r="20" spans="1:5" x14ac:dyDescent="0.2">
      <c r="A20" t="s">
        <v>343</v>
      </c>
      <c r="B20" t="s">
        <v>401</v>
      </c>
      <c r="C20" t="s">
        <v>401</v>
      </c>
      <c r="D20" t="s">
        <v>474</v>
      </c>
      <c r="E20" t="s">
        <v>394</v>
      </c>
    </row>
    <row r="21" spans="1:5" x14ac:dyDescent="0.2">
      <c r="A21" t="s">
        <v>368</v>
      </c>
      <c r="B21" t="s">
        <v>426</v>
      </c>
      <c r="C21" t="s">
        <v>426</v>
      </c>
      <c r="D21" t="s">
        <v>474</v>
      </c>
      <c r="E21" t="s">
        <v>394</v>
      </c>
    </row>
    <row r="22" spans="1:5" x14ac:dyDescent="0.2">
      <c r="A22" t="s">
        <v>339</v>
      </c>
      <c r="B22" t="s">
        <v>63</v>
      </c>
      <c r="C22" t="s">
        <v>63</v>
      </c>
      <c r="D22" t="s">
        <v>470</v>
      </c>
      <c r="E22" t="s">
        <v>373</v>
      </c>
    </row>
    <row r="23" spans="1:5" x14ac:dyDescent="0.2">
      <c r="A23" t="s">
        <v>352</v>
      </c>
      <c r="B23" t="s">
        <v>386</v>
      </c>
      <c r="C23" t="s">
        <v>386</v>
      </c>
      <c r="D23" t="s">
        <v>312</v>
      </c>
      <c r="E23" t="s">
        <v>373</v>
      </c>
    </row>
    <row r="24" spans="1:5" x14ac:dyDescent="0.2">
      <c r="A24" t="s">
        <v>347</v>
      </c>
      <c r="B24" t="s">
        <v>388</v>
      </c>
      <c r="C24" t="s">
        <v>388</v>
      </c>
      <c r="D24" t="s">
        <v>471</v>
      </c>
      <c r="E24" t="s">
        <v>384</v>
      </c>
    </row>
    <row r="25" spans="1:5" x14ac:dyDescent="0.2">
      <c r="A25" t="s">
        <v>345</v>
      </c>
      <c r="B25" t="s">
        <v>424</v>
      </c>
      <c r="C25" t="s">
        <v>424</v>
      </c>
      <c r="D25" t="s">
        <v>474</v>
      </c>
      <c r="E25" t="s">
        <v>394</v>
      </c>
    </row>
    <row r="26" spans="1:5" x14ac:dyDescent="0.2">
      <c r="A26" t="s">
        <v>322</v>
      </c>
      <c r="B26" t="s">
        <v>409</v>
      </c>
      <c r="C26" t="s">
        <v>409</v>
      </c>
      <c r="D26" t="s">
        <v>473</v>
      </c>
      <c r="E26" t="s">
        <v>408</v>
      </c>
    </row>
    <row r="27" spans="1:5" x14ac:dyDescent="0.2">
      <c r="A27" t="s">
        <v>323</v>
      </c>
      <c r="B27" t="s">
        <v>425</v>
      </c>
      <c r="C27" t="s">
        <v>425</v>
      </c>
      <c r="D27" t="s">
        <v>473</v>
      </c>
      <c r="E27" t="s">
        <v>389</v>
      </c>
    </row>
    <row r="28" spans="1:5" x14ac:dyDescent="0.2">
      <c r="A28" t="s">
        <v>357</v>
      </c>
      <c r="B28" t="s">
        <v>377</v>
      </c>
      <c r="C28" t="s">
        <v>377</v>
      </c>
      <c r="D28" t="s">
        <v>470</v>
      </c>
      <c r="E28" t="s">
        <v>373</v>
      </c>
    </row>
    <row r="29" spans="1:5" x14ac:dyDescent="0.2">
      <c r="A29" t="s">
        <v>472</v>
      </c>
      <c r="B29" t="s">
        <v>458</v>
      </c>
      <c r="C29" t="s">
        <v>312</v>
      </c>
      <c r="D29" t="s">
        <v>458</v>
      </c>
      <c r="E29" t="s">
        <v>8</v>
      </c>
    </row>
    <row r="30" spans="1:5" x14ac:dyDescent="0.2">
      <c r="A30" t="s">
        <v>369</v>
      </c>
      <c r="B30" t="s">
        <v>421</v>
      </c>
      <c r="C30" t="s">
        <v>421</v>
      </c>
      <c r="D30" t="s">
        <v>470</v>
      </c>
      <c r="E30" t="s">
        <v>373</v>
      </c>
    </row>
    <row r="31" spans="1:5" x14ac:dyDescent="0.2">
      <c r="A31" t="s">
        <v>350</v>
      </c>
      <c r="B31" t="s">
        <v>418</v>
      </c>
      <c r="C31" t="s">
        <v>418</v>
      </c>
      <c r="D31" t="s">
        <v>312</v>
      </c>
      <c r="E31" t="s">
        <v>373</v>
      </c>
    </row>
    <row r="32" spans="1:5" x14ac:dyDescent="0.2">
      <c r="A32" t="s">
        <v>330</v>
      </c>
      <c r="B32" t="s">
        <v>399</v>
      </c>
      <c r="C32" t="s">
        <v>399</v>
      </c>
      <c r="D32" t="s">
        <v>470</v>
      </c>
      <c r="E32" t="s">
        <v>394</v>
      </c>
    </row>
    <row r="33" spans="1:5" x14ac:dyDescent="0.2">
      <c r="A33" t="s">
        <v>327</v>
      </c>
      <c r="B33" t="s">
        <v>423</v>
      </c>
      <c r="C33" t="s">
        <v>423</v>
      </c>
      <c r="D33" t="s">
        <v>474</v>
      </c>
      <c r="E33" t="s">
        <v>394</v>
      </c>
    </row>
    <row r="34" spans="1:5" x14ac:dyDescent="0.2">
      <c r="A34" t="s">
        <v>349</v>
      </c>
      <c r="B34" t="s">
        <v>430</v>
      </c>
      <c r="C34" t="s">
        <v>430</v>
      </c>
      <c r="D34" t="s">
        <v>473</v>
      </c>
      <c r="E34" t="s">
        <v>408</v>
      </c>
    </row>
    <row r="35" spans="1:5" x14ac:dyDescent="0.2">
      <c r="A35" t="s">
        <v>338</v>
      </c>
      <c r="B35" t="s">
        <v>412</v>
      </c>
      <c r="C35" t="s">
        <v>412</v>
      </c>
      <c r="D35" t="s">
        <v>473</v>
      </c>
      <c r="E35" t="s">
        <v>408</v>
      </c>
    </row>
    <row r="36" spans="1:5" x14ac:dyDescent="0.2">
      <c r="A36" t="s">
        <v>365</v>
      </c>
      <c r="B36" t="s">
        <v>432</v>
      </c>
      <c r="C36" t="s">
        <v>432</v>
      </c>
      <c r="D36" t="s">
        <v>473</v>
      </c>
      <c r="E36" t="s">
        <v>408</v>
      </c>
    </row>
    <row r="37" spans="1:5" x14ac:dyDescent="0.2">
      <c r="A37" t="s">
        <v>481</v>
      </c>
      <c r="B37" t="s">
        <v>428</v>
      </c>
      <c r="C37" t="s">
        <v>428</v>
      </c>
      <c r="D37" t="s">
        <v>473</v>
      </c>
      <c r="E37" t="s">
        <v>408</v>
      </c>
    </row>
    <row r="38" spans="1:5" x14ac:dyDescent="0.2">
      <c r="A38" t="s">
        <v>479</v>
      </c>
      <c r="B38" t="s">
        <v>480</v>
      </c>
      <c r="C38" t="s">
        <v>312</v>
      </c>
      <c r="D38" t="s">
        <v>458</v>
      </c>
      <c r="E38" t="s">
        <v>8</v>
      </c>
    </row>
    <row r="39" spans="1:5" x14ac:dyDescent="0.2">
      <c r="A39" t="s">
        <v>355</v>
      </c>
      <c r="B39" t="s">
        <v>413</v>
      </c>
      <c r="C39" t="s">
        <v>413</v>
      </c>
      <c r="D39" t="s">
        <v>473</v>
      </c>
      <c r="E39" t="s">
        <v>408</v>
      </c>
    </row>
    <row r="40" spans="1:5" x14ac:dyDescent="0.2">
      <c r="A40" t="s">
        <v>488</v>
      </c>
      <c r="B40" t="s">
        <v>489</v>
      </c>
      <c r="C40" t="s">
        <v>312</v>
      </c>
      <c r="D40" t="s">
        <v>458</v>
      </c>
      <c r="E40" t="s">
        <v>8</v>
      </c>
    </row>
    <row r="41" spans="1:5" x14ac:dyDescent="0.2">
      <c r="A41" t="s">
        <v>475</v>
      </c>
      <c r="B41" t="s">
        <v>476</v>
      </c>
      <c r="C41" t="s">
        <v>312</v>
      </c>
      <c r="D41" t="s">
        <v>458</v>
      </c>
      <c r="E41" t="s">
        <v>8</v>
      </c>
    </row>
    <row r="42" spans="1:5" x14ac:dyDescent="0.2">
      <c r="A42" t="s">
        <v>364</v>
      </c>
      <c r="B42" t="s">
        <v>376</v>
      </c>
      <c r="C42" t="s">
        <v>376</v>
      </c>
      <c r="D42" t="s">
        <v>470</v>
      </c>
      <c r="E42" t="s">
        <v>373</v>
      </c>
    </row>
    <row r="43" spans="1:5" x14ac:dyDescent="0.2">
      <c r="A43" t="s">
        <v>325</v>
      </c>
      <c r="B43" t="s">
        <v>382</v>
      </c>
      <c r="C43" t="s">
        <v>382</v>
      </c>
      <c r="D43" t="s">
        <v>471</v>
      </c>
      <c r="E43" t="s">
        <v>373</v>
      </c>
    </row>
    <row r="44" spans="1:5" x14ac:dyDescent="0.2">
      <c r="A44" t="s">
        <v>328</v>
      </c>
      <c r="B44" t="s">
        <v>427</v>
      </c>
      <c r="C44" t="s">
        <v>427</v>
      </c>
      <c r="D44" t="s">
        <v>470</v>
      </c>
      <c r="E44" t="s">
        <v>373</v>
      </c>
    </row>
    <row r="45" spans="1:5" x14ac:dyDescent="0.2">
      <c r="A45" t="s">
        <v>358</v>
      </c>
      <c r="B45" t="s">
        <v>392</v>
      </c>
      <c r="C45" t="s">
        <v>392</v>
      </c>
      <c r="D45" t="s">
        <v>471</v>
      </c>
      <c r="E45" t="s">
        <v>384</v>
      </c>
    </row>
    <row r="46" spans="1:5" x14ac:dyDescent="0.2">
      <c r="A46" t="s">
        <v>340</v>
      </c>
      <c r="B46" t="s">
        <v>397</v>
      </c>
      <c r="C46" t="s">
        <v>397</v>
      </c>
      <c r="D46" t="s">
        <v>471</v>
      </c>
      <c r="E46" t="s">
        <v>384</v>
      </c>
    </row>
    <row r="47" spans="1:5" x14ac:dyDescent="0.2">
      <c r="A47" t="s">
        <v>367</v>
      </c>
      <c r="B47" t="s">
        <v>403</v>
      </c>
      <c r="C47" t="s">
        <v>403</v>
      </c>
      <c r="D47" t="s">
        <v>474</v>
      </c>
      <c r="E47" t="s">
        <v>394</v>
      </c>
    </row>
    <row r="48" spans="1:5" x14ac:dyDescent="0.2">
      <c r="A48" t="s">
        <v>342</v>
      </c>
      <c r="B48" t="s">
        <v>416</v>
      </c>
      <c r="C48" t="s">
        <v>416</v>
      </c>
      <c r="D48" t="s">
        <v>474</v>
      </c>
      <c r="E48" t="s">
        <v>389</v>
      </c>
    </row>
    <row r="49" spans="1:5" x14ac:dyDescent="0.2">
      <c r="A49" t="s">
        <v>331</v>
      </c>
      <c r="B49" t="s">
        <v>414</v>
      </c>
      <c r="C49" t="s">
        <v>414</v>
      </c>
      <c r="D49" t="s">
        <v>474</v>
      </c>
      <c r="E49" t="s">
        <v>389</v>
      </c>
    </row>
    <row r="50" spans="1:5" x14ac:dyDescent="0.2">
      <c r="A50" t="s">
        <v>336</v>
      </c>
      <c r="B50" t="s">
        <v>411</v>
      </c>
      <c r="C50" t="s">
        <v>411</v>
      </c>
      <c r="D50" t="s">
        <v>473</v>
      </c>
      <c r="E50" t="s">
        <v>408</v>
      </c>
    </row>
    <row r="51" spans="1:5" x14ac:dyDescent="0.2">
      <c r="A51" t="s">
        <v>324</v>
      </c>
      <c r="B51" t="s">
        <v>391</v>
      </c>
      <c r="C51" t="s">
        <v>391</v>
      </c>
      <c r="D51" t="s">
        <v>474</v>
      </c>
      <c r="E51" t="s">
        <v>389</v>
      </c>
    </row>
    <row r="52" spans="1:5" x14ac:dyDescent="0.2">
      <c r="A52" t="s">
        <v>477</v>
      </c>
      <c r="B52" t="s">
        <v>478</v>
      </c>
      <c r="C52" t="s">
        <v>312</v>
      </c>
      <c r="D52" t="s">
        <v>458</v>
      </c>
      <c r="E52" t="s">
        <v>8</v>
      </c>
    </row>
    <row r="53" spans="1:5" x14ac:dyDescent="0.2">
      <c r="A53" t="s">
        <v>486</v>
      </c>
      <c r="B53" t="s">
        <v>487</v>
      </c>
      <c r="C53" t="s">
        <v>312</v>
      </c>
      <c r="D53" t="s">
        <v>458</v>
      </c>
      <c r="E53" t="s">
        <v>8</v>
      </c>
    </row>
    <row r="54" spans="1:5" x14ac:dyDescent="0.2">
      <c r="A54" t="s">
        <v>351</v>
      </c>
      <c r="B54" t="s">
        <v>379</v>
      </c>
      <c r="C54" t="s">
        <v>379</v>
      </c>
      <c r="D54" t="s">
        <v>470</v>
      </c>
      <c r="E54" t="s">
        <v>373</v>
      </c>
    </row>
    <row r="55" spans="1:5" x14ac:dyDescent="0.2">
      <c r="A55" t="s">
        <v>366</v>
      </c>
      <c r="B55" t="s">
        <v>385</v>
      </c>
      <c r="C55" t="s">
        <v>385</v>
      </c>
      <c r="D55" t="s">
        <v>471</v>
      </c>
      <c r="E55" t="s">
        <v>384</v>
      </c>
    </row>
    <row r="56" spans="1:5" x14ac:dyDescent="0.2">
      <c r="A56" t="s">
        <v>321</v>
      </c>
      <c r="B56" t="s">
        <v>429</v>
      </c>
      <c r="C56" t="s">
        <v>429</v>
      </c>
      <c r="D56" t="s">
        <v>471</v>
      </c>
      <c r="E56" t="s">
        <v>384</v>
      </c>
    </row>
    <row r="57" spans="1:5" x14ac:dyDescent="0.2">
      <c r="A57" t="s">
        <v>320</v>
      </c>
      <c r="B57" t="s">
        <v>400</v>
      </c>
      <c r="C57" t="s">
        <v>400</v>
      </c>
      <c r="D57" t="s">
        <v>474</v>
      </c>
      <c r="E57" t="s">
        <v>394</v>
      </c>
    </row>
    <row r="58" spans="1:5" x14ac:dyDescent="0.2">
      <c r="A58" t="s">
        <v>326</v>
      </c>
      <c r="B58" t="s">
        <v>404</v>
      </c>
      <c r="C58" t="s">
        <v>404</v>
      </c>
      <c r="D58" t="s">
        <v>474</v>
      </c>
      <c r="E58" t="s">
        <v>394</v>
      </c>
    </row>
    <row r="59" spans="1:5" x14ac:dyDescent="0.2">
      <c r="A59" t="s">
        <v>332</v>
      </c>
      <c r="B59" t="s">
        <v>417</v>
      </c>
      <c r="C59" t="s">
        <v>417</v>
      </c>
      <c r="D59" t="s">
        <v>473</v>
      </c>
      <c r="E59" t="s">
        <v>408</v>
      </c>
    </row>
    <row r="60" spans="1:5" x14ac:dyDescent="0.2">
      <c r="A60" t="s">
        <v>319</v>
      </c>
      <c r="B60" t="s">
        <v>415</v>
      </c>
      <c r="C60" t="s">
        <v>415</v>
      </c>
      <c r="D60" t="s">
        <v>474</v>
      </c>
      <c r="E60" t="s">
        <v>389</v>
      </c>
    </row>
    <row r="61" spans="1:5" x14ac:dyDescent="0.2">
      <c r="A61" t="s">
        <v>333</v>
      </c>
      <c r="B61" t="s">
        <v>83</v>
      </c>
      <c r="C61" t="s">
        <v>83</v>
      </c>
      <c r="D61" t="s">
        <v>473</v>
      </c>
      <c r="E61" t="s">
        <v>408</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1039</v>
      </c>
      <c r="C2" t="s">
        <v>441</v>
      </c>
      <c r="D2" t="s">
        <v>442</v>
      </c>
      <c r="E2" t="s">
        <v>443</v>
      </c>
      <c r="F2" t="s">
        <v>444</v>
      </c>
      <c r="G2" t="s">
        <v>445</v>
      </c>
      <c r="H2" t="s">
        <v>446</v>
      </c>
      <c r="I2" t="s">
        <v>447</v>
      </c>
      <c r="J2" t="s">
        <v>448</v>
      </c>
      <c r="K2" t="s">
        <v>449</v>
      </c>
      <c r="L2" t="s">
        <v>450</v>
      </c>
      <c r="M2" t="s">
        <v>451</v>
      </c>
      <c r="N2" t="s">
        <v>452</v>
      </c>
      <c r="O2" t="s">
        <v>453</v>
      </c>
      <c r="P2" t="s">
        <v>454</v>
      </c>
      <c r="Q2" t="s">
        <v>456</v>
      </c>
    </row>
    <row r="3" spans="2:33" x14ac:dyDescent="0.2">
      <c r="B3" t="s">
        <v>389</v>
      </c>
      <c r="C3" t="s">
        <v>415</v>
      </c>
      <c r="D3" t="s">
        <v>407</v>
      </c>
      <c r="E3" t="s">
        <v>391</v>
      </c>
      <c r="F3" t="s">
        <v>393</v>
      </c>
      <c r="G3" t="s">
        <v>422</v>
      </c>
      <c r="H3" t="s">
        <v>416</v>
      </c>
      <c r="I3" t="s">
        <v>414</v>
      </c>
      <c r="J3" t="s">
        <v>410</v>
      </c>
      <c r="K3" t="s">
        <v>425</v>
      </c>
      <c r="L3" t="s">
        <v>455</v>
      </c>
      <c r="M3" t="s">
        <v>455</v>
      </c>
      <c r="N3" t="s">
        <v>455</v>
      </c>
      <c r="O3" t="s">
        <v>455</v>
      </c>
      <c r="P3" t="s">
        <v>455</v>
      </c>
      <c r="Q3" t="s">
        <v>455</v>
      </c>
      <c r="S3" s="14" t="s">
        <v>415</v>
      </c>
      <c r="T3" s="14" t="s">
        <v>407</v>
      </c>
      <c r="U3" s="14" t="s">
        <v>391</v>
      </c>
      <c r="V3" s="14" t="s">
        <v>393</v>
      </c>
      <c r="W3" s="14" t="s">
        <v>422</v>
      </c>
      <c r="X3" s="14" t="s">
        <v>416</v>
      </c>
      <c r="Y3" s="14" t="s">
        <v>414</v>
      </c>
      <c r="Z3" s="14" t="s">
        <v>410</v>
      </c>
      <c r="AA3" s="14" t="s">
        <v>425</v>
      </c>
      <c r="AB3" s="14"/>
      <c r="AC3" s="14"/>
      <c r="AD3" s="14"/>
      <c r="AE3" s="14"/>
      <c r="AF3" s="15"/>
      <c r="AG3" s="15"/>
    </row>
    <row r="4" spans="2:33" x14ac:dyDescent="0.2">
      <c r="B4" t="s">
        <v>394</v>
      </c>
      <c r="C4" t="s">
        <v>398</v>
      </c>
      <c r="D4" t="s">
        <v>396</v>
      </c>
      <c r="E4" t="s">
        <v>403</v>
      </c>
      <c r="F4" t="s">
        <v>426</v>
      </c>
      <c r="G4" t="s">
        <v>399</v>
      </c>
      <c r="H4" t="s">
        <v>405</v>
      </c>
      <c r="I4" t="s">
        <v>401</v>
      </c>
      <c r="J4" t="s">
        <v>404</v>
      </c>
      <c r="K4" t="s">
        <v>423</v>
      </c>
      <c r="L4" t="s">
        <v>395</v>
      </c>
      <c r="M4" t="s">
        <v>424</v>
      </c>
      <c r="N4" t="s">
        <v>400</v>
      </c>
      <c r="O4" t="s">
        <v>455</v>
      </c>
      <c r="P4" t="s">
        <v>455</v>
      </c>
      <c r="Q4" t="s">
        <v>455</v>
      </c>
      <c r="S4" s="14" t="s">
        <v>398</v>
      </c>
      <c r="T4" s="14" t="s">
        <v>396</v>
      </c>
      <c r="U4" s="14" t="s">
        <v>403</v>
      </c>
      <c r="V4" s="14" t="s">
        <v>426</v>
      </c>
      <c r="W4" s="14" t="s">
        <v>399</v>
      </c>
      <c r="X4" s="14" t="s">
        <v>405</v>
      </c>
      <c r="Y4" s="14" t="s">
        <v>401</v>
      </c>
      <c r="Z4" s="14" t="s">
        <v>404</v>
      </c>
      <c r="AA4" s="14" t="s">
        <v>423</v>
      </c>
      <c r="AB4" s="14" t="s">
        <v>395</v>
      </c>
      <c r="AC4" s="14" t="s">
        <v>424</v>
      </c>
      <c r="AD4" s="14" t="s">
        <v>400</v>
      </c>
      <c r="AE4" s="14"/>
      <c r="AF4" s="15"/>
      <c r="AG4" s="15"/>
    </row>
    <row r="5" spans="2:33" x14ac:dyDescent="0.2">
      <c r="B5" t="s">
        <v>373</v>
      </c>
      <c r="C5" t="s">
        <v>377</v>
      </c>
      <c r="D5" t="s">
        <v>427</v>
      </c>
      <c r="E5" t="s">
        <v>418</v>
      </c>
      <c r="F5" t="s">
        <v>420</v>
      </c>
      <c r="G5" t="s">
        <v>380</v>
      </c>
      <c r="H5" t="s">
        <v>375</v>
      </c>
      <c r="I5" t="s">
        <v>419</v>
      </c>
      <c r="J5" t="s">
        <v>378</v>
      </c>
      <c r="K5" t="s">
        <v>63</v>
      </c>
      <c r="L5" t="s">
        <v>386</v>
      </c>
      <c r="M5" t="s">
        <v>379</v>
      </c>
      <c r="N5" t="s">
        <v>376</v>
      </c>
      <c r="O5" t="s">
        <v>421</v>
      </c>
      <c r="P5" t="s">
        <v>382</v>
      </c>
      <c r="Q5" t="s">
        <v>383</v>
      </c>
      <c r="S5" s="14" t="s">
        <v>377</v>
      </c>
      <c r="T5" s="14" t="s">
        <v>427</v>
      </c>
      <c r="U5" s="14" t="s">
        <v>418</v>
      </c>
      <c r="V5" s="14" t="s">
        <v>420</v>
      </c>
      <c r="W5" s="14" t="s">
        <v>380</v>
      </c>
      <c r="X5" s="14" t="s">
        <v>375</v>
      </c>
      <c r="Y5" s="14" t="s">
        <v>419</v>
      </c>
      <c r="Z5" s="14" t="s">
        <v>378</v>
      </c>
      <c r="AA5" s="14" t="s">
        <v>63</v>
      </c>
      <c r="AB5" s="14" t="s">
        <v>386</v>
      </c>
      <c r="AC5" s="14" t="s">
        <v>379</v>
      </c>
      <c r="AD5" s="14" t="s">
        <v>376</v>
      </c>
      <c r="AE5" s="14" t="s">
        <v>421</v>
      </c>
      <c r="AF5" s="15" t="s">
        <v>382</v>
      </c>
      <c r="AG5" s="15" t="s">
        <v>383</v>
      </c>
    </row>
    <row r="6" spans="2:33" x14ac:dyDescent="0.2">
      <c r="B6" t="s">
        <v>408</v>
      </c>
      <c r="C6" t="s">
        <v>428</v>
      </c>
      <c r="D6" t="s">
        <v>430</v>
      </c>
      <c r="E6" t="s">
        <v>411</v>
      </c>
      <c r="F6" t="s">
        <v>432</v>
      </c>
      <c r="G6" t="s">
        <v>412</v>
      </c>
      <c r="H6" t="s">
        <v>417</v>
      </c>
      <c r="I6" t="s">
        <v>409</v>
      </c>
      <c r="J6" t="s">
        <v>413</v>
      </c>
      <c r="K6" t="s">
        <v>83</v>
      </c>
      <c r="L6" t="s">
        <v>455</v>
      </c>
      <c r="M6" t="s">
        <v>455</v>
      </c>
      <c r="N6" t="s">
        <v>455</v>
      </c>
      <c r="O6" t="s">
        <v>455</v>
      </c>
      <c r="P6" t="s">
        <v>455</v>
      </c>
      <c r="Q6" t="s">
        <v>455</v>
      </c>
      <c r="S6" s="14" t="s">
        <v>428</v>
      </c>
      <c r="T6" s="14" t="s">
        <v>430</v>
      </c>
      <c r="U6" s="14" t="s">
        <v>411</v>
      </c>
      <c r="V6" s="14" t="s">
        <v>432</v>
      </c>
      <c r="W6" s="14" t="s">
        <v>412</v>
      </c>
      <c r="X6" s="14" t="s">
        <v>417</v>
      </c>
      <c r="Y6" s="14" t="s">
        <v>409</v>
      </c>
      <c r="Z6" s="14" t="s">
        <v>413</v>
      </c>
      <c r="AA6" s="14" t="s">
        <v>83</v>
      </c>
      <c r="AB6" s="14"/>
      <c r="AC6" s="14"/>
      <c r="AD6" s="14"/>
      <c r="AE6" s="14"/>
      <c r="AF6" s="15"/>
      <c r="AG6" s="15"/>
    </row>
    <row r="7" spans="2:33" x14ac:dyDescent="0.2">
      <c r="B7" t="s">
        <v>384</v>
      </c>
      <c r="C7" t="s">
        <v>392</v>
      </c>
      <c r="D7" t="s">
        <v>429</v>
      </c>
      <c r="E7" t="s">
        <v>385</v>
      </c>
      <c r="F7" t="s">
        <v>397</v>
      </c>
      <c r="G7" t="s">
        <v>431</v>
      </c>
      <c r="H7" t="s">
        <v>387</v>
      </c>
      <c r="I7" t="s">
        <v>388</v>
      </c>
      <c r="J7" t="s">
        <v>455</v>
      </c>
      <c r="K7" t="s">
        <v>455</v>
      </c>
      <c r="L7" t="s">
        <v>455</v>
      </c>
      <c r="M7" t="s">
        <v>455</v>
      </c>
      <c r="N7" t="s">
        <v>455</v>
      </c>
      <c r="O7" t="s">
        <v>455</v>
      </c>
      <c r="P7" t="s">
        <v>455</v>
      </c>
      <c r="Q7" t="s">
        <v>455</v>
      </c>
      <c r="S7" s="14" t="s">
        <v>392</v>
      </c>
      <c r="T7" s="14" t="s">
        <v>429</v>
      </c>
      <c r="U7" s="14" t="s">
        <v>385</v>
      </c>
      <c r="V7" s="14" t="s">
        <v>397</v>
      </c>
      <c r="W7" s="14" t="s">
        <v>431</v>
      </c>
      <c r="X7" s="14" t="s">
        <v>387</v>
      </c>
      <c r="Y7" s="14" t="s">
        <v>388</v>
      </c>
      <c r="Z7" s="14"/>
      <c r="AA7" s="14"/>
      <c r="AB7" s="14"/>
      <c r="AC7" s="14"/>
      <c r="AD7" s="14"/>
      <c r="AE7" s="14"/>
      <c r="AF7" s="15"/>
      <c r="AG7" s="15"/>
    </row>
    <row r="8" spans="2:33" x14ac:dyDescent="0.2">
      <c r="B8" t="s">
        <v>8</v>
      </c>
      <c r="C8" t="s">
        <v>8</v>
      </c>
      <c r="D8" t="s">
        <v>455</v>
      </c>
      <c r="E8" t="s">
        <v>455</v>
      </c>
      <c r="F8" t="s">
        <v>455</v>
      </c>
      <c r="G8" t="s">
        <v>455</v>
      </c>
      <c r="H8" t="s">
        <v>455</v>
      </c>
      <c r="I8" t="s">
        <v>455</v>
      </c>
      <c r="J8" t="s">
        <v>455</v>
      </c>
      <c r="K8" t="s">
        <v>455</v>
      </c>
      <c r="L8" t="s">
        <v>455</v>
      </c>
      <c r="M8" t="s">
        <v>455</v>
      </c>
      <c r="N8" t="s">
        <v>455</v>
      </c>
      <c r="O8" t="s">
        <v>455</v>
      </c>
      <c r="P8" t="s">
        <v>455</v>
      </c>
      <c r="Q8" t="s">
        <v>455</v>
      </c>
      <c r="S8" s="16" t="s">
        <v>8</v>
      </c>
      <c r="T8" s="16"/>
      <c r="U8" s="16"/>
      <c r="V8" s="16"/>
      <c r="W8" s="16"/>
      <c r="X8" s="16"/>
      <c r="Y8" s="16"/>
      <c r="Z8" s="16"/>
      <c r="AA8" s="16"/>
      <c r="AB8" s="16"/>
      <c r="AC8" s="16"/>
      <c r="AD8" s="16"/>
      <c r="AE8" s="16"/>
      <c r="AF8" s="17"/>
      <c r="AG8" s="17"/>
    </row>
    <row r="10" spans="2:33" x14ac:dyDescent="0.2">
      <c r="B10" t="s">
        <v>440</v>
      </c>
      <c r="C10" t="s">
        <v>441</v>
      </c>
      <c r="D10" t="s">
        <v>442</v>
      </c>
      <c r="E10" t="s">
        <v>443</v>
      </c>
      <c r="F10" t="s">
        <v>444</v>
      </c>
      <c r="G10" t="s">
        <v>445</v>
      </c>
      <c r="H10" t="s">
        <v>446</v>
      </c>
      <c r="I10" t="s">
        <v>447</v>
      </c>
      <c r="J10" t="s">
        <v>448</v>
      </c>
      <c r="K10" t="s">
        <v>449</v>
      </c>
      <c r="L10" t="s">
        <v>450</v>
      </c>
      <c r="M10" t="s">
        <v>451</v>
      </c>
      <c r="N10" t="s">
        <v>452</v>
      </c>
      <c r="O10" t="s">
        <v>453</v>
      </c>
      <c r="P10" t="s">
        <v>454</v>
      </c>
      <c r="Q10" t="s">
        <v>456</v>
      </c>
      <c r="R10" t="s">
        <v>457</v>
      </c>
    </row>
    <row r="11" spans="2:33" x14ac:dyDescent="0.2">
      <c r="B11" t="s">
        <v>389</v>
      </c>
      <c r="C11" t="s">
        <v>641</v>
      </c>
      <c r="D11" t="s">
        <v>588</v>
      </c>
      <c r="E11" t="s">
        <v>635</v>
      </c>
      <c r="F11" t="s">
        <v>623</v>
      </c>
      <c r="G11" t="s">
        <v>559</v>
      </c>
      <c r="H11" t="s">
        <v>611</v>
      </c>
      <c r="I11" t="s">
        <v>613</v>
      </c>
      <c r="J11" t="s">
        <v>555</v>
      </c>
      <c r="K11" t="s">
        <v>592</v>
      </c>
      <c r="L11" t="s">
        <v>609</v>
      </c>
      <c r="M11" t="s">
        <v>455</v>
      </c>
      <c r="N11" t="s">
        <v>455</v>
      </c>
      <c r="O11" t="s">
        <v>455</v>
      </c>
      <c r="P11" t="s">
        <v>455</v>
      </c>
      <c r="Q11" t="s">
        <v>455</v>
      </c>
      <c r="R11" t="s">
        <v>455</v>
      </c>
    </row>
    <row r="12" spans="2:33" x14ac:dyDescent="0.2">
      <c r="B12" t="s">
        <v>394</v>
      </c>
      <c r="C12" t="s">
        <v>571</v>
      </c>
      <c r="D12" t="s">
        <v>563</v>
      </c>
      <c r="E12" t="s">
        <v>580</v>
      </c>
      <c r="F12" t="s">
        <v>573</v>
      </c>
      <c r="G12" t="s">
        <v>637</v>
      </c>
      <c r="H12" t="s">
        <v>565</v>
      </c>
      <c r="I12" t="s">
        <v>582</v>
      </c>
      <c r="J12" t="s">
        <v>575</v>
      </c>
      <c r="K12" t="s">
        <v>639</v>
      </c>
      <c r="L12" t="s">
        <v>578</v>
      </c>
      <c r="M12" t="s">
        <v>584</v>
      </c>
      <c r="N12" t="s">
        <v>643</v>
      </c>
      <c r="O12" t="s">
        <v>455</v>
      </c>
      <c r="P12" t="s">
        <v>455</v>
      </c>
      <c r="Q12" t="s">
        <v>455</v>
      </c>
      <c r="R12" t="s">
        <v>455</v>
      </c>
    </row>
    <row r="13" spans="2:33" x14ac:dyDescent="0.2">
      <c r="B13" t="s">
        <v>373</v>
      </c>
      <c r="C13" t="s">
        <v>537</v>
      </c>
      <c r="D13" t="s">
        <v>516</v>
      </c>
      <c r="E13" t="s">
        <v>524</v>
      </c>
      <c r="F13" t="s">
        <v>526</v>
      </c>
      <c r="G13" t="s">
        <v>541</v>
      </c>
      <c r="H13" t="s">
        <v>626</v>
      </c>
      <c r="I13" t="s">
        <v>522</v>
      </c>
      <c r="J13" t="s">
        <v>528</v>
      </c>
      <c r="K13" t="s">
        <v>530</v>
      </c>
      <c r="L13" t="s">
        <v>533</v>
      </c>
      <c r="M13" t="s">
        <v>518</v>
      </c>
      <c r="N13" t="s">
        <v>539</v>
      </c>
      <c r="O13" t="s">
        <v>631</v>
      </c>
      <c r="P13" t="s">
        <v>633</v>
      </c>
      <c r="Q13" t="s">
        <v>647</v>
      </c>
      <c r="R13" t="s">
        <v>547</v>
      </c>
    </row>
    <row r="14" spans="2:33" x14ac:dyDescent="0.2">
      <c r="B14" t="s">
        <v>408</v>
      </c>
      <c r="C14" t="s">
        <v>590</v>
      </c>
      <c r="D14" t="s">
        <v>649</v>
      </c>
      <c r="E14" t="s">
        <v>605</v>
      </c>
      <c r="F14" t="s">
        <v>645</v>
      </c>
      <c r="G14" t="s">
        <v>597</v>
      </c>
      <c r="H14" t="s">
        <v>619</v>
      </c>
      <c r="I14" t="s">
        <v>595</v>
      </c>
      <c r="J14" t="s">
        <v>599</v>
      </c>
      <c r="K14" t="s">
        <v>607</v>
      </c>
      <c r="L14" t="s">
        <v>615</v>
      </c>
      <c r="M14" t="s">
        <v>628</v>
      </c>
      <c r="N14" t="s">
        <v>601</v>
      </c>
      <c r="O14" t="s">
        <v>455</v>
      </c>
      <c r="P14" t="s">
        <v>455</v>
      </c>
      <c r="Q14" t="s">
        <v>455</v>
      </c>
      <c r="R14" t="s">
        <v>455</v>
      </c>
    </row>
    <row r="15" spans="2:33" x14ac:dyDescent="0.2">
      <c r="B15" t="s">
        <v>384</v>
      </c>
      <c r="C15" t="s">
        <v>543</v>
      </c>
      <c r="D15" t="s">
        <v>551</v>
      </c>
      <c r="E15" t="s">
        <v>567</v>
      </c>
      <c r="F15" t="s">
        <v>557</v>
      </c>
      <c r="G15" t="s">
        <v>553</v>
      </c>
      <c r="H15" t="s">
        <v>617</v>
      </c>
      <c r="I15" t="s">
        <v>545</v>
      </c>
      <c r="J15" t="s">
        <v>455</v>
      </c>
      <c r="K15" t="s">
        <v>455</v>
      </c>
      <c r="L15" t="s">
        <v>455</v>
      </c>
      <c r="M15" t="s">
        <v>455</v>
      </c>
      <c r="N15" t="s">
        <v>455</v>
      </c>
      <c r="O15" t="s">
        <v>455</v>
      </c>
      <c r="P15" t="s">
        <v>455</v>
      </c>
      <c r="Q15" t="s">
        <v>455</v>
      </c>
      <c r="R15" t="s">
        <v>455</v>
      </c>
    </row>
    <row r="16" spans="2:33" x14ac:dyDescent="0.2">
      <c r="B16" t="s">
        <v>8</v>
      </c>
      <c r="C16" t="s">
        <v>455</v>
      </c>
      <c r="D16" t="s">
        <v>455</v>
      </c>
      <c r="E16" t="s">
        <v>455</v>
      </c>
      <c r="F16" t="s">
        <v>455</v>
      </c>
      <c r="G16" t="s">
        <v>455</v>
      </c>
      <c r="H16" t="s">
        <v>455</v>
      </c>
      <c r="I16" t="s">
        <v>455</v>
      </c>
      <c r="J16" t="s">
        <v>455</v>
      </c>
      <c r="K16" t="s">
        <v>455</v>
      </c>
      <c r="L16" t="s">
        <v>455</v>
      </c>
      <c r="M16" t="s">
        <v>455</v>
      </c>
      <c r="N16" t="s">
        <v>455</v>
      </c>
      <c r="O16" t="s">
        <v>455</v>
      </c>
      <c r="P16" t="s">
        <v>455</v>
      </c>
      <c r="Q16" t="s">
        <v>455</v>
      </c>
      <c r="R16" t="s">
        <v>455</v>
      </c>
    </row>
    <row r="19" spans="2:4" x14ac:dyDescent="0.2">
      <c r="B19" t="s">
        <v>977</v>
      </c>
      <c r="C19" t="s">
        <v>978</v>
      </c>
      <c r="D19" t="s">
        <v>979</v>
      </c>
    </row>
    <row r="20" spans="2:4" x14ac:dyDescent="0.2">
      <c r="B20" s="151">
        <v>42392</v>
      </c>
      <c r="C20">
        <v>24129</v>
      </c>
      <c r="D20">
        <v>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11" t="s">
        <v>983</v>
      </c>
      <c r="C2" s="312"/>
      <c r="D2" s="312"/>
      <c r="E2" s="312"/>
      <c r="F2" s="312"/>
      <c r="G2" s="313"/>
      <c r="H2" s="135" t="s">
        <v>5</v>
      </c>
      <c r="I2" s="136" t="s">
        <v>2</v>
      </c>
      <c r="J2" s="136" t="s">
        <v>231</v>
      </c>
      <c r="K2" s="134"/>
    </row>
    <row r="3" spans="1:11" ht="59.25" customHeight="1" x14ac:dyDescent="0.2">
      <c r="A3" s="130"/>
      <c r="B3" s="314"/>
      <c r="C3" s="315"/>
      <c r="D3" s="315"/>
      <c r="E3" s="315"/>
      <c r="F3" s="315"/>
      <c r="G3" s="315"/>
      <c r="H3" s="307">
        <f>SUM(H5,H10)</f>
        <v>357440</v>
      </c>
      <c r="I3" s="307">
        <f>SUM(I5,I10)</f>
        <v>79295</v>
      </c>
      <c r="J3" s="309">
        <f>ROUND(I3/H3,5)</f>
        <v>0.22184000000000001</v>
      </c>
      <c r="K3" s="134"/>
    </row>
    <row r="4" spans="1:11" ht="33" customHeight="1" thickBot="1" x14ac:dyDescent="0.25">
      <c r="A4" s="130"/>
      <c r="B4" s="318" t="str">
        <f>"As of: "&amp;TEXT(INDEX(MMWR_DATES[],1,1),"MMMM DD, YYYY")</f>
        <v>As of: January 23, 2016</v>
      </c>
      <c r="C4" s="319"/>
      <c r="D4" s="319"/>
      <c r="E4" s="319"/>
      <c r="F4" s="319"/>
      <c r="G4" s="320"/>
      <c r="H4" s="308"/>
      <c r="I4" s="308"/>
      <c r="J4" s="310"/>
      <c r="K4" s="137"/>
    </row>
    <row r="5" spans="1:11" ht="16.5" customHeight="1" thickBot="1" x14ac:dyDescent="0.25">
      <c r="A5" s="130"/>
      <c r="B5" s="316" t="s">
        <v>236</v>
      </c>
      <c r="C5" s="317"/>
      <c r="D5" s="317"/>
      <c r="E5" s="317"/>
      <c r="F5" s="317"/>
      <c r="G5" s="138" t="s">
        <v>247</v>
      </c>
      <c r="H5" s="159">
        <f>SUM(H6:H9)</f>
        <v>135773</v>
      </c>
      <c r="I5" s="159">
        <f>SUM(I6:I9)</f>
        <v>35595</v>
      </c>
      <c r="J5" s="160">
        <f t="shared" ref="J5:J15" si="0">IF(H5=0, 0,I5/H5)</f>
        <v>0.26216552628283973</v>
      </c>
      <c r="K5" s="134"/>
    </row>
    <row r="6" spans="1:11" ht="16.5" customHeight="1" x14ac:dyDescent="0.2">
      <c r="A6" s="130"/>
      <c r="B6" s="321" t="s">
        <v>16</v>
      </c>
      <c r="C6" s="322"/>
      <c r="D6" s="322"/>
      <c r="E6" s="322"/>
      <c r="F6" s="322"/>
      <c r="G6" s="139" t="s">
        <v>193</v>
      </c>
      <c r="H6" s="161">
        <f>IFERROR(VLOOKUP(MID($G6,4,3),MMWR_TRAD_AGG_NATIONAL[],2,0),0)</f>
        <v>40071</v>
      </c>
      <c r="I6" s="161">
        <f>IFERROR(VLOOKUP(MID($G6,4,3),MMWR_TRAD_AGG_NATIONAL[],3,0),0)</f>
        <v>12946</v>
      </c>
      <c r="J6" s="162">
        <f t="shared" si="0"/>
        <v>0.32307653914302115</v>
      </c>
      <c r="K6" s="134"/>
    </row>
    <row r="7" spans="1:11" ht="16.5" customHeight="1" x14ac:dyDescent="0.2">
      <c r="A7" s="130"/>
      <c r="B7" s="323" t="s">
        <v>0</v>
      </c>
      <c r="C7" s="324"/>
      <c r="D7" s="324"/>
      <c r="E7" s="324"/>
      <c r="F7" s="324"/>
      <c r="G7" s="140" t="s">
        <v>194</v>
      </c>
      <c r="H7" s="161">
        <f>IFERROR(VLOOKUP(MID($G7,4,3),MMWR_TRAD_AGG_NATIONAL[],2,0),0)</f>
        <v>78786</v>
      </c>
      <c r="I7" s="161">
        <f>IFERROR(VLOOKUP(MID($G7,4,3),MMWR_TRAD_AGG_NATIONAL[],3,0),0)</f>
        <v>20484</v>
      </c>
      <c r="J7" s="162">
        <f t="shared" si="0"/>
        <v>0.25999543066026959</v>
      </c>
      <c r="K7" s="134"/>
    </row>
    <row r="8" spans="1:11" ht="16.5" customHeight="1" x14ac:dyDescent="0.2">
      <c r="A8" s="130"/>
      <c r="B8" s="325" t="s">
        <v>237</v>
      </c>
      <c r="C8" s="326"/>
      <c r="D8" s="326"/>
      <c r="E8" s="326"/>
      <c r="F8" s="326"/>
      <c r="G8" s="141" t="s">
        <v>196</v>
      </c>
      <c r="H8" s="161">
        <f>IFERROR(VLOOKUP(MID($G8,4,3),MMWR_TRAD_AGG_NATIONAL[],2,0),0)</f>
        <v>8519</v>
      </c>
      <c r="I8" s="161">
        <f>IFERROR(VLOOKUP(MID($G8,4,3),MMWR_TRAD_AGG_NATIONAL[],3,0),0)</f>
        <v>602</v>
      </c>
      <c r="J8" s="162">
        <f t="shared" si="0"/>
        <v>7.0665571076417424E-2</v>
      </c>
      <c r="K8" s="134"/>
    </row>
    <row r="9" spans="1:11" ht="16.5" customHeight="1" thickBot="1" x14ac:dyDescent="0.25">
      <c r="A9" s="130"/>
      <c r="B9" s="327" t="s">
        <v>17</v>
      </c>
      <c r="C9" s="328"/>
      <c r="D9" s="328"/>
      <c r="E9" s="328"/>
      <c r="F9" s="328"/>
      <c r="G9" s="140" t="s">
        <v>198</v>
      </c>
      <c r="H9" s="161">
        <f>IFERROR(VLOOKUP(MID($G9,4,3),MMWR_TRAD_AGG_NATIONAL[],2,0),0)</f>
        <v>8397</v>
      </c>
      <c r="I9" s="161">
        <f>IFERROR(VLOOKUP(MID($G9,4,3),MMWR_TRAD_AGG_NATIONAL[],3,0),0)</f>
        <v>1563</v>
      </c>
      <c r="J9" s="162">
        <f t="shared" si="0"/>
        <v>0.18613790639514113</v>
      </c>
      <c r="K9" s="134"/>
    </row>
    <row r="10" spans="1:11" ht="17.25" thickBot="1" x14ac:dyDescent="0.25">
      <c r="A10" s="130"/>
      <c r="B10" s="316" t="s">
        <v>1</v>
      </c>
      <c r="C10" s="317"/>
      <c r="D10" s="317"/>
      <c r="E10" s="317"/>
      <c r="F10" s="317"/>
      <c r="G10" s="138" t="s">
        <v>247</v>
      </c>
      <c r="H10" s="159">
        <f>SUM(H11:H18)</f>
        <v>221667</v>
      </c>
      <c r="I10" s="159">
        <f>SUM(I11:I18)</f>
        <v>43700</v>
      </c>
      <c r="J10" s="160">
        <f t="shared" si="0"/>
        <v>0.19714256068787867</v>
      </c>
      <c r="K10" s="134"/>
    </row>
    <row r="11" spans="1:11" ht="16.5" customHeight="1" x14ac:dyDescent="0.2">
      <c r="A11" s="130"/>
      <c r="B11" s="321" t="s">
        <v>202</v>
      </c>
      <c r="C11" s="322"/>
      <c r="D11" s="322"/>
      <c r="E11" s="322"/>
      <c r="F11" s="322"/>
      <c r="G11" s="142" t="s">
        <v>197</v>
      </c>
      <c r="H11" s="163">
        <f>IFERROR(VLOOKUP(MID($G11,4,3),MMWR_TRAD_AGG_NATIONAL[],2,0),0)</f>
        <v>8072</v>
      </c>
      <c r="I11" s="161">
        <f>IFERROR(VLOOKUP(MID($G11,4,3),MMWR_TRAD_AGG_NATIONAL[],3,0),0)</f>
        <v>453</v>
      </c>
      <c r="J11" s="162">
        <f t="shared" si="0"/>
        <v>5.6119920713577798E-2</v>
      </c>
      <c r="K11" s="134"/>
    </row>
    <row r="12" spans="1:11" ht="16.5" customHeight="1" x14ac:dyDescent="0.2">
      <c r="A12" s="130"/>
      <c r="B12" s="323" t="s">
        <v>18</v>
      </c>
      <c r="C12" s="324"/>
      <c r="D12" s="324"/>
      <c r="E12" s="324"/>
      <c r="F12" s="324"/>
      <c r="G12" s="143" t="s">
        <v>195</v>
      </c>
      <c r="H12" s="164">
        <f>IFERROR(VLOOKUP(MID($G12,4,3),MMWR_TRAD_AGG_NATIONAL[],2,0),0)</f>
        <v>196313</v>
      </c>
      <c r="I12" s="161">
        <f>IFERROR(VLOOKUP(MID($G12,4,3),MMWR_TRAD_AGG_NATIONAL[],3,0),0)</f>
        <v>40549</v>
      </c>
      <c r="J12" s="162">
        <f t="shared" si="0"/>
        <v>0.20655280088430211</v>
      </c>
      <c r="K12" s="134"/>
    </row>
    <row r="13" spans="1:11" ht="16.5" customHeight="1" x14ac:dyDescent="0.2">
      <c r="A13" s="130"/>
      <c r="B13" s="323" t="s">
        <v>14</v>
      </c>
      <c r="C13" s="324"/>
      <c r="D13" s="324"/>
      <c r="E13" s="324"/>
      <c r="F13" s="324"/>
      <c r="G13" s="143" t="s">
        <v>199</v>
      </c>
      <c r="H13" s="164">
        <f>IFERROR(VLOOKUP(MID($G13,4,3),MMWR_TRAD_AGG_NATIONAL[],2,0),0)</f>
        <v>15871</v>
      </c>
      <c r="I13" s="161">
        <f>IFERROR(VLOOKUP(MID($G13,4,3),MMWR_TRAD_AGG_NATIONAL[],3,0),0)</f>
        <v>1968</v>
      </c>
      <c r="J13" s="162">
        <f t="shared" si="0"/>
        <v>0.12399974796799193</v>
      </c>
      <c r="K13" s="134"/>
    </row>
    <row r="14" spans="1:11" ht="16.5" customHeight="1" x14ac:dyDescent="0.2">
      <c r="A14" s="130"/>
      <c r="B14" s="325" t="s">
        <v>19</v>
      </c>
      <c r="C14" s="326"/>
      <c r="D14" s="326"/>
      <c r="E14" s="326"/>
      <c r="F14" s="326"/>
      <c r="G14" s="142" t="s">
        <v>200</v>
      </c>
      <c r="H14" s="164">
        <f>IFERROR(VLOOKUP(MID($G14,4,3),MMWR_TRAD_AGG_NATIONAL[],2,0),0)</f>
        <v>1373</v>
      </c>
      <c r="I14" s="161">
        <f>IFERROR(VLOOKUP(MID($G14,4,3),MMWR_TRAD_AGG_NATIONAL[],3,0),0)</f>
        <v>726</v>
      </c>
      <c r="J14" s="162">
        <f t="shared" si="0"/>
        <v>0.52876911871813548</v>
      </c>
      <c r="K14" s="134"/>
    </row>
    <row r="15" spans="1:11" ht="16.5" customHeight="1" x14ac:dyDescent="0.2">
      <c r="A15" s="130"/>
      <c r="B15" s="325" t="s">
        <v>87</v>
      </c>
      <c r="C15" s="326"/>
      <c r="D15" s="326"/>
      <c r="E15" s="326"/>
      <c r="F15" s="326"/>
      <c r="G15" s="142" t="s">
        <v>203</v>
      </c>
      <c r="H15" s="164">
        <f>IFERROR(VLOOKUP(MID($G15,4,3),MMWR_TRAD_AGG_NATIONAL[],2,0),0)</f>
        <v>31</v>
      </c>
      <c r="I15" s="161">
        <f>IFERROR(VLOOKUP(MID($G15,4,3),MMWR_TRAD_AGG_NATIONAL[],3,0),0)</f>
        <v>3</v>
      </c>
      <c r="J15" s="162">
        <f t="shared" si="0"/>
        <v>9.6774193548387094E-2</v>
      </c>
      <c r="K15" s="134"/>
    </row>
    <row r="16" spans="1:11" ht="15" x14ac:dyDescent="0.2">
      <c r="A16" s="130"/>
      <c r="B16" s="325" t="s">
        <v>88</v>
      </c>
      <c r="C16" s="326"/>
      <c r="D16" s="326"/>
      <c r="E16" s="326"/>
      <c r="F16" s="326"/>
      <c r="G16" s="142" t="s">
        <v>204</v>
      </c>
      <c r="H16" s="164">
        <f>IFERROR(VLOOKUP(MID($G16,4,3),MMWR_TRAD_AGG_NATIONAL[],2,0),0)</f>
        <v>3</v>
      </c>
      <c r="I16" s="161">
        <f>IFERROR(VLOOKUP(MID($G16,4,3),MMWR_TRAD_AGG_NATIONAL[],3,0),0)</f>
        <v>1</v>
      </c>
      <c r="J16" s="162">
        <f>IF(H16=0, 0,I16/H16)</f>
        <v>0.33333333333333331</v>
      </c>
      <c r="K16" s="134"/>
    </row>
    <row r="17" spans="1:11" ht="16.5" customHeight="1" x14ac:dyDescent="0.2">
      <c r="A17" s="130"/>
      <c r="B17" s="325" t="s">
        <v>90</v>
      </c>
      <c r="C17" s="326"/>
      <c r="D17" s="326"/>
      <c r="E17" s="326"/>
      <c r="F17" s="326"/>
      <c r="G17" s="142" t="s">
        <v>205</v>
      </c>
      <c r="H17" s="164">
        <f>IFERROR(VLOOKUP(MID($G17,4,3),MMWR_TRAD_AGG_NATIONAL[],2,0),0)</f>
        <v>3</v>
      </c>
      <c r="I17" s="161">
        <f>IFERROR(VLOOKUP(MID($G17,4,3),MMWR_TRAD_AGG_NATIONAL[],3,0),0)</f>
        <v>0</v>
      </c>
      <c r="J17" s="162">
        <f>IF(H17=0, 0,I17/H17)</f>
        <v>0</v>
      </c>
      <c r="K17" s="134"/>
    </row>
    <row r="18" spans="1:11" ht="16.5" customHeight="1" thickBot="1" x14ac:dyDescent="0.25">
      <c r="A18" s="130"/>
      <c r="B18" s="327" t="s">
        <v>89</v>
      </c>
      <c r="C18" s="328"/>
      <c r="D18" s="328"/>
      <c r="E18" s="328"/>
      <c r="F18" s="328"/>
      <c r="G18" s="142" t="s">
        <v>206</v>
      </c>
      <c r="H18" s="165">
        <f>IFERROR(VLOOKUP(MID($G18,4,3),MMWR_TRAD_AGG_NATIONAL[],2,0),0)</f>
        <v>1</v>
      </c>
      <c r="I18" s="161">
        <f>IFERROR(VLOOKUP(MID($G18,4,3),MMWR_TRAD_AGG_NATIONAL[],3,0),0)</f>
        <v>0</v>
      </c>
      <c r="J18" s="166">
        <f>IF(H18=0, 0,I18/H18)</f>
        <v>0</v>
      </c>
      <c r="K18" s="134"/>
    </row>
    <row r="19" spans="1:11" ht="16.5" customHeight="1" x14ac:dyDescent="0.2">
      <c r="A19" s="130"/>
      <c r="B19" s="332" t="s">
        <v>973</v>
      </c>
      <c r="C19" s="333"/>
      <c r="D19" s="333"/>
      <c r="E19" s="333"/>
      <c r="F19" s="333"/>
      <c r="G19" s="333"/>
      <c r="H19" s="333"/>
      <c r="I19" s="333"/>
      <c r="J19" s="334"/>
      <c r="K19" s="134"/>
    </row>
    <row r="20" spans="1:11" ht="36" customHeight="1" thickBot="1" x14ac:dyDescent="0.25">
      <c r="A20" s="130"/>
      <c r="B20" s="335"/>
      <c r="C20" s="336"/>
      <c r="D20" s="336"/>
      <c r="E20" s="336"/>
      <c r="F20" s="336"/>
      <c r="G20" s="336"/>
      <c r="H20" s="336"/>
      <c r="I20" s="336"/>
      <c r="J20" s="337"/>
      <c r="K20" s="134"/>
    </row>
    <row r="21" spans="1:11" ht="36" customHeight="1" x14ac:dyDescent="0.2">
      <c r="A21" s="130"/>
      <c r="B21" s="284" t="s">
        <v>964</v>
      </c>
      <c r="C21" s="285"/>
      <c r="D21" s="286"/>
      <c r="E21" s="284" t="s">
        <v>965</v>
      </c>
      <c r="F21" s="285"/>
      <c r="G21" s="286"/>
      <c r="H21" s="284" t="s">
        <v>966</v>
      </c>
      <c r="I21" s="285"/>
      <c r="J21" s="286"/>
      <c r="K21" s="134"/>
    </row>
    <row r="22" spans="1:11" ht="29.25" customHeight="1" thickBot="1" x14ac:dyDescent="0.25">
      <c r="A22" s="130"/>
      <c r="B22" s="287"/>
      <c r="C22" s="288"/>
      <c r="D22" s="289"/>
      <c r="E22" s="287"/>
      <c r="F22" s="288"/>
      <c r="G22" s="289"/>
      <c r="H22" s="287"/>
      <c r="I22" s="288"/>
      <c r="J22" s="289"/>
      <c r="K22" s="134"/>
    </row>
    <row r="23" spans="1:11" ht="36" customHeight="1" x14ac:dyDescent="0.35">
      <c r="A23" s="130"/>
      <c r="B23" s="284" t="s">
        <v>958</v>
      </c>
      <c r="C23" s="285"/>
      <c r="D23" s="286"/>
      <c r="E23" s="284" t="s">
        <v>959</v>
      </c>
      <c r="F23" s="285"/>
      <c r="G23" s="286"/>
      <c r="H23" s="144"/>
      <c r="I23" s="144"/>
      <c r="J23" s="144"/>
      <c r="K23" s="134"/>
    </row>
    <row r="24" spans="1:11" ht="29.25" customHeight="1" thickBot="1" x14ac:dyDescent="0.4">
      <c r="A24" s="130"/>
      <c r="B24" s="287"/>
      <c r="C24" s="288"/>
      <c r="D24" s="289"/>
      <c r="E24" s="287"/>
      <c r="F24" s="288"/>
      <c r="G24" s="289"/>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05"/>
      <c r="D26" s="305"/>
      <c r="E26" s="305"/>
      <c r="F26" s="306"/>
      <c r="G26" s="264" t="s">
        <v>28</v>
      </c>
      <c r="H26" s="264" t="s">
        <v>29</v>
      </c>
      <c r="I26" s="264" t="s">
        <v>30</v>
      </c>
      <c r="J26" s="265" t="s">
        <v>31</v>
      </c>
      <c r="K26" s="134"/>
    </row>
    <row r="27" spans="1:11" ht="16.5" customHeight="1" x14ac:dyDescent="0.2">
      <c r="A27" s="130"/>
      <c r="B27" s="302" t="s">
        <v>967</v>
      </c>
      <c r="C27" s="303"/>
      <c r="D27" s="303"/>
      <c r="E27" s="303"/>
      <c r="F27" s="304"/>
      <c r="G27" s="257">
        <v>9402</v>
      </c>
      <c r="H27" s="257">
        <v>8697</v>
      </c>
      <c r="I27" s="257">
        <v>705</v>
      </c>
      <c r="J27" s="261">
        <v>8.1000000000000003E-2</v>
      </c>
      <c r="K27" s="134"/>
    </row>
    <row r="28" spans="1:11" ht="15" x14ac:dyDescent="0.2">
      <c r="A28" s="130"/>
      <c r="B28" s="290" t="s">
        <v>24</v>
      </c>
      <c r="C28" s="291"/>
      <c r="D28" s="291"/>
      <c r="E28" s="291"/>
      <c r="F28" s="292"/>
      <c r="G28" s="258">
        <v>1877</v>
      </c>
      <c r="H28" s="258">
        <v>1627</v>
      </c>
      <c r="I28" s="258">
        <v>250</v>
      </c>
      <c r="J28" s="254">
        <v>0.154</v>
      </c>
      <c r="K28" s="134"/>
    </row>
    <row r="29" spans="1:11" ht="15" x14ac:dyDescent="0.2">
      <c r="A29" s="130"/>
      <c r="B29" s="293" t="s">
        <v>25</v>
      </c>
      <c r="C29" s="294"/>
      <c r="D29" s="294"/>
      <c r="E29" s="294"/>
      <c r="F29" s="295"/>
      <c r="G29" s="259">
        <v>808</v>
      </c>
      <c r="H29" s="259">
        <v>896</v>
      </c>
      <c r="I29" s="259">
        <v>-88</v>
      </c>
      <c r="J29" s="255">
        <v>-9.8000000000000004E-2</v>
      </c>
      <c r="K29" s="134"/>
    </row>
    <row r="30" spans="1:11" ht="15" x14ac:dyDescent="0.2">
      <c r="A30" s="130"/>
      <c r="B30" s="296" t="s">
        <v>26</v>
      </c>
      <c r="C30" s="297"/>
      <c r="D30" s="297"/>
      <c r="E30" s="297"/>
      <c r="F30" s="298"/>
      <c r="G30" s="259">
        <v>2270</v>
      </c>
      <c r="H30" s="259">
        <v>2428</v>
      </c>
      <c r="I30" s="259">
        <v>-158</v>
      </c>
      <c r="J30" s="255">
        <v>-6.5000000000000002E-2</v>
      </c>
      <c r="K30" s="134"/>
    </row>
    <row r="31" spans="1:11" ht="15" x14ac:dyDescent="0.2">
      <c r="A31" s="130"/>
      <c r="B31" s="299" t="s">
        <v>27</v>
      </c>
      <c r="C31" s="300"/>
      <c r="D31" s="300"/>
      <c r="E31" s="300"/>
      <c r="F31" s="301"/>
      <c r="G31" s="260">
        <v>4447</v>
      </c>
      <c r="H31" s="260">
        <v>3746</v>
      </c>
      <c r="I31" s="260">
        <v>701</v>
      </c>
      <c r="J31" s="256">
        <v>0.187</v>
      </c>
      <c r="K31" s="134"/>
    </row>
    <row r="32" spans="1:11" ht="16.5" customHeight="1" x14ac:dyDescent="0.2">
      <c r="A32" s="130"/>
      <c r="B32" s="302" t="s">
        <v>238</v>
      </c>
      <c r="C32" s="303"/>
      <c r="D32" s="303"/>
      <c r="E32" s="303"/>
      <c r="F32" s="304"/>
      <c r="G32" s="257">
        <v>88068</v>
      </c>
      <c r="H32" s="257">
        <v>77891</v>
      </c>
      <c r="I32" s="257">
        <v>10177</v>
      </c>
      <c r="J32" s="261">
        <v>0.13100000000000001</v>
      </c>
      <c r="K32" s="134"/>
    </row>
    <row r="33" spans="1:11" ht="15" x14ac:dyDescent="0.2">
      <c r="A33" s="130"/>
      <c r="B33" s="290" t="s">
        <v>24</v>
      </c>
      <c r="C33" s="291"/>
      <c r="D33" s="291"/>
      <c r="E33" s="291"/>
      <c r="F33" s="292"/>
      <c r="G33" s="258">
        <v>18317</v>
      </c>
      <c r="H33" s="258">
        <v>14534</v>
      </c>
      <c r="I33" s="258">
        <v>3783</v>
      </c>
      <c r="J33" s="254">
        <v>0.26</v>
      </c>
      <c r="K33" s="134"/>
    </row>
    <row r="34" spans="1:11" ht="15" x14ac:dyDescent="0.2">
      <c r="A34" s="130"/>
      <c r="B34" s="293" t="s">
        <v>25</v>
      </c>
      <c r="C34" s="294"/>
      <c r="D34" s="294"/>
      <c r="E34" s="294"/>
      <c r="F34" s="295"/>
      <c r="G34" s="259">
        <v>9064</v>
      </c>
      <c r="H34" s="259">
        <v>8310</v>
      </c>
      <c r="I34" s="259">
        <v>754</v>
      </c>
      <c r="J34" s="255">
        <v>9.0999999999999998E-2</v>
      </c>
      <c r="K34" s="134"/>
    </row>
    <row r="35" spans="1:11" ht="15" x14ac:dyDescent="0.2">
      <c r="A35" s="130"/>
      <c r="B35" s="296" t="s">
        <v>26</v>
      </c>
      <c r="C35" s="297"/>
      <c r="D35" s="297"/>
      <c r="E35" s="297"/>
      <c r="F35" s="298"/>
      <c r="G35" s="259">
        <v>33798</v>
      </c>
      <c r="H35" s="259">
        <v>30830</v>
      </c>
      <c r="I35" s="259">
        <v>2968</v>
      </c>
      <c r="J35" s="255">
        <v>9.6000000000000002E-2</v>
      </c>
      <c r="K35" s="134"/>
    </row>
    <row r="36" spans="1:11" ht="15.75" thickBot="1" x14ac:dyDescent="0.25">
      <c r="A36" s="130"/>
      <c r="B36" s="338" t="s">
        <v>27</v>
      </c>
      <c r="C36" s="339"/>
      <c r="D36" s="339"/>
      <c r="E36" s="339"/>
      <c r="F36" s="340"/>
      <c r="G36" s="259">
        <v>26889</v>
      </c>
      <c r="H36" s="259">
        <v>24217</v>
      </c>
      <c r="I36" s="259">
        <v>2672</v>
      </c>
      <c r="J36" s="255">
        <v>0.11</v>
      </c>
      <c r="K36" s="134"/>
    </row>
    <row r="37" spans="1:11" ht="15.75" customHeight="1" thickBot="1" x14ac:dyDescent="0.25">
      <c r="A37" s="130"/>
      <c r="B37" s="329" t="s">
        <v>972</v>
      </c>
      <c r="C37" s="330"/>
      <c r="D37" s="330"/>
      <c r="E37" s="330"/>
      <c r="F37" s="330"/>
      <c r="G37" s="330"/>
      <c r="H37" s="330"/>
      <c r="I37" s="330"/>
      <c r="J37" s="33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 ref="B6:F6"/>
    <mergeCell ref="B7:F7"/>
    <mergeCell ref="B8:F8"/>
    <mergeCell ref="B9:F9"/>
    <mergeCell ref="B10:F10"/>
    <mergeCell ref="I3:I4"/>
    <mergeCell ref="J3:J4"/>
    <mergeCell ref="H3:H4"/>
    <mergeCell ref="B2:G3"/>
    <mergeCell ref="B5:F5"/>
    <mergeCell ref="B4:G4"/>
    <mergeCell ref="B21:D22"/>
    <mergeCell ref="E21:G22"/>
    <mergeCell ref="H21:J22"/>
    <mergeCell ref="B33:F33"/>
    <mergeCell ref="B28:F28"/>
    <mergeCell ref="B29:F29"/>
    <mergeCell ref="B30:F30"/>
    <mergeCell ref="B31:F31"/>
    <mergeCell ref="B32:F32"/>
    <mergeCell ref="C26:F26"/>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6" t="s">
        <v>298</v>
      </c>
      <c r="D2" s="357"/>
      <c r="E2" s="357"/>
      <c r="F2" s="357"/>
      <c r="G2" s="357"/>
      <c r="H2" s="357"/>
      <c r="I2" s="357"/>
      <c r="J2" s="357"/>
      <c r="K2" s="358"/>
      <c r="L2" s="356" t="s">
        <v>303</v>
      </c>
      <c r="M2" s="357"/>
      <c r="N2" s="357"/>
      <c r="O2" s="358"/>
      <c r="P2" s="28"/>
    </row>
    <row r="3" spans="1:16" ht="24" customHeight="1" thickBot="1" x14ac:dyDescent="0.4">
      <c r="A3" s="25"/>
      <c r="B3" s="29"/>
      <c r="C3" s="359"/>
      <c r="D3" s="360"/>
      <c r="E3" s="360"/>
      <c r="F3" s="360"/>
      <c r="G3" s="360"/>
      <c r="H3" s="360"/>
      <c r="I3" s="360"/>
      <c r="J3" s="360"/>
      <c r="K3" s="361"/>
      <c r="L3" s="359" t="str">
        <f>Transformation!B4</f>
        <v>As of: January 23, 2016</v>
      </c>
      <c r="M3" s="360"/>
      <c r="N3" s="360"/>
      <c r="O3" s="361"/>
      <c r="P3" s="28"/>
    </row>
    <row r="4" spans="1:16" ht="51.75" customHeight="1" thickBot="1" x14ac:dyDescent="0.35">
      <c r="A4" s="30"/>
      <c r="B4" s="247" t="s">
        <v>459</v>
      </c>
      <c r="C4" s="362" t="s">
        <v>307</v>
      </c>
      <c r="D4" s="363"/>
      <c r="E4" s="363"/>
      <c r="F4" s="363"/>
      <c r="G4" s="363"/>
      <c r="H4" s="363"/>
      <c r="I4" s="363"/>
      <c r="J4" s="363"/>
      <c r="K4" s="363"/>
      <c r="L4" s="363"/>
      <c r="M4" s="363"/>
      <c r="N4" s="363"/>
      <c r="O4" s="364"/>
      <c r="P4" s="28"/>
    </row>
    <row r="5" spans="1:16" ht="27" customHeight="1" thickBot="1" x14ac:dyDescent="0.25">
      <c r="A5" s="30"/>
      <c r="B5" s="26"/>
      <c r="C5" s="365" t="s">
        <v>1046</v>
      </c>
      <c r="D5" s="366"/>
      <c r="E5" s="366"/>
      <c r="F5" s="366"/>
      <c r="G5" s="366"/>
      <c r="H5" s="366"/>
      <c r="I5" s="366"/>
      <c r="J5" s="366"/>
      <c r="K5" s="366"/>
      <c r="L5" s="366"/>
      <c r="M5" s="366"/>
      <c r="N5" s="366"/>
      <c r="O5" s="367"/>
      <c r="P5" s="28"/>
    </row>
    <row r="6" spans="1:16" ht="55.5" customHeight="1" x14ac:dyDescent="0.2">
      <c r="A6" s="30"/>
      <c r="B6" s="31"/>
      <c r="C6" s="32" t="s">
        <v>193</v>
      </c>
      <c r="D6" s="368" t="s">
        <v>16</v>
      </c>
      <c r="E6" s="369"/>
      <c r="F6" s="33" t="s">
        <v>196</v>
      </c>
      <c r="G6" s="368" t="s">
        <v>201</v>
      </c>
      <c r="H6" s="370"/>
      <c r="I6" s="33" t="s">
        <v>199</v>
      </c>
      <c r="J6" s="374" t="s">
        <v>14</v>
      </c>
      <c r="K6" s="375"/>
      <c r="L6" s="33" t="s">
        <v>204</v>
      </c>
      <c r="M6" s="371" t="s">
        <v>88</v>
      </c>
      <c r="N6" s="372"/>
      <c r="O6" s="373"/>
      <c r="P6" s="28"/>
    </row>
    <row r="7" spans="1:16" ht="51.75" customHeight="1" x14ac:dyDescent="0.2">
      <c r="A7" s="30"/>
      <c r="B7" s="34"/>
      <c r="C7" s="35" t="s">
        <v>194</v>
      </c>
      <c r="D7" s="344" t="s">
        <v>0</v>
      </c>
      <c r="E7" s="345"/>
      <c r="F7" s="36" t="s">
        <v>197</v>
      </c>
      <c r="G7" s="346" t="s">
        <v>202</v>
      </c>
      <c r="H7" s="346"/>
      <c r="I7" s="36" t="s">
        <v>200</v>
      </c>
      <c r="J7" s="376" t="s">
        <v>19</v>
      </c>
      <c r="K7" s="377"/>
      <c r="L7" s="36" t="s">
        <v>205</v>
      </c>
      <c r="M7" s="380" t="s">
        <v>90</v>
      </c>
      <c r="N7" s="381"/>
      <c r="O7" s="382"/>
      <c r="P7" s="28"/>
    </row>
    <row r="8" spans="1:16" ht="51.75" customHeight="1" thickBot="1" x14ac:dyDescent="0.25">
      <c r="A8" s="25"/>
      <c r="B8" s="28"/>
      <c r="C8" s="37" t="s">
        <v>195</v>
      </c>
      <c r="D8" s="347" t="s">
        <v>18</v>
      </c>
      <c r="E8" s="348"/>
      <c r="F8" s="38" t="s">
        <v>198</v>
      </c>
      <c r="G8" s="349" t="s">
        <v>17</v>
      </c>
      <c r="H8" s="349"/>
      <c r="I8" s="38" t="s">
        <v>203</v>
      </c>
      <c r="J8" s="378" t="s">
        <v>87</v>
      </c>
      <c r="K8" s="379"/>
      <c r="L8" s="38" t="s">
        <v>206</v>
      </c>
      <c r="M8" s="353" t="s">
        <v>89</v>
      </c>
      <c r="N8" s="354"/>
      <c r="O8" s="355"/>
      <c r="P8" s="28"/>
    </row>
    <row r="9" spans="1:16" x14ac:dyDescent="0.2">
      <c r="A9" s="28"/>
      <c r="B9" s="28"/>
      <c r="C9" s="39" t="s">
        <v>708</v>
      </c>
      <c r="D9" s="39" t="s">
        <v>710</v>
      </c>
      <c r="E9" s="39" t="s">
        <v>709</v>
      </c>
      <c r="F9" s="39" t="s">
        <v>712</v>
      </c>
      <c r="G9" s="39" t="s">
        <v>711</v>
      </c>
      <c r="H9" s="39" t="s">
        <v>714</v>
      </c>
      <c r="I9" s="39" t="s">
        <v>713</v>
      </c>
      <c r="J9" s="39" t="s">
        <v>924</v>
      </c>
      <c r="K9" s="39" t="s">
        <v>925</v>
      </c>
      <c r="L9" s="39" t="s">
        <v>927</v>
      </c>
      <c r="M9" s="39" t="s">
        <v>1047</v>
      </c>
      <c r="N9" s="39" t="s">
        <v>928</v>
      </c>
      <c r="O9" s="39" t="s">
        <v>929</v>
      </c>
      <c r="P9" s="28"/>
    </row>
    <row r="10" spans="1:16" ht="15.75" customHeight="1" x14ac:dyDescent="0.2">
      <c r="A10" s="25"/>
      <c r="B10" s="26"/>
      <c r="C10" s="350" t="s">
        <v>296</v>
      </c>
      <c r="D10" s="350"/>
      <c r="E10" s="350"/>
      <c r="F10" s="350"/>
      <c r="G10" s="350"/>
      <c r="H10" s="350"/>
      <c r="I10" s="350"/>
      <c r="J10" s="350"/>
      <c r="K10" s="350"/>
      <c r="L10" s="350"/>
      <c r="M10" s="350"/>
      <c r="N10" s="350"/>
      <c r="O10" s="350"/>
      <c r="P10" s="28"/>
    </row>
    <row r="11" spans="1:16" ht="32.25" customHeight="1" x14ac:dyDescent="0.2">
      <c r="A11" s="25"/>
      <c r="B11" s="26"/>
      <c r="C11" s="351" t="s">
        <v>229</v>
      </c>
      <c r="D11" s="351" t="s">
        <v>137</v>
      </c>
      <c r="E11" s="351" t="s">
        <v>230</v>
      </c>
      <c r="F11" s="351" t="s">
        <v>192</v>
      </c>
      <c r="G11" s="351" t="s">
        <v>207</v>
      </c>
      <c r="H11" s="351" t="s">
        <v>209</v>
      </c>
      <c r="I11" s="351" t="s">
        <v>210</v>
      </c>
      <c r="J11" s="385" t="s">
        <v>1058</v>
      </c>
      <c r="K11" s="385" t="s">
        <v>1059</v>
      </c>
      <c r="L11" s="383" t="s">
        <v>1056</v>
      </c>
      <c r="M11" s="384"/>
      <c r="N11" s="383" t="s">
        <v>1057</v>
      </c>
      <c r="O11" s="384"/>
      <c r="P11" s="28"/>
    </row>
    <row r="12" spans="1:16" ht="32.25" customHeight="1" x14ac:dyDescent="0.2">
      <c r="A12" s="25"/>
      <c r="B12" s="26"/>
      <c r="C12" s="352"/>
      <c r="D12" s="352"/>
      <c r="E12" s="352"/>
      <c r="F12" s="352"/>
      <c r="G12" s="352"/>
      <c r="H12" s="352"/>
      <c r="I12" s="352"/>
      <c r="J12" s="386"/>
      <c r="K12" s="386"/>
      <c r="L12" s="40" t="s">
        <v>930</v>
      </c>
      <c r="M12" s="40" t="s">
        <v>935</v>
      </c>
      <c r="N12" s="40" t="s">
        <v>930</v>
      </c>
      <c r="O12" s="40" t="s">
        <v>935</v>
      </c>
      <c r="P12" s="28"/>
    </row>
    <row r="13" spans="1:16" x14ac:dyDescent="0.2">
      <c r="A13" s="25"/>
      <c r="B13" s="41" t="s">
        <v>1054</v>
      </c>
      <c r="C13" s="154">
        <f>IF($B13=" ","",IFERROR(INDEX(MMWR_RATING_RO_ROLLUP[],MATCH($B13,MMWR_RATING_RO_ROLLUP[MMWR_RATING_RO_ROLLUP],0),MATCH(C$9,MMWR_RATING_RO_ROLLUP[#Headers],0)),"ERROR"))</f>
        <v>357440</v>
      </c>
      <c r="D13" s="155">
        <f>IF($B13=" ","",IFERROR(INDEX(MMWR_RATING_RO_ROLLUP[],MATCH($B13,MMWR_RATING_RO_ROLLUP[MMWR_RATING_RO_ROLLUP],0),MATCH(D$9,MMWR_RATING_RO_ROLLUP[#Headers],0)),"ERROR"))</f>
        <v>93.9570557296</v>
      </c>
      <c r="E13" s="156">
        <f>IF($B13=" ","",IFERROR(INDEX(MMWR_RATING_RO_ROLLUP[],MATCH($B13,MMWR_RATING_RO_ROLLUP[MMWR_RATING_RO_ROLLUP],0),MATCH(E$9,MMWR_RATING_RO_ROLLUP[#Headers],0))/$C13,"ERROR"))</f>
        <v>0.2218414279319606</v>
      </c>
      <c r="F13" s="154">
        <f>IF($B13=" ","",IFERROR(INDEX(MMWR_RATING_RO_ROLLUP[],MATCH($B13,MMWR_RATING_RO_ROLLUP[MMWR_RATING_RO_ROLLUP],0),MATCH(F$9,MMWR_RATING_RO_ROLLUP[#Headers],0)),"ERROR"))</f>
        <v>71467</v>
      </c>
      <c r="G13" s="154">
        <f>IF($B13=" ","",IFERROR(INDEX(MMWR_RATING_RO_ROLLUP[],MATCH($B13,MMWR_RATING_RO_ROLLUP[MMWR_RATING_RO_ROLLUP],0),MATCH(G$9,MMWR_RATING_RO_ROLLUP[#Headers],0)),"ERROR"))</f>
        <v>379169</v>
      </c>
      <c r="H13" s="155">
        <f>IF($B13=" ","",IFERROR(INDEX(MMWR_RATING_RO_ROLLUP[],MATCH($B13,MMWR_RATING_RO_ROLLUP[MMWR_RATING_RO_ROLLUP],0),MATCH(H$9,MMWR_RATING_RO_ROLLUP[#Headers],0)),"ERROR"))</f>
        <v>129.2833335665</v>
      </c>
      <c r="I13" s="155">
        <f>IF($B13=" ","",IFERROR(INDEX(MMWR_RATING_RO_ROLLUP[],MATCH($B13,MMWR_RATING_RO_ROLLUP[MMWR_RATING_RO_ROLLUP],0),MATCH(I$9,MMWR_RATING_RO_ROLLUP[#Headers],0)),"ERROR"))</f>
        <v>128.5056346906</v>
      </c>
      <c r="J13" s="42"/>
      <c r="K13" s="42"/>
      <c r="L13" s="42"/>
      <c r="M13" s="42"/>
      <c r="N13" s="42"/>
      <c r="O13" s="42"/>
      <c r="P13" s="28"/>
    </row>
    <row r="14" spans="1:16" x14ac:dyDescent="0.2">
      <c r="A14" s="25"/>
      <c r="B14" s="342" t="s">
        <v>736</v>
      </c>
      <c r="C14" s="343"/>
      <c r="D14" s="343"/>
      <c r="E14" s="343"/>
      <c r="F14" s="343"/>
      <c r="G14" s="343"/>
      <c r="H14" s="343"/>
      <c r="I14" s="343"/>
      <c r="J14" s="343"/>
      <c r="K14" s="343"/>
      <c r="L14" s="343"/>
      <c r="M14" s="343"/>
      <c r="N14" s="343"/>
      <c r="O14" s="343"/>
      <c r="P14" s="28"/>
    </row>
    <row r="15" spans="1:16" x14ac:dyDescent="0.2">
      <c r="A15" s="25"/>
      <c r="B15" s="41" t="s">
        <v>732</v>
      </c>
      <c r="C15" s="154">
        <f>IF($B15=" ","",IFERROR(INDEX(MMWR_RATING_RO_ROLLUP[],MATCH($B15,MMWR_RATING_RO_ROLLUP[MMWR_RATING_RO_ROLLUP],0),MATCH(C$9,MMWR_RATING_RO_ROLLUP[#Headers],0)),"ERROR"))</f>
        <v>308839</v>
      </c>
      <c r="D15" s="155">
        <f>IF($B15=" ","",IFERROR(INDEX(MMWR_RATING_RO_ROLLUP[],MATCH($B15,MMWR_RATING_RO_ROLLUP[MMWR_RATING_RO_ROLLUP],0),MATCH(D$9,MMWR_RATING_RO_ROLLUP[#Headers],0)),"ERROR"))</f>
        <v>96.221244726199998</v>
      </c>
      <c r="E15" s="156">
        <f>IF($B15=" ","",IFERROR(INDEX(MMWR_RATING_RO_ROLLUP[],MATCH($B15,MMWR_RATING_RO_ROLLUP[MMWR_RATING_RO_ROLLUP],0),MATCH(E$9,MMWR_RATING_RO_ROLLUP[#Headers],0))/$C15,"ERROR"))</f>
        <v>0.23113013576653207</v>
      </c>
      <c r="F15" s="154">
        <f>IF($B15=" ","",IFERROR(INDEX(MMWR_RATING_RO_ROLLUP[],MATCH($B15,MMWR_RATING_RO_ROLLUP[MMWR_RATING_RO_ROLLUP],0),MATCH(F$9,MMWR_RATING_RO_ROLLUP[#Headers],0)),"ERROR"))</f>
        <v>60711</v>
      </c>
      <c r="G15" s="154">
        <f>IF($B15=" ","",IFERROR(INDEX(MMWR_RATING_RO_ROLLUP[],MATCH($B15,MMWR_RATING_RO_ROLLUP[MMWR_RATING_RO_ROLLUP],0),MATCH(G$9,MMWR_RATING_RO_ROLLUP[#Headers],0)),"ERROR"))</f>
        <v>321597</v>
      </c>
      <c r="H15" s="155">
        <f>IF($B15=" ","",IFERROR(INDEX(MMWR_RATING_RO_ROLLUP[],MATCH($B15,MMWR_RATING_RO_ROLLUP[MMWR_RATING_RO_ROLLUP],0),MATCH(H$9,MMWR_RATING_RO_ROLLUP[#Headers],0)),"ERROR"))</f>
        <v>134.89555434760001</v>
      </c>
      <c r="I15" s="155">
        <f>IF($B15=" ","",IFERROR(INDEX(MMWR_RATING_RO_ROLLUP[],MATCH($B15,MMWR_RATING_RO_ROLLUP[MMWR_RATING_RO_ROLLUP],0),MATCH(I$9,MMWR_RATING_RO_ROLLUP[#Headers],0)),"ERROR"))</f>
        <v>135.70682562339999</v>
      </c>
      <c r="J15" s="157">
        <f>VLOOKUP($B$13,MMWR_ACCURACY_RO[],MATCH(J$9,MMWR_ACCURACY_RO[#Headers],0),0)</f>
        <v>0.95793074625683206</v>
      </c>
      <c r="K15" s="157">
        <f>VLOOKUP($B$13,MMWR_ACCURACY_RO[],MATCH(K$9,MMWR_ACCURACY_RO[#Headers],0),0)</f>
        <v>0.89500092594819125</v>
      </c>
      <c r="L15" s="157">
        <f>VLOOKUP($B$13,MMWR_ACCURACY_RO[],MATCH(L$9,MMWR_ACCURACY_RO[#Headers],0),0)</f>
        <v>0.90338038648447916</v>
      </c>
      <c r="M15" s="157">
        <f>VLOOKUP($B$13,MMWR_ACCURACY_RO[],MATCH(M$9,MMWR_ACCURACY_RO[#Headers],0),0)</f>
        <v>7.5234859257471247E-3</v>
      </c>
      <c r="N15" s="157">
        <f>VLOOKUP($B$13,MMWR_ACCURACY_RO[],MATCH(N$9,MMWR_ACCURACY_RO[#Headers],0),0)</f>
        <v>0.9085906670232986</v>
      </c>
      <c r="O15" s="157">
        <f>VLOOKUP($B$13,MMWR_ACCURACY_RO[],MATCH(O$9,MMWR_ACCURACY_RO[#Headers],0),0)</f>
        <v>8.7967662163893571E-3</v>
      </c>
      <c r="P15" s="28"/>
    </row>
    <row r="16" spans="1:16" x14ac:dyDescent="0.2">
      <c r="A16" s="25"/>
      <c r="B16" s="248" t="s">
        <v>373</v>
      </c>
      <c r="C16" s="154">
        <f>IF($B16=" ","",IFERROR(INDEX(MMWR_RATING_RO_ROLLUP[],MATCH($B16,MMWR_RATING_RO_ROLLUP[MMWR_RATING_RO_ROLLUP],0),MATCH(C$9,MMWR_RATING_RO_ROLLUP[#Headers],0)),"ERROR"))</f>
        <v>67081</v>
      </c>
      <c r="D16" s="155">
        <f>IF($B16=" ","",IFERROR(INDEX(MMWR_RATING_RO_ROLLUP[],MATCH($B16,MMWR_RATING_RO_ROLLUP[MMWR_RATING_RO_ROLLUP],0),MATCH(D$9,MMWR_RATING_RO_ROLLUP[#Headers],0)),"ERROR"))</f>
        <v>96.657548337099996</v>
      </c>
      <c r="E16" s="156">
        <f>IF($B16=" ","",IFERROR(INDEX(MMWR_RATING_RO_ROLLUP[],MATCH($B16,MMWR_RATING_RO_ROLLUP[MMWR_RATING_RO_ROLLUP],0),MATCH(E$9,MMWR_RATING_RO_ROLLUP[#Headers],0))/$C16,"ERROR"))</f>
        <v>0.23434355480687527</v>
      </c>
      <c r="F16" s="154">
        <f>IF($B16=" ","",IFERROR(INDEX(MMWR_RATING_RO_ROLLUP[],MATCH($B16,MMWR_RATING_RO_ROLLUP[MMWR_RATING_RO_ROLLUP],0),MATCH(F$9,MMWR_RATING_RO_ROLLUP[#Headers],0)),"ERROR"))</f>
        <v>13407</v>
      </c>
      <c r="G16" s="154">
        <f>IF($B16=" ","",IFERROR(INDEX(MMWR_RATING_RO_ROLLUP[],MATCH($B16,MMWR_RATING_RO_ROLLUP[MMWR_RATING_RO_ROLLUP],0),MATCH(G$9,MMWR_RATING_RO_ROLLUP[#Headers],0)),"ERROR"))</f>
        <v>69519</v>
      </c>
      <c r="H16" s="155">
        <f>IF($B16=" ","",IFERROR(INDEX(MMWR_RATING_RO_ROLLUP[],MATCH($B16,MMWR_RATING_RO_ROLLUP[MMWR_RATING_RO_ROLLUP],0),MATCH(H$9,MMWR_RATING_RO_ROLLUP[#Headers],0)),"ERROR"))</f>
        <v>132.4583426568</v>
      </c>
      <c r="I16" s="155">
        <f>IF($B16=" ","",IFERROR(INDEX(MMWR_RATING_RO_ROLLUP[],MATCH($B16,MMWR_RATING_RO_ROLLUP[MMWR_RATING_RO_ROLLUP],0),MATCH(I$9,MMWR_RATING_RO_ROLLUP[#Headers],0)),"ERROR"))</f>
        <v>134.98272414740001</v>
      </c>
      <c r="J16" s="158">
        <f>IF($B16=" ","",IFERROR(VLOOKUP($B16,MMWR_ACCURACY_RO[],MATCH(J$9,MMWR_ACCURACY_RO[#Headers],0),0),"ERROR"))</f>
        <v>0.9602834708770337</v>
      </c>
      <c r="K16" s="158">
        <f>IF($B16=" ","",IFERROR(VLOOKUP($B16,MMWR_ACCURACY_RO[],MATCH(K$9,MMWR_ACCURACY_RO[#Headers],0),0),"ERROR"))</f>
        <v>0.88343657779439999</v>
      </c>
      <c r="L16" s="158">
        <f>IF($B16=" ","",IFERROR(VLOOKUP($B16,MMWR_ACCURACY_RO[],MATCH(L$9,MMWR_ACCURACY_RO[#Headers],0),0),"ERROR"))</f>
        <v>0.87075523409242972</v>
      </c>
      <c r="M16" s="158">
        <f>IF($B16=" ","",IFERROR(VLOOKUP($B16,MMWR_ACCURACY_RO[],MATCH(M$9,MMWR_ACCURACY_RO[#Headers],0),0),"ERROR"))</f>
        <v>1.6770998241114582E-2</v>
      </c>
      <c r="N16" s="158">
        <f>IF($B16=" ","",IFERROR(VLOOKUP($B16,MMWR_ACCURACY_RO[],MATCH(N$9,MMWR_ACCURACY_RO[#Headers],0),0),"ERROR"))</f>
        <v>0.89397814954597565</v>
      </c>
      <c r="O16" s="158">
        <f>IF($B16=" ","",IFERROR(VLOOKUP($B16,MMWR_ACCURACY_RO[],MATCH(O$9,MMWR_ACCURACY_RO[#Headers],0),0),"ERROR"))</f>
        <v>1.5886202338098201E-2</v>
      </c>
      <c r="P16" s="28"/>
    </row>
    <row r="17" spans="1:16" x14ac:dyDescent="0.2">
      <c r="A17" s="25"/>
      <c r="B17" s="8" t="str">
        <f>VLOOKUP($B$16,DISTRICT_RO[],2,0)</f>
        <v>Baltimore VSC</v>
      </c>
      <c r="C17" s="154">
        <f>IF($B17=" ","",IFERROR(INDEX(MMWR_RATING_RO_ROLLUP[],MATCH($B17,MMWR_RATING_RO_ROLLUP[MMWR_RATING_RO_ROLLUP],0),MATCH(C$9,MMWR_RATING_RO_ROLLUP[#Headers],0)),"ERROR"))</f>
        <v>2406</v>
      </c>
      <c r="D17" s="155">
        <f>IF($B17=" ","",IFERROR(INDEX(MMWR_RATING_RO_ROLLUP[],MATCH($B17,MMWR_RATING_RO_ROLLUP[MMWR_RATING_RO_ROLLUP],0),MATCH(D$9,MMWR_RATING_RO_ROLLUP[#Headers],0)),"ERROR"))</f>
        <v>104.49459684120001</v>
      </c>
      <c r="E17" s="156">
        <f>IF($B17=" ","",IFERROR(INDEX(MMWR_RATING_RO_ROLLUP[],MATCH($B17,MMWR_RATING_RO_ROLLUP[MMWR_RATING_RO_ROLLUP],0),MATCH(E$9,MMWR_RATING_RO_ROLLUP[#Headers],0))/$C17,"ERROR"))</f>
        <v>0.23192019950124687</v>
      </c>
      <c r="F17" s="154">
        <f>IF($B17=" ","",IFERROR(INDEX(MMWR_RATING_RO_ROLLUP[],MATCH($B17,MMWR_RATING_RO_ROLLUP[MMWR_RATING_RO_ROLLUP],0),MATCH(F$9,MMWR_RATING_RO_ROLLUP[#Headers],0)),"ERROR"))</f>
        <v>429</v>
      </c>
      <c r="G17" s="154">
        <f>IF($B17=" ","",IFERROR(INDEX(MMWR_RATING_RO_ROLLUP[],MATCH($B17,MMWR_RATING_RO_ROLLUP[MMWR_RATING_RO_ROLLUP],0),MATCH(G$9,MMWR_RATING_RO_ROLLUP[#Headers],0)),"ERROR"))</f>
        <v>2945</v>
      </c>
      <c r="H17" s="155">
        <f>IF($B17=" ","",IFERROR(INDEX(MMWR_RATING_RO_ROLLUP[],MATCH($B17,MMWR_RATING_RO_ROLLUP[MMWR_RATING_RO_ROLLUP],0),MATCH(H$9,MMWR_RATING_RO_ROLLUP[#Headers],0)),"ERROR"))</f>
        <v>136.67832167829999</v>
      </c>
      <c r="I17" s="155">
        <f>IF($B17=" ","",IFERROR(INDEX(MMWR_RATING_RO_ROLLUP[],MATCH($B17,MMWR_RATING_RO_ROLLUP[MMWR_RATING_RO_ROLLUP],0),MATCH(I$9,MMWR_RATING_RO_ROLLUP[#Headers],0)),"ERROR"))</f>
        <v>131.16740237689999</v>
      </c>
      <c r="J17" s="158">
        <f>IF($B17=" ","",IFERROR(VLOOKUP($B17,MMWR_ACCURACY_RO[],MATCH(J$9,MMWR_ACCURACY_RO[#Headers],0),0),"ERROR"))</f>
        <v>0.94157351218992869</v>
      </c>
      <c r="K17" s="158">
        <f>IF($B17=" ","",IFERROR(VLOOKUP($B17,MMWR_ACCURACY_RO[],MATCH(K$9,MMWR_ACCURACY_RO[#Headers],0),0),"ERROR"))</f>
        <v>0.80943291179511645</v>
      </c>
      <c r="L17" s="158">
        <f>IF($B17=" ","",IFERROR(VLOOKUP($B17,MMWR_ACCURACY_RO[],MATCH(L$9,MMWR_ACCURACY_RO[#Headers],0),0),"ERROR"))</f>
        <v>0.82536168293808887</v>
      </c>
      <c r="M17" s="158">
        <f>IF($B17=" ","",IFERROR(VLOOKUP($B17,MMWR_ACCURACY_RO[],MATCH(M$9,MMWR_ACCURACY_RO[#Headers],0),0),"ERROR"))</f>
        <v>4.7654090220379572E-2</v>
      </c>
      <c r="N17" s="158">
        <f>IF($B17=" ","",IFERROR(VLOOKUP($B17,MMWR_ACCURACY_RO[],MATCH(N$9,MMWR_ACCURACY_RO[#Headers],0),0),"ERROR"))</f>
        <v>0.8816617572068699</v>
      </c>
      <c r="O17" s="158">
        <f>IF($B17=" ","",IFERROR(VLOOKUP($B17,MMWR_ACCURACY_RO[],MATCH(O$9,MMWR_ACCURACY_RO[#Headers],0),0),"ERROR"))</f>
        <v>4.8696534231277649E-2</v>
      </c>
      <c r="P17" s="28"/>
    </row>
    <row r="18" spans="1:16" x14ac:dyDescent="0.2">
      <c r="A18" s="25"/>
      <c r="B18" s="8" t="str">
        <f>VLOOKUP($B$16,DISTRICT_RO[],3,0)</f>
        <v>Boston VSC</v>
      </c>
      <c r="C18" s="154">
        <f>IF($B18=" ","",IFERROR(INDEX(MMWR_RATING_RO_ROLLUP[],MATCH($B18,MMWR_RATING_RO_ROLLUP[MMWR_RATING_RO_ROLLUP],0),MATCH(C$9,MMWR_RATING_RO_ROLLUP[#Headers],0)),"ERROR"))</f>
        <v>3472</v>
      </c>
      <c r="D18" s="155">
        <f>IF($B18=" ","",IFERROR(INDEX(MMWR_RATING_RO_ROLLUP[],MATCH($B18,MMWR_RATING_RO_ROLLUP[MMWR_RATING_RO_ROLLUP],0),MATCH(D$9,MMWR_RATING_RO_ROLLUP[#Headers],0)),"ERROR"))</f>
        <v>89.781682027599999</v>
      </c>
      <c r="E18" s="156">
        <f>IF($B18=" ","",IFERROR(INDEX(MMWR_RATING_RO_ROLLUP[],MATCH($B18,MMWR_RATING_RO_ROLLUP[MMWR_RATING_RO_ROLLUP],0),MATCH(E$9,MMWR_RATING_RO_ROLLUP[#Headers],0))/$C18,"ERROR"))</f>
        <v>0.23559907834101382</v>
      </c>
      <c r="F18" s="154">
        <f>IF($B18=" ","",IFERROR(INDEX(MMWR_RATING_RO_ROLLUP[],MATCH($B18,MMWR_RATING_RO_ROLLUP[MMWR_RATING_RO_ROLLUP],0),MATCH(F$9,MMWR_RATING_RO_ROLLUP[#Headers],0)),"ERROR"))</f>
        <v>448</v>
      </c>
      <c r="G18" s="154">
        <f>IF($B18=" ","",IFERROR(INDEX(MMWR_RATING_RO_ROLLUP[],MATCH($B18,MMWR_RATING_RO_ROLLUP[MMWR_RATING_RO_ROLLUP],0),MATCH(G$9,MMWR_RATING_RO_ROLLUP[#Headers],0)),"ERROR"))</f>
        <v>3082</v>
      </c>
      <c r="H18" s="155">
        <f>IF($B18=" ","",IFERROR(INDEX(MMWR_RATING_RO_ROLLUP[],MATCH($B18,MMWR_RATING_RO_ROLLUP[MMWR_RATING_RO_ROLLUP],0),MATCH(H$9,MMWR_RATING_RO_ROLLUP[#Headers],0)),"ERROR"))</f>
        <v>136.6383928571</v>
      </c>
      <c r="I18" s="155">
        <f>IF($B18=" ","",IFERROR(INDEX(MMWR_RATING_RO_ROLLUP[],MATCH($B18,MMWR_RATING_RO_ROLLUP[MMWR_RATING_RO_ROLLUP],0),MATCH(I$9,MMWR_RATING_RO_ROLLUP[#Headers],0)),"ERROR"))</f>
        <v>118.6112913692</v>
      </c>
      <c r="J18" s="158">
        <f>IF($B18=" ","",IFERROR(VLOOKUP($B18,MMWR_ACCURACY_RO[],MATCH(J$9,MMWR_ACCURACY_RO[#Headers],0),0),"ERROR"))</f>
        <v>0.91513510284542288</v>
      </c>
      <c r="K18" s="158">
        <f>IF($B18=" ","",IFERROR(VLOOKUP($B18,MMWR_ACCURACY_RO[],MATCH(K$9,MMWR_ACCURACY_RO[#Headers],0),0),"ERROR"))</f>
        <v>0.80435773543622924</v>
      </c>
      <c r="L18" s="158">
        <f>IF($B18=" ","",IFERROR(VLOOKUP($B18,MMWR_ACCURACY_RO[],MATCH(L$9,MMWR_ACCURACY_RO[#Headers],0),0),"ERROR"))</f>
        <v>0.81629668055524851</v>
      </c>
      <c r="M18" s="158">
        <f>IF($B18=" ","",IFERROR(VLOOKUP($B18,MMWR_ACCURACY_RO[],MATCH(M$9,MMWR_ACCURACY_RO[#Headers],0),0),"ERROR"))</f>
        <v>5.9557789657780587E-2</v>
      </c>
      <c r="N18" s="158">
        <f>IF($B18=" ","",IFERROR(VLOOKUP($B18,MMWR_ACCURACY_RO[],MATCH(N$9,MMWR_ACCURACY_RO[#Headers],0),0),"ERROR"))</f>
        <v>0.91326802427234399</v>
      </c>
      <c r="O18" s="158">
        <f>IF($B18=" ","",IFERROR(VLOOKUP($B18,MMWR_ACCURACY_RO[],MATCH(O$9,MMWR_ACCURACY_RO[#Headers],0),0),"ERROR"))</f>
        <v>5.7198828226144943E-2</v>
      </c>
      <c r="P18" s="28"/>
    </row>
    <row r="19" spans="1:16" x14ac:dyDescent="0.2">
      <c r="A19" s="25"/>
      <c r="B19" s="8" t="str">
        <f>VLOOKUP($B$16,DISTRICT_RO[],4,0)</f>
        <v>Buffalo VSC</v>
      </c>
      <c r="C19" s="154">
        <f>IF($B19=" ","",IFERROR(INDEX(MMWR_RATING_RO_ROLLUP[],MATCH($B19,MMWR_RATING_RO_ROLLUP[MMWR_RATING_RO_ROLLUP],0),MATCH(C$9,MMWR_RATING_RO_ROLLUP[#Headers],0)),"ERROR"))</f>
        <v>3104</v>
      </c>
      <c r="D19" s="155">
        <f>IF($B19=" ","",IFERROR(INDEX(MMWR_RATING_RO_ROLLUP[],MATCH($B19,MMWR_RATING_RO_ROLLUP[MMWR_RATING_RO_ROLLUP],0),MATCH(D$9,MMWR_RATING_RO_ROLLUP[#Headers],0)),"ERROR"))</f>
        <v>78.233569587600002</v>
      </c>
      <c r="E19" s="156">
        <f>IF($B19=" ","",IFERROR(INDEX(MMWR_RATING_RO_ROLLUP[],MATCH($B19,MMWR_RATING_RO_ROLLUP[MMWR_RATING_RO_ROLLUP],0),MATCH(E$9,MMWR_RATING_RO_ROLLUP[#Headers],0))/$C19,"ERROR"))</f>
        <v>0.12532216494845361</v>
      </c>
      <c r="F19" s="154">
        <f>IF($B19=" ","",IFERROR(INDEX(MMWR_RATING_RO_ROLLUP[],MATCH($B19,MMWR_RATING_RO_ROLLUP[MMWR_RATING_RO_ROLLUP],0),MATCH(F$9,MMWR_RATING_RO_ROLLUP[#Headers],0)),"ERROR"))</f>
        <v>572</v>
      </c>
      <c r="G19" s="154">
        <f>IF($B19=" ","",IFERROR(INDEX(MMWR_RATING_RO_ROLLUP[],MATCH($B19,MMWR_RATING_RO_ROLLUP[MMWR_RATING_RO_ROLLUP],0),MATCH(G$9,MMWR_RATING_RO_ROLLUP[#Headers],0)),"ERROR"))</f>
        <v>2988</v>
      </c>
      <c r="H19" s="155">
        <f>IF($B19=" ","",IFERROR(INDEX(MMWR_RATING_RO_ROLLUP[],MATCH($B19,MMWR_RATING_RO_ROLLUP[MMWR_RATING_RO_ROLLUP],0),MATCH(H$9,MMWR_RATING_RO_ROLLUP[#Headers],0)),"ERROR"))</f>
        <v>140.24825174829999</v>
      </c>
      <c r="I19" s="155">
        <f>IF($B19=" ","",IFERROR(INDEX(MMWR_RATING_RO_ROLLUP[],MATCH($B19,MMWR_RATING_RO_ROLLUP[MMWR_RATING_RO_ROLLUP],0),MATCH(I$9,MMWR_RATING_RO_ROLLUP[#Headers],0)),"ERROR"))</f>
        <v>146.31827309240001</v>
      </c>
      <c r="J19" s="158">
        <f>IF($B19=" ","",IFERROR(VLOOKUP($B19,MMWR_ACCURACY_RO[],MATCH(J$9,MMWR_ACCURACY_RO[#Headers],0),0),"ERROR"))</f>
        <v>0.97290082364303454</v>
      </c>
      <c r="K19" s="158">
        <f>IF($B19=" ","",IFERROR(VLOOKUP($B19,MMWR_ACCURACY_RO[],MATCH(K$9,MMWR_ACCURACY_RO[#Headers],0),0),"ERROR"))</f>
        <v>0.9210423079244372</v>
      </c>
      <c r="L19" s="158">
        <f>IF($B19=" ","",IFERROR(VLOOKUP($B19,MMWR_ACCURACY_RO[],MATCH(L$9,MMWR_ACCURACY_RO[#Headers],0),0),"ERROR"))</f>
        <v>0.88971425818285677</v>
      </c>
      <c r="M19" s="158">
        <f>IF($B19=" ","",IFERROR(VLOOKUP($B19,MMWR_ACCURACY_RO[],MATCH(M$9,MMWR_ACCURACY_RO[#Headers],0),0),"ERROR"))</f>
        <v>4.9253196543825976E-2</v>
      </c>
      <c r="N19" s="158">
        <f>IF($B19=" ","",IFERROR(VLOOKUP($B19,MMWR_ACCURACY_RO[],MATCH(N$9,MMWR_ACCURACY_RO[#Headers],0),0),"ERROR"))</f>
        <v>0.88066854899574309</v>
      </c>
      <c r="O19" s="158">
        <f>IF($B19=" ","",IFERROR(VLOOKUP($B19,MMWR_ACCURACY_RO[],MATCH(O$9,MMWR_ACCURACY_RO[#Headers],0),0),"ERROR"))</f>
        <v>4.7145725771360392E-2</v>
      </c>
      <c r="P19" s="28"/>
    </row>
    <row r="20" spans="1:16" x14ac:dyDescent="0.2">
      <c r="A20" s="25"/>
      <c r="B20" s="8" t="str">
        <f>VLOOKUP($B$16,DISTRICT_RO[],5,0)</f>
        <v>Hartford VSC</v>
      </c>
      <c r="C20" s="154">
        <f>IF($B20=" ","",IFERROR(INDEX(MMWR_RATING_RO_ROLLUP[],MATCH($B20,MMWR_RATING_RO_ROLLUP[MMWR_RATING_RO_ROLLUP],0),MATCH(C$9,MMWR_RATING_RO_ROLLUP[#Headers],0)),"ERROR"))</f>
        <v>2930</v>
      </c>
      <c r="D20" s="155">
        <f>IF($B20=" ","",IFERROR(INDEX(MMWR_RATING_RO_ROLLUP[],MATCH($B20,MMWR_RATING_RO_ROLLUP[MMWR_RATING_RO_ROLLUP],0),MATCH(D$9,MMWR_RATING_RO_ROLLUP[#Headers],0)),"ERROR"))</f>
        <v>98.852218429999994</v>
      </c>
      <c r="E20" s="156">
        <f>IF($B20=" ","",IFERROR(INDEX(MMWR_RATING_RO_ROLLUP[],MATCH($B20,MMWR_RATING_RO_ROLLUP[MMWR_RATING_RO_ROLLUP],0),MATCH(E$9,MMWR_RATING_RO_ROLLUP[#Headers],0))/$C20,"ERROR"))</f>
        <v>0.22047781569965871</v>
      </c>
      <c r="F20" s="154">
        <f>IF($B20=" ","",IFERROR(INDEX(MMWR_RATING_RO_ROLLUP[],MATCH($B20,MMWR_RATING_RO_ROLLUP[MMWR_RATING_RO_ROLLUP],0),MATCH(F$9,MMWR_RATING_RO_ROLLUP[#Headers],0)),"ERROR"))</f>
        <v>440</v>
      </c>
      <c r="G20" s="154">
        <f>IF($B20=" ","",IFERROR(INDEX(MMWR_RATING_RO_ROLLUP[],MATCH($B20,MMWR_RATING_RO_ROLLUP[MMWR_RATING_RO_ROLLUP],0),MATCH(G$9,MMWR_RATING_RO_ROLLUP[#Headers],0)),"ERROR"))</f>
        <v>2709</v>
      </c>
      <c r="H20" s="155">
        <f>IF($B20=" ","",IFERROR(INDEX(MMWR_RATING_RO_ROLLUP[],MATCH($B20,MMWR_RATING_RO_ROLLUP[MMWR_RATING_RO_ROLLUP],0),MATCH(H$9,MMWR_RATING_RO_ROLLUP[#Headers],0)),"ERROR"))</f>
        <v>144.47045454549999</v>
      </c>
      <c r="I20" s="155">
        <f>IF($B20=" ","",IFERROR(INDEX(MMWR_RATING_RO_ROLLUP[],MATCH($B20,MMWR_RATING_RO_ROLLUP[MMWR_RATING_RO_ROLLUP],0),MATCH(I$9,MMWR_RATING_RO_ROLLUP[#Headers],0)),"ERROR"))</f>
        <v>139.9058693245</v>
      </c>
      <c r="J20" s="158">
        <f>IF($B20=" ","",IFERROR(VLOOKUP($B20,MMWR_ACCURACY_RO[],MATCH(J$9,MMWR_ACCURACY_RO[#Headers],0),0),"ERROR"))</f>
        <v>0.99294266353007277</v>
      </c>
      <c r="K20" s="158">
        <f>IF($B20=" ","",IFERROR(VLOOKUP($B20,MMWR_ACCURACY_RO[],MATCH(K$9,MMWR_ACCURACY_RO[#Headers],0),0),"ERROR"))</f>
        <v>0.96322722283205264</v>
      </c>
      <c r="L20" s="158">
        <f>IF($B20=" ","",IFERROR(VLOOKUP($B20,MMWR_ACCURACY_RO[],MATCH(L$9,MMWR_ACCURACY_RO[#Headers],0),0),"ERROR"))</f>
        <v>0.92046869333413084</v>
      </c>
      <c r="M20" s="158">
        <f>IF($B20=" ","",IFERROR(VLOOKUP($B20,MMWR_ACCURACY_RO[],MATCH(M$9,MMWR_ACCURACY_RO[#Headers],0),0),"ERROR"))</f>
        <v>4.3251515963425573E-2</v>
      </c>
      <c r="N20" s="158">
        <f>IF($B20=" ","",IFERROR(VLOOKUP($B20,MMWR_ACCURACY_RO[],MATCH(N$9,MMWR_ACCURACY_RO[#Headers],0),0),"ERROR"))</f>
        <v>0.96695884760400896</v>
      </c>
      <c r="O20" s="158">
        <f>IF($B20=" ","",IFERROR(VLOOKUP($B20,MMWR_ACCURACY_RO[],MATCH(O$9,MMWR_ACCURACY_RO[#Headers],0),0),"ERROR"))</f>
        <v>3.3365891722760568E-2</v>
      </c>
      <c r="P20" s="28"/>
    </row>
    <row r="21" spans="1:16" x14ac:dyDescent="0.2">
      <c r="A21" s="25"/>
      <c r="B21" s="8" t="str">
        <f>VLOOKUP($B$16,DISTRICT_RO[],6,0)</f>
        <v>Huntington VSC</v>
      </c>
      <c r="C21" s="154">
        <f>IF($B21=" ","",IFERROR(INDEX(MMWR_RATING_RO_ROLLUP[],MATCH($B21,MMWR_RATING_RO_ROLLUP[MMWR_RATING_RO_ROLLUP],0),MATCH(C$9,MMWR_RATING_RO_ROLLUP[#Headers],0)),"ERROR"))</f>
        <v>5576</v>
      </c>
      <c r="D21" s="155">
        <f>IF($B21=" ","",IFERROR(INDEX(MMWR_RATING_RO_ROLLUP[],MATCH($B21,MMWR_RATING_RO_ROLLUP[MMWR_RATING_RO_ROLLUP],0),MATCH(D$9,MMWR_RATING_RO_ROLLUP[#Headers],0)),"ERROR"))</f>
        <v>96.898672883800003</v>
      </c>
      <c r="E21" s="156">
        <f>IF($B21=" ","",IFERROR(INDEX(MMWR_RATING_RO_ROLLUP[],MATCH($B21,MMWR_RATING_RO_ROLLUP[MMWR_RATING_RO_ROLLUP],0),MATCH(E$9,MMWR_RATING_RO_ROLLUP[#Headers],0))/$C21,"ERROR"))</f>
        <v>0.23332137733142036</v>
      </c>
      <c r="F21" s="154">
        <f>IF($B21=" ","",IFERROR(INDEX(MMWR_RATING_RO_ROLLUP[],MATCH($B21,MMWR_RATING_RO_ROLLUP[MMWR_RATING_RO_ROLLUP],0),MATCH(F$9,MMWR_RATING_RO_ROLLUP[#Headers],0)),"ERROR"))</f>
        <v>1050</v>
      </c>
      <c r="G21" s="154">
        <f>IF($B21=" ","",IFERROR(INDEX(MMWR_RATING_RO_ROLLUP[],MATCH($B21,MMWR_RATING_RO_ROLLUP[MMWR_RATING_RO_ROLLUP],0),MATCH(G$9,MMWR_RATING_RO_ROLLUP[#Headers],0)),"ERROR"))</f>
        <v>5558</v>
      </c>
      <c r="H21" s="155">
        <f>IF($B21=" ","",IFERROR(INDEX(MMWR_RATING_RO_ROLLUP[],MATCH($B21,MMWR_RATING_RO_ROLLUP[MMWR_RATING_RO_ROLLUP],0),MATCH(H$9,MMWR_RATING_RO_ROLLUP[#Headers],0)),"ERROR"))</f>
        <v>135.3333333333</v>
      </c>
      <c r="I21" s="155">
        <f>IF($B21=" ","",IFERROR(INDEX(MMWR_RATING_RO_ROLLUP[],MATCH($B21,MMWR_RATING_RO_ROLLUP[MMWR_RATING_RO_ROLLUP],0),MATCH(I$9,MMWR_RATING_RO_ROLLUP[#Headers],0)),"ERROR"))</f>
        <v>136.48272759989999</v>
      </c>
      <c r="J21" s="158">
        <f>IF($B21=" ","",IFERROR(VLOOKUP($B21,MMWR_ACCURACY_RO[],MATCH(J$9,MMWR_ACCURACY_RO[#Headers],0),0),"ERROR"))</f>
        <v>0.97382659623017243</v>
      </c>
      <c r="K21" s="158">
        <f>IF($B21=" ","",IFERROR(VLOOKUP($B21,MMWR_ACCURACY_RO[],MATCH(K$9,MMWR_ACCURACY_RO[#Headers],0),0),"ERROR"))</f>
        <v>0.93293431553100059</v>
      </c>
      <c r="L21" s="158">
        <f>IF($B21=" ","",IFERROR(VLOOKUP($B21,MMWR_ACCURACY_RO[],MATCH(L$9,MMWR_ACCURACY_RO[#Headers],0),0),"ERROR"))</f>
        <v>0.90171809874766351</v>
      </c>
      <c r="M21" s="158">
        <f>IF($B21=" ","",IFERROR(VLOOKUP($B21,MMWR_ACCURACY_RO[],MATCH(M$9,MMWR_ACCURACY_RO[#Headers],0),0),"ERROR"))</f>
        <v>4.3704081920787986E-2</v>
      </c>
      <c r="N21" s="158">
        <f>IF($B21=" ","",IFERROR(VLOOKUP($B21,MMWR_ACCURACY_RO[],MATCH(N$9,MMWR_ACCURACY_RO[#Headers],0),0),"ERROR"))</f>
        <v>0.89575342716306783</v>
      </c>
      <c r="O21" s="158">
        <f>IF($B21=" ","",IFERROR(VLOOKUP($B21,MMWR_ACCURACY_RO[],MATCH(O$9,MMWR_ACCURACY_RO[#Headers],0),0),"ERROR"))</f>
        <v>5.1571207049398993E-2</v>
      </c>
      <c r="P21" s="28"/>
    </row>
    <row r="22" spans="1:16" x14ac:dyDescent="0.2">
      <c r="A22" s="25"/>
      <c r="B22" s="8" t="str">
        <f>VLOOKUP($B$16,DISTRICT_RO[],7,0)</f>
        <v>Manchester VSC</v>
      </c>
      <c r="C22" s="154">
        <f>IF($B22=" ","",IFERROR(INDEX(MMWR_RATING_RO_ROLLUP[],MATCH($B22,MMWR_RATING_RO_ROLLUP[MMWR_RATING_RO_ROLLUP],0),MATCH(C$9,MMWR_RATING_RO_ROLLUP[#Headers],0)),"ERROR"))</f>
        <v>1155</v>
      </c>
      <c r="D22" s="155">
        <f>IF($B22=" ","",IFERROR(INDEX(MMWR_RATING_RO_ROLLUP[],MATCH($B22,MMWR_RATING_RO_ROLLUP[MMWR_RATING_RO_ROLLUP],0),MATCH(D$9,MMWR_RATING_RO_ROLLUP[#Headers],0)),"ERROR"))</f>
        <v>105.167965368</v>
      </c>
      <c r="E22" s="156">
        <f>IF($B22=" ","",IFERROR(INDEX(MMWR_RATING_RO_ROLLUP[],MATCH($B22,MMWR_RATING_RO_ROLLUP[MMWR_RATING_RO_ROLLUP],0),MATCH(E$9,MMWR_RATING_RO_ROLLUP[#Headers],0))/$C22,"ERROR"))</f>
        <v>0.25281385281385282</v>
      </c>
      <c r="F22" s="154">
        <f>IF($B22=" ","",IFERROR(INDEX(MMWR_RATING_RO_ROLLUP[],MATCH($B22,MMWR_RATING_RO_ROLLUP[MMWR_RATING_RO_ROLLUP],0),MATCH(F$9,MMWR_RATING_RO_ROLLUP[#Headers],0)),"ERROR"))</f>
        <v>208</v>
      </c>
      <c r="G22" s="154">
        <f>IF($B22=" ","",IFERROR(INDEX(MMWR_RATING_RO_ROLLUP[],MATCH($B22,MMWR_RATING_RO_ROLLUP[MMWR_RATING_RO_ROLLUP],0),MATCH(G$9,MMWR_RATING_RO_ROLLUP[#Headers],0)),"ERROR"))</f>
        <v>1189</v>
      </c>
      <c r="H22" s="155">
        <f>IF($B22=" ","",IFERROR(INDEX(MMWR_RATING_RO_ROLLUP[],MATCH($B22,MMWR_RATING_RO_ROLLUP[MMWR_RATING_RO_ROLLUP],0),MATCH(H$9,MMWR_RATING_RO_ROLLUP[#Headers],0)),"ERROR"))</f>
        <v>146.75480769230001</v>
      </c>
      <c r="I22" s="155">
        <f>IF($B22=" ","",IFERROR(INDEX(MMWR_RATING_RO_ROLLUP[],MATCH($B22,MMWR_RATING_RO_ROLLUP[MMWR_RATING_RO_ROLLUP],0),MATCH(I$9,MMWR_RATING_RO_ROLLUP[#Headers],0)),"ERROR"))</f>
        <v>138.5256518082</v>
      </c>
      <c r="J22" s="158">
        <f>IF($B22=" ","",IFERROR(VLOOKUP($B22,MMWR_ACCURACY_RO[],MATCH(J$9,MMWR_ACCURACY_RO[#Headers],0),0),"ERROR"))</f>
        <v>0.97083819419625006</v>
      </c>
      <c r="K22" s="158">
        <f>IF($B22=" ","",IFERROR(VLOOKUP($B22,MMWR_ACCURACY_RO[],MATCH(K$9,MMWR_ACCURACY_RO[#Headers],0),0),"ERROR"))</f>
        <v>0.95297951582867779</v>
      </c>
      <c r="L22" s="158">
        <f>IF($B22=" ","",IFERROR(VLOOKUP($B22,MMWR_ACCURACY_RO[],MATCH(L$9,MMWR_ACCURACY_RO[#Headers],0),0),"ERROR"))</f>
        <v>0.91828318006920673</v>
      </c>
      <c r="M22" s="158">
        <f>IF($B22=" ","",IFERROR(VLOOKUP($B22,MMWR_ACCURACY_RO[],MATCH(M$9,MMWR_ACCURACY_RO[#Headers],0),0),"ERROR"))</f>
        <v>3.998971318316457E-2</v>
      </c>
      <c r="N22" s="158">
        <f>IF($B22=" ","",IFERROR(VLOOKUP($B22,MMWR_ACCURACY_RO[],MATCH(N$9,MMWR_ACCURACY_RO[#Headers],0),0),"ERROR"))</f>
        <v>0.91904552613265944</v>
      </c>
      <c r="O22" s="158">
        <f>IF($B22=" ","",IFERROR(VLOOKUP($B22,MMWR_ACCURACY_RO[],MATCH(O$9,MMWR_ACCURACY_RO[#Headers],0),0),"ERROR"))</f>
        <v>4.5578205498796438E-2</v>
      </c>
      <c r="P22" s="28"/>
    </row>
    <row r="23" spans="1:16" x14ac:dyDescent="0.2">
      <c r="A23" s="25"/>
      <c r="B23" s="8" t="str">
        <f>VLOOKUP($B$16,DISTRICT_RO[],8,0)</f>
        <v>New York VSC</v>
      </c>
      <c r="C23" s="154">
        <f>IF($B23=" ","",IFERROR(INDEX(MMWR_RATING_RO_ROLLUP[],MATCH($B23,MMWR_RATING_RO_ROLLUP[MMWR_RATING_RO_ROLLUP],0),MATCH(C$9,MMWR_RATING_RO_ROLLUP[#Headers],0)),"ERROR"))</f>
        <v>3575</v>
      </c>
      <c r="D23" s="155">
        <f>IF($B23=" ","",IFERROR(INDEX(MMWR_RATING_RO_ROLLUP[],MATCH($B23,MMWR_RATING_RO_ROLLUP[MMWR_RATING_RO_ROLLUP],0),MATCH(D$9,MMWR_RATING_RO_ROLLUP[#Headers],0)),"ERROR"))</f>
        <v>95.439440559399998</v>
      </c>
      <c r="E23" s="156">
        <f>IF($B23=" ","",IFERROR(INDEX(MMWR_RATING_RO_ROLLUP[],MATCH($B23,MMWR_RATING_RO_ROLLUP[MMWR_RATING_RO_ROLLUP],0),MATCH(E$9,MMWR_RATING_RO_ROLLUP[#Headers],0))/$C23,"ERROR"))</f>
        <v>0.26601398601398601</v>
      </c>
      <c r="F23" s="154">
        <f>IF($B23=" ","",IFERROR(INDEX(MMWR_RATING_RO_ROLLUP[],MATCH($B23,MMWR_RATING_RO_ROLLUP[MMWR_RATING_RO_ROLLUP],0),MATCH(F$9,MMWR_RATING_RO_ROLLUP[#Headers],0)),"ERROR"))</f>
        <v>718</v>
      </c>
      <c r="G23" s="154">
        <f>IF($B23=" ","",IFERROR(INDEX(MMWR_RATING_RO_ROLLUP[],MATCH($B23,MMWR_RATING_RO_ROLLUP[MMWR_RATING_RO_ROLLUP],0),MATCH(G$9,MMWR_RATING_RO_ROLLUP[#Headers],0)),"ERROR"))</f>
        <v>3525</v>
      </c>
      <c r="H23" s="155">
        <f>IF($B23=" ","",IFERROR(INDEX(MMWR_RATING_RO_ROLLUP[],MATCH($B23,MMWR_RATING_RO_ROLLUP[MMWR_RATING_RO_ROLLUP],0),MATCH(H$9,MMWR_RATING_RO_ROLLUP[#Headers],0)),"ERROR"))</f>
        <v>137.71448467970001</v>
      </c>
      <c r="I23" s="155">
        <f>IF($B23=" ","",IFERROR(INDEX(MMWR_RATING_RO_ROLLUP[],MATCH($B23,MMWR_RATING_RO_ROLLUP[MMWR_RATING_RO_ROLLUP],0),MATCH(I$9,MMWR_RATING_RO_ROLLUP[#Headers],0)),"ERROR"))</f>
        <v>133.46269503549999</v>
      </c>
      <c r="J23" s="158">
        <f>IF($B23=" ","",IFERROR(VLOOKUP($B23,MMWR_ACCURACY_RO[],MATCH(J$9,MMWR_ACCURACY_RO[#Headers],0),0),"ERROR"))</f>
        <v>0.9309579048110056</v>
      </c>
      <c r="K23" s="158">
        <f>IF($B23=" ","",IFERROR(VLOOKUP($B23,MMWR_ACCURACY_RO[],MATCH(K$9,MMWR_ACCURACY_RO[#Headers],0),0),"ERROR"))</f>
        <v>0.82271031855864396</v>
      </c>
      <c r="L23" s="158">
        <f>IF($B23=" ","",IFERROR(VLOOKUP($B23,MMWR_ACCURACY_RO[],MATCH(L$9,MMWR_ACCURACY_RO[#Headers],0),0),"ERROR"))</f>
        <v>0.90256916498993978</v>
      </c>
      <c r="M23" s="158">
        <f>IF($B23=" ","",IFERROR(VLOOKUP($B23,MMWR_ACCURACY_RO[],MATCH(M$9,MMWR_ACCURACY_RO[#Headers],0),0),"ERROR"))</f>
        <v>4.8066180689815712E-2</v>
      </c>
      <c r="N23" s="158">
        <f>IF($B23=" ","",IFERROR(VLOOKUP($B23,MMWR_ACCURACY_RO[],MATCH(N$9,MMWR_ACCURACY_RO[#Headers],0),0),"ERROR"))</f>
        <v>0.92324390080204044</v>
      </c>
      <c r="O23" s="158">
        <f>IF($B23=" ","",IFERROR(VLOOKUP($B23,MMWR_ACCURACY_RO[],MATCH(O$9,MMWR_ACCURACY_RO[#Headers],0),0),"ERROR"))</f>
        <v>4.1670066440340679E-2</v>
      </c>
      <c r="P23" s="28"/>
    </row>
    <row r="24" spans="1:16" x14ac:dyDescent="0.2">
      <c r="A24" s="25"/>
      <c r="B24" s="8" t="str">
        <f>VLOOKUP($B$16,DISTRICT_RO[],9,0)</f>
        <v>Newark VSC</v>
      </c>
      <c r="C24" s="154">
        <f>IF($B24=" ","",IFERROR(INDEX(MMWR_RATING_RO_ROLLUP[],MATCH($B24,MMWR_RATING_RO_ROLLUP[MMWR_RATING_RO_ROLLUP],0),MATCH(C$9,MMWR_RATING_RO_ROLLUP[#Headers],0)),"ERROR"))</f>
        <v>2126</v>
      </c>
      <c r="D24" s="155">
        <f>IF($B24=" ","",IFERROR(INDEX(MMWR_RATING_RO_ROLLUP[],MATCH($B24,MMWR_RATING_RO_ROLLUP[MMWR_RATING_RO_ROLLUP],0),MATCH(D$9,MMWR_RATING_RO_ROLLUP[#Headers],0)),"ERROR"))</f>
        <v>78.154280338700005</v>
      </c>
      <c r="E24" s="156">
        <f>IF($B24=" ","",IFERROR(INDEX(MMWR_RATING_RO_ROLLUP[],MATCH($B24,MMWR_RATING_RO_ROLLUP[MMWR_RATING_RO_ROLLUP],0),MATCH(E$9,MMWR_RATING_RO_ROLLUP[#Headers],0))/$C24,"ERROR"))</f>
        <v>0.1599247412982126</v>
      </c>
      <c r="F24" s="154">
        <f>IF($B24=" ","",IFERROR(INDEX(MMWR_RATING_RO_ROLLUP[],MATCH($B24,MMWR_RATING_RO_ROLLUP[MMWR_RATING_RO_ROLLUP],0),MATCH(F$9,MMWR_RATING_RO_ROLLUP[#Headers],0)),"ERROR"))</f>
        <v>390</v>
      </c>
      <c r="G24" s="154">
        <f>IF($B24=" ","",IFERROR(INDEX(MMWR_RATING_RO_ROLLUP[],MATCH($B24,MMWR_RATING_RO_ROLLUP[MMWR_RATING_RO_ROLLUP],0),MATCH(G$9,MMWR_RATING_RO_ROLLUP[#Headers],0)),"ERROR"))</f>
        <v>1960</v>
      </c>
      <c r="H24" s="155">
        <f>IF($B24=" ","",IFERROR(INDEX(MMWR_RATING_RO_ROLLUP[],MATCH($B24,MMWR_RATING_RO_ROLLUP[MMWR_RATING_RO_ROLLUP],0),MATCH(H$9,MMWR_RATING_RO_ROLLUP[#Headers],0)),"ERROR"))</f>
        <v>116.958974359</v>
      </c>
      <c r="I24" s="155">
        <f>IF($B24=" ","",IFERROR(INDEX(MMWR_RATING_RO_ROLLUP[],MATCH($B24,MMWR_RATING_RO_ROLLUP[MMWR_RATING_RO_ROLLUP],0),MATCH(I$9,MMWR_RATING_RO_ROLLUP[#Headers],0)),"ERROR"))</f>
        <v>137.98265306120001</v>
      </c>
      <c r="J24" s="158">
        <f>IF($B24=" ","",IFERROR(VLOOKUP($B24,MMWR_ACCURACY_RO[],MATCH(J$9,MMWR_ACCURACY_RO[#Headers],0),0),"ERROR"))</f>
        <v>0.93767883533000007</v>
      </c>
      <c r="K24" s="158">
        <f>IF($B24=" ","",IFERROR(VLOOKUP($B24,MMWR_ACCURACY_RO[],MATCH(K$9,MMWR_ACCURACY_RO[#Headers],0),0),"ERROR"))</f>
        <v>0.88166404474742177</v>
      </c>
      <c r="L24" s="158">
        <f>IF($B24=" ","",IFERROR(VLOOKUP($B24,MMWR_ACCURACY_RO[],MATCH(L$9,MMWR_ACCURACY_RO[#Headers],0),0),"ERROR"))</f>
        <v>0.87932553351546094</v>
      </c>
      <c r="M24" s="158">
        <f>IF($B24=" ","",IFERROR(VLOOKUP($B24,MMWR_ACCURACY_RO[],MATCH(M$9,MMWR_ACCURACY_RO[#Headers],0),0),"ERROR"))</f>
        <v>4.375571969644497E-2</v>
      </c>
      <c r="N24" s="158">
        <f>IF($B24=" ","",IFERROR(VLOOKUP($B24,MMWR_ACCURACY_RO[],MATCH(N$9,MMWR_ACCURACY_RO[#Headers],0),0),"ERROR"))</f>
        <v>0.85503522570817581</v>
      </c>
      <c r="O24" s="158">
        <f>IF($B24=" ","",IFERROR(VLOOKUP($B24,MMWR_ACCURACY_RO[],MATCH(O$9,MMWR_ACCURACY_RO[#Headers],0),0),"ERROR"))</f>
        <v>5.1176209522065225E-2</v>
      </c>
      <c r="P24" s="28"/>
    </row>
    <row r="25" spans="1:16" x14ac:dyDescent="0.2">
      <c r="A25" s="25"/>
      <c r="B25" s="8" t="str">
        <f>VLOOKUP($B$16,DISTRICT_RO[],10,0)</f>
        <v>Philadelphia VSC</v>
      </c>
      <c r="C25" s="154">
        <f>IF($B25=" ","",IFERROR(INDEX(MMWR_RATING_RO_ROLLUP[],MATCH($B25,MMWR_RATING_RO_ROLLUP[MMWR_RATING_RO_ROLLUP],0),MATCH(C$9,MMWR_RATING_RO_ROLLUP[#Headers],0)),"ERROR"))</f>
        <v>7168</v>
      </c>
      <c r="D25" s="155">
        <f>IF($B25=" ","",IFERROR(INDEX(MMWR_RATING_RO_ROLLUP[],MATCH($B25,MMWR_RATING_RO_ROLLUP[MMWR_RATING_RO_ROLLUP],0),MATCH(D$9,MMWR_RATING_RO_ROLLUP[#Headers],0)),"ERROR"))</f>
        <v>115.2776227679</v>
      </c>
      <c r="E25" s="156">
        <f>IF($B25=" ","",IFERROR(INDEX(MMWR_RATING_RO_ROLLUP[],MATCH($B25,MMWR_RATING_RO_ROLLUP[MMWR_RATING_RO_ROLLUP],0),MATCH(E$9,MMWR_RATING_RO_ROLLUP[#Headers],0))/$C25,"ERROR"))</f>
        <v>0.30943080357142855</v>
      </c>
      <c r="F25" s="154">
        <f>IF($B25=" ","",IFERROR(INDEX(MMWR_RATING_RO_ROLLUP[],MATCH($B25,MMWR_RATING_RO_ROLLUP[MMWR_RATING_RO_ROLLUP],0),MATCH(F$9,MMWR_RATING_RO_ROLLUP[#Headers],0)),"ERROR"))</f>
        <v>1602</v>
      </c>
      <c r="G25" s="154">
        <f>IF($B25=" ","",IFERROR(INDEX(MMWR_RATING_RO_ROLLUP[],MATCH($B25,MMWR_RATING_RO_ROLLUP[MMWR_RATING_RO_ROLLUP],0),MATCH(G$9,MMWR_RATING_RO_ROLLUP[#Headers],0)),"ERROR"))</f>
        <v>8011</v>
      </c>
      <c r="H25" s="155">
        <f>IF($B25=" ","",IFERROR(INDEX(MMWR_RATING_RO_ROLLUP[],MATCH($B25,MMWR_RATING_RO_ROLLUP[MMWR_RATING_RO_ROLLUP],0),MATCH(H$9,MMWR_RATING_RO_ROLLUP[#Headers],0)),"ERROR"))</f>
        <v>142.79213483149999</v>
      </c>
      <c r="I25" s="155">
        <f>IF($B25=" ","",IFERROR(INDEX(MMWR_RATING_RO_ROLLUP[],MATCH($B25,MMWR_RATING_RO_ROLLUP[MMWR_RATING_RO_ROLLUP],0),MATCH(I$9,MMWR_RATING_RO_ROLLUP[#Headers],0)),"ERROR"))</f>
        <v>152.63312944699999</v>
      </c>
      <c r="J25" s="158">
        <f>IF($B25=" ","",IFERROR(VLOOKUP($B25,MMWR_ACCURACY_RO[],MATCH(J$9,MMWR_ACCURACY_RO[#Headers],0),0),"ERROR"))</f>
        <v>0.96772408735050564</v>
      </c>
      <c r="K25" s="158">
        <f>IF($B25=" ","",IFERROR(VLOOKUP($B25,MMWR_ACCURACY_RO[],MATCH(K$9,MMWR_ACCURACY_RO[#Headers],0),0),"ERROR"))</f>
        <v>0.93488888053247077</v>
      </c>
      <c r="L25" s="158">
        <f>IF($B25=" ","",IFERROR(VLOOKUP($B25,MMWR_ACCURACY_RO[],MATCH(L$9,MMWR_ACCURACY_RO[#Headers],0),0),"ERROR"))</f>
        <v>0.86094930004569425</v>
      </c>
      <c r="M25" s="158">
        <f>IF($B25=" ","",IFERROR(VLOOKUP($B25,MMWR_ACCURACY_RO[],MATCH(M$9,MMWR_ACCURACY_RO[#Headers],0),0),"ERROR"))</f>
        <v>5.1128656528516031E-2</v>
      </c>
      <c r="N25" s="158">
        <f>IF($B25=" ","",IFERROR(VLOOKUP($B25,MMWR_ACCURACY_RO[],MATCH(N$9,MMWR_ACCURACY_RO[#Headers],0),0),"ERROR"))</f>
        <v>0.89468325884570687</v>
      </c>
      <c r="O25" s="158">
        <f>IF($B25=" ","",IFERROR(VLOOKUP($B25,MMWR_ACCURACY_RO[],MATCH(O$9,MMWR_ACCURACY_RO[#Headers],0),0),"ERROR"))</f>
        <v>5.2004402500186231E-2</v>
      </c>
      <c r="P25" s="28"/>
    </row>
    <row r="26" spans="1:16" x14ac:dyDescent="0.2">
      <c r="A26" s="25"/>
      <c r="B26" s="8" t="str">
        <f>VLOOKUP($B$16,DISTRICT_RO[],11,0)</f>
        <v>Pittsburgh VSC</v>
      </c>
      <c r="C26" s="154">
        <f>IF($B26=" ","",IFERROR(INDEX(MMWR_RATING_RO_ROLLUP[],MATCH($B26,MMWR_RATING_RO_ROLLUP[MMWR_RATING_RO_ROLLUP],0),MATCH(C$9,MMWR_RATING_RO_ROLLUP[#Headers],0)),"ERROR"))</f>
        <v>3787</v>
      </c>
      <c r="D26" s="155">
        <f>IF($B26=" ","",IFERROR(INDEX(MMWR_RATING_RO_ROLLUP[],MATCH($B26,MMWR_RATING_RO_ROLLUP[MMWR_RATING_RO_ROLLUP],0),MATCH(D$9,MMWR_RATING_RO_ROLLUP[#Headers],0)),"ERROR"))</f>
        <v>131.7517824135</v>
      </c>
      <c r="E26" s="156">
        <f>IF($B26=" ","",IFERROR(INDEX(MMWR_RATING_RO_ROLLUP[],MATCH($B26,MMWR_RATING_RO_ROLLUP[MMWR_RATING_RO_ROLLUP],0),MATCH(E$9,MMWR_RATING_RO_ROLLUP[#Headers],0))/$C26,"ERROR"))</f>
        <v>0.39186691312384475</v>
      </c>
      <c r="F26" s="154">
        <f>IF($B26=" ","",IFERROR(INDEX(MMWR_RATING_RO_ROLLUP[],MATCH($B26,MMWR_RATING_RO_ROLLUP[MMWR_RATING_RO_ROLLUP],0),MATCH(F$9,MMWR_RATING_RO_ROLLUP[#Headers],0)),"ERROR"))</f>
        <v>652</v>
      </c>
      <c r="G26" s="154">
        <f>IF($B26=" ","",IFERROR(INDEX(MMWR_RATING_RO_ROLLUP[],MATCH($B26,MMWR_RATING_RO_ROLLUP[MMWR_RATING_RO_ROLLUP],0),MATCH(G$9,MMWR_RATING_RO_ROLLUP[#Headers],0)),"ERROR"))</f>
        <v>3271</v>
      </c>
      <c r="H26" s="155">
        <f>IF($B26=" ","",IFERROR(INDEX(MMWR_RATING_RO_ROLLUP[],MATCH($B26,MMWR_RATING_RO_ROLLUP[MMWR_RATING_RO_ROLLUP],0),MATCH(H$9,MMWR_RATING_RO_ROLLUP[#Headers],0)),"ERROR"))</f>
        <v>170.39263803680001</v>
      </c>
      <c r="I26" s="155">
        <f>IF($B26=" ","",IFERROR(INDEX(MMWR_RATING_RO_ROLLUP[],MATCH($B26,MMWR_RATING_RO_ROLLUP[MMWR_RATING_RO_ROLLUP],0),MATCH(I$9,MMWR_RATING_RO_ROLLUP[#Headers],0)),"ERROR"))</f>
        <v>181.8508101498</v>
      </c>
      <c r="J26" s="158">
        <f>IF($B26=" ","",IFERROR(VLOOKUP($B26,MMWR_ACCURACY_RO[],MATCH(J$9,MMWR_ACCURACY_RO[#Headers],0),0),"ERROR"))</f>
        <v>0.89264644170719065</v>
      </c>
      <c r="K26" s="158">
        <f>IF($B26=" ","",IFERROR(VLOOKUP($B26,MMWR_ACCURACY_RO[],MATCH(K$9,MMWR_ACCURACY_RO[#Headers],0),0),"ERROR"))</f>
        <v>0.86267918932278809</v>
      </c>
      <c r="L26" s="158">
        <f>IF($B26=" ","",IFERROR(VLOOKUP($B26,MMWR_ACCURACY_RO[],MATCH(L$9,MMWR_ACCURACY_RO[#Headers],0),0),"ERROR"))</f>
        <v>0.89501628148136447</v>
      </c>
      <c r="M26" s="158">
        <f>IF($B26=" ","",IFERROR(VLOOKUP($B26,MMWR_ACCURACY_RO[],MATCH(M$9,MMWR_ACCURACY_RO[#Headers],0),0),"ERROR"))</f>
        <v>4.7987089016772587E-2</v>
      </c>
      <c r="N26" s="158">
        <f>IF($B26=" ","",IFERROR(VLOOKUP($B26,MMWR_ACCURACY_RO[],MATCH(N$9,MMWR_ACCURACY_RO[#Headers],0),0),"ERROR"))</f>
        <v>0.89272950754772717</v>
      </c>
      <c r="O26" s="158">
        <f>IF($B26=" ","",IFERROR(VLOOKUP($B26,MMWR_ACCURACY_RO[],MATCH(O$9,MMWR_ACCURACY_RO[#Headers],0),0),"ERROR"))</f>
        <v>6.1393887445169708E-2</v>
      </c>
      <c r="P26" s="28"/>
    </row>
    <row r="27" spans="1:16" x14ac:dyDescent="0.2">
      <c r="A27" s="25"/>
      <c r="B27" s="8" t="str">
        <f>VLOOKUP($B$16,DISTRICT_RO[],12,0)</f>
        <v>Providence VSC</v>
      </c>
      <c r="C27" s="154">
        <f>IF($B27=" ","",IFERROR(INDEX(MMWR_RATING_RO_ROLLUP[],MATCH($B27,MMWR_RATING_RO_ROLLUP[MMWR_RATING_RO_ROLLUP],0),MATCH(C$9,MMWR_RATING_RO_ROLLUP[#Headers],0)),"ERROR"))</f>
        <v>3760</v>
      </c>
      <c r="D27" s="155">
        <f>IF($B27=" ","",IFERROR(INDEX(MMWR_RATING_RO_ROLLUP[],MATCH($B27,MMWR_RATING_RO_ROLLUP[MMWR_RATING_RO_ROLLUP],0),MATCH(D$9,MMWR_RATING_RO_ROLLUP[#Headers],0)),"ERROR"))</f>
        <v>92.600531914900003</v>
      </c>
      <c r="E27" s="156">
        <f>IF($B27=" ","",IFERROR(INDEX(MMWR_RATING_RO_ROLLUP[],MATCH($B27,MMWR_RATING_RO_ROLLUP[MMWR_RATING_RO_ROLLUP],0),MATCH(E$9,MMWR_RATING_RO_ROLLUP[#Headers],0))/$C27,"ERROR"))</f>
        <v>0.21861702127659574</v>
      </c>
      <c r="F27" s="154">
        <f>IF($B27=" ","",IFERROR(INDEX(MMWR_RATING_RO_ROLLUP[],MATCH($B27,MMWR_RATING_RO_ROLLUP[MMWR_RATING_RO_ROLLUP],0),MATCH(F$9,MMWR_RATING_RO_ROLLUP[#Headers],0)),"ERROR"))</f>
        <v>1506</v>
      </c>
      <c r="G27" s="154">
        <f>IF($B27=" ","",IFERROR(INDEX(MMWR_RATING_RO_ROLLUP[],MATCH($B27,MMWR_RATING_RO_ROLLUP[MMWR_RATING_RO_ROLLUP],0),MATCH(G$9,MMWR_RATING_RO_ROLLUP[#Headers],0)),"ERROR"))</f>
        <v>7544</v>
      </c>
      <c r="H27" s="155">
        <f>IF($B27=" ","",IFERROR(INDEX(MMWR_RATING_RO_ROLLUP[],MATCH($B27,MMWR_RATING_RO_ROLLUP[MMWR_RATING_RO_ROLLUP],0),MATCH(H$9,MMWR_RATING_RO_ROLLUP[#Headers],0)),"ERROR"))</f>
        <v>85.980079681299998</v>
      </c>
      <c r="I27" s="155">
        <f>IF($B27=" ","",IFERROR(INDEX(MMWR_RATING_RO_ROLLUP[],MATCH($B27,MMWR_RATING_RO_ROLLUP[MMWR_RATING_RO_ROLLUP],0),MATCH(I$9,MMWR_RATING_RO_ROLLUP[#Headers],0)),"ERROR"))</f>
        <v>82.537910922600005</v>
      </c>
      <c r="J27" s="158">
        <f>IF($B27=" ","",IFERROR(VLOOKUP($B27,MMWR_ACCURACY_RO[],MATCH(J$9,MMWR_ACCURACY_RO[#Headers],0),0),"ERROR"))</f>
        <v>0.97846077807786269</v>
      </c>
      <c r="K27" s="158">
        <f>IF($B27=" ","",IFERROR(VLOOKUP($B27,MMWR_ACCURACY_RO[],MATCH(K$9,MMWR_ACCURACY_RO[#Headers],0),0),"ERROR"))</f>
        <v>0.9234382194934766</v>
      </c>
      <c r="L27" s="158">
        <f>IF($B27=" ","",IFERROR(VLOOKUP($B27,MMWR_ACCURACY_RO[],MATCH(L$9,MMWR_ACCURACY_RO[#Headers],0),0),"ERROR"))</f>
        <v>0.86546179515091071</v>
      </c>
      <c r="M27" s="158">
        <f>IF($B27=" ","",IFERROR(VLOOKUP($B27,MMWR_ACCURACY_RO[],MATCH(M$9,MMWR_ACCURACY_RO[#Headers],0),0),"ERROR"))</f>
        <v>6.1458675408162765E-2</v>
      </c>
      <c r="N27" s="158">
        <f>IF($B27=" ","",IFERROR(VLOOKUP($B27,MMWR_ACCURACY_RO[],MATCH(N$9,MMWR_ACCURACY_RO[#Headers],0),0),"ERROR"))</f>
        <v>0.96440821256038634</v>
      </c>
      <c r="O27" s="158">
        <f>IF($B27=" ","",IFERROR(VLOOKUP($B27,MMWR_ACCURACY_RO[],MATCH(O$9,MMWR_ACCURACY_RO[#Headers],0),0),"ERROR"))</f>
        <v>2.9057881010602388E-2</v>
      </c>
      <c r="P27" s="28"/>
    </row>
    <row r="28" spans="1:16" x14ac:dyDescent="0.2">
      <c r="A28" s="25"/>
      <c r="B28" s="8" t="str">
        <f>VLOOKUP($B$16,DISTRICT_RO[],13,0)</f>
        <v>Roanoke VSC</v>
      </c>
      <c r="C28" s="154">
        <f>IF($B28=" ","",IFERROR(INDEX(MMWR_RATING_RO_ROLLUP[],MATCH($B28,MMWR_RATING_RO_ROLLUP[MMWR_RATING_RO_ROLLUP],0),MATCH(C$9,MMWR_RATING_RO_ROLLUP[#Headers],0)),"ERROR"))</f>
        <v>9954</v>
      </c>
      <c r="D28" s="155">
        <f>IF($B28=" ","",IFERROR(INDEX(MMWR_RATING_RO_ROLLUP[],MATCH($B28,MMWR_RATING_RO_ROLLUP[MMWR_RATING_RO_ROLLUP],0),MATCH(D$9,MMWR_RATING_RO_ROLLUP[#Headers],0)),"ERROR"))</f>
        <v>91.642656218599996</v>
      </c>
      <c r="E28" s="156">
        <f>IF($B28=" ","",IFERROR(INDEX(MMWR_RATING_RO_ROLLUP[],MATCH($B28,MMWR_RATING_RO_ROLLUP[MMWR_RATING_RO_ROLLUP],0),MATCH(E$9,MMWR_RATING_RO_ROLLUP[#Headers],0))/$C28,"ERROR"))</f>
        <v>0.22232268434800082</v>
      </c>
      <c r="F28" s="154">
        <f>IF($B28=" ","",IFERROR(INDEX(MMWR_RATING_RO_ROLLUP[],MATCH($B28,MMWR_RATING_RO_ROLLUP[MMWR_RATING_RO_ROLLUP],0),MATCH(F$9,MMWR_RATING_RO_ROLLUP[#Headers],0)),"ERROR"))</f>
        <v>2239</v>
      </c>
      <c r="G28" s="154">
        <f>IF($B28=" ","",IFERROR(INDEX(MMWR_RATING_RO_ROLLUP[],MATCH($B28,MMWR_RATING_RO_ROLLUP[MMWR_RATING_RO_ROLLUP],0),MATCH(G$9,MMWR_RATING_RO_ROLLUP[#Headers],0)),"ERROR"))</f>
        <v>10080</v>
      </c>
      <c r="H28" s="155">
        <f>IF($B28=" ","",IFERROR(INDEX(MMWR_RATING_RO_ROLLUP[],MATCH($B28,MMWR_RATING_RO_ROLLUP[MMWR_RATING_RO_ROLLUP],0),MATCH(H$9,MMWR_RATING_RO_ROLLUP[#Headers],0)),"ERROR"))</f>
        <v>128.79231799909999</v>
      </c>
      <c r="I28" s="155">
        <f>IF($B28=" ","",IFERROR(INDEX(MMWR_RATING_RO_ROLLUP[],MATCH($B28,MMWR_RATING_RO_ROLLUP[MMWR_RATING_RO_ROLLUP],0),MATCH(I$9,MMWR_RATING_RO_ROLLUP[#Headers],0)),"ERROR"))</f>
        <v>137.55704365080001</v>
      </c>
      <c r="J28" s="158">
        <f>IF($B28=" ","",IFERROR(VLOOKUP($B28,MMWR_ACCURACY_RO[],MATCH(J$9,MMWR_ACCURACY_RO[#Headers],0),0),"ERROR"))</f>
        <v>0.95152562622882364</v>
      </c>
      <c r="K28" s="158">
        <f>IF($B28=" ","",IFERROR(VLOOKUP($B28,MMWR_ACCURACY_RO[],MATCH(K$9,MMWR_ACCURACY_RO[#Headers],0),0),"ERROR"))</f>
        <v>0.82786320862979113</v>
      </c>
      <c r="L28" s="158">
        <f>IF($B28=" ","",IFERROR(VLOOKUP($B28,MMWR_ACCURACY_RO[],MATCH(L$9,MMWR_ACCURACY_RO[#Headers],0),0),"ERROR"))</f>
        <v>0.90482226030999069</v>
      </c>
      <c r="M28" s="158">
        <f>IF($B28=" ","",IFERROR(VLOOKUP($B28,MMWR_ACCURACY_RO[],MATCH(M$9,MMWR_ACCURACY_RO[#Headers],0),0),"ERROR"))</f>
        <v>4.7945896177201491E-2</v>
      </c>
      <c r="N28" s="158">
        <f>IF($B28=" ","",IFERROR(VLOOKUP($B28,MMWR_ACCURACY_RO[],MATCH(N$9,MMWR_ACCURACY_RO[#Headers],0),0),"ERROR"))</f>
        <v>0.91252981744131167</v>
      </c>
      <c r="O28" s="158">
        <f>IF($B28=" ","",IFERROR(VLOOKUP($B28,MMWR_ACCURACY_RO[],MATCH(O$9,MMWR_ACCURACY_RO[#Headers],0),0),"ERROR"))</f>
        <v>4.3477177312269008E-2</v>
      </c>
      <c r="P28" s="28"/>
    </row>
    <row r="29" spans="1:16" x14ac:dyDescent="0.2">
      <c r="A29" s="25"/>
      <c r="B29" s="8" t="str">
        <f>VLOOKUP($B$16,DISTRICT_RO[],14,0)</f>
        <v>Togus VSC</v>
      </c>
      <c r="C29" s="154">
        <f>IF($B29=" ","",IFERROR(INDEX(MMWR_RATING_RO_ROLLUP[],MATCH($B29,MMWR_RATING_RO_ROLLUP[MMWR_RATING_RO_ROLLUP],0),MATCH(C$9,MMWR_RATING_RO_ROLLUP[#Headers],0)),"ERROR"))</f>
        <v>5771</v>
      </c>
      <c r="D29" s="155">
        <f>IF($B29=" ","",IFERROR(INDEX(MMWR_RATING_RO_ROLLUP[],MATCH($B29,MMWR_RATING_RO_ROLLUP[MMWR_RATING_RO_ROLLUP],0),MATCH(D$9,MMWR_RATING_RO_ROLLUP[#Headers],0)),"ERROR"))</f>
        <v>96.723271530100007</v>
      </c>
      <c r="E29" s="156">
        <f>IF($B29=" ","",IFERROR(INDEX(MMWR_RATING_RO_ROLLUP[],MATCH($B29,MMWR_RATING_RO_ROLLUP[MMWR_RATING_RO_ROLLUP],0),MATCH(E$9,MMWR_RATING_RO_ROLLUP[#Headers],0))/$C29,"ERROR"))</f>
        <v>0.2306359383122509</v>
      </c>
      <c r="F29" s="154">
        <f>IF($B29=" ","",IFERROR(INDEX(MMWR_RATING_RO_ROLLUP[],MATCH($B29,MMWR_RATING_RO_ROLLUP[MMWR_RATING_RO_ROLLUP],0),MATCH(F$9,MMWR_RATING_RO_ROLLUP[#Headers],0)),"ERROR"))</f>
        <v>936</v>
      </c>
      <c r="G29" s="154">
        <f>IF($B29=" ","",IFERROR(INDEX(MMWR_RATING_RO_ROLLUP[],MATCH($B29,MMWR_RATING_RO_ROLLUP[MMWR_RATING_RO_ROLLUP],0),MATCH(G$9,MMWR_RATING_RO_ROLLUP[#Headers],0)),"ERROR"))</f>
        <v>5438</v>
      </c>
      <c r="H29" s="155">
        <f>IF($B29=" ","",IFERROR(INDEX(MMWR_RATING_RO_ROLLUP[],MATCH($B29,MMWR_RATING_RO_ROLLUP[MMWR_RATING_RO_ROLLUP],0),MATCH(H$9,MMWR_RATING_RO_ROLLUP[#Headers],0)),"ERROR"))</f>
        <v>143.69017094020001</v>
      </c>
      <c r="I29" s="155">
        <f>IF($B29=" ","",IFERROR(INDEX(MMWR_RATING_RO_ROLLUP[],MATCH($B29,MMWR_RATING_RO_ROLLUP[MMWR_RATING_RO_ROLLUP],0),MATCH(I$9,MMWR_RATING_RO_ROLLUP[#Headers],0)),"ERROR"))</f>
        <v>135.1020595807</v>
      </c>
      <c r="J29" s="158">
        <f>IF($B29=" ","",IFERROR(VLOOKUP($B29,MMWR_ACCURACY_RO[],MATCH(J$9,MMWR_ACCURACY_RO[#Headers],0),0),"ERROR"))</f>
        <v>0.97482626361856239</v>
      </c>
      <c r="K29" s="158">
        <f>IF($B29=" ","",IFERROR(VLOOKUP($B29,MMWR_ACCURACY_RO[],MATCH(K$9,MMWR_ACCURACY_RO[#Headers],0),0),"ERROR"))</f>
        <v>0.93310924369747905</v>
      </c>
      <c r="L29" s="158">
        <f>IF($B29=" ","",IFERROR(VLOOKUP($B29,MMWR_ACCURACY_RO[],MATCH(L$9,MMWR_ACCURACY_RO[#Headers],0),0),"ERROR"))</f>
        <v>0.87728844491403335</v>
      </c>
      <c r="M29" s="158">
        <f>IF($B29=" ","",IFERROR(VLOOKUP($B29,MMWR_ACCURACY_RO[],MATCH(M$9,MMWR_ACCURACY_RO[#Headers],0),0),"ERROR"))</f>
        <v>5.8404860319807954E-2</v>
      </c>
      <c r="N29" s="158">
        <f>IF($B29=" ","",IFERROR(VLOOKUP($B29,MMWR_ACCURACY_RO[],MATCH(N$9,MMWR_ACCURACY_RO[#Headers],0),0),"ERROR"))</f>
        <v>0.96138227536418208</v>
      </c>
      <c r="O29" s="158">
        <f>IF($B29=" ","",IFERROR(VLOOKUP($B29,MMWR_ACCURACY_RO[],MATCH(O$9,MMWR_ACCURACY_RO[#Headers],0),0),"ERROR"))</f>
        <v>3.768486353500286E-2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607</v>
      </c>
      <c r="D30" s="155">
        <f>IF($B30=" ","",IFERROR(INDEX(MMWR_RATING_RO_ROLLUP[],MATCH($B30,MMWR_RATING_RO_ROLLUP[MMWR_RATING_RO_ROLLUP],0),MATCH(D$9,MMWR_RATING_RO_ROLLUP[#Headers],0)),"ERROR"))</f>
        <v>118.48434925860001</v>
      </c>
      <c r="E30" s="156">
        <f>IF($B30=" ","",IFERROR(INDEX(MMWR_RATING_RO_ROLLUP[],MATCH($B30,MMWR_RATING_RO_ROLLUP[MMWR_RATING_RO_ROLLUP],0),MATCH(E$9,MMWR_RATING_RO_ROLLUP[#Headers],0))/$C30,"ERROR"))</f>
        <v>0.34102141680395387</v>
      </c>
      <c r="F30" s="154">
        <f>IF($B30=" ","",IFERROR(INDEX(MMWR_RATING_RO_ROLLUP[],MATCH($B30,MMWR_RATING_RO_ROLLUP[MMWR_RATING_RO_ROLLUP],0),MATCH(F$9,MMWR_RATING_RO_ROLLUP[#Headers],0)),"ERROR"))</f>
        <v>137</v>
      </c>
      <c r="G30" s="154">
        <f>IF($B30=" ","",IFERROR(INDEX(MMWR_RATING_RO_ROLLUP[],MATCH($B30,MMWR_RATING_RO_ROLLUP[MMWR_RATING_RO_ROLLUP],0),MATCH(G$9,MMWR_RATING_RO_ROLLUP[#Headers],0)),"ERROR"))</f>
        <v>586</v>
      </c>
      <c r="H30" s="155">
        <f>IF($B30=" ","",IFERROR(INDEX(MMWR_RATING_RO_ROLLUP[],MATCH($B30,MMWR_RATING_RO_ROLLUP[MMWR_RATING_RO_ROLLUP],0),MATCH(H$9,MMWR_RATING_RO_ROLLUP[#Headers],0)),"ERROR"))</f>
        <v>159.64233576640001</v>
      </c>
      <c r="I30" s="155">
        <f>IF($B30=" ","",IFERROR(INDEX(MMWR_RATING_RO_ROLLUP[],MATCH($B30,MMWR_RATING_RO_ROLLUP[MMWR_RATING_RO_ROLLUP],0),MATCH(I$9,MMWR_RATING_RO_ROLLUP[#Headers],0)),"ERROR"))</f>
        <v>169.95904436859999</v>
      </c>
      <c r="J30" s="158">
        <f>IF($B30=" ","",IFERROR(VLOOKUP($B30,MMWR_ACCURACY_RO[],MATCH(J$9,MMWR_ACCURACY_RO[#Headers],0),0),"ERROR"))</f>
        <v>0.89788239917700241</v>
      </c>
      <c r="K30" s="158">
        <f>IF($B30=" ","",IFERROR(VLOOKUP($B30,MMWR_ACCURACY_RO[],MATCH(K$9,MMWR_ACCURACY_RO[#Headers],0),0),"ERROR"))</f>
        <v>0.81767887878042766</v>
      </c>
      <c r="L30" s="158">
        <f>IF($B30=" ","",IFERROR(VLOOKUP($B30,MMWR_ACCURACY_RO[],MATCH(L$9,MMWR_ACCURACY_RO[#Headers],0),0),"ERROR"))</f>
        <v>0.82574129396003926</v>
      </c>
      <c r="M30" s="158">
        <f>IF($B30=" ","",IFERROR(VLOOKUP($B30,MMWR_ACCURACY_RO[],MATCH(M$9,MMWR_ACCURACY_RO[#Headers],0),0),"ERROR"))</f>
        <v>5.3492724060872091E-2</v>
      </c>
      <c r="N30" s="158">
        <f>IF($B30=" ","",IFERROR(VLOOKUP($B30,MMWR_ACCURACY_RO[],MATCH(N$9,MMWR_ACCURACY_RO[#Headers],0),0),"ERROR"))</f>
        <v>0.89697304195543626</v>
      </c>
      <c r="O30" s="158">
        <f>IF($B30=" ","",IFERROR(VLOOKUP($B30,MMWR_ACCURACY_RO[],MATCH(O$9,MMWR_ACCURACY_RO[#Headers],0),0),"ERROR"))</f>
        <v>3.9208575895078542E-2</v>
      </c>
      <c r="P30" s="28"/>
    </row>
    <row r="31" spans="1:16" x14ac:dyDescent="0.2">
      <c r="A31" s="25"/>
      <c r="B31" s="8" t="str">
        <f>VLOOKUP($B$16,DISTRICT_RO[],16,0)</f>
        <v>Wilmington VSC</v>
      </c>
      <c r="C31" s="154">
        <f>IF($B31=" ","",IFERROR(INDEX(MMWR_RATING_RO_ROLLUP[],MATCH($B31,MMWR_RATING_RO_ROLLUP[MMWR_RATING_RO_ROLLUP],0),MATCH(C$9,MMWR_RATING_RO_ROLLUP[#Headers],0)),"ERROR"))</f>
        <v>571</v>
      </c>
      <c r="D31" s="155">
        <f>IF($B31=" ","",IFERROR(INDEX(MMWR_RATING_RO_ROLLUP[],MATCH($B31,MMWR_RATING_RO_ROLLUP[MMWR_RATING_RO_ROLLUP],0),MATCH(D$9,MMWR_RATING_RO_ROLLUP[#Headers],0)),"ERROR"))</f>
        <v>80.472854640999998</v>
      </c>
      <c r="E31" s="156">
        <f>IF($B31=" ","",IFERROR(INDEX(MMWR_RATING_RO_ROLLUP[],MATCH($B31,MMWR_RATING_RO_ROLLUP[MMWR_RATING_RO_ROLLUP],0),MATCH(E$9,MMWR_RATING_RO_ROLLUP[#Headers],0))/$C31,"ERROR"))</f>
        <v>0.18563922942206654</v>
      </c>
      <c r="F31" s="154">
        <f>IF($B31=" ","",IFERROR(INDEX(MMWR_RATING_RO_ROLLUP[],MATCH($B31,MMWR_RATING_RO_ROLLUP[MMWR_RATING_RO_ROLLUP],0),MATCH(F$9,MMWR_RATING_RO_ROLLUP[#Headers],0)),"ERROR"))</f>
        <v>69</v>
      </c>
      <c r="G31" s="154">
        <f>IF($B31=" ","",IFERROR(INDEX(MMWR_RATING_RO_ROLLUP[],MATCH($B31,MMWR_RATING_RO_ROLLUP[MMWR_RATING_RO_ROLLUP],0),MATCH(G$9,MMWR_RATING_RO_ROLLUP[#Headers],0)),"ERROR"))</f>
        <v>353</v>
      </c>
      <c r="H31" s="155">
        <f>IF($B31=" ","",IFERROR(INDEX(MMWR_RATING_RO_ROLLUP[],MATCH($B31,MMWR_RATING_RO_ROLLUP[MMWR_RATING_RO_ROLLUP],0),MATCH(H$9,MMWR_RATING_RO_ROLLUP[#Headers],0)),"ERROR"))</f>
        <v>131.78260869569999</v>
      </c>
      <c r="I31" s="155">
        <f>IF($B31=" ","",IFERROR(INDEX(MMWR_RATING_RO_ROLLUP[],MATCH($B31,MMWR_RATING_RO_ROLLUP[MMWR_RATING_RO_ROLLUP],0),MATCH(I$9,MMWR_RATING_RO_ROLLUP[#Headers],0)),"ERROR"))</f>
        <v>119.6657223796</v>
      </c>
      <c r="J31" s="158">
        <f>IF($B31=" ","",IFERROR(VLOOKUP($B31,MMWR_ACCURACY_RO[],MATCH(J$9,MMWR_ACCURACY_RO[#Headers],0),0),"ERROR"))</f>
        <v>0.92686134555715871</v>
      </c>
      <c r="K31" s="158">
        <f>IF($B31=" ","",IFERROR(VLOOKUP($B31,MMWR_ACCURACY_RO[],MATCH(K$9,MMWR_ACCURACY_RO[#Headers],0),0),"ERROR"))</f>
        <v>0.82216603455541515</v>
      </c>
      <c r="L31" s="158">
        <f>IF($B31=" ","",IFERROR(VLOOKUP($B31,MMWR_ACCURACY_RO[],MATCH(L$9,MMWR_ACCURACY_RO[#Headers],0),0),"ERROR"))</f>
        <v>0.86779042182519106</v>
      </c>
      <c r="M31" s="158">
        <f>IF($B31=" ","",IFERROR(VLOOKUP($B31,MMWR_ACCURACY_RO[],MATCH(M$9,MMWR_ACCURACY_RO[#Headers],0),0),"ERROR"))</f>
        <v>4.6849540436246569E-2</v>
      </c>
      <c r="N31" s="158">
        <f>IF($B31=" ","",IFERROR(VLOOKUP($B31,MMWR_ACCURACY_RO[],MATCH(N$9,MMWR_ACCURACY_RO[#Headers],0),0),"ERROR"))</f>
        <v>0.88755736108471039</v>
      </c>
      <c r="O31" s="158">
        <f>IF($B31=" ","",IFERROR(VLOOKUP($B31,MMWR_ACCURACY_RO[],MATCH(O$9,MMWR_ACCURACY_RO[#Headers],0),0),"ERROR"))</f>
        <v>5.0868954657902206E-2</v>
      </c>
      <c r="P31" s="28"/>
    </row>
    <row r="32" spans="1:16" x14ac:dyDescent="0.2">
      <c r="A32" s="25"/>
      <c r="B32" s="8" t="str">
        <f>VLOOKUP($B$16,DISTRICT_RO[],17,0)</f>
        <v>Winston-Salem VSC</v>
      </c>
      <c r="C32" s="154">
        <f>IF($B32=" ","",IFERROR(INDEX(MMWR_RATING_RO_ROLLUP[],MATCH($B32,MMWR_RATING_RO_ROLLUP[MMWR_RATING_RO_ROLLUP],0),MATCH(C$9,MMWR_RATING_RO_ROLLUP[#Headers],0)),"ERROR"))</f>
        <v>11119</v>
      </c>
      <c r="D32" s="155">
        <f>IF($B32=" ","",IFERROR(INDEX(MMWR_RATING_RO_ROLLUP[],MATCH($B32,MMWR_RATING_RO_ROLLUP[MMWR_RATING_RO_ROLLUP],0),MATCH(D$9,MMWR_RATING_RO_ROLLUP[#Headers],0)),"ERROR"))</f>
        <v>86.108822735900006</v>
      </c>
      <c r="E32" s="156">
        <f>IF($B32=" ","",IFERROR(INDEX(MMWR_RATING_RO_ROLLUP[],MATCH($B32,MMWR_RATING_RO_ROLLUP[MMWR_RATING_RO_ROLLUP],0),MATCH(E$9,MMWR_RATING_RO_ROLLUP[#Headers],0))/$C32,"ERROR"))</f>
        <v>0.18382948106844141</v>
      </c>
      <c r="F32" s="154">
        <f>IF($B32=" ","",IFERROR(INDEX(MMWR_RATING_RO_ROLLUP[],MATCH($B32,MMWR_RATING_RO_ROLLUP[MMWR_RATING_RO_ROLLUP],0),MATCH(F$9,MMWR_RATING_RO_ROLLUP[#Headers],0)),"ERROR"))</f>
        <v>2011</v>
      </c>
      <c r="G32" s="154">
        <f>IF($B32=" ","",IFERROR(INDEX(MMWR_RATING_RO_ROLLUP[],MATCH($B32,MMWR_RATING_RO_ROLLUP[MMWR_RATING_RO_ROLLUP],0),MATCH(G$9,MMWR_RATING_RO_ROLLUP[#Headers],0)),"ERROR"))</f>
        <v>10280</v>
      </c>
      <c r="H32" s="155">
        <f>IF($B32=" ","",IFERROR(INDEX(MMWR_RATING_RO_ROLLUP[],MATCH($B32,MMWR_RATING_RO_ROLLUP[MMWR_RATING_RO_ROLLUP],0),MATCH(H$9,MMWR_RATING_RO_ROLLUP[#Headers],0)),"ERROR"))</f>
        <v>135.23321730480001</v>
      </c>
      <c r="I32" s="155">
        <f>IF($B32=" ","",IFERROR(INDEX(MMWR_RATING_RO_ROLLUP[],MATCH($B32,MMWR_RATING_RO_ROLLUP[MMWR_RATING_RO_ROLLUP],0),MATCH(I$9,MMWR_RATING_RO_ROLLUP[#Headers],0)),"ERROR"))</f>
        <v>140.88424124509999</v>
      </c>
      <c r="J32" s="158">
        <f>IF($B32=" ","",IFERROR(VLOOKUP($B32,MMWR_ACCURACY_RO[],MATCH(J$9,MMWR_ACCURACY_RO[#Headers],0),0),"ERROR"))</f>
        <v>0.96590175676835222</v>
      </c>
      <c r="K32" s="158">
        <f>IF($B32=" ","",IFERROR(VLOOKUP($B32,MMWR_ACCURACY_RO[],MATCH(K$9,MMWR_ACCURACY_RO[#Headers],0),0),"ERROR"))</f>
        <v>0.85800305184114367</v>
      </c>
      <c r="L32" s="158">
        <f>IF($B32=" ","",IFERROR(VLOOKUP($B32,MMWR_ACCURACY_RO[],MATCH(L$9,MMWR_ACCURACY_RO[#Headers],0),0),"ERROR"))</f>
        <v>0.82970171691976191</v>
      </c>
      <c r="M32" s="158">
        <f>IF($B32=" ","",IFERROR(VLOOKUP($B32,MMWR_ACCURACY_RO[],MATCH(M$9,MMWR_ACCURACY_RO[#Headers],0),0),"ERROR"))</f>
        <v>5.3853925693320551E-2</v>
      </c>
      <c r="N32" s="158">
        <f>IF($B32=" ","",IFERROR(VLOOKUP($B32,MMWR_ACCURACY_RO[],MATCH(N$9,MMWR_ACCURACY_RO[#Headers],0),0),"ERROR"))</f>
        <v>0.94813896229333006</v>
      </c>
      <c r="O32" s="158">
        <f>IF($B32=" ","",IFERROR(VLOOKUP($B32,MMWR_ACCURACY_RO[],MATCH(O$9,MMWR_ACCURACY_RO[#Headers],0),0),"ERROR"))</f>
        <v>3.6797931644336403E-2</v>
      </c>
      <c r="P32" s="28"/>
    </row>
    <row r="33" spans="1:16" x14ac:dyDescent="0.2">
      <c r="A33" s="25"/>
      <c r="B33" s="342" t="s">
        <v>737</v>
      </c>
      <c r="C33" s="343"/>
      <c r="D33" s="343"/>
      <c r="E33" s="343"/>
      <c r="F33" s="343"/>
      <c r="G33" s="343"/>
      <c r="H33" s="343"/>
      <c r="I33" s="343"/>
      <c r="J33" s="343"/>
      <c r="K33" s="343"/>
      <c r="L33" s="343"/>
      <c r="M33" s="343"/>
      <c r="N33" s="343"/>
      <c r="O33" s="343"/>
      <c r="P33" s="28"/>
    </row>
    <row r="34" spans="1:16" x14ac:dyDescent="0.2">
      <c r="A34" s="25"/>
      <c r="B34" s="11" t="s">
        <v>700</v>
      </c>
      <c r="C34" s="154">
        <f>IF($B34=" ","",IFERROR(INDEX(MMWR_RATING_RO_ROLLUP[],MATCH($B34,MMWR_RATING_RO_ROLLUP[MMWR_RATING_RO_ROLLUP],0),MATCH(C$9,MMWR_RATING_RO_ROLLUP[#Headers],0)),"ERROR"))</f>
        <v>26761</v>
      </c>
      <c r="D34" s="155">
        <f>IF($B34=" ","",IFERROR(INDEX(MMWR_RATING_RO_ROLLUP[],MATCH($B34,MMWR_RATING_RO_ROLLUP[MMWR_RATING_RO_ROLLUP],0),MATCH(D$9,MMWR_RATING_RO_ROLLUP[#Headers],0)),"ERROR"))</f>
        <v>70.9458914091</v>
      </c>
      <c r="E34" s="156">
        <f>IF($B34=" ","",IFERROR(INDEX(MMWR_RATING_RO_ROLLUP[],MATCH($B34,MMWR_RATING_RO_ROLLUP[MMWR_RATING_RO_ROLLUP],0),MATCH(E$9,MMWR_RATING_RO_ROLLUP[#Headers],0))/$C34,"ERROR"))</f>
        <v>0.11060872164717313</v>
      </c>
      <c r="F34" s="154">
        <f>IF($B34=" ","",IFERROR(INDEX(MMWR_RATING_RO_ROLLUP[],MATCH($B34,MMWR_RATING_RO_ROLLUP[MMWR_RATING_RO_ROLLUP],0),MATCH(F$9,MMWR_RATING_RO_ROLLUP[#Headers],0)),"ERROR"))</f>
        <v>8121</v>
      </c>
      <c r="G34" s="154">
        <f>IF($B34=" ","",IFERROR(INDEX(MMWR_RATING_RO_ROLLUP[],MATCH($B34,MMWR_RATING_RO_ROLLUP[MMWR_RATING_RO_ROLLUP],0),MATCH(G$9,MMWR_RATING_RO_ROLLUP[#Headers],0)),"ERROR"))</f>
        <v>44314</v>
      </c>
      <c r="H34" s="155">
        <f>IF($B34=" ","",IFERROR(INDEX(MMWR_RATING_RO_ROLLUP[],MATCH($B34,MMWR_RATING_RO_ROLLUP[MMWR_RATING_RO_ROLLUP],0),MATCH(H$9,MMWR_RATING_RO_ROLLUP[#Headers],0)),"ERROR"))</f>
        <v>79.3896071912</v>
      </c>
      <c r="I34" s="155">
        <f>IF($B34=" ","",IFERROR(INDEX(MMWR_RATING_RO_ROLLUP[],MATCH($B34,MMWR_RATING_RO_ROLLUP[MMWR_RATING_RO_ROLLUP],0),MATCH(I$9,MMWR_RATING_RO_ROLLUP[#Headers],0)),"ERROR"))</f>
        <v>72.820688721400003</v>
      </c>
      <c r="J34" s="42"/>
      <c r="K34" s="263">
        <f>IF($B34=" ","",IFERROR(VLOOKUP($B34,MMWR_ACCURACY_RO[],MATCH(K$50,MMWR_ACCURACY_RO[#Headers],0),0),"ERROR"))</f>
        <v>0.97160112937304843</v>
      </c>
      <c r="L34" s="263">
        <f>IF($B34=" ","",IFERROR(VLOOKUP($B34,MMWR_ACCURACY_RO[],MATCH(L$50,MMWR_ACCURACY_RO[#Headers],0),0),"ERROR"))</f>
        <v>0.96163913115719257</v>
      </c>
      <c r="M34" s="263">
        <f>IF($B34=" ","",IFERROR(VLOOKUP($B34,MMWR_ACCURACY_RO[],MATCH(M$50,MMWR_ACCURACY_RO[#Headers],0),0),"ERROR"))</f>
        <v>1.7703075779040064E-2</v>
      </c>
      <c r="N34" s="263">
        <f>IF($B34=" ","",IFERROR(VLOOKUP($B34,MMWR_ACCURACY_RO[],MATCH(N$50,MMWR_ACCURACY_RO[#Headers],0),0),"ERROR"))</f>
        <v>0.96424101944600116</v>
      </c>
      <c r="O34" s="263">
        <f>IF($B34=" ","",IFERROR(VLOOKUP($B34,MMWR_ACCURACY_RO[],MATCH(O$50,MMWR_ACCURACY_RO[#Headers],0),0),"ERROR"))</f>
        <v>1.8811832979832133E-2</v>
      </c>
      <c r="P34" s="28"/>
    </row>
    <row r="35" spans="1:16" x14ac:dyDescent="0.2">
      <c r="A35" s="25"/>
      <c r="B35" s="12" t="s">
        <v>213</v>
      </c>
      <c r="C35" s="154">
        <f>IF($B35=" ","",IFERROR(INDEX(MMWR_RATING_RO_ROLLUP[],MATCH($B35,MMWR_RATING_RO_ROLLUP[MMWR_RATING_RO_ROLLUP],0),MATCH(C$9,MMWR_RATING_RO_ROLLUP[#Headers],0)),"ERROR"))</f>
        <v>12231</v>
      </c>
      <c r="D35" s="155">
        <f>IF($B35=" ","",IFERROR(INDEX(MMWR_RATING_RO_ROLLUP[],MATCH($B35,MMWR_RATING_RO_ROLLUP[MMWR_RATING_RO_ROLLUP],0),MATCH(D$9,MMWR_RATING_RO_ROLLUP[#Headers],0)),"ERROR"))</f>
        <v>71.132695609500004</v>
      </c>
      <c r="E35" s="156">
        <f>IF($B35=" ","",IFERROR(INDEX(MMWR_RATING_RO_ROLLUP[],MATCH($B35,MMWR_RATING_RO_ROLLUP[MMWR_RATING_RO_ROLLUP],0),MATCH(E$9,MMWR_RATING_RO_ROLLUP[#Headers],0))/$C35,"ERROR"))</f>
        <v>9.9991824053634201E-2</v>
      </c>
      <c r="F35" s="154">
        <f>IF($B35=" ","",IFERROR(INDEX(MMWR_RATING_RO_ROLLUP[],MATCH($B35,MMWR_RATING_RO_ROLLUP[MMWR_RATING_RO_ROLLUP],0),MATCH(F$9,MMWR_RATING_RO_ROLLUP[#Headers],0)),"ERROR"))</f>
        <v>2623</v>
      </c>
      <c r="G35" s="154">
        <f>IF($B35=" ","",IFERROR(INDEX(MMWR_RATING_RO_ROLLUP[],MATCH($B35,MMWR_RATING_RO_ROLLUP[MMWR_RATING_RO_ROLLUP],0),MATCH(G$9,MMWR_RATING_RO_ROLLUP[#Headers],0)),"ERROR"))</f>
        <v>14050</v>
      </c>
      <c r="H35" s="155">
        <f>IF($B35=" ","",IFERROR(INDEX(MMWR_RATING_RO_ROLLUP[],MATCH($B35,MMWR_RATING_RO_ROLLUP[MMWR_RATING_RO_ROLLUP],0),MATCH(H$9,MMWR_RATING_RO_ROLLUP[#Headers],0)),"ERROR"))</f>
        <v>99.219977125400007</v>
      </c>
      <c r="I35" s="155">
        <f>IF($B35=" ","",IFERROR(INDEX(MMWR_RATING_RO_ROLLUP[],MATCH($B35,MMWR_RATING_RO_ROLLUP[MMWR_RATING_RO_ROLLUP],0),MATCH(I$9,MMWR_RATING_RO_ROLLUP[#Headers],0)),"ERROR"))</f>
        <v>86.855516014200006</v>
      </c>
      <c r="J35" s="42"/>
      <c r="K35" s="252">
        <f>IF($B35=" ","",IFERROR(VLOOKUP($B35,MMWR_ACCURACY_RO[],MATCH(K$50,MMWR_ACCURACY_RO[#Headers],0),0),"ERROR"))</f>
        <v>0.91294528988622348</v>
      </c>
      <c r="L35" s="252">
        <f>IF($B35=" ","",IFERROR(VLOOKUP($B35,MMWR_ACCURACY_RO[],MATCH(L$50,MMWR_ACCURACY_RO[#Headers],0),0),"ERROR"))</f>
        <v>0.93017667772598667</v>
      </c>
      <c r="M35" s="252">
        <f>IF($B35=" ","",IFERROR(VLOOKUP($B35,MMWR_ACCURACY_RO[],MATCH(M$50,MMWR_ACCURACY_RO[#Headers],0),0),"ERROR"))</f>
        <v>4.3386517725416809E-2</v>
      </c>
      <c r="N35" s="252">
        <f>IF($B35=" ","",IFERROR(VLOOKUP($B35,MMWR_ACCURACY_RO[],MATCH(N$50,MMWR_ACCURACY_RO[#Headers],0),0),"ERROR"))</f>
        <v>0.92519699830758606</v>
      </c>
      <c r="O35" s="252">
        <f>IF($B35=" ","",IFERROR(VLOOKUP($B35,MMWR_ACCURACY_RO[],MATCH(O$50,MMWR_ACCURACY_RO[#Headers],0),0),"ERROR"))</f>
        <v>4.881325786853296E-2</v>
      </c>
      <c r="P35" s="28"/>
    </row>
    <row r="36" spans="1:16" x14ac:dyDescent="0.2">
      <c r="A36" s="43"/>
      <c r="B36" s="12" t="s">
        <v>212</v>
      </c>
      <c r="C36" s="154">
        <f>IF($B36=" ","",IFERROR(INDEX(MMWR_RATING_RO_ROLLUP[],MATCH($B36,MMWR_RATING_RO_ROLLUP[MMWR_RATING_RO_ROLLUP],0),MATCH(C$9,MMWR_RATING_RO_ROLLUP[#Headers],0)),"ERROR"))</f>
        <v>6711</v>
      </c>
      <c r="D36" s="155">
        <f>IF($B36=" ","",IFERROR(INDEX(MMWR_RATING_RO_ROLLUP[],MATCH($B36,MMWR_RATING_RO_ROLLUP[MMWR_RATING_RO_ROLLUP],0),MATCH(D$9,MMWR_RATING_RO_ROLLUP[#Headers],0)),"ERROR"))</f>
        <v>69.013410818099999</v>
      </c>
      <c r="E36" s="156">
        <f>IF($B36=" ","",IFERROR(INDEX(MMWR_RATING_RO_ROLLUP[],MATCH($B36,MMWR_RATING_RO_ROLLUP[MMWR_RATING_RO_ROLLUP],0),MATCH(E$9,MMWR_RATING_RO_ROLLUP[#Headers],0))/$C36,"ERROR"))</f>
        <v>0.11265087170317389</v>
      </c>
      <c r="F36" s="154">
        <f>IF($B36=" ","",IFERROR(INDEX(MMWR_RATING_RO_ROLLUP[],MATCH($B36,MMWR_RATING_RO_ROLLUP[MMWR_RATING_RO_ROLLUP],0),MATCH(F$9,MMWR_RATING_RO_ROLLUP[#Headers],0)),"ERROR"))</f>
        <v>2299</v>
      </c>
      <c r="G36" s="154">
        <f>IF($B36=" ","",IFERROR(INDEX(MMWR_RATING_RO_ROLLUP[],MATCH($B36,MMWR_RATING_RO_ROLLUP[MMWR_RATING_RO_ROLLUP],0),MATCH(G$9,MMWR_RATING_RO_ROLLUP[#Headers],0)),"ERROR"))</f>
        <v>12373</v>
      </c>
      <c r="H36" s="155">
        <f>IF($B36=" ","",IFERROR(INDEX(MMWR_RATING_RO_ROLLUP[],MATCH($B36,MMWR_RATING_RO_ROLLUP[MMWR_RATING_RO_ROLLUP],0),MATCH(H$9,MMWR_RATING_RO_ROLLUP[#Headers],0)),"ERROR"))</f>
        <v>79.436711613699998</v>
      </c>
      <c r="I36" s="155">
        <f>IF($B36=" ","",IFERROR(INDEX(MMWR_RATING_RO_ROLLUP[],MATCH($B36,MMWR_RATING_RO_ROLLUP[MMWR_RATING_RO_ROLLUP],0),MATCH(I$9,MMWR_RATING_RO_ROLLUP[#Headers],0)),"ERROR"))</f>
        <v>70.444273822</v>
      </c>
      <c r="J36" s="42"/>
      <c r="K36" s="252">
        <f>IF($B36=" ","",IFERROR(VLOOKUP($B36,MMWR_ACCURACY_RO[],MATCH(K$50,MMWR_ACCURACY_RO[#Headers],0),0),"ERROR"))</f>
        <v>1</v>
      </c>
      <c r="L36" s="252">
        <f>IF($B36=" ","",IFERROR(VLOOKUP($B36,MMWR_ACCURACY_RO[],MATCH(L$50,MMWR_ACCURACY_RO[#Headers],0),0),"ERROR"))</f>
        <v>0.9527406412662911</v>
      </c>
      <c r="M36" s="252">
        <f>IF($B36=" ","",IFERROR(VLOOKUP($B36,MMWR_ACCURACY_RO[],MATCH(M$50,MMWR_ACCURACY_RO[#Headers],0),0),"ERROR"))</f>
        <v>3.4903923101055979E-2</v>
      </c>
      <c r="N36" s="252">
        <f>IF($B36=" ","",IFERROR(VLOOKUP($B36,MMWR_ACCURACY_RO[],MATCH(N$50,MMWR_ACCURACY_RO[#Headers],0),0),"ERROR"))</f>
        <v>0.97667166653509119</v>
      </c>
      <c r="O36" s="252">
        <f>IF($B36=" ","",IFERROR(VLOOKUP($B36,MMWR_ACCURACY_RO[],MATCH(O$50,MMWR_ACCURACY_RO[#Headers],0),0),"ERROR"))</f>
        <v>2.2442018434798996E-2</v>
      </c>
      <c r="P36" s="28"/>
    </row>
    <row r="37" spans="1:16" x14ac:dyDescent="0.2">
      <c r="A37" s="25"/>
      <c r="B37" s="12" t="s">
        <v>215</v>
      </c>
      <c r="C37" s="154">
        <f>IF($B37=" ","",IFERROR(INDEX(MMWR_RATING_RO_ROLLUP[],MATCH($B37,MMWR_RATING_RO_ROLLUP[MMWR_RATING_RO_ROLLUP],0),MATCH(C$9,MMWR_RATING_RO_ROLLUP[#Headers],0)),"ERROR"))</f>
        <v>7209</v>
      </c>
      <c r="D37" s="155">
        <f>IF($B37=" ","",IFERROR(INDEX(MMWR_RATING_RO_ROLLUP[],MATCH($B37,MMWR_RATING_RO_ROLLUP[MMWR_RATING_RO_ROLLUP],0),MATCH(D$9,MMWR_RATING_RO_ROLLUP[#Headers],0)),"ERROR"))</f>
        <v>62.8051047302</v>
      </c>
      <c r="E37" s="156">
        <f>IF($B37=" ","",IFERROR(INDEX(MMWR_RATING_RO_ROLLUP[],MATCH($B37,MMWR_RATING_RO_ROLLUP[MMWR_RATING_RO_ROLLUP],0),MATCH(E$9,MMWR_RATING_RO_ROLLUP[#Headers],0))/$C37,"ERROR"))</f>
        <v>9.0581217922041893E-2</v>
      </c>
      <c r="F37" s="154">
        <f>IF($B37=" ","",IFERROR(INDEX(MMWR_RATING_RO_ROLLUP[],MATCH($B37,MMWR_RATING_RO_ROLLUP[MMWR_RATING_RO_ROLLUP],0),MATCH(F$9,MMWR_RATING_RO_ROLLUP[#Headers],0)),"ERROR"))</f>
        <v>2933</v>
      </c>
      <c r="G37" s="154">
        <f>IF($B37=" ","",IFERROR(INDEX(MMWR_RATING_RO_ROLLUP[],MATCH($B37,MMWR_RATING_RO_ROLLUP[MMWR_RATING_RO_ROLLUP],0),MATCH(G$9,MMWR_RATING_RO_ROLLUP[#Headers],0)),"ERROR"))</f>
        <v>16525</v>
      </c>
      <c r="H37" s="155">
        <f>IF($B37=" ","",IFERROR(INDEX(MMWR_RATING_RO_ROLLUP[],MATCH($B37,MMWR_RATING_RO_ROLLUP[MMWR_RATING_RO_ROLLUP],0),MATCH(H$9,MMWR_RATING_RO_ROLLUP[#Headers],0)),"ERROR"))</f>
        <v>64.431980906899994</v>
      </c>
      <c r="I37" s="155">
        <f>IF($B37=" ","",IFERROR(INDEX(MMWR_RATING_RO_ROLLUP[],MATCH($B37,MMWR_RATING_RO_ROLLUP[MMWR_RATING_RO_ROLLUP],0),MATCH(I$9,MMWR_RATING_RO_ROLLUP[#Headers],0)),"ERROR"))</f>
        <v>65.213131618800006</v>
      </c>
      <c r="J37" s="42"/>
      <c r="K37" s="252">
        <f>IF($B37=" ","",IFERROR(VLOOKUP($B37,MMWR_ACCURACY_RO[],MATCH(K$50,MMWR_ACCURACY_RO[#Headers],0),0),"ERROR"))</f>
        <v>1</v>
      </c>
      <c r="L37" s="252">
        <f>IF($B37=" ","",IFERROR(VLOOKUP($B37,MMWR_ACCURACY_RO[],MATCH(L$50,MMWR_ACCURACY_RO[#Headers],0),0),"ERROR"))</f>
        <v>0.99564297054154172</v>
      </c>
      <c r="M37" s="252">
        <f>IF($B37=" ","",IFERROR(VLOOKUP($B37,MMWR_ACCURACY_RO[],MATCH(M$50,MMWR_ACCURACY_RO[#Headers],0),0),"ERROR"))</f>
        <v>6.4823634343978394E-3</v>
      </c>
      <c r="N37" s="252">
        <f>IF($B37=" ","",IFERROR(VLOOKUP($B37,MMWR_ACCURACY_RO[],MATCH(N$50,MMWR_ACCURACY_RO[#Headers],0),0),"ERROR"))</f>
        <v>0.99094843130183918</v>
      </c>
      <c r="O37" s="252">
        <f>IF($B37=" ","",IFERROR(VLOOKUP($B37,MMWR_ACCURACY_RO[],MATCH(O$50,MMWR_ACCURACY_RO[#Headers],0),0),"ERROR"))</f>
        <v>1.3483231278089036E-2</v>
      </c>
      <c r="P37" s="28"/>
    </row>
    <row r="38" spans="1:16" x14ac:dyDescent="0.2">
      <c r="A38" s="25"/>
      <c r="B38" s="13" t="s">
        <v>227</v>
      </c>
      <c r="C38" s="154">
        <f>IF($B38=" ","",IFERROR(INDEX(MMWR_RATING_RO_ROLLUP[],MATCH($B38,MMWR_RATING_RO_ROLLUP[MMWR_RATING_RO_ROLLUP],0),MATCH(C$9,MMWR_RATING_RO_ROLLUP[#Headers],0)),"ERROR"))</f>
        <v>610</v>
      </c>
      <c r="D38" s="155">
        <f>IF($B38=" ","",IFERROR(INDEX(MMWR_RATING_RO_ROLLUP[],MATCH($B38,MMWR_RATING_RO_ROLLUP[MMWR_RATING_RO_ROLLUP],0),MATCH(D$9,MMWR_RATING_RO_ROLLUP[#Headers],0)),"ERROR"))</f>
        <v>184.66885245899999</v>
      </c>
      <c r="E38" s="156">
        <f>IF($B38=" ","",IFERROR(INDEX(MMWR_RATING_RO_ROLLUP[],MATCH($B38,MMWR_RATING_RO_ROLLUP[MMWR_RATING_RO_ROLLUP],0),MATCH(E$9,MMWR_RATING_RO_ROLLUP[#Headers],0))/$C38,"ERROR"))</f>
        <v>0.53770491803278686</v>
      </c>
      <c r="F38" s="154">
        <f>IF($B38=" ","",IFERROR(INDEX(MMWR_RATING_RO_ROLLUP[],MATCH($B38,MMWR_RATING_RO_ROLLUP[MMWR_RATING_RO_ROLLUP],0),MATCH(F$9,MMWR_RATING_RO_ROLLUP[#Headers],0)),"ERROR"))</f>
        <v>266</v>
      </c>
      <c r="G38" s="154">
        <f>IF($B38=" ","",IFERROR(INDEX(MMWR_RATING_RO_ROLLUP[],MATCH($B38,MMWR_RATING_RO_ROLLUP[MMWR_RATING_RO_ROLLUP],0),MATCH(G$9,MMWR_RATING_RO_ROLLUP[#Headers],0)),"ERROR"))</f>
        <v>1366</v>
      </c>
      <c r="H38" s="155">
        <f>IF($B38=" ","",IFERROR(INDEX(MMWR_RATING_RO_ROLLUP[],MATCH($B38,MMWR_RATING_RO_ROLLUP[MMWR_RATING_RO_ROLLUP],0),MATCH(H$9,MMWR_RATING_RO_ROLLUP[#Headers],0)),"ERROR"))</f>
        <v>48.364661654099997</v>
      </c>
      <c r="I38" s="155">
        <f>IF($B38=" ","",IFERROR(INDEX(MMWR_RATING_RO_ROLLUP[],MATCH($B38,MMWR_RATING_RO_ROLLUP[MMWR_RATING_RO_ROLLUP],0),MATCH(I$9,MMWR_RATING_RO_ROLLUP[#Headers],0)),"ERROR"))</f>
        <v>42.021961932700002</v>
      </c>
      <c r="J38" s="42"/>
      <c r="K38" s="42"/>
      <c r="L38" s="42"/>
      <c r="M38" s="42"/>
      <c r="N38" s="42"/>
      <c r="O38" s="42"/>
      <c r="P38" s="28"/>
    </row>
    <row r="39" spans="1:16" x14ac:dyDescent="0.2">
      <c r="A39" s="25"/>
      <c r="B39" s="342" t="s">
        <v>920</v>
      </c>
      <c r="C39" s="343"/>
      <c r="D39" s="343"/>
      <c r="E39" s="343"/>
      <c r="F39" s="343"/>
      <c r="G39" s="343"/>
      <c r="H39" s="343"/>
      <c r="I39" s="343"/>
      <c r="J39" s="343"/>
      <c r="K39" s="343"/>
      <c r="L39" s="343"/>
      <c r="M39" s="343"/>
      <c r="N39" s="343"/>
      <c r="O39" s="343"/>
      <c r="P39" s="28"/>
    </row>
    <row r="40" spans="1:16" x14ac:dyDescent="0.2">
      <c r="A40" s="25"/>
      <c r="B40" s="44" t="s">
        <v>701</v>
      </c>
      <c r="C40" s="154">
        <f>IF($B40=" ","",IFERROR(INDEX(MMWR_RATING_RO_ROLLUP[],MATCH($B40,MMWR_RATING_RO_ROLLUP[MMWR_RATING_RO_ROLLUP],0),MATCH(C$9,MMWR_RATING_RO_ROLLUP[#Headers],0)),"ERROR"))</f>
        <v>10678</v>
      </c>
      <c r="D40" s="155">
        <f>IF($B40=" ","",IFERROR(INDEX(MMWR_RATING_RO_ROLLUP[],MATCH($B40,MMWR_RATING_RO_ROLLUP[MMWR_RATING_RO_ROLLUP],0),MATCH(D$9,MMWR_RATING_RO_ROLLUP[#Headers],0)),"ERROR"))</f>
        <v>90.566679153400003</v>
      </c>
      <c r="E40" s="156">
        <f>IF($B40=" ","",IFERROR(INDEX(MMWR_RATING_RO_ROLLUP[],MATCH($B40,MMWR_RATING_RO_ROLLUP[MMWR_RATING_RO_ROLLUP],0),MATCH(E$9,MMWR_RATING_RO_ROLLUP[#Headers],0))/$C40,"ERROR"))</f>
        <v>0.23403259037272897</v>
      </c>
      <c r="F40" s="154">
        <f>IF($B40=" ","",IFERROR(INDEX(MMWR_RATING_RO_ROLLUP[],MATCH($B40,MMWR_RATING_RO_ROLLUP[MMWR_RATING_RO_ROLLUP],0),MATCH(F$9,MMWR_RATING_RO_ROLLUP[#Headers],0)),"ERROR"))</f>
        <v>1193</v>
      </c>
      <c r="G40" s="154">
        <f>IF($B40=" ","",IFERROR(INDEX(MMWR_RATING_RO_ROLLUP[],MATCH($B40,MMWR_RATING_RO_ROLLUP[MMWR_RATING_RO_ROLLUP],0),MATCH(G$9,MMWR_RATING_RO_ROLLUP[#Headers],0)),"ERROR"))</f>
        <v>5929</v>
      </c>
      <c r="H40" s="155">
        <f>IF($B40=" ","",IFERROR(INDEX(MMWR_RATING_RO_ROLLUP[],MATCH($B40,MMWR_RATING_RO_ROLLUP[MMWR_RATING_RO_ROLLUP],0),MATCH(H$9,MMWR_RATING_RO_ROLLUP[#Headers],0)),"ERROR"))</f>
        <v>159.5565800503</v>
      </c>
      <c r="I40" s="155">
        <f>IF($B40=" ","",IFERROR(INDEX(MMWR_RATING_RO_ROLLUP[],MATCH($B40,MMWR_RATING_RO_ROLLUP[MMWR_RATING_RO_ROLLUP],0),MATCH(I$9,MMWR_RATING_RO_ROLLUP[#Headers],0)),"ERROR"))</f>
        <v>144.1583740934</v>
      </c>
      <c r="J40" s="42"/>
      <c r="K40" s="42"/>
      <c r="L40" s="42"/>
      <c r="M40" s="42"/>
      <c r="N40" s="42"/>
      <c r="O40" s="42"/>
      <c r="P40" s="28"/>
    </row>
    <row r="41" spans="1:16" x14ac:dyDescent="0.2">
      <c r="A41" s="25"/>
      <c r="B41" s="45" t="s">
        <v>960</v>
      </c>
      <c r="C41" s="154">
        <f>IF($B41=" ","",IFERROR(INDEX(MMWR_RATING_RO_ROLLUP[],MATCH($B41,MMWR_RATING_RO_ROLLUP[MMWR_RATING_RO_ROLLUP],0),MATCH(C$9,MMWR_RATING_RO_ROLLUP[#Headers],0)),"ERROR"))</f>
        <v>4861</v>
      </c>
      <c r="D41" s="155">
        <f>IF($B41=" ","",IFERROR(INDEX(MMWR_RATING_RO_ROLLUP[],MATCH($B41,MMWR_RATING_RO_ROLLUP[MMWR_RATING_RO_ROLLUP],0),MATCH(D$9,MMWR_RATING_RO_ROLLUP[#Headers],0)),"ERROR"))</f>
        <v>84.762188850000001</v>
      </c>
      <c r="E41" s="156">
        <f>IF($B41=" ","",IFERROR(INDEX(MMWR_RATING_RO_ROLLUP[],MATCH($B41,MMWR_RATING_RO_ROLLUP[MMWR_RATING_RO_ROLLUP],0),MATCH(E$9,MMWR_RATING_RO_ROLLUP[#Headers],0))/$C41,"ERROR"))</f>
        <v>0.170335321950216</v>
      </c>
      <c r="F41" s="154">
        <f>IF($B41=" ","",IFERROR(INDEX(MMWR_RATING_RO_ROLLUP[],MATCH($B41,MMWR_RATING_RO_ROLLUP[MMWR_RATING_RO_ROLLUP],0),MATCH(F$9,MMWR_RATING_RO_ROLLUP[#Headers],0)),"ERROR"))</f>
        <v>566</v>
      </c>
      <c r="G41" s="154">
        <f>IF($B41=" ","",IFERROR(INDEX(MMWR_RATING_RO_ROLLUP[],MATCH($B41,MMWR_RATING_RO_ROLLUP[MMWR_RATING_RO_ROLLUP],0),MATCH(G$9,MMWR_RATING_RO_ROLLUP[#Headers],0)),"ERROR"))</f>
        <v>2924</v>
      </c>
      <c r="H41" s="155">
        <f>IF($B41=" ","",IFERROR(INDEX(MMWR_RATING_RO_ROLLUP[],MATCH($B41,MMWR_RATING_RO_ROLLUP[MMWR_RATING_RO_ROLLUP],0),MATCH(H$9,MMWR_RATING_RO_ROLLUP[#Headers],0)),"ERROR"))</f>
        <v>146.76325088339999</v>
      </c>
      <c r="I41" s="155">
        <f>IF($B41=" ","",IFERROR(INDEX(MMWR_RATING_RO_ROLLUP[],MATCH($B41,MMWR_RATING_RO_ROLLUP[MMWR_RATING_RO_ROLLUP],0),MATCH(I$9,MMWR_RATING_RO_ROLLUP[#Headers],0)),"ERROR"))</f>
        <v>130.2441860465</v>
      </c>
      <c r="J41" s="42"/>
      <c r="K41" s="42"/>
      <c r="L41" s="42"/>
      <c r="M41" s="42"/>
      <c r="N41" s="42"/>
      <c r="O41" s="42"/>
      <c r="P41" s="28"/>
    </row>
    <row r="42" spans="1:16" x14ac:dyDescent="0.2">
      <c r="A42" s="25"/>
      <c r="B42" s="45" t="s">
        <v>961</v>
      </c>
      <c r="C42" s="154">
        <f>IF($B42=" ","",IFERROR(INDEX(MMWR_RATING_RO_ROLLUP[],MATCH($B42,MMWR_RATING_RO_ROLLUP[MMWR_RATING_RO_ROLLUP],0),MATCH(C$9,MMWR_RATING_RO_ROLLUP[#Headers],0)),"ERROR"))</f>
        <v>5405</v>
      </c>
      <c r="D42" s="155">
        <f>IF($B42=" ","",IFERROR(INDEX(MMWR_RATING_RO_ROLLUP[],MATCH($B42,MMWR_RATING_RO_ROLLUP[MMWR_RATING_RO_ROLLUP],0),MATCH(D$9,MMWR_RATING_RO_ROLLUP[#Headers],0)),"ERROR"))</f>
        <v>98.745420906600003</v>
      </c>
      <c r="E42" s="156">
        <f>IF($B42=" ","",IFERROR(INDEX(MMWR_RATING_RO_ROLLUP[],MATCH($B42,MMWR_RATING_RO_ROLLUP[MMWR_RATING_RO_ROLLUP],0),MATCH(E$9,MMWR_RATING_RO_ROLLUP[#Headers],0))/$C42,"ERROR"))</f>
        <v>0.30101757631822385</v>
      </c>
      <c r="F42" s="154">
        <f>IF($B42=" ","",IFERROR(INDEX(MMWR_RATING_RO_ROLLUP[],MATCH($B42,MMWR_RATING_RO_ROLLUP[MMWR_RATING_RO_ROLLUP],0),MATCH(F$9,MMWR_RATING_RO_ROLLUP[#Headers],0)),"ERROR"))</f>
        <v>611</v>
      </c>
      <c r="G42" s="154">
        <f>IF($B42=" ","",IFERROR(INDEX(MMWR_RATING_RO_ROLLUP[],MATCH($B42,MMWR_RATING_RO_ROLLUP[MMWR_RATING_RO_ROLLUP],0),MATCH(G$9,MMWR_RATING_RO_ROLLUP[#Headers],0)),"ERROR"))</f>
        <v>2857</v>
      </c>
      <c r="H42" s="155">
        <f>IF($B42=" ","",IFERROR(INDEX(MMWR_RATING_RO_ROLLUP[],MATCH($B42,MMWR_RATING_RO_ROLLUP[MMWR_RATING_RO_ROLLUP],0),MATCH(H$9,MMWR_RATING_RO_ROLLUP[#Headers],0)),"ERROR"))</f>
        <v>170.29623567920001</v>
      </c>
      <c r="I42" s="155">
        <f>IF($B42=" ","",IFERROR(INDEX(MMWR_RATING_RO_ROLLUP[],MATCH($B42,MMWR_RATING_RO_ROLLUP[MMWR_RATING_RO_ROLLUP],0),MATCH(I$9,MMWR_RATING_RO_ROLLUP[#Headers],0)),"ERROR"))</f>
        <v>159.08225411270001</v>
      </c>
      <c r="J42" s="42"/>
      <c r="K42" s="42"/>
      <c r="L42" s="42"/>
      <c r="M42" s="42"/>
      <c r="N42" s="42"/>
      <c r="O42" s="42"/>
      <c r="P42" s="28"/>
    </row>
    <row r="43" spans="1:16" x14ac:dyDescent="0.2">
      <c r="A43" s="25"/>
      <c r="B43" s="46" t="s">
        <v>310</v>
      </c>
      <c r="C43" s="154">
        <f>IF($B43=" ","",IFERROR(INDEX(MMWR_RATING_RO_ROLLUP[],MATCH($B43,MMWR_RATING_RO_ROLLUP[MMWR_RATING_RO_ROLLUP],0),MATCH(C$9,MMWR_RATING_RO_ROLLUP[#Headers],0)),"ERROR"))</f>
        <v>412</v>
      </c>
      <c r="D43" s="155">
        <f>IF($B43=" ","",IFERROR(INDEX(MMWR_RATING_RO_ROLLUP[],MATCH($B43,MMWR_RATING_RO_ROLLUP[MMWR_RATING_RO_ROLLUP],0),MATCH(D$9,MMWR_RATING_RO_ROLLUP[#Headers],0)),"ERROR"))</f>
        <v>51.754854368899998</v>
      </c>
      <c r="E43" s="156">
        <f>IF($B43=" ","",IFERROR(INDEX(MMWR_RATING_RO_ROLLUP[],MATCH($B43,MMWR_RATING_RO_ROLLUP[MMWR_RATING_RO_ROLLUP],0),MATCH(E$9,MMWR_RATING_RO_ROLLUP[#Headers],0))/$C43,"ERROR"))</f>
        <v>0.10679611650485436</v>
      </c>
      <c r="F43" s="154">
        <f>IF($B43=" ","",IFERROR(INDEX(MMWR_RATING_RO_ROLLUP[],MATCH($B43,MMWR_RATING_RO_ROLLUP[MMWR_RATING_RO_ROLLUP],0),MATCH(F$9,MMWR_RATING_RO_ROLLUP[#Headers],0)),"ERROR"))</f>
        <v>16</v>
      </c>
      <c r="G43" s="154">
        <f>IF($B43=" ","",IFERROR(INDEX(MMWR_RATING_RO_ROLLUP[],MATCH($B43,MMWR_RATING_RO_ROLLUP[MMWR_RATING_RO_ROLLUP],0),MATCH(G$9,MMWR_RATING_RO_ROLLUP[#Headers],0)),"ERROR"))</f>
        <v>148</v>
      </c>
      <c r="H43" s="155">
        <f>IF($B43=" ","",IFERROR(INDEX(MMWR_RATING_RO_ROLLUP[],MATCH($B43,MMWR_RATING_RO_ROLLUP[MMWR_RATING_RO_ROLLUP],0),MATCH(H$9,MMWR_RATING_RO_ROLLUP[#Headers],0)),"ERROR"))</f>
        <v>202</v>
      </c>
      <c r="I43" s="155">
        <f>IF($B43=" ","",IFERROR(INDEX(MMWR_RATING_RO_ROLLUP[],MATCH($B43,MMWR_RATING_RO_ROLLUP[MMWR_RATING_RO_ROLLUP],0),MATCH(I$9,MMWR_RATING_RO_ROLLUP[#Headers],0)),"ERROR"))</f>
        <v>130.9662162162</v>
      </c>
      <c r="J43" s="42"/>
      <c r="K43" s="42"/>
      <c r="L43" s="42"/>
      <c r="M43" s="42"/>
      <c r="N43" s="42"/>
      <c r="O43" s="42"/>
      <c r="P43" s="28"/>
    </row>
    <row r="44" spans="1:16" x14ac:dyDescent="0.2">
      <c r="A44" s="25"/>
      <c r="B44" s="342" t="s">
        <v>738</v>
      </c>
      <c r="C44" s="343"/>
      <c r="D44" s="343"/>
      <c r="E44" s="343"/>
      <c r="F44" s="343"/>
      <c r="G44" s="343"/>
      <c r="H44" s="343"/>
      <c r="I44" s="343"/>
      <c r="J44" s="343"/>
      <c r="K44" s="343"/>
      <c r="L44" s="343"/>
      <c r="M44" s="343"/>
      <c r="N44" s="343"/>
      <c r="O44" s="343"/>
      <c r="P44" s="28"/>
    </row>
    <row r="45" spans="1:16" x14ac:dyDescent="0.2">
      <c r="A45" s="25"/>
      <c r="B45" s="44" t="s">
        <v>699</v>
      </c>
      <c r="C45" s="154">
        <f>IF($B45=" ","",IFERROR(INDEX(MMWR_RATING_RO_ROLLUP[],MATCH($B45,MMWR_RATING_RO_ROLLUP[MMWR_RATING_RO_ROLLUP],0),MATCH(C$9,MMWR_RATING_RO_ROLLUP[#Headers],0)),"ERROR"))</f>
        <v>11162</v>
      </c>
      <c r="D45" s="155">
        <f>IF($B45=" ","",IFERROR(INDEX(MMWR_RATING_RO_ROLLUP[],MATCH($B45,MMWR_RATING_RO_ROLLUP[MMWR_RATING_RO_ROLLUP],0),MATCH(D$9,MMWR_RATING_RO_ROLLUP[#Headers],0)),"ERROR"))</f>
        <v>89.722540763300003</v>
      </c>
      <c r="E45" s="156">
        <f>IF($B45=" ","",IFERROR(INDEX(MMWR_RATING_RO_ROLLUP[],MATCH($B45,MMWR_RATING_RO_ROLLUP[MMWR_RATING_RO_ROLLUP],0),MATCH(E$9,MMWR_RATING_RO_ROLLUP[#Headers],0))/$C45,"ERROR"))</f>
        <v>0.21985307292599893</v>
      </c>
      <c r="F45" s="154">
        <f>IF($B45=" ","",IFERROR(INDEX(MMWR_RATING_RO_ROLLUP[],MATCH($B45,MMWR_RATING_RO_ROLLUP[MMWR_RATING_RO_ROLLUP],0),MATCH(F$9,MMWR_RATING_RO_ROLLUP[#Headers],0)),"ERROR"))</f>
        <v>1442</v>
      </c>
      <c r="G45" s="154">
        <f>IF($B45=" ","",IFERROR(INDEX(MMWR_RATING_RO_ROLLUP[],MATCH($B45,MMWR_RATING_RO_ROLLUP[MMWR_RATING_RO_ROLLUP],0),MATCH(G$9,MMWR_RATING_RO_ROLLUP[#Headers],0)),"ERROR"))</f>
        <v>7329</v>
      </c>
      <c r="H45" s="155">
        <f>IF($B45=" ","",IFERROR(INDEX(MMWR_RATING_RO_ROLLUP[],MATCH($B45,MMWR_RATING_RO_ROLLUP[MMWR_RATING_RO_ROLLUP],0),MATCH(H$9,MMWR_RATING_RO_ROLLUP[#Headers],0)),"ERROR"))</f>
        <v>148.94174757280001</v>
      </c>
      <c r="I45" s="155">
        <f>IF($B45=" ","",IFERROR(INDEX(MMWR_RATING_RO_ROLLUP[],MATCH($B45,MMWR_RATING_RO_ROLLUP[MMWR_RATING_RO_ROLLUP],0),MATCH(I$9,MMWR_RATING_RO_ROLLUP[#Headers],0)),"ERROR"))</f>
        <v>136.54714149270001</v>
      </c>
      <c r="J45" s="42"/>
      <c r="K45" s="42"/>
      <c r="L45" s="42"/>
      <c r="M45" s="42"/>
      <c r="N45" s="42"/>
      <c r="O45" s="42"/>
      <c r="P45" s="28"/>
    </row>
    <row r="46" spans="1:16" x14ac:dyDescent="0.2">
      <c r="A46" s="25"/>
      <c r="B46" s="45" t="s">
        <v>214</v>
      </c>
      <c r="C46" s="154">
        <f>IF($B46=" ","",IFERROR(INDEX(MMWR_RATING_RO_ROLLUP[],MATCH($B46,MMWR_RATING_RO_ROLLUP[MMWR_RATING_RO_ROLLUP],0),MATCH(C$9,MMWR_RATING_RO_ROLLUP[#Headers],0)),"ERROR"))</f>
        <v>4404</v>
      </c>
      <c r="D46" s="155">
        <f>IF($B46=" ","",IFERROR(INDEX(MMWR_RATING_RO_ROLLUP[],MATCH($B46,MMWR_RATING_RO_ROLLUP[MMWR_RATING_RO_ROLLUP],0),MATCH(D$9,MMWR_RATING_RO_ROLLUP[#Headers],0)),"ERROR"))</f>
        <v>82.801544050900006</v>
      </c>
      <c r="E46" s="156">
        <f>IF($B46=" ","",IFERROR(INDEX(MMWR_RATING_RO_ROLLUP[],MATCH($B46,MMWR_RATING_RO_ROLLUP[MMWR_RATING_RO_ROLLUP],0),MATCH(E$9,MMWR_RATING_RO_ROLLUP[#Headers],0))/$C46,"ERROR"))</f>
        <v>0.14259763851044505</v>
      </c>
      <c r="F46" s="154">
        <f>IF($B46=" ","",IFERROR(INDEX(MMWR_RATING_RO_ROLLUP[],MATCH($B46,MMWR_RATING_RO_ROLLUP[MMWR_RATING_RO_ROLLUP],0),MATCH(F$9,MMWR_RATING_RO_ROLLUP[#Headers],0)),"ERROR"))</f>
        <v>616</v>
      </c>
      <c r="G46" s="154">
        <f>IF($B46=" ","",IFERROR(INDEX(MMWR_RATING_RO_ROLLUP[],MATCH($B46,MMWR_RATING_RO_ROLLUP[MMWR_RATING_RO_ROLLUP],0),MATCH(G$9,MMWR_RATING_RO_ROLLUP[#Headers],0)),"ERROR"))</f>
        <v>3144</v>
      </c>
      <c r="H46" s="155">
        <f>IF($B46=" ","",IFERROR(INDEX(MMWR_RATING_RO_ROLLUP[],MATCH($B46,MMWR_RATING_RO_ROLLUP[MMWR_RATING_RO_ROLLUP],0),MATCH(H$9,MMWR_RATING_RO_ROLLUP[#Headers],0)),"ERROR"))</f>
        <v>137.94155844159999</v>
      </c>
      <c r="I46" s="155">
        <f>IF($B46=" ","",IFERROR(INDEX(MMWR_RATING_RO_ROLLUP[],MATCH($B46,MMWR_RATING_RO_ROLLUP[MMWR_RATING_RO_ROLLUP],0),MATCH(I$9,MMWR_RATING_RO_ROLLUP[#Headers],0)),"ERROR"))</f>
        <v>124.54707379129999</v>
      </c>
      <c r="J46" s="42"/>
      <c r="K46" s="42"/>
      <c r="L46" s="42"/>
      <c r="M46" s="42"/>
      <c r="N46" s="42"/>
      <c r="O46" s="42"/>
      <c r="P46" s="28"/>
    </row>
    <row r="47" spans="1:16" x14ac:dyDescent="0.2">
      <c r="A47" s="25"/>
      <c r="B47" s="45" t="s">
        <v>216</v>
      </c>
      <c r="C47" s="154">
        <f>IF($B47=" ","",IFERROR(INDEX(MMWR_RATING_RO_ROLLUP[],MATCH($B47,MMWR_RATING_RO_ROLLUP[MMWR_RATING_RO_ROLLUP],0),MATCH(C$9,MMWR_RATING_RO_ROLLUP[#Headers],0)),"ERROR"))</f>
        <v>6021</v>
      </c>
      <c r="D47" s="155">
        <f>IF($B47=" ","",IFERROR(INDEX(MMWR_RATING_RO_ROLLUP[],MATCH($B47,MMWR_RATING_RO_ROLLUP[MMWR_RATING_RO_ROLLUP],0),MATCH(D$9,MMWR_RATING_RO_ROLLUP[#Headers],0)),"ERROR"))</f>
        <v>91.039196146799995</v>
      </c>
      <c r="E47" s="156">
        <f>IF($B47=" ","",IFERROR(INDEX(MMWR_RATING_RO_ROLLUP[],MATCH($B47,MMWR_RATING_RO_ROLLUP[MMWR_RATING_RO_ROLLUP],0),MATCH(E$9,MMWR_RATING_RO_ROLLUP[#Headers],0))/$C47,"ERROR"))</f>
        <v>0.24098986879255938</v>
      </c>
      <c r="F47" s="154">
        <f>IF($B47=" ","",IFERROR(INDEX(MMWR_RATING_RO_ROLLUP[],MATCH($B47,MMWR_RATING_RO_ROLLUP[MMWR_RATING_RO_ROLLUP],0),MATCH(F$9,MMWR_RATING_RO_ROLLUP[#Headers],0)),"ERROR"))</f>
        <v>599</v>
      </c>
      <c r="G47" s="154">
        <f>IF($B47=" ","",IFERROR(INDEX(MMWR_RATING_RO_ROLLUP[],MATCH($B47,MMWR_RATING_RO_ROLLUP[MMWR_RATING_RO_ROLLUP],0),MATCH(G$9,MMWR_RATING_RO_ROLLUP[#Headers],0)),"ERROR"))</f>
        <v>3201</v>
      </c>
      <c r="H47" s="155">
        <f>IF($B47=" ","",IFERROR(INDEX(MMWR_RATING_RO_ROLLUP[],MATCH($B47,MMWR_RATING_RO_ROLLUP[MMWR_RATING_RO_ROLLUP],0),MATCH(H$9,MMWR_RATING_RO_ROLLUP[#Headers],0)),"ERROR"))</f>
        <v>160.36060100169999</v>
      </c>
      <c r="I47" s="155">
        <f>IF($B47=" ","",IFERROR(INDEX(MMWR_RATING_RO_ROLLUP[],MATCH($B47,MMWR_RATING_RO_ROLLUP[MMWR_RATING_RO_ROLLUP],0),MATCH(I$9,MMWR_RATING_RO_ROLLUP[#Headers],0)),"ERROR"))</f>
        <v>151.09934395499999</v>
      </c>
      <c r="J47" s="42"/>
      <c r="K47" s="42"/>
      <c r="L47" s="42"/>
      <c r="M47" s="42"/>
      <c r="N47" s="42"/>
      <c r="O47" s="42"/>
      <c r="P47" s="28"/>
    </row>
    <row r="48" spans="1:16" x14ac:dyDescent="0.2">
      <c r="A48" s="25"/>
      <c r="B48" s="47" t="s">
        <v>311</v>
      </c>
      <c r="C48" s="154">
        <f>IF($B48=" ","",IFERROR(INDEX(MMWR_RATING_RO_ROLLUP[],MATCH($B48,MMWR_RATING_RO_ROLLUP[MMWR_RATING_RO_ROLLUP],0),MATCH(C$9,MMWR_RATING_RO_ROLLUP[#Headers],0)),"ERROR"))</f>
        <v>737</v>
      </c>
      <c r="D48" s="155">
        <f>IF($B48=" ","",IFERROR(INDEX(MMWR_RATING_RO_ROLLUP[],MATCH($B48,MMWR_RATING_RO_ROLLUP[MMWR_RATING_RO_ROLLUP],0),MATCH(D$9,MMWR_RATING_RO_ROLLUP[#Headers],0)),"ERROR"))</f>
        <v>120.3229308005</v>
      </c>
      <c r="E48" s="156">
        <f>IF($B48=" ","",IFERROR(INDEX(MMWR_RATING_RO_ROLLUP[],MATCH($B48,MMWR_RATING_RO_ROLLUP[MMWR_RATING_RO_ROLLUP],0),MATCH(E$9,MMWR_RATING_RO_ROLLUP[#Headers],0))/$C48,"ERROR"))</f>
        <v>0.50881953867028495</v>
      </c>
      <c r="F48" s="154">
        <f>IF($B48=" ","",IFERROR(INDEX(MMWR_RATING_RO_ROLLUP[],MATCH($B48,MMWR_RATING_RO_ROLLUP[MMWR_RATING_RO_ROLLUP],0),MATCH(F$9,MMWR_RATING_RO_ROLLUP[#Headers],0)),"ERROR"))</f>
        <v>227</v>
      </c>
      <c r="G48" s="154">
        <f>IF($B48=" ","",IFERROR(INDEX(MMWR_RATING_RO_ROLLUP[],MATCH($B48,MMWR_RATING_RO_ROLLUP[MMWR_RATING_RO_ROLLUP],0),MATCH(G$9,MMWR_RATING_RO_ROLLUP[#Headers],0)),"ERROR"))</f>
        <v>984</v>
      </c>
      <c r="H48" s="155">
        <f>IF($B48=" ","",IFERROR(INDEX(MMWR_RATING_RO_ROLLUP[],MATCH($B48,MMWR_RATING_RO_ROLLUP[MMWR_RATING_RO_ROLLUP],0),MATCH(H$9,MMWR_RATING_RO_ROLLUP[#Headers],0)),"ERROR"))</f>
        <v>148.66079295150001</v>
      </c>
      <c r="I48" s="155">
        <f>IF($B48=" ","",IFERROR(INDEX(MMWR_RATING_RO_ROLLUP[],MATCH($B48,MMWR_RATING_RO_ROLLUP[MMWR_RATING_RO_ROLLUP],0),MATCH(I$9,MMWR_RATING_RO_ROLLUP[#Headers],0)),"ERROR"))</f>
        <v>127.54979674800001</v>
      </c>
      <c r="J48" s="42"/>
      <c r="K48" s="42"/>
      <c r="L48" s="42"/>
      <c r="M48" s="42"/>
      <c r="N48" s="42"/>
      <c r="O48" s="42"/>
      <c r="P48" s="28"/>
    </row>
    <row r="49" spans="1:16" ht="15.75" x14ac:dyDescent="0.25">
      <c r="A49" s="25"/>
      <c r="B49" s="341" t="s">
        <v>1055</v>
      </c>
      <c r="C49" s="341"/>
      <c r="D49" s="341"/>
      <c r="E49" s="341"/>
      <c r="F49" s="341"/>
      <c r="G49" s="341"/>
      <c r="H49" s="341"/>
      <c r="I49" s="341"/>
      <c r="J49" s="341"/>
      <c r="K49" s="341"/>
      <c r="L49" s="341"/>
      <c r="M49" s="341"/>
      <c r="N49" s="341"/>
      <c r="O49" s="262"/>
      <c r="P49" s="28"/>
    </row>
    <row r="50" spans="1:16" ht="12" customHeight="1" x14ac:dyDescent="0.2">
      <c r="A50" s="25"/>
      <c r="B50" s="26"/>
      <c r="C50" s="26"/>
      <c r="D50" s="26"/>
      <c r="E50" s="26"/>
      <c r="F50" s="26"/>
      <c r="G50" s="26"/>
      <c r="H50" s="26"/>
      <c r="I50" s="26"/>
      <c r="J50" s="26"/>
      <c r="K50" s="27" t="s">
        <v>926</v>
      </c>
      <c r="L50" s="27" t="s">
        <v>931</v>
      </c>
      <c r="M50" s="27" t="s">
        <v>932</v>
      </c>
      <c r="N50" s="27" t="s">
        <v>933</v>
      </c>
      <c r="O50" s="27" t="s">
        <v>934</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I11:I12"/>
    <mergeCell ref="L11:M11"/>
    <mergeCell ref="N11:O11"/>
    <mergeCell ref="J11:J12"/>
    <mergeCell ref="K11:K12"/>
    <mergeCell ref="M8:O8"/>
    <mergeCell ref="L2:O2"/>
    <mergeCell ref="L3:O3"/>
    <mergeCell ref="C4:O4"/>
    <mergeCell ref="C5:O5"/>
    <mergeCell ref="D6:E6"/>
    <mergeCell ref="G6:H6"/>
    <mergeCell ref="C2:K3"/>
    <mergeCell ref="M6:O6"/>
    <mergeCell ref="J6:K6"/>
    <mergeCell ref="J7:K7"/>
    <mergeCell ref="J8:K8"/>
    <mergeCell ref="M7:O7"/>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6" t="s">
        <v>297</v>
      </c>
      <c r="D2" s="357"/>
      <c r="E2" s="357"/>
      <c r="F2" s="357"/>
      <c r="G2" s="357"/>
      <c r="H2" s="357"/>
      <c r="I2" s="357"/>
      <c r="J2" s="356" t="s">
        <v>303</v>
      </c>
      <c r="K2" s="357"/>
      <c r="L2" s="357"/>
      <c r="M2" s="358"/>
      <c r="N2" s="28"/>
    </row>
    <row r="3" spans="1:16" ht="24" customHeight="1" thickBot="1" x14ac:dyDescent="0.4">
      <c r="A3" s="25"/>
      <c r="B3" s="29"/>
      <c r="C3" s="359"/>
      <c r="D3" s="360"/>
      <c r="E3" s="360"/>
      <c r="F3" s="360"/>
      <c r="G3" s="360"/>
      <c r="H3" s="360"/>
      <c r="I3" s="360"/>
      <c r="J3" s="359" t="str">
        <f>Transformation!B4</f>
        <v>As of: January 23, 2016</v>
      </c>
      <c r="K3" s="360"/>
      <c r="L3" s="360"/>
      <c r="M3" s="361"/>
      <c r="N3" s="28"/>
    </row>
    <row r="4" spans="1:16" ht="51" customHeight="1" thickBot="1" x14ac:dyDescent="0.35">
      <c r="A4" s="30"/>
      <c r="B4" s="247" t="s">
        <v>459</v>
      </c>
      <c r="C4" s="362" t="s">
        <v>974</v>
      </c>
      <c r="D4" s="363"/>
      <c r="E4" s="363"/>
      <c r="F4" s="363"/>
      <c r="G4" s="363"/>
      <c r="H4" s="363"/>
      <c r="I4" s="363"/>
      <c r="J4" s="363"/>
      <c r="K4" s="363"/>
      <c r="L4" s="363"/>
      <c r="M4" s="364"/>
      <c r="N4" s="28"/>
      <c r="O4" s="22"/>
      <c r="P4" s="23"/>
    </row>
    <row r="5" spans="1:16" ht="27" customHeight="1" thickBot="1" x14ac:dyDescent="0.25">
      <c r="A5" s="30"/>
      <c r="B5" s="48"/>
      <c r="C5" s="365" t="s">
        <v>1046</v>
      </c>
      <c r="D5" s="366"/>
      <c r="E5" s="366"/>
      <c r="F5" s="366"/>
      <c r="G5" s="366"/>
      <c r="H5" s="366"/>
      <c r="I5" s="366"/>
      <c r="J5" s="366"/>
      <c r="K5" s="366"/>
      <c r="L5" s="366"/>
      <c r="M5" s="366"/>
      <c r="N5" s="366"/>
      <c r="O5" s="367"/>
    </row>
    <row r="6" spans="1:16" ht="55.5" customHeight="1" x14ac:dyDescent="0.2">
      <c r="A6" s="30"/>
      <c r="B6" s="31"/>
      <c r="C6" s="32" t="s">
        <v>193</v>
      </c>
      <c r="D6" s="368" t="s">
        <v>16</v>
      </c>
      <c r="E6" s="369"/>
      <c r="F6" s="33" t="s">
        <v>196</v>
      </c>
      <c r="G6" s="368" t="s">
        <v>201</v>
      </c>
      <c r="H6" s="370"/>
      <c r="I6" s="33" t="s">
        <v>199</v>
      </c>
      <c r="J6" s="49" t="s">
        <v>14</v>
      </c>
      <c r="K6" s="33" t="s">
        <v>204</v>
      </c>
      <c r="L6" s="374" t="s">
        <v>88</v>
      </c>
      <c r="M6" s="387"/>
      <c r="N6" s="28"/>
    </row>
    <row r="7" spans="1:16" ht="51.75" customHeight="1" x14ac:dyDescent="0.2">
      <c r="A7" s="30"/>
      <c r="B7" s="34"/>
      <c r="C7" s="35" t="s">
        <v>194</v>
      </c>
      <c r="D7" s="344" t="s">
        <v>0</v>
      </c>
      <c r="E7" s="345"/>
      <c r="F7" s="36" t="s">
        <v>197</v>
      </c>
      <c r="G7" s="346" t="s">
        <v>202</v>
      </c>
      <c r="H7" s="346"/>
      <c r="I7" s="36" t="s">
        <v>200</v>
      </c>
      <c r="J7" s="50" t="s">
        <v>19</v>
      </c>
      <c r="K7" s="36" t="s">
        <v>205</v>
      </c>
      <c r="L7" s="388" t="s">
        <v>90</v>
      </c>
      <c r="M7" s="389"/>
      <c r="N7" s="28"/>
    </row>
    <row r="8" spans="1:16" ht="51.75" customHeight="1" thickBot="1" x14ac:dyDescent="0.25">
      <c r="A8" s="25"/>
      <c r="B8" s="28"/>
      <c r="C8" s="37" t="s">
        <v>195</v>
      </c>
      <c r="D8" s="347" t="s">
        <v>18</v>
      </c>
      <c r="E8" s="348"/>
      <c r="F8" s="38" t="s">
        <v>198</v>
      </c>
      <c r="G8" s="349" t="s">
        <v>17</v>
      </c>
      <c r="H8" s="349"/>
      <c r="I8" s="38" t="s">
        <v>203</v>
      </c>
      <c r="J8" s="51" t="s">
        <v>87</v>
      </c>
      <c r="K8" s="38" t="s">
        <v>206</v>
      </c>
      <c r="L8" s="390" t="s">
        <v>89</v>
      </c>
      <c r="M8" s="391"/>
      <c r="N8" s="28"/>
    </row>
    <row r="9" spans="1:16" x14ac:dyDescent="0.2">
      <c r="A9" s="28"/>
      <c r="B9" s="28"/>
      <c r="C9" s="39" t="s">
        <v>703</v>
      </c>
      <c r="D9" s="39" t="s">
        <v>705</v>
      </c>
      <c r="E9" s="39" t="s">
        <v>704</v>
      </c>
      <c r="F9" s="39" t="s">
        <v>707</v>
      </c>
      <c r="G9" s="39" t="s">
        <v>706</v>
      </c>
      <c r="H9" s="39" t="s">
        <v>717</v>
      </c>
      <c r="I9" s="39" t="s">
        <v>716</v>
      </c>
      <c r="J9" s="39"/>
      <c r="K9" s="39"/>
      <c r="L9" s="39"/>
      <c r="M9" s="39"/>
      <c r="N9" s="28"/>
    </row>
    <row r="10" spans="1:16" ht="15.75" customHeight="1" x14ac:dyDescent="0.2">
      <c r="A10" s="25"/>
      <c r="B10" s="26"/>
      <c r="C10" s="350" t="s">
        <v>296</v>
      </c>
      <c r="D10" s="350"/>
      <c r="E10" s="350"/>
      <c r="F10" s="350"/>
      <c r="G10" s="350"/>
      <c r="H10" s="350"/>
      <c r="I10" s="350"/>
      <c r="J10" s="350"/>
      <c r="K10" s="350"/>
      <c r="L10" s="350"/>
      <c r="M10" s="392"/>
      <c r="N10" s="28"/>
    </row>
    <row r="11" spans="1:16" ht="64.5" customHeight="1" x14ac:dyDescent="0.2">
      <c r="A11" s="25"/>
      <c r="B11" s="26"/>
      <c r="C11" s="52" t="s">
        <v>229</v>
      </c>
      <c r="D11" s="52" t="s">
        <v>137</v>
      </c>
      <c r="E11" s="52" t="s">
        <v>230</v>
      </c>
      <c r="F11" s="52" t="s">
        <v>192</v>
      </c>
      <c r="G11" s="52" t="s">
        <v>207</v>
      </c>
      <c r="H11" s="52" t="s">
        <v>209</v>
      </c>
      <c r="I11" s="52" t="s">
        <v>210</v>
      </c>
      <c r="J11" s="394" t="s">
        <v>975</v>
      </c>
      <c r="K11" s="395"/>
      <c r="L11" s="395"/>
      <c r="M11" s="396"/>
      <c r="N11" s="28"/>
    </row>
    <row r="12" spans="1:16" x14ac:dyDescent="0.2">
      <c r="A12" s="25"/>
      <c r="B12" s="41" t="s">
        <v>733</v>
      </c>
      <c r="C12" s="154">
        <f>IF($B12=" ","",IFERROR(INDEX(MMWR_RATING_RO_ROLLUP[],MATCH($B12,MMWR_RATING_RO_ROLLUP[MMWR_RATING_RO_ROLLUP],0),MATCH(C$9,MMWR_RATING_RO_ROLLUP[#Headers],0)),"ERROR"))</f>
        <v>357440</v>
      </c>
      <c r="D12" s="155">
        <f>IF($B12=" ","",IFERROR(INDEX(MMWR_RATING_RO_ROLLUP[],MATCH($B12,MMWR_RATING_RO_ROLLUP[MMWR_RATING_RO_ROLLUP],0),MATCH(D$9,MMWR_RATING_RO_ROLLUP[#Headers],0)),"ERROR"))</f>
        <v>93.9570557296</v>
      </c>
      <c r="E12" s="156">
        <f>IF($B12=" ","",IFERROR(INDEX(MMWR_RATING_RO_ROLLUP[],MATCH($B12,MMWR_RATING_RO_ROLLUP[MMWR_RATING_RO_ROLLUP],0),MATCH(E$9,MMWR_RATING_RO_ROLLUP[#Headers],0))/$C12,"ERROR"))</f>
        <v>0.2218414279319606</v>
      </c>
      <c r="F12" s="154">
        <f>IF($B12=" ","",IFERROR(INDEX(MMWR_RATING_RO_ROLLUP[],MATCH($B12,MMWR_RATING_RO_ROLLUP[MMWR_RATING_RO_ROLLUP],0),MATCH(F$9,MMWR_RATING_RO_ROLLUP[#Headers],0)),"ERROR"))</f>
        <v>71467</v>
      </c>
      <c r="G12" s="154">
        <f>IF($B12=" ","",IFERROR(INDEX(MMWR_RATING_RO_ROLLUP[],MATCH($B12,MMWR_RATING_RO_ROLLUP[MMWR_RATING_RO_ROLLUP],0),MATCH(G$9,MMWR_RATING_RO_ROLLUP[#Headers],0)),"ERROR"))</f>
        <v>379169</v>
      </c>
      <c r="H12" s="155">
        <f>IF($B12=" ","",IFERROR(INDEX(MMWR_RATING_RO_ROLLUP[],MATCH($B12,MMWR_RATING_RO_ROLLUP[MMWR_RATING_RO_ROLLUP],0),MATCH(H$9,MMWR_RATING_RO_ROLLUP[#Headers],0)),"ERROR"))</f>
        <v>129.2833335665</v>
      </c>
      <c r="I12" s="155">
        <f>IF($B12=" ","",IFERROR(INDEX(MMWR_RATING_RO_ROLLUP[],MATCH($B12,MMWR_RATING_RO_ROLLUP[MMWR_RATING_RO_ROLLUP],0),MATCH(I$9,MMWR_RATING_RO_ROLLUP[#Headers],0)),"ERROR"))</f>
        <v>128.5056346906</v>
      </c>
      <c r="J12" s="42"/>
      <c r="K12" s="42"/>
      <c r="L12" s="42"/>
      <c r="M12" s="42"/>
      <c r="N12" s="28"/>
    </row>
    <row r="13" spans="1:16" x14ac:dyDescent="0.2">
      <c r="A13" s="25"/>
      <c r="B13" s="342" t="s">
        <v>736</v>
      </c>
      <c r="C13" s="343"/>
      <c r="D13" s="343"/>
      <c r="E13" s="343"/>
      <c r="F13" s="343"/>
      <c r="G13" s="343"/>
      <c r="H13" s="343"/>
      <c r="I13" s="343"/>
      <c r="J13" s="343"/>
      <c r="K13" s="343"/>
      <c r="L13" s="343"/>
      <c r="M13" s="393"/>
      <c r="N13" s="28"/>
    </row>
    <row r="14" spans="1:16" x14ac:dyDescent="0.2">
      <c r="A14" s="25"/>
      <c r="B14" s="41" t="s">
        <v>732</v>
      </c>
      <c r="C14" s="154">
        <f>IF($B14=" ","",IFERROR(INDEX(MMWR_RATING_RO_ROLLUP[],MATCH($B14,MMWR_RATING_RO_ROLLUP[MMWR_RATING_RO_ROLLUP],0),MATCH(C$9,MMWR_RATING_RO_ROLLUP[#Headers],0)),"ERROR"))</f>
        <v>308839</v>
      </c>
      <c r="D14" s="155">
        <f>IF($B14=" ","",IFERROR(INDEX(MMWR_RATING_RO_ROLLUP[],MATCH($B14,MMWR_RATING_RO_ROLLUP[MMWR_RATING_RO_ROLLUP],0),MATCH(D$9,MMWR_RATING_RO_ROLLUP[#Headers],0)),"ERROR"))</f>
        <v>96.221244726199998</v>
      </c>
      <c r="E14" s="156">
        <f>IF($B14=" ","",IFERROR(INDEX(MMWR_RATING_RO_ROLLUP[],MATCH($B14,MMWR_RATING_RO_ROLLUP[MMWR_RATING_RO_ROLLUP],0),MATCH(E$9,MMWR_RATING_RO_ROLLUP[#Headers],0))/$C14,"ERROR"))</f>
        <v>0.23113013576653207</v>
      </c>
      <c r="F14" s="154">
        <f>IF($B14=" ","",IFERROR(INDEX(MMWR_RATING_RO_ROLLUP[],MATCH($B14,MMWR_RATING_RO_ROLLUP[MMWR_RATING_RO_ROLLUP],0),MATCH(F$9,MMWR_RATING_RO_ROLLUP[#Headers],0)),"ERROR"))</f>
        <v>60711</v>
      </c>
      <c r="G14" s="154">
        <f>IF($B14=" ","",IFERROR(INDEX(MMWR_RATING_RO_ROLLUP[],MATCH($B14,MMWR_RATING_RO_ROLLUP[MMWR_RATING_RO_ROLLUP],0),MATCH(G$9,MMWR_RATING_RO_ROLLUP[#Headers],0)),"ERROR"))</f>
        <v>321597</v>
      </c>
      <c r="H14" s="155">
        <f>IF($B14=" ","",IFERROR(INDEX(MMWR_RATING_RO_ROLLUP[],MATCH($B14,MMWR_RATING_RO_ROLLUP[MMWR_RATING_RO_ROLLUP],0),MATCH(H$9,MMWR_RATING_RO_ROLLUP[#Headers],0)),"ERROR"))</f>
        <v>134.89555434760001</v>
      </c>
      <c r="I14" s="155">
        <f>IF($B14=" ","",IFERROR(INDEX(MMWR_RATING_RO_ROLLUP[],MATCH($B14,MMWR_RATING_RO_ROLLUP[MMWR_RATING_RO_ROLLUP],0),MATCH(I$9,MMWR_RATING_RO_ROLLUP[#Headers],0)),"ERROR"))</f>
        <v>135.70682562339999</v>
      </c>
      <c r="J14" s="42"/>
      <c r="K14" s="42"/>
      <c r="L14" s="42"/>
      <c r="M14" s="42"/>
      <c r="N14" s="28"/>
    </row>
    <row r="15" spans="1:16" x14ac:dyDescent="0.2">
      <c r="A15" s="25"/>
      <c r="B15" s="248" t="s">
        <v>373</v>
      </c>
      <c r="C15" s="154">
        <f>IF($B15=" ","",IFERROR(INDEX(MMWR_RATING_RO_ROLLUP[],MATCH($B15,MMWR_RATING_RO_ROLLUP[MMWR_RATING_RO_ROLLUP],0),MATCH(C$9,MMWR_RATING_RO_ROLLUP[#Headers],0)),"ERROR"))</f>
        <v>68502</v>
      </c>
      <c r="D15" s="155">
        <f>IF($B15=" ","",IFERROR(INDEX(MMWR_RATING_RO_ROLLUP[],MATCH($B15,MMWR_RATING_RO_ROLLUP[MMWR_RATING_RO_ROLLUP],0),MATCH(D$9,MMWR_RATING_RO_ROLLUP[#Headers],0)),"ERROR"))</f>
        <v>99.029634171300003</v>
      </c>
      <c r="E15" s="156">
        <f>IF($B15=" ","",IFERROR(INDEX(MMWR_RATING_RO_ROLLUP[],MATCH($B15,MMWR_RATING_RO_ROLLUP[MMWR_RATING_RO_ROLLUP],0),MATCH(E$9,MMWR_RATING_RO_ROLLUP[#Headers],0))/$C15,"ERROR"))</f>
        <v>0.24337975533561063</v>
      </c>
      <c r="F15" s="154">
        <f>IF($B15=" ","",IFERROR(INDEX(MMWR_RATING_RO_ROLLUP[],MATCH($B15,MMWR_RATING_RO_ROLLUP[MMWR_RATING_RO_ROLLUP],0),MATCH(F$9,MMWR_RATING_RO_ROLLUP[#Headers],0)),"ERROR"))</f>
        <v>13688</v>
      </c>
      <c r="G15" s="154">
        <f>IF($B15=" ","",IFERROR(INDEX(MMWR_RATING_RO_ROLLUP[],MATCH($B15,MMWR_RATING_RO_ROLLUP[MMWR_RATING_RO_ROLLUP],0),MATCH(G$9,MMWR_RATING_RO_ROLLUP[#Headers],0)),"ERROR"))</f>
        <v>70685</v>
      </c>
      <c r="H15" s="155">
        <f>IF($B15=" ","",IFERROR(INDEX(MMWR_RATING_RO_ROLLUP[],MATCH($B15,MMWR_RATING_RO_ROLLUP[MMWR_RATING_RO_ROLLUP],0),MATCH(H$9,MMWR_RATING_RO_ROLLUP[#Headers],0)),"ERROR"))</f>
        <v>135.2813413209</v>
      </c>
      <c r="I15" s="155">
        <f>IF($B15=" ","",IFERROR(INDEX(MMWR_RATING_RO_ROLLUP[],MATCH($B15,MMWR_RATING_RO_ROLLUP[MMWR_RATING_RO_ROLLUP],0),MATCH(I$9,MMWR_RATING_RO_ROLLUP[#Headers],0)),"ERROR"))</f>
        <v>136.4999504845</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4541</v>
      </c>
      <c r="D16" s="155">
        <f>IF($B16=" ","",IFERROR(INDEX(MMWR_RATING_RO_ROLLUP[],MATCH($B16,MMWR_RATING_RO_ROLLUP[MMWR_RATING_RO_ROLLUP],0),MATCH(D$9,MMWR_RATING_RO_ROLLUP[#Headers],0)),"ERROR"))</f>
        <v>96.465536225500003</v>
      </c>
      <c r="E16" s="156">
        <f>IF($B16=" ","",IFERROR(INDEX(MMWR_RATING_RO_ROLLUP[],MATCH($B16,MMWR_RATING_RO_ROLLUP[MMWR_RATING_RO_ROLLUP],0),MATCH(E$9,MMWR_RATING_RO_ROLLUP[#Headers],0))/$C16,"ERROR"))</f>
        <v>0.21426998458489319</v>
      </c>
      <c r="F16" s="154">
        <f>IF($B16=" ","",IFERROR(INDEX(MMWR_RATING_RO_ROLLUP[],MATCH($B16,MMWR_RATING_RO_ROLLUP[MMWR_RATING_RO_ROLLUP],0),MATCH(F$9,MMWR_RATING_RO_ROLLUP[#Headers],0)),"ERROR"))</f>
        <v>731</v>
      </c>
      <c r="G16" s="154">
        <f>IF($B16=" ","",IFERROR(INDEX(MMWR_RATING_RO_ROLLUP[],MATCH($B16,MMWR_RATING_RO_ROLLUP[MMWR_RATING_RO_ROLLUP],0),MATCH(G$9,MMWR_RATING_RO_ROLLUP[#Headers],0)),"ERROR"))</f>
        <v>4687</v>
      </c>
      <c r="H16" s="155">
        <f>IF($B16=" ","",IFERROR(INDEX(MMWR_RATING_RO_ROLLUP[],MATCH($B16,MMWR_RATING_RO_ROLLUP[MMWR_RATING_RO_ROLLUP],0),MATCH(H$9,MMWR_RATING_RO_ROLLUP[#Headers],0)),"ERROR"))</f>
        <v>153.6005471956</v>
      </c>
      <c r="I16" s="155">
        <f>IF($B16=" ","",IFERROR(INDEX(MMWR_RATING_RO_ROLLUP[],MATCH($B16,MMWR_RATING_RO_ROLLUP[MMWR_RATING_RO_ROLLUP],0),MATCH(I$9,MMWR_RATING_RO_ROLLUP[#Headers],0)),"ERROR"))</f>
        <v>144.89844250050001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3623</v>
      </c>
      <c r="D17" s="155">
        <f>IF($B17=" ","",IFERROR(INDEX(MMWR_RATING_RO_ROLLUP[],MATCH($B17,MMWR_RATING_RO_ROLLUP[MMWR_RATING_RO_ROLLUP],0),MATCH(D$9,MMWR_RATING_RO_ROLLUP[#Headers],0)),"ERROR"))</f>
        <v>97.340325696899995</v>
      </c>
      <c r="E17" s="156">
        <f>IF($B17=" ","",IFERROR(INDEX(MMWR_RATING_RO_ROLLUP[],MATCH($B17,MMWR_RATING_RO_ROLLUP[MMWR_RATING_RO_ROLLUP],0),MATCH(E$9,MMWR_RATING_RO_ROLLUP[#Headers],0))/$C17,"ERROR"))</f>
        <v>0.25724537675959153</v>
      </c>
      <c r="F17" s="154">
        <f>IF($B17=" ","",IFERROR(INDEX(MMWR_RATING_RO_ROLLUP[],MATCH($B17,MMWR_RATING_RO_ROLLUP[MMWR_RATING_RO_ROLLUP],0),MATCH(F$9,MMWR_RATING_RO_ROLLUP[#Headers],0)),"ERROR"))</f>
        <v>487</v>
      </c>
      <c r="G17" s="154">
        <f>IF($B17=" ","",IFERROR(INDEX(MMWR_RATING_RO_ROLLUP[],MATCH($B17,MMWR_RATING_RO_ROLLUP[MMWR_RATING_RO_ROLLUP],0),MATCH(G$9,MMWR_RATING_RO_ROLLUP[#Headers],0)),"ERROR"))</f>
        <v>3363</v>
      </c>
      <c r="H17" s="155">
        <f>IF($B17=" ","",IFERROR(INDEX(MMWR_RATING_RO_ROLLUP[],MATCH($B17,MMWR_RATING_RO_ROLLUP[MMWR_RATING_RO_ROLLUP],0),MATCH(H$9,MMWR_RATING_RO_ROLLUP[#Headers],0)),"ERROR"))</f>
        <v>155.10061601640001</v>
      </c>
      <c r="I17" s="155">
        <f>IF($B17=" ","",IFERROR(INDEX(MMWR_RATING_RO_ROLLUP[],MATCH($B17,MMWR_RATING_RO_ROLLUP[MMWR_RATING_RO_ROLLUP],0),MATCH(I$9,MMWR_RATING_RO_ROLLUP[#Headers],0)),"ERROR"))</f>
        <v>128.59232827829999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3822</v>
      </c>
      <c r="D18" s="155">
        <f>IF($B18=" ","",IFERROR(INDEX(MMWR_RATING_RO_ROLLUP[],MATCH($B18,MMWR_RATING_RO_ROLLUP[MMWR_RATING_RO_ROLLUP],0),MATCH(D$9,MMWR_RATING_RO_ROLLUP[#Headers],0)),"ERROR"))</f>
        <v>89.815541601299998</v>
      </c>
      <c r="E18" s="156">
        <f>IF($B18=" ","",IFERROR(INDEX(MMWR_RATING_RO_ROLLUP[],MATCH($B18,MMWR_RATING_RO_ROLLUP[MMWR_RATING_RO_ROLLUP],0),MATCH(E$9,MMWR_RATING_RO_ROLLUP[#Headers],0))/$C18,"ERROR"))</f>
        <v>0.17189952904238617</v>
      </c>
      <c r="F18" s="154">
        <f>IF($B18=" ","",IFERROR(INDEX(MMWR_RATING_RO_ROLLUP[],MATCH($B18,MMWR_RATING_RO_ROLLUP[MMWR_RATING_RO_ROLLUP],0),MATCH(F$9,MMWR_RATING_RO_ROLLUP[#Headers],0)),"ERROR"))</f>
        <v>714</v>
      </c>
      <c r="G18" s="154">
        <f>IF($B18=" ","",IFERROR(INDEX(MMWR_RATING_RO_ROLLUP[],MATCH($B18,MMWR_RATING_RO_ROLLUP[MMWR_RATING_RO_ROLLUP],0),MATCH(G$9,MMWR_RATING_RO_ROLLUP[#Headers],0)),"ERROR"))</f>
        <v>3836</v>
      </c>
      <c r="H18" s="155">
        <f>IF($B18=" ","",IFERROR(INDEX(MMWR_RATING_RO_ROLLUP[],MATCH($B18,MMWR_RATING_RO_ROLLUP[MMWR_RATING_RO_ROLLUP],0),MATCH(H$9,MMWR_RATING_RO_ROLLUP[#Headers],0)),"ERROR"))</f>
        <v>149.068627451</v>
      </c>
      <c r="I18" s="155">
        <f>IF($B18=" ","",IFERROR(INDEX(MMWR_RATING_RO_ROLLUP[],MATCH($B18,MMWR_RATING_RO_ROLLUP[MMWR_RATING_RO_ROLLUP],0),MATCH(I$9,MMWR_RATING_RO_ROLLUP[#Headers],0)),"ERROR"))</f>
        <v>150.2885818561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2017</v>
      </c>
      <c r="D19" s="155">
        <f>IF($B19=" ","",IFERROR(INDEX(MMWR_RATING_RO_ROLLUP[],MATCH($B19,MMWR_RATING_RO_ROLLUP[MMWR_RATING_RO_ROLLUP],0),MATCH(D$9,MMWR_RATING_RO_ROLLUP[#Headers],0)),"ERROR"))</f>
        <v>90.3262270699</v>
      </c>
      <c r="E19" s="156">
        <f>IF($B19=" ","",IFERROR(INDEX(MMWR_RATING_RO_ROLLUP[],MATCH($B19,MMWR_RATING_RO_ROLLUP[MMWR_RATING_RO_ROLLUP],0),MATCH(E$9,MMWR_RATING_RO_ROLLUP[#Headers],0))/$C19,"ERROR"))</f>
        <v>0.1849281110560238</v>
      </c>
      <c r="F19" s="154">
        <f>IF($B19=" ","",IFERROR(INDEX(MMWR_RATING_RO_ROLLUP[],MATCH($B19,MMWR_RATING_RO_ROLLUP[MMWR_RATING_RO_ROLLUP],0),MATCH(F$9,MMWR_RATING_RO_ROLLUP[#Headers],0)),"ERROR"))</f>
        <v>277</v>
      </c>
      <c r="G19" s="154">
        <f>IF($B19=" ","",IFERROR(INDEX(MMWR_RATING_RO_ROLLUP[],MATCH($B19,MMWR_RATING_RO_ROLLUP[MMWR_RATING_RO_ROLLUP],0),MATCH(G$9,MMWR_RATING_RO_ROLLUP[#Headers],0)),"ERROR"))</f>
        <v>1754</v>
      </c>
      <c r="H19" s="155">
        <f>IF($B19=" ","",IFERROR(INDEX(MMWR_RATING_RO_ROLLUP[],MATCH($B19,MMWR_RATING_RO_ROLLUP[MMWR_RATING_RO_ROLLUP],0),MATCH(H$9,MMWR_RATING_RO_ROLLUP[#Headers],0)),"ERROR"))</f>
        <v>130.94945848379999</v>
      </c>
      <c r="I19" s="155">
        <f>IF($B19=" ","",IFERROR(INDEX(MMWR_RATING_RO_ROLLUP[],MATCH($B19,MMWR_RATING_RO_ROLLUP[MMWR_RATING_RO_ROLLUP],0),MATCH(I$9,MMWR_RATING_RO_ROLLUP[#Headers],0)),"ERROR"))</f>
        <v>117.55017103759999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2552</v>
      </c>
      <c r="D20" s="155">
        <f>IF($B20=" ","",IFERROR(INDEX(MMWR_RATING_RO_ROLLUP[],MATCH($B20,MMWR_RATING_RO_ROLLUP[MMWR_RATING_RO_ROLLUP],0),MATCH(D$9,MMWR_RATING_RO_ROLLUP[#Headers],0)),"ERROR"))</f>
        <v>86.606191222600003</v>
      </c>
      <c r="E20" s="156">
        <f>IF($B20=" ","",IFERROR(INDEX(MMWR_RATING_RO_ROLLUP[],MATCH($B20,MMWR_RATING_RO_ROLLUP[MMWR_RATING_RO_ROLLUP],0),MATCH(E$9,MMWR_RATING_RO_ROLLUP[#Headers],0))/$C20,"ERROR"))</f>
        <v>0.16927899686520376</v>
      </c>
      <c r="F20" s="154">
        <f>IF($B20=" ","",IFERROR(INDEX(MMWR_RATING_RO_ROLLUP[],MATCH($B20,MMWR_RATING_RO_ROLLUP[MMWR_RATING_RO_ROLLUP],0),MATCH(F$9,MMWR_RATING_RO_ROLLUP[#Headers],0)),"ERROR"))</f>
        <v>478</v>
      </c>
      <c r="G20" s="154">
        <f>IF($B20=" ","",IFERROR(INDEX(MMWR_RATING_RO_ROLLUP[],MATCH($B20,MMWR_RATING_RO_ROLLUP[MMWR_RATING_RO_ROLLUP],0),MATCH(G$9,MMWR_RATING_RO_ROLLUP[#Headers],0)),"ERROR"))</f>
        <v>2568</v>
      </c>
      <c r="H20" s="155">
        <f>IF($B20=" ","",IFERROR(INDEX(MMWR_RATING_RO_ROLLUP[],MATCH($B20,MMWR_RATING_RO_ROLLUP[MMWR_RATING_RO_ROLLUP],0),MATCH(H$9,MMWR_RATING_RO_ROLLUP[#Headers],0)),"ERROR"))</f>
        <v>119.0146443515</v>
      </c>
      <c r="I20" s="155">
        <f>IF($B20=" ","",IFERROR(INDEX(MMWR_RATING_RO_ROLLUP[],MATCH($B20,MMWR_RATING_RO_ROLLUP[MMWR_RATING_RO_ROLLUP],0),MATCH(I$9,MMWR_RATING_RO_ROLLUP[#Headers],0)),"ERROR"))</f>
        <v>117.4848130841</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1167</v>
      </c>
      <c r="D21" s="155">
        <f>IF($B21=" ","",IFERROR(INDEX(MMWR_RATING_RO_ROLLUP[],MATCH($B21,MMWR_RATING_RO_ROLLUP[MMWR_RATING_RO_ROLLUP],0),MATCH(D$9,MMWR_RATING_RO_ROLLUP[#Headers],0)),"ERROR"))</f>
        <v>102.9640102828</v>
      </c>
      <c r="E21" s="156">
        <f>IF($B21=" ","",IFERROR(INDEX(MMWR_RATING_RO_ROLLUP[],MATCH($B21,MMWR_RATING_RO_ROLLUP[MMWR_RATING_RO_ROLLUP],0),MATCH(E$9,MMWR_RATING_RO_ROLLUP[#Headers],0))/$C21,"ERROR"))</f>
        <v>0.23650385604113111</v>
      </c>
      <c r="F21" s="154">
        <f>IF($B21=" ","",IFERROR(INDEX(MMWR_RATING_RO_ROLLUP[],MATCH($B21,MMWR_RATING_RO_ROLLUP[MMWR_RATING_RO_ROLLUP],0),MATCH(F$9,MMWR_RATING_RO_ROLLUP[#Headers],0)),"ERROR"))</f>
        <v>201</v>
      </c>
      <c r="G21" s="154">
        <f>IF($B21=" ","",IFERROR(INDEX(MMWR_RATING_RO_ROLLUP[],MATCH($B21,MMWR_RATING_RO_ROLLUP[MMWR_RATING_RO_ROLLUP],0),MATCH(G$9,MMWR_RATING_RO_ROLLUP[#Headers],0)),"ERROR"))</f>
        <v>1172</v>
      </c>
      <c r="H21" s="155">
        <f>IF($B21=" ","",IFERROR(INDEX(MMWR_RATING_RO_ROLLUP[],MATCH($B21,MMWR_RATING_RO_ROLLUP[MMWR_RATING_RO_ROLLUP],0),MATCH(H$9,MMWR_RATING_RO_ROLLUP[#Headers],0)),"ERROR"))</f>
        <v>144.34328358210001</v>
      </c>
      <c r="I21" s="155">
        <f>IF($B21=" ","",IFERROR(INDEX(MMWR_RATING_RO_ROLLUP[],MATCH($B21,MMWR_RATING_RO_ROLLUP[MMWR_RATING_RO_ROLLUP],0),MATCH(I$9,MMWR_RATING_RO_ROLLUP[#Headers],0)),"ERROR"))</f>
        <v>132.2491467577</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4795</v>
      </c>
      <c r="D22" s="155">
        <f>IF($B22=" ","",IFERROR(INDEX(MMWR_RATING_RO_ROLLUP[],MATCH($B22,MMWR_RATING_RO_ROLLUP[MMWR_RATING_RO_ROLLUP],0),MATCH(D$9,MMWR_RATING_RO_ROLLUP[#Headers],0)),"ERROR"))</f>
        <v>98.917831074000006</v>
      </c>
      <c r="E22" s="156">
        <f>IF($B22=" ","",IFERROR(INDEX(MMWR_RATING_RO_ROLLUP[],MATCH($B22,MMWR_RATING_RO_ROLLUP[MMWR_RATING_RO_ROLLUP],0),MATCH(E$9,MMWR_RATING_RO_ROLLUP[#Headers],0))/$C22,"ERROR"))</f>
        <v>0.25380604796663192</v>
      </c>
      <c r="F22" s="154">
        <f>IF($B22=" ","",IFERROR(INDEX(MMWR_RATING_RO_ROLLUP[],MATCH($B22,MMWR_RATING_RO_ROLLUP[MMWR_RATING_RO_ROLLUP],0),MATCH(F$9,MMWR_RATING_RO_ROLLUP[#Headers],0)),"ERROR"))</f>
        <v>930</v>
      </c>
      <c r="G22" s="154">
        <f>IF($B22=" ","",IFERROR(INDEX(MMWR_RATING_RO_ROLLUP[],MATCH($B22,MMWR_RATING_RO_ROLLUP[MMWR_RATING_RO_ROLLUP],0),MATCH(G$9,MMWR_RATING_RO_ROLLUP[#Headers],0)),"ERROR"))</f>
        <v>4325</v>
      </c>
      <c r="H22" s="155">
        <f>IF($B22=" ","",IFERROR(INDEX(MMWR_RATING_RO_ROLLUP[],MATCH($B22,MMWR_RATING_RO_ROLLUP[MMWR_RATING_RO_ROLLUP],0),MATCH(H$9,MMWR_RATING_RO_ROLLUP[#Headers],0)),"ERROR"))</f>
        <v>142.08387096769999</v>
      </c>
      <c r="I22" s="155">
        <f>IF($B22=" ","",IFERROR(INDEX(MMWR_RATING_RO_ROLLUP[],MATCH($B22,MMWR_RATING_RO_ROLLUP[MMWR_RATING_RO_ROLLUP],0),MATCH(I$9,MMWR_RATING_RO_ROLLUP[#Headers],0)),"ERROR"))</f>
        <v>141.15421965319999</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2690</v>
      </c>
      <c r="D23" s="155">
        <f>IF($B23=" ","",IFERROR(INDEX(MMWR_RATING_RO_ROLLUP[],MATCH($B23,MMWR_RATING_RO_ROLLUP[MMWR_RATING_RO_ROLLUP],0),MATCH(D$9,MMWR_RATING_RO_ROLLUP[#Headers],0)),"ERROR"))</f>
        <v>90.549814126399994</v>
      </c>
      <c r="E23" s="156">
        <f>IF($B23=" ","",IFERROR(INDEX(MMWR_RATING_RO_ROLLUP[],MATCH($B23,MMWR_RATING_RO_ROLLUP[MMWR_RATING_RO_ROLLUP],0),MATCH(E$9,MMWR_RATING_RO_ROLLUP[#Headers],0))/$C23,"ERROR"))</f>
        <v>0.20966542750929368</v>
      </c>
      <c r="F23" s="154">
        <f>IF($B23=" ","",IFERROR(INDEX(MMWR_RATING_RO_ROLLUP[],MATCH($B23,MMWR_RATING_RO_ROLLUP[MMWR_RATING_RO_ROLLUP],0),MATCH(F$9,MMWR_RATING_RO_ROLLUP[#Headers],0)),"ERROR"))</f>
        <v>493</v>
      </c>
      <c r="G23" s="154">
        <f>IF($B23=" ","",IFERROR(INDEX(MMWR_RATING_RO_ROLLUP[],MATCH($B23,MMWR_RATING_RO_ROLLUP[MMWR_RATING_RO_ROLLUP],0),MATCH(G$9,MMWR_RATING_RO_ROLLUP[#Headers],0)),"ERROR"))</f>
        <v>2462</v>
      </c>
      <c r="H23" s="155">
        <f>IF($B23=" ","",IFERROR(INDEX(MMWR_RATING_RO_ROLLUP[],MATCH($B23,MMWR_RATING_RO_ROLLUP[MMWR_RATING_RO_ROLLUP],0),MATCH(H$9,MMWR_RATING_RO_ROLLUP[#Headers],0)),"ERROR"))</f>
        <v>129.84178498989999</v>
      </c>
      <c r="I23" s="155">
        <f>IF($B23=" ","",IFERROR(INDEX(MMWR_RATING_RO_ROLLUP[],MATCH($B23,MMWR_RATING_RO_ROLLUP[MMWR_RATING_RO_ROLLUP],0),MATCH(I$9,MMWR_RATING_RO_ROLLUP[#Headers],0)),"ERROR"))</f>
        <v>142.44191714050001</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7051</v>
      </c>
      <c r="D24" s="155">
        <f>IF($B24=" ","",IFERROR(INDEX(MMWR_RATING_RO_ROLLUP[],MATCH($B24,MMWR_RATING_RO_ROLLUP[MMWR_RATING_RO_ROLLUP],0),MATCH(D$9,MMWR_RATING_RO_ROLLUP[#Headers],0)),"ERROR"))</f>
        <v>115.4142674798</v>
      </c>
      <c r="E24" s="156">
        <f>IF($B24=" ","",IFERROR(INDEX(MMWR_RATING_RO_ROLLUP[],MATCH($B24,MMWR_RATING_RO_ROLLUP[MMWR_RATING_RO_ROLLUP],0),MATCH(E$9,MMWR_RATING_RO_ROLLUP[#Headers],0))/$C24,"ERROR"))</f>
        <v>0.31031059424195151</v>
      </c>
      <c r="F24" s="154">
        <f>IF($B24=" ","",IFERROR(INDEX(MMWR_RATING_RO_ROLLUP[],MATCH($B24,MMWR_RATING_RO_ROLLUP[MMWR_RATING_RO_ROLLUP],0),MATCH(F$9,MMWR_RATING_RO_ROLLUP[#Headers],0)),"ERROR"))</f>
        <v>1514</v>
      </c>
      <c r="G24" s="154">
        <f>IF($B24=" ","",IFERROR(INDEX(MMWR_RATING_RO_ROLLUP[],MATCH($B24,MMWR_RATING_RO_ROLLUP[MMWR_RATING_RO_ROLLUP],0),MATCH(G$9,MMWR_RATING_RO_ROLLUP[#Headers],0)),"ERROR"))</f>
        <v>7693</v>
      </c>
      <c r="H24" s="155">
        <f>IF($B24=" ","",IFERROR(INDEX(MMWR_RATING_RO_ROLLUP[],MATCH($B24,MMWR_RATING_RO_ROLLUP[MMWR_RATING_RO_ROLLUP],0),MATCH(H$9,MMWR_RATING_RO_ROLLUP[#Headers],0)),"ERROR"))</f>
        <v>141.67767503300001</v>
      </c>
      <c r="I24" s="155">
        <f>IF($B24=" ","",IFERROR(INDEX(MMWR_RATING_RO_ROLLUP[],MATCH($B24,MMWR_RATING_RO_ROLLUP[MMWR_RATING_RO_ROLLUP],0),MATCH(I$9,MMWR_RATING_RO_ROLLUP[#Headers],0)),"ERROR"))</f>
        <v>153.0049395554</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4664</v>
      </c>
      <c r="D25" s="155">
        <f>IF($B25=" ","",IFERROR(INDEX(MMWR_RATING_RO_ROLLUP[],MATCH($B25,MMWR_RATING_RO_ROLLUP[MMWR_RATING_RO_ROLLUP],0),MATCH(D$9,MMWR_RATING_RO_ROLLUP[#Headers],0)),"ERROR"))</f>
        <v>114.1560891938</v>
      </c>
      <c r="E25" s="156">
        <f>IF($B25=" ","",IFERROR(INDEX(MMWR_RATING_RO_ROLLUP[],MATCH($B25,MMWR_RATING_RO_ROLLUP[MMWR_RATING_RO_ROLLUP],0),MATCH(E$9,MMWR_RATING_RO_ROLLUP[#Headers],0))/$C25,"ERROR"))</f>
        <v>0.29716981132075471</v>
      </c>
      <c r="F25" s="154">
        <f>IF($B25=" ","",IFERROR(INDEX(MMWR_RATING_RO_ROLLUP[],MATCH($B25,MMWR_RATING_RO_ROLLUP[MMWR_RATING_RO_ROLLUP],0),MATCH(F$9,MMWR_RATING_RO_ROLLUP[#Headers],0)),"ERROR"))</f>
        <v>826</v>
      </c>
      <c r="G25" s="154">
        <f>IF($B25=" ","",IFERROR(INDEX(MMWR_RATING_RO_ROLLUP[],MATCH($B25,MMWR_RATING_RO_ROLLUP[MMWR_RATING_RO_ROLLUP],0),MATCH(G$9,MMWR_RATING_RO_ROLLUP[#Headers],0)),"ERROR"))</f>
        <v>4131</v>
      </c>
      <c r="H25" s="155">
        <f>IF($B25=" ","",IFERROR(INDEX(MMWR_RATING_RO_ROLLUP[],MATCH($B25,MMWR_RATING_RO_ROLLUP[MMWR_RATING_RO_ROLLUP],0),MATCH(H$9,MMWR_RATING_RO_ROLLUP[#Headers],0)),"ERROR"))</f>
        <v>154.92615012109999</v>
      </c>
      <c r="I25" s="155">
        <f>IF($B25=" ","",IFERROR(INDEX(MMWR_RATING_RO_ROLLUP[],MATCH($B25,MMWR_RATING_RO_ROLLUP[MMWR_RATING_RO_ROLLUP],0),MATCH(I$9,MMWR_RATING_RO_ROLLUP[#Headers],0)),"ERROR"))</f>
        <v>164.8562091503</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2418</v>
      </c>
      <c r="D26" s="155">
        <f>IF($B26=" ","",IFERROR(INDEX(MMWR_RATING_RO_ROLLUP[],MATCH($B26,MMWR_RATING_RO_ROLLUP[MMWR_RATING_RO_ROLLUP],0),MATCH(D$9,MMWR_RATING_RO_ROLLUP[#Headers],0)),"ERROR"))</f>
        <v>78.856906534299995</v>
      </c>
      <c r="E26" s="156">
        <f>IF($B26=" ","",IFERROR(INDEX(MMWR_RATING_RO_ROLLUP[],MATCH($B26,MMWR_RATING_RO_ROLLUP[MMWR_RATING_RO_ROLLUP],0),MATCH(E$9,MMWR_RATING_RO_ROLLUP[#Headers],0))/$C26,"ERROR"))</f>
        <v>0.17907361455748552</v>
      </c>
      <c r="F26" s="154">
        <f>IF($B26=" ","",IFERROR(INDEX(MMWR_RATING_RO_ROLLUP[],MATCH($B26,MMWR_RATING_RO_ROLLUP[MMWR_RATING_RO_ROLLUP],0),MATCH(F$9,MMWR_RATING_RO_ROLLUP[#Headers],0)),"ERROR"))</f>
        <v>1224</v>
      </c>
      <c r="G26" s="154">
        <f>IF($B26=" ","",IFERROR(INDEX(MMWR_RATING_RO_ROLLUP[],MATCH($B26,MMWR_RATING_RO_ROLLUP[MMWR_RATING_RO_ROLLUP],0),MATCH(G$9,MMWR_RATING_RO_ROLLUP[#Headers],0)),"ERROR"))</f>
        <v>6111</v>
      </c>
      <c r="H26" s="155">
        <f>IF($B26=" ","",IFERROR(INDEX(MMWR_RATING_RO_ROLLUP[],MATCH($B26,MMWR_RATING_RO_ROLLUP[MMWR_RATING_RO_ROLLUP],0),MATCH(H$9,MMWR_RATING_RO_ROLLUP[#Headers],0)),"ERROR"))</f>
        <v>67.344771241800004</v>
      </c>
      <c r="I26" s="155">
        <f>IF($B26=" ","",IFERROR(INDEX(MMWR_RATING_RO_ROLLUP[],MATCH($B26,MMWR_RATING_RO_ROLLUP[MMWR_RATING_RO_ROLLUP],0),MATCH(I$9,MMWR_RATING_RO_ROLLUP[#Headers],0)),"ERROR"))</f>
        <v>56.579283259699999</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10411</v>
      </c>
      <c r="D27" s="155">
        <f>IF($B27=" ","",IFERROR(INDEX(MMWR_RATING_RO_ROLLUP[],MATCH($B27,MMWR_RATING_RO_ROLLUP[MMWR_RATING_RO_ROLLUP],0),MATCH(D$9,MMWR_RATING_RO_ROLLUP[#Headers],0)),"ERROR"))</f>
        <v>94.366631447499998</v>
      </c>
      <c r="E27" s="156">
        <f>IF($B27=" ","",IFERROR(INDEX(MMWR_RATING_RO_ROLLUP[],MATCH($B27,MMWR_RATING_RO_ROLLUP[MMWR_RATING_RO_ROLLUP],0),MATCH(E$9,MMWR_RATING_RO_ROLLUP[#Headers],0))/$C27,"ERROR"))</f>
        <v>0.22533858418979924</v>
      </c>
      <c r="F27" s="154">
        <f>IF($B27=" ","",IFERROR(INDEX(MMWR_RATING_RO_ROLLUP[],MATCH($B27,MMWR_RATING_RO_ROLLUP[MMWR_RATING_RO_ROLLUP],0),MATCH(F$9,MMWR_RATING_RO_ROLLUP[#Headers],0)),"ERROR"))</f>
        <v>2290</v>
      </c>
      <c r="G27" s="154">
        <f>IF($B27=" ","",IFERROR(INDEX(MMWR_RATING_RO_ROLLUP[],MATCH($B27,MMWR_RATING_RO_ROLLUP[MMWR_RATING_RO_ROLLUP],0),MATCH(G$9,MMWR_RATING_RO_ROLLUP[#Headers],0)),"ERROR"))</f>
        <v>9871</v>
      </c>
      <c r="H27" s="155">
        <f>IF($B27=" ","",IFERROR(INDEX(MMWR_RATING_RO_ROLLUP[],MATCH($B27,MMWR_RATING_RO_ROLLUP[MMWR_RATING_RO_ROLLUP],0),MATCH(H$9,MMWR_RATING_RO_ROLLUP[#Headers],0)),"ERROR"))</f>
        <v>130.6746724891</v>
      </c>
      <c r="I27" s="155">
        <f>IF($B27=" ","",IFERROR(INDEX(MMWR_RATING_RO_ROLLUP[],MATCH($B27,MMWR_RATING_RO_ROLLUP[MMWR_RATING_RO_ROLLUP],0),MATCH(I$9,MMWR_RATING_RO_ROLLUP[#Headers],0)),"ERROR"))</f>
        <v>142.4484854625</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1305</v>
      </c>
      <c r="D28" s="155">
        <f>IF($B28=" ","",IFERROR(INDEX(MMWR_RATING_RO_ROLLUP[],MATCH($B28,MMWR_RATING_RO_ROLLUP[MMWR_RATING_RO_ROLLUP],0),MATCH(D$9,MMWR_RATING_RO_ROLLUP[#Headers],0)),"ERROR"))</f>
        <v>76.082758620700005</v>
      </c>
      <c r="E28" s="156">
        <f>IF($B28=" ","",IFERROR(INDEX(MMWR_RATING_RO_ROLLUP[],MATCH($B28,MMWR_RATING_RO_ROLLUP[MMWR_RATING_RO_ROLLUP],0),MATCH(E$9,MMWR_RATING_RO_ROLLUP[#Headers],0))/$C28,"ERROR"))</f>
        <v>0.11877394636015326</v>
      </c>
      <c r="F28" s="154">
        <f>IF($B28=" ","",IFERROR(INDEX(MMWR_RATING_RO_ROLLUP[],MATCH($B28,MMWR_RATING_RO_ROLLUP[MMWR_RATING_RO_ROLLUP],0),MATCH(F$9,MMWR_RATING_RO_ROLLUP[#Headers],0)),"ERROR"))</f>
        <v>214</v>
      </c>
      <c r="G28" s="154">
        <f>IF($B28=" ","",IFERROR(INDEX(MMWR_RATING_RO_ROLLUP[],MATCH($B28,MMWR_RATING_RO_ROLLUP[MMWR_RATING_RO_ROLLUP],0),MATCH(G$9,MMWR_RATING_RO_ROLLUP[#Headers],0)),"ERROR"))</f>
        <v>1417</v>
      </c>
      <c r="H28" s="155">
        <f>IF($B28=" ","",IFERROR(INDEX(MMWR_RATING_RO_ROLLUP[],MATCH($B28,MMWR_RATING_RO_ROLLUP[MMWR_RATING_RO_ROLLUP],0),MATCH(H$9,MMWR_RATING_RO_ROLLUP[#Headers],0)),"ERROR"))</f>
        <v>114.56542056070001</v>
      </c>
      <c r="I28" s="155">
        <f>IF($B28=" ","",IFERROR(INDEX(MMWR_RATING_RO_ROLLUP[],MATCH($B28,MMWR_RATING_RO_ROLLUP[MMWR_RATING_RO_ROLLUP],0),MATCH(I$9,MMWR_RATING_RO_ROLLUP[#Headers],0)),"ERROR"))</f>
        <v>108.2844036697</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578</v>
      </c>
      <c r="D29" s="155">
        <f>IF($B29=" ","",IFERROR(INDEX(MMWR_RATING_RO_ROLLUP[],MATCH($B29,MMWR_RATING_RO_ROLLUP[MMWR_RATING_RO_ROLLUP],0),MATCH(D$9,MMWR_RATING_RO_ROLLUP[#Headers],0)),"ERROR"))</f>
        <v>99.391003460199997</v>
      </c>
      <c r="E29" s="156">
        <f>IF($B29=" ","",IFERROR(INDEX(MMWR_RATING_RO_ROLLUP[],MATCH($B29,MMWR_RATING_RO_ROLLUP[MMWR_RATING_RO_ROLLUP],0),MATCH(E$9,MMWR_RATING_RO_ROLLUP[#Headers],0))/$C29,"ERROR"))</f>
        <v>0.25605536332179929</v>
      </c>
      <c r="F29" s="154">
        <f>IF($B29=" ","",IFERROR(INDEX(MMWR_RATING_RO_ROLLUP[],MATCH($B29,MMWR_RATING_RO_ROLLUP[MMWR_RATING_RO_ROLLUP],0),MATCH(F$9,MMWR_RATING_RO_ROLLUP[#Headers],0)),"ERROR"))</f>
        <v>113</v>
      </c>
      <c r="G29" s="154">
        <f>IF($B29=" ","",IFERROR(INDEX(MMWR_RATING_RO_ROLLUP[],MATCH($B29,MMWR_RATING_RO_ROLLUP[MMWR_RATING_RO_ROLLUP],0),MATCH(G$9,MMWR_RATING_RO_ROLLUP[#Headers],0)),"ERROR"))</f>
        <v>361</v>
      </c>
      <c r="H29" s="155">
        <f>IF($B29=" ","",IFERROR(INDEX(MMWR_RATING_RO_ROLLUP[],MATCH($B29,MMWR_RATING_RO_ROLLUP[MMWR_RATING_RO_ROLLUP],0),MATCH(H$9,MMWR_RATING_RO_ROLLUP[#Headers],0)),"ERROR"))</f>
        <v>138.6991150442</v>
      </c>
      <c r="I29" s="155">
        <f>IF($B29=" ","",IFERROR(INDEX(MMWR_RATING_RO_ROLLUP[],MATCH($B29,MMWR_RATING_RO_ROLLUP[MMWR_RATING_RO_ROLLUP],0),MATCH(I$9,MMWR_RATING_RO_ROLLUP[#Headers],0)),"ERROR"))</f>
        <v>142.19113573409999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739</v>
      </c>
      <c r="D30" s="155">
        <f>IF($B30=" ","",IFERROR(INDEX(MMWR_RATING_RO_ROLLUP[],MATCH($B30,MMWR_RATING_RO_ROLLUP[MMWR_RATING_RO_ROLLUP],0),MATCH(D$9,MMWR_RATING_RO_ROLLUP[#Headers],0)),"ERROR"))</f>
        <v>106.4817320704</v>
      </c>
      <c r="E30" s="156">
        <f>IF($B30=" ","",IFERROR(INDEX(MMWR_RATING_RO_ROLLUP[],MATCH($B30,MMWR_RATING_RO_ROLLUP[MMWR_RATING_RO_ROLLUP],0),MATCH(E$9,MMWR_RATING_RO_ROLLUP[#Headers],0))/$C30,"ERROR"))</f>
        <v>0.3125845737483085</v>
      </c>
      <c r="F30" s="154">
        <f>IF($B30=" ","",IFERROR(INDEX(MMWR_RATING_RO_ROLLUP[],MATCH($B30,MMWR_RATING_RO_ROLLUP[MMWR_RATING_RO_ROLLUP],0),MATCH(F$9,MMWR_RATING_RO_ROLLUP[#Headers],0)),"ERROR"))</f>
        <v>150</v>
      </c>
      <c r="G30" s="154">
        <f>IF($B30=" ","",IFERROR(INDEX(MMWR_RATING_RO_ROLLUP[],MATCH($B30,MMWR_RATING_RO_ROLLUP[MMWR_RATING_RO_ROLLUP],0),MATCH(G$9,MMWR_RATING_RO_ROLLUP[#Headers],0)),"ERROR"))</f>
        <v>766</v>
      </c>
      <c r="H30" s="155">
        <f>IF($B30=" ","",IFERROR(INDEX(MMWR_RATING_RO_ROLLUP[],MATCH($B30,MMWR_RATING_RO_ROLLUP[MMWR_RATING_RO_ROLLUP],0),MATCH(H$9,MMWR_RATING_RO_ROLLUP[#Headers],0)),"ERROR"))</f>
        <v>153.39333333330001</v>
      </c>
      <c r="I30" s="155">
        <f>IF($B30=" ","",IFERROR(INDEX(MMWR_RATING_RO_ROLLUP[],MATCH($B30,MMWR_RATING_RO_ROLLUP[MMWR_RATING_RO_ROLLUP],0),MATCH(I$9,MMWR_RATING_RO_ROLLUP[#Headers],0)),"ERROR"))</f>
        <v>143.54960835509999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16129</v>
      </c>
      <c r="D31" s="155">
        <f>IF($B31=" ","",IFERROR(INDEX(MMWR_RATING_RO_ROLLUP[],MATCH($B31,MMWR_RATING_RO_ROLLUP[MMWR_RATING_RO_ROLLUP],0),MATCH(D$9,MMWR_RATING_RO_ROLLUP[#Headers],0)),"ERROR"))</f>
        <v>102.53084506170001</v>
      </c>
      <c r="E31" s="156">
        <f>IF($B31=" ","",IFERROR(INDEX(MMWR_RATING_RO_ROLLUP[],MATCH($B31,MMWR_RATING_RO_ROLLUP[MMWR_RATING_RO_ROLLUP],0),MATCH(E$9,MMWR_RATING_RO_ROLLUP[#Headers],0))/$C31,"ERROR"))</f>
        <v>0.2703825407650815</v>
      </c>
      <c r="F31" s="154">
        <f>IF($B31=" ","",IFERROR(INDEX(MMWR_RATING_RO_ROLLUP[],MATCH($B31,MMWR_RATING_RO_ROLLUP[MMWR_RATING_RO_ROLLUP],0),MATCH(F$9,MMWR_RATING_RO_ROLLUP[#Headers],0)),"ERROR"))</f>
        <v>3046</v>
      </c>
      <c r="G31" s="154">
        <f>IF($B31=" ","",IFERROR(INDEX(MMWR_RATING_RO_ROLLUP[],MATCH($B31,MMWR_RATING_RO_ROLLUP[MMWR_RATING_RO_ROLLUP],0),MATCH(G$9,MMWR_RATING_RO_ROLLUP[#Headers],0)),"ERROR"))</f>
        <v>16168</v>
      </c>
      <c r="H31" s="155">
        <f>IF($B31=" ","",IFERROR(INDEX(MMWR_RATING_RO_ROLLUP[],MATCH($B31,MMWR_RATING_RO_ROLLUP[MMWR_RATING_RO_ROLLUP],0),MATCH(H$9,MMWR_RATING_RO_ROLLUP[#Headers],0)),"ERROR"))</f>
        <v>148.32961260670001</v>
      </c>
      <c r="I31" s="155">
        <f>IF($B31=" ","",IFERROR(INDEX(MMWR_RATING_RO_ROLLUP[],MATCH($B31,MMWR_RATING_RO_ROLLUP[MMWR_RATING_RO_ROLLUP],0),MATCH(I$9,MMWR_RATING_RO_ROLLUP[#Headers],0)),"ERROR"))</f>
        <v>149.1619866403</v>
      </c>
      <c r="J31" s="42"/>
      <c r="K31" s="42"/>
      <c r="L31" s="42"/>
      <c r="M31" s="42"/>
      <c r="N31" s="28"/>
    </row>
    <row r="32" spans="1:14" x14ac:dyDescent="0.2">
      <c r="A32" s="25"/>
      <c r="B32" s="342" t="s">
        <v>737</v>
      </c>
      <c r="C32" s="343"/>
      <c r="D32" s="343"/>
      <c r="E32" s="343"/>
      <c r="F32" s="343"/>
      <c r="G32" s="343"/>
      <c r="H32" s="343"/>
      <c r="I32" s="343"/>
      <c r="J32" s="343"/>
      <c r="K32" s="343"/>
      <c r="L32" s="343"/>
      <c r="M32" s="393"/>
      <c r="N32" s="28"/>
    </row>
    <row r="33" spans="1:14" x14ac:dyDescent="0.2">
      <c r="A33" s="25"/>
      <c r="B33" s="11" t="s">
        <v>700</v>
      </c>
      <c r="C33" s="154">
        <f>IF($B33=" ","",IFERROR(INDEX(MMWR_RATING_RO_ROLLUP[],MATCH($B33,MMWR_RATING_RO_ROLLUP[MMWR_RATING_RO_ROLLUP],0),MATCH(C$9,MMWR_RATING_RO_ROLLUP[#Headers],0)),"ERROR"))</f>
        <v>26761</v>
      </c>
      <c r="D33" s="155">
        <f>IF($B33=" ","",IFERROR(INDEX(MMWR_RATING_RO_ROLLUP[],MATCH($B33,MMWR_RATING_RO_ROLLUP[MMWR_RATING_RO_ROLLUP],0),MATCH(D$9,MMWR_RATING_RO_ROLLUP[#Headers],0)),"ERROR"))</f>
        <v>70.9458914091</v>
      </c>
      <c r="E33" s="156">
        <f>IF($B33=" ","",IFERROR(INDEX(MMWR_RATING_RO_ROLLUP[],MATCH($B33,MMWR_RATING_RO_ROLLUP[MMWR_RATING_RO_ROLLUP],0),MATCH(E$9,MMWR_RATING_RO_ROLLUP[#Headers],0))/$C33,"ERROR"))</f>
        <v>0.11060872164717313</v>
      </c>
      <c r="F33" s="154">
        <f>IF($B33=" ","",IFERROR(INDEX(MMWR_RATING_RO_ROLLUP[],MATCH($B33,MMWR_RATING_RO_ROLLUP[MMWR_RATING_RO_ROLLUP],0),MATCH(F$9,MMWR_RATING_RO_ROLLUP[#Headers],0)),"ERROR"))</f>
        <v>8121</v>
      </c>
      <c r="G33" s="154">
        <f>IF($B33=" ","",IFERROR(INDEX(MMWR_RATING_RO_ROLLUP[],MATCH($B33,MMWR_RATING_RO_ROLLUP[MMWR_RATING_RO_ROLLUP],0),MATCH(G$9,MMWR_RATING_RO_ROLLUP[#Headers],0)),"ERROR"))</f>
        <v>44314</v>
      </c>
      <c r="H33" s="155">
        <f>IF($B33=" ","",IFERROR(INDEX(MMWR_RATING_RO_ROLLUP[],MATCH($B33,MMWR_RATING_RO_ROLLUP[MMWR_RATING_RO_ROLLUP],0),MATCH(H$9,MMWR_RATING_RO_ROLLUP[#Headers],0)),"ERROR"))</f>
        <v>79.3896071912</v>
      </c>
      <c r="I33" s="155">
        <f>IF($B33=" ","",IFERROR(INDEX(MMWR_RATING_RO_ROLLUP[],MATCH($B33,MMWR_RATING_RO_ROLLUP[MMWR_RATING_RO_ROLLUP],0),MATCH(I$9,MMWR_RATING_RO_ROLLUP[#Headers],0)),"ERROR"))</f>
        <v>72.820688721400003</v>
      </c>
      <c r="J33" s="42"/>
      <c r="K33" s="42"/>
      <c r="L33" s="42"/>
      <c r="M33" s="42"/>
      <c r="N33" s="28"/>
    </row>
    <row r="34" spans="1:14" x14ac:dyDescent="0.2">
      <c r="A34" s="25"/>
      <c r="B34" s="12" t="s">
        <v>213</v>
      </c>
      <c r="C34" s="154">
        <f>IF($B34=" ","",IFERROR(INDEX(MMWR_RATING_RO_ROLLUP[],MATCH($B34,MMWR_RATING_RO_ROLLUP[MMWR_RATING_RO_ROLLUP],0),MATCH(C$9,MMWR_RATING_RO_ROLLUP[#Headers],0)),"ERROR"))</f>
        <v>12175</v>
      </c>
      <c r="D34" s="155">
        <f>IF($B34=" ","",IFERROR(INDEX(MMWR_RATING_RO_ROLLUP[],MATCH($B34,MMWR_RATING_RO_ROLLUP[MMWR_RATING_RO_ROLLUP],0),MATCH(D$9,MMWR_RATING_RO_ROLLUP[#Headers],0)),"ERROR"))</f>
        <v>70.989979466099996</v>
      </c>
      <c r="E34" s="156">
        <f>IF($B34=" ","",IFERROR(INDEX(MMWR_RATING_RO_ROLLUP[],MATCH($B34,MMWR_RATING_RO_ROLLUP[MMWR_RATING_RO_ROLLUP],0),MATCH(E$9,MMWR_RATING_RO_ROLLUP[#Headers],0))/$C34,"ERROR"))</f>
        <v>9.9383983572895282E-2</v>
      </c>
      <c r="F34" s="154">
        <f>IF($B34=" ","",IFERROR(INDEX(MMWR_RATING_RO_ROLLUP[],MATCH($B34,MMWR_RATING_RO_ROLLUP[MMWR_RATING_RO_ROLLUP],0),MATCH(F$9,MMWR_RATING_RO_ROLLUP[#Headers],0)),"ERROR"))</f>
        <v>2609</v>
      </c>
      <c r="G34" s="154">
        <f>IF($B34=" ","",IFERROR(INDEX(MMWR_RATING_RO_ROLLUP[],MATCH($B34,MMWR_RATING_RO_ROLLUP[MMWR_RATING_RO_ROLLUP],0),MATCH(G$9,MMWR_RATING_RO_ROLLUP[#Headers],0)),"ERROR"))</f>
        <v>13962</v>
      </c>
      <c r="H34" s="155">
        <f>IF($B34=" ","",IFERROR(INDEX(MMWR_RATING_RO_ROLLUP[],MATCH($B34,MMWR_RATING_RO_ROLLUP[MMWR_RATING_RO_ROLLUP],0),MATCH(H$9,MMWR_RATING_RO_ROLLUP[#Headers],0)),"ERROR"))</f>
        <v>99.032962820999998</v>
      </c>
      <c r="I34" s="155">
        <f>IF($B34=" ","",IFERROR(INDEX(MMWR_RATING_RO_ROLLUP[],MATCH($B34,MMWR_RATING_RO_ROLLUP[MMWR_RATING_RO_ROLLUP],0),MATCH(I$9,MMWR_RATING_RO_ROLLUP[#Headers],0)),"ERROR"))</f>
        <v>86.405887408699996</v>
      </c>
      <c r="J34" s="42"/>
      <c r="K34" s="42"/>
      <c r="L34" s="42"/>
      <c r="M34" s="42"/>
      <c r="N34" s="28"/>
    </row>
    <row r="35" spans="1:14" x14ac:dyDescent="0.2">
      <c r="A35" s="43"/>
      <c r="B35" s="12" t="s">
        <v>212</v>
      </c>
      <c r="C35" s="154">
        <f>IF($B35=" ","",IFERROR(INDEX(MMWR_RATING_RO_ROLLUP[],MATCH($B35,MMWR_RATING_RO_ROLLUP[MMWR_RATING_RO_ROLLUP],0),MATCH(C$9,MMWR_RATING_RO_ROLLUP[#Headers],0)),"ERROR"))</f>
        <v>6704</v>
      </c>
      <c r="D35" s="155">
        <f>IF($B35=" ","",IFERROR(INDEX(MMWR_RATING_RO_ROLLUP[],MATCH($B35,MMWR_RATING_RO_ROLLUP[MMWR_RATING_RO_ROLLUP],0),MATCH(D$9,MMWR_RATING_RO_ROLLUP[#Headers],0)),"ERROR"))</f>
        <v>69.266557279200001</v>
      </c>
      <c r="E35" s="156">
        <f>IF($B35=" ","",IFERROR(INDEX(MMWR_RATING_RO_ROLLUP[],MATCH($B35,MMWR_RATING_RO_ROLLUP[MMWR_RATING_RO_ROLLUP],0),MATCH(E$9,MMWR_RATING_RO_ROLLUP[#Headers],0))/$C35,"ERROR"))</f>
        <v>0.11321599045346062</v>
      </c>
      <c r="F35" s="154">
        <f>IF($B35=" ","",IFERROR(INDEX(MMWR_RATING_RO_ROLLUP[],MATCH($B35,MMWR_RATING_RO_ROLLUP[MMWR_RATING_RO_ROLLUP],0),MATCH(F$9,MMWR_RATING_RO_ROLLUP[#Headers],0)),"ERROR"))</f>
        <v>2281</v>
      </c>
      <c r="G35" s="154">
        <f>IF($B35=" ","",IFERROR(INDEX(MMWR_RATING_RO_ROLLUP[],MATCH($B35,MMWR_RATING_RO_ROLLUP[MMWR_RATING_RO_ROLLUP],0),MATCH(G$9,MMWR_RATING_RO_ROLLUP[#Headers],0)),"ERROR"))</f>
        <v>12319</v>
      </c>
      <c r="H35" s="155">
        <f>IF($B35=" ","",IFERROR(INDEX(MMWR_RATING_RO_ROLLUP[],MATCH($B35,MMWR_RATING_RO_ROLLUP[MMWR_RATING_RO_ROLLUP],0),MATCH(H$9,MMWR_RATING_RO_ROLLUP[#Headers],0)),"ERROR"))</f>
        <v>79.091626479599995</v>
      </c>
      <c r="I35" s="155">
        <f>IF($B35=" ","",IFERROR(INDEX(MMWR_RATING_RO_ROLLUP[],MATCH($B35,MMWR_RATING_RO_ROLLUP[MMWR_RATING_RO_ROLLUP],0),MATCH(I$9,MMWR_RATING_RO_ROLLUP[#Headers],0)),"ERROR"))</f>
        <v>70.235571069100004</v>
      </c>
      <c r="J35" s="42"/>
      <c r="K35" s="42"/>
      <c r="L35" s="42"/>
      <c r="M35" s="42"/>
      <c r="N35" s="28"/>
    </row>
    <row r="36" spans="1:14" x14ac:dyDescent="0.2">
      <c r="A36" s="25"/>
      <c r="B36" s="12" t="s">
        <v>215</v>
      </c>
      <c r="C36" s="154">
        <f>IF($B36=" ","",IFERROR(INDEX(MMWR_RATING_RO_ROLLUP[],MATCH($B36,MMWR_RATING_RO_ROLLUP[MMWR_RATING_RO_ROLLUP],0),MATCH(C$9,MMWR_RATING_RO_ROLLUP[#Headers],0)),"ERROR"))</f>
        <v>7173</v>
      </c>
      <c r="D36" s="155">
        <f>IF($B36=" ","",IFERROR(INDEX(MMWR_RATING_RO_ROLLUP[],MATCH($B36,MMWR_RATING_RO_ROLLUP[MMWR_RATING_RO_ROLLUP],0),MATCH(D$9,MMWR_RATING_RO_ROLLUP[#Headers],0)),"ERROR"))</f>
        <v>63.109298759200001</v>
      </c>
      <c r="E36" s="156">
        <f>IF($B36=" ","",IFERROR(INDEX(MMWR_RATING_RO_ROLLUP[],MATCH($B36,MMWR_RATING_RO_ROLLUP[MMWR_RATING_RO_ROLLUP],0),MATCH(E$9,MMWR_RATING_RO_ROLLUP[#Headers],0))/$C36,"ERROR"))</f>
        <v>9.1872298898647703E-2</v>
      </c>
      <c r="F36" s="154">
        <f>IF($B36=" ","",IFERROR(INDEX(MMWR_RATING_RO_ROLLUP[],MATCH($B36,MMWR_RATING_RO_ROLLUP[MMWR_RATING_RO_ROLLUP],0),MATCH(F$9,MMWR_RATING_RO_ROLLUP[#Headers],0)),"ERROR"))</f>
        <v>2914</v>
      </c>
      <c r="G36" s="154">
        <f>IF($B36=" ","",IFERROR(INDEX(MMWR_RATING_RO_ROLLUP[],MATCH($B36,MMWR_RATING_RO_ROLLUP[MMWR_RATING_RO_ROLLUP],0),MATCH(G$9,MMWR_RATING_RO_ROLLUP[#Headers],0)),"ERROR"))</f>
        <v>16425</v>
      </c>
      <c r="H36" s="155">
        <f>IF($B36=" ","",IFERROR(INDEX(MMWR_RATING_RO_ROLLUP[],MATCH($B36,MMWR_RATING_RO_ROLLUP[MMWR_RATING_RO_ROLLUP],0),MATCH(H$9,MMWR_RATING_RO_ROLLUP[#Headers],0)),"ERROR"))</f>
        <v>64.192518874399994</v>
      </c>
      <c r="I36" s="155">
        <f>IF($B36=" ","",IFERROR(INDEX(MMWR_RATING_RO_ROLLUP[],MATCH($B36,MMWR_RATING_RO_ROLLUP[MMWR_RATING_RO_ROLLUP],0),MATCH(I$9,MMWR_RATING_RO_ROLLUP[#Headers],0)),"ERROR"))</f>
        <v>65.076773211599999</v>
      </c>
      <c r="J36" s="42"/>
      <c r="K36" s="42"/>
      <c r="L36" s="42"/>
      <c r="M36" s="42"/>
      <c r="N36" s="28"/>
    </row>
    <row r="37" spans="1:14" x14ac:dyDescent="0.2">
      <c r="A37" s="25"/>
      <c r="B37" s="13" t="s">
        <v>227</v>
      </c>
      <c r="C37" s="154">
        <f>IF($B37=" ","",IFERROR(INDEX(MMWR_RATING_RO_ROLLUP[],MATCH($B37,MMWR_RATING_RO_ROLLUP[MMWR_RATING_RO_ROLLUP],0),MATCH(C$9,MMWR_RATING_RO_ROLLUP[#Headers],0)),"ERROR"))</f>
        <v>709</v>
      </c>
      <c r="D37" s="155">
        <f>IF($B37=" ","",IFERROR(INDEX(MMWR_RATING_RO_ROLLUP[],MATCH($B37,MMWR_RATING_RO_ROLLUP[MMWR_RATING_RO_ROLLUP],0),MATCH(D$9,MMWR_RATING_RO_ROLLUP[#Headers],0)),"ERROR"))</f>
        <v>165.35119887170001</v>
      </c>
      <c r="E37" s="156">
        <f>IF($B37=" ","",IFERROR(INDEX(MMWR_RATING_RO_ROLLUP[],MATCH($B37,MMWR_RATING_RO_ROLLUP[MMWR_RATING_RO_ROLLUP],0),MATCH(E$9,MMWR_RATING_RO_ROLLUP[#Headers],0))/$C37,"ERROR"))</f>
        <v>0.46826516220028208</v>
      </c>
      <c r="F37" s="154">
        <f>IF($B37=" ","",IFERROR(INDEX(MMWR_RATING_RO_ROLLUP[],MATCH($B37,MMWR_RATING_RO_ROLLUP[MMWR_RATING_RO_ROLLUP],0),MATCH(F$9,MMWR_RATING_RO_ROLLUP[#Headers],0)),"ERROR"))</f>
        <v>317</v>
      </c>
      <c r="G37" s="154">
        <f>IF($B37=" ","",IFERROR(INDEX(MMWR_RATING_RO_ROLLUP[],MATCH($B37,MMWR_RATING_RO_ROLLUP[MMWR_RATING_RO_ROLLUP],0),MATCH(G$9,MMWR_RATING_RO_ROLLUP[#Headers],0)),"ERROR"))</f>
        <v>1608</v>
      </c>
      <c r="H37" s="155">
        <f>IF($B37=" ","",IFERROR(INDEX(MMWR_RATING_RO_ROLLUP[],MATCH($B37,MMWR_RATING_RO_ROLLUP[MMWR_RATING_RO_ROLLUP],0),MATCH(H$9,MMWR_RATING_RO_ROLLUP[#Headers],0)),"ERROR"))</f>
        <v>59.561514195599997</v>
      </c>
      <c r="I37" s="155">
        <f>IF($B37=" ","",IFERROR(INDEX(MMWR_RATING_RO_ROLLUP[],MATCH($B37,MMWR_RATING_RO_ROLLUP[MMWR_RATING_RO_ROLLUP],0),MATCH(I$9,MMWR_RATING_RO_ROLLUP[#Headers],0)),"ERROR"))</f>
        <v>53.768034825900003</v>
      </c>
      <c r="J37" s="42"/>
      <c r="K37" s="42"/>
      <c r="L37" s="42"/>
      <c r="M37" s="42"/>
      <c r="N37" s="28"/>
    </row>
    <row r="38" spans="1:14" x14ac:dyDescent="0.2">
      <c r="A38" s="25"/>
      <c r="B38" s="342" t="s">
        <v>920</v>
      </c>
      <c r="C38" s="343"/>
      <c r="D38" s="343"/>
      <c r="E38" s="343"/>
      <c r="F38" s="343"/>
      <c r="G38" s="343"/>
      <c r="H38" s="343"/>
      <c r="I38" s="343"/>
      <c r="J38" s="343"/>
      <c r="K38" s="343"/>
      <c r="L38" s="343"/>
      <c r="M38" s="393"/>
      <c r="N38" s="28"/>
    </row>
    <row r="39" spans="1:14" x14ac:dyDescent="0.2">
      <c r="A39" s="25"/>
      <c r="B39" s="44" t="s">
        <v>701</v>
      </c>
      <c r="C39" s="154">
        <f>IF($B39=" ","",IFERROR(INDEX(MMWR_RATING_RO_ROLLUP[],MATCH($B39,MMWR_RATING_RO_ROLLUP[MMWR_RATING_RO_ROLLUP],0),MATCH(C$9,MMWR_RATING_RO_ROLLUP[#Headers],0)),"ERROR"))</f>
        <v>10678</v>
      </c>
      <c r="D39" s="155">
        <f>IF($B39=" ","",IFERROR(INDEX(MMWR_RATING_RO_ROLLUP[],MATCH($B39,MMWR_RATING_RO_ROLLUP[MMWR_RATING_RO_ROLLUP],0),MATCH(D$9,MMWR_RATING_RO_ROLLUP[#Headers],0)),"ERROR"))</f>
        <v>90.566679153400003</v>
      </c>
      <c r="E39" s="156">
        <f>IF($B39=" ","",IFERROR(INDEX(MMWR_RATING_RO_ROLLUP[],MATCH($B39,MMWR_RATING_RO_ROLLUP[MMWR_RATING_RO_ROLLUP],0),MATCH(E$9,MMWR_RATING_RO_ROLLUP[#Headers],0))/$C39,"ERROR"))</f>
        <v>0.23403259037272897</v>
      </c>
      <c r="F39" s="154">
        <f>IF($B39=" ","",IFERROR(INDEX(MMWR_RATING_RO_ROLLUP[],MATCH($B39,MMWR_RATING_RO_ROLLUP[MMWR_RATING_RO_ROLLUP],0),MATCH(F$9,MMWR_RATING_RO_ROLLUP[#Headers],0)),"ERROR"))</f>
        <v>1193</v>
      </c>
      <c r="G39" s="154">
        <f>IF($B39=" ","",IFERROR(INDEX(MMWR_RATING_RO_ROLLUP[],MATCH($B39,MMWR_RATING_RO_ROLLUP[MMWR_RATING_RO_ROLLUP],0),MATCH(G$9,MMWR_RATING_RO_ROLLUP[#Headers],0)),"ERROR"))</f>
        <v>5929</v>
      </c>
      <c r="H39" s="155">
        <f>IF($B39=" ","",IFERROR(INDEX(MMWR_RATING_RO_ROLLUP[],MATCH($B39,MMWR_RATING_RO_ROLLUP[MMWR_RATING_RO_ROLLUP],0),MATCH(H$9,MMWR_RATING_RO_ROLLUP[#Headers],0)),"ERROR"))</f>
        <v>159.5565800503</v>
      </c>
      <c r="I39" s="155">
        <f>IF($B39=" ","",IFERROR(INDEX(MMWR_RATING_RO_ROLLUP[],MATCH($B39,MMWR_RATING_RO_ROLLUP[MMWR_RATING_RO_ROLLUP],0),MATCH(I$9,MMWR_RATING_RO_ROLLUP[#Headers],0)),"ERROR"))</f>
        <v>144.1583740934</v>
      </c>
      <c r="J39" s="42"/>
      <c r="K39" s="42"/>
      <c r="L39" s="42"/>
      <c r="M39" s="42"/>
      <c r="N39" s="28"/>
    </row>
    <row r="40" spans="1:14" x14ac:dyDescent="0.2">
      <c r="A40" s="25"/>
      <c r="B40" s="53" t="s">
        <v>960</v>
      </c>
      <c r="C40" s="154">
        <f>IF($B40=" ","",IFERROR(INDEX(MMWR_RATING_RO_ROLLUP[],MATCH($B40,MMWR_RATING_RO_ROLLUP[MMWR_RATING_RO_ROLLUP],0),MATCH(C$9,MMWR_RATING_RO_ROLLUP[#Headers],0)),"ERROR"))</f>
        <v>1758</v>
      </c>
      <c r="D40" s="155">
        <f>IF($B40=" ","",IFERROR(INDEX(MMWR_RATING_RO_ROLLUP[],MATCH($B40,MMWR_RATING_RO_ROLLUP[MMWR_RATING_RO_ROLLUP],0),MATCH(D$9,MMWR_RATING_RO_ROLLUP[#Headers],0)),"ERROR"))</f>
        <v>86.391922639399993</v>
      </c>
      <c r="E40" s="156">
        <f>IF($B40=" ","",IFERROR(INDEX(MMWR_RATING_RO_ROLLUP[],MATCH($B40,MMWR_RATING_RO_ROLLUP[MMWR_RATING_RO_ROLLUP],0),MATCH(E$9,MMWR_RATING_RO_ROLLUP[#Headers],0))/$C40,"ERROR"))</f>
        <v>0.22241183162684869</v>
      </c>
      <c r="F40" s="154">
        <f>IF($B40=" ","",IFERROR(INDEX(MMWR_RATING_RO_ROLLUP[],MATCH($B40,MMWR_RATING_RO_ROLLUP[MMWR_RATING_RO_ROLLUP],0),MATCH(F$9,MMWR_RATING_RO_ROLLUP[#Headers],0)),"ERROR"))</f>
        <v>244</v>
      </c>
      <c r="G40" s="154">
        <f>IF($B40=" ","",IFERROR(INDEX(MMWR_RATING_RO_ROLLUP[],MATCH($B40,MMWR_RATING_RO_ROLLUP[MMWR_RATING_RO_ROLLUP],0),MATCH(G$9,MMWR_RATING_RO_ROLLUP[#Headers],0)),"ERROR"))</f>
        <v>1311</v>
      </c>
      <c r="H40" s="155">
        <f>IF($B40=" ","",IFERROR(INDEX(MMWR_RATING_RO_ROLLUP[],MATCH($B40,MMWR_RATING_RO_ROLLUP[MMWR_RATING_RO_ROLLUP],0),MATCH(H$9,MMWR_RATING_RO_ROLLUP[#Headers],0)),"ERROR"))</f>
        <v>146.59426229510001</v>
      </c>
      <c r="I40" s="155">
        <f>IF($B40=" ","",IFERROR(INDEX(MMWR_RATING_RO_ROLLUP[],MATCH($B40,MMWR_RATING_RO_ROLLUP[MMWR_RATING_RO_ROLLUP],0),MATCH(I$9,MMWR_RATING_RO_ROLLUP[#Headers],0)),"ERROR"))</f>
        <v>127.6292906178</v>
      </c>
      <c r="J40" s="42"/>
      <c r="K40" s="42"/>
      <c r="L40" s="42"/>
      <c r="M40" s="42"/>
      <c r="N40" s="28"/>
    </row>
    <row r="41" spans="1:14" x14ac:dyDescent="0.2">
      <c r="A41" s="25"/>
      <c r="B41" s="53" t="s">
        <v>961</v>
      </c>
      <c r="C41" s="154">
        <f>IF($B41=" ","",IFERROR(INDEX(MMWR_RATING_RO_ROLLUP[],MATCH($B41,MMWR_RATING_RO_ROLLUP[MMWR_RATING_RO_ROLLUP],0),MATCH(C$9,MMWR_RATING_RO_ROLLUP[#Headers],0)),"ERROR"))</f>
        <v>1739</v>
      </c>
      <c r="D41" s="155">
        <f>IF($B41=" ","",IFERROR(INDEX(MMWR_RATING_RO_ROLLUP[],MATCH($B41,MMWR_RATING_RO_ROLLUP[MMWR_RATING_RO_ROLLUP],0),MATCH(D$9,MMWR_RATING_RO_ROLLUP[#Headers],0)),"ERROR"))</f>
        <v>95.549741230600006</v>
      </c>
      <c r="E41" s="156">
        <f>IF($B41=" ","",IFERROR(INDEX(MMWR_RATING_RO_ROLLUP[],MATCH($B41,MMWR_RATING_RO_ROLLUP[MMWR_RATING_RO_ROLLUP],0),MATCH(E$9,MMWR_RATING_RO_ROLLUP[#Headers],0))/$C41,"ERROR"))</f>
        <v>0.30534790109258192</v>
      </c>
      <c r="F41" s="154">
        <f>IF($B41=" ","",IFERROR(INDEX(MMWR_RATING_RO_ROLLUP[],MATCH($B41,MMWR_RATING_RO_ROLLUP[MMWR_RATING_RO_ROLLUP],0),MATCH(F$9,MMWR_RATING_RO_ROLLUP[#Headers],0)),"ERROR"))</f>
        <v>205</v>
      </c>
      <c r="G41" s="154">
        <f>IF($B41=" ","",IFERROR(INDEX(MMWR_RATING_RO_ROLLUP[],MATCH($B41,MMWR_RATING_RO_ROLLUP[MMWR_RATING_RO_ROLLUP],0),MATCH(G$9,MMWR_RATING_RO_ROLLUP[#Headers],0)),"ERROR"))</f>
        <v>1059</v>
      </c>
      <c r="H41" s="155">
        <f>IF($B41=" ","",IFERROR(INDEX(MMWR_RATING_RO_ROLLUP[],MATCH($B41,MMWR_RATING_RO_ROLLUP[MMWR_RATING_RO_ROLLUP],0),MATCH(H$9,MMWR_RATING_RO_ROLLUP[#Headers],0)),"ERROR"))</f>
        <v>164.05365853660001</v>
      </c>
      <c r="I41" s="155">
        <f>IF($B41=" ","",IFERROR(INDEX(MMWR_RATING_RO_ROLLUP[],MATCH($B41,MMWR_RATING_RO_ROLLUP[MMWR_RATING_RO_ROLLUP],0),MATCH(I$9,MMWR_RATING_RO_ROLLUP[#Headers],0)),"ERROR"))</f>
        <v>154.40037771479999</v>
      </c>
      <c r="J41" s="42"/>
      <c r="K41" s="42"/>
      <c r="L41" s="42"/>
      <c r="M41" s="42"/>
      <c r="N41" s="28"/>
    </row>
    <row r="42" spans="1:14" x14ac:dyDescent="0.2">
      <c r="A42" s="25"/>
      <c r="B42" s="46" t="s">
        <v>310</v>
      </c>
      <c r="C42" s="154">
        <f>IF($B42=" ","",IFERROR(INDEX(MMWR_RATING_RO_ROLLUP[],MATCH($B42,MMWR_RATING_RO_ROLLUP[MMWR_RATING_RO_ROLLUP],0),MATCH(C$9,MMWR_RATING_RO_ROLLUP[#Headers],0)),"ERROR"))</f>
        <v>7181</v>
      </c>
      <c r="D42" s="155">
        <f>IF($B42=" ","",IFERROR(INDEX(MMWR_RATING_RO_ROLLUP[],MATCH($B42,MMWR_RATING_RO_ROLLUP[MMWR_RATING_RO_ROLLUP],0),MATCH(D$9,MMWR_RATING_RO_ROLLUP[#Headers],0)),"ERROR"))</f>
        <v>90.381980225600003</v>
      </c>
      <c r="E42" s="156">
        <f>IF($B42=" ","",IFERROR(INDEX(MMWR_RATING_RO_ROLLUP[],MATCH($B42,MMWR_RATING_RO_ROLLUP[MMWR_RATING_RO_ROLLUP],0),MATCH(E$9,MMWR_RATING_RO_ROLLUP[#Headers],0))/$C42,"ERROR"))</f>
        <v>0.2196072970338393</v>
      </c>
      <c r="F42" s="154">
        <f>IF($B42=" ","",IFERROR(INDEX(MMWR_RATING_RO_ROLLUP[],MATCH($B42,MMWR_RATING_RO_ROLLUP[MMWR_RATING_RO_ROLLUP],0),MATCH(F$9,MMWR_RATING_RO_ROLLUP[#Headers],0)),"ERROR"))</f>
        <v>744</v>
      </c>
      <c r="G42" s="154">
        <f>IF($B42=" ","",IFERROR(INDEX(MMWR_RATING_RO_ROLLUP[],MATCH($B42,MMWR_RATING_RO_ROLLUP[MMWR_RATING_RO_ROLLUP],0),MATCH(G$9,MMWR_RATING_RO_ROLLUP[#Headers],0)),"ERROR"))</f>
        <v>3559</v>
      </c>
      <c r="H42" s="155">
        <f>IF($B42=" ","",IFERROR(INDEX(MMWR_RATING_RO_ROLLUP[],MATCH($B42,MMWR_RATING_RO_ROLLUP[MMWR_RATING_RO_ROLLUP],0),MATCH(H$9,MMWR_RATING_RO_ROLLUP[#Headers],0)),"ERROR"))</f>
        <v>162.56854838710001</v>
      </c>
      <c r="I42" s="155">
        <f>IF($B42=" ","",IFERROR(INDEX(MMWR_RATING_RO_ROLLUP[],MATCH($B42,MMWR_RATING_RO_ROLLUP[MMWR_RATING_RO_ROLLUP],0),MATCH(I$9,MMWR_RATING_RO_ROLLUP[#Headers],0)),"ERROR"))</f>
        <v>147.19949424000001</v>
      </c>
      <c r="J42" s="42"/>
      <c r="K42" s="42"/>
      <c r="L42" s="42"/>
      <c r="M42" s="42"/>
      <c r="N42" s="28"/>
    </row>
    <row r="43" spans="1:14" x14ac:dyDescent="0.2">
      <c r="A43" s="25"/>
      <c r="B43" s="342" t="s">
        <v>738</v>
      </c>
      <c r="C43" s="343"/>
      <c r="D43" s="343"/>
      <c r="E43" s="343"/>
      <c r="F43" s="343"/>
      <c r="G43" s="343"/>
      <c r="H43" s="343"/>
      <c r="I43" s="343"/>
      <c r="J43" s="343"/>
      <c r="K43" s="343"/>
      <c r="L43" s="343"/>
      <c r="M43" s="393"/>
      <c r="N43" s="28"/>
    </row>
    <row r="44" spans="1:14" x14ac:dyDescent="0.2">
      <c r="A44" s="25"/>
      <c r="B44" s="44" t="s">
        <v>699</v>
      </c>
      <c r="C44" s="154">
        <f>IF($B44=" ","",IFERROR(INDEX(MMWR_RATING_RO_ROLLUP[],MATCH($B44,MMWR_RATING_RO_ROLLUP[MMWR_RATING_RO_ROLLUP],0),MATCH(C$9,MMWR_RATING_RO_ROLLUP[#Headers],0)),"ERROR"))</f>
        <v>11162</v>
      </c>
      <c r="D44" s="155">
        <f>IF($B44=" ","",IFERROR(INDEX(MMWR_RATING_RO_ROLLUP[],MATCH($B44,MMWR_RATING_RO_ROLLUP[MMWR_RATING_RO_ROLLUP],0),MATCH(D$9,MMWR_RATING_RO_ROLLUP[#Headers],0)),"ERROR"))</f>
        <v>89.722540763300003</v>
      </c>
      <c r="E44" s="156">
        <f>IF($B44=" ","",IFERROR(INDEX(MMWR_RATING_RO_ROLLUP[],MATCH($B44,MMWR_RATING_RO_ROLLUP[MMWR_RATING_RO_ROLLUP],0),MATCH(E$9,MMWR_RATING_RO_ROLLUP[#Headers],0))/$C44,"ERROR"))</f>
        <v>0.21985307292599893</v>
      </c>
      <c r="F44" s="154">
        <f>IF($B44=" ","",IFERROR(INDEX(MMWR_RATING_RO_ROLLUP[],MATCH($B44,MMWR_RATING_RO_ROLLUP[MMWR_RATING_RO_ROLLUP],0),MATCH(F$9,MMWR_RATING_RO_ROLLUP[#Headers],0)),"ERROR"))</f>
        <v>1442</v>
      </c>
      <c r="G44" s="154">
        <f>IF($B44=" ","",IFERROR(INDEX(MMWR_RATING_RO_ROLLUP[],MATCH($B44,MMWR_RATING_RO_ROLLUP[MMWR_RATING_RO_ROLLUP],0),MATCH(G$9,MMWR_RATING_RO_ROLLUP[#Headers],0)),"ERROR"))</f>
        <v>7329</v>
      </c>
      <c r="H44" s="155">
        <f>IF($B44=" ","",IFERROR(INDEX(MMWR_RATING_RO_ROLLUP[],MATCH($B44,MMWR_RATING_RO_ROLLUP[MMWR_RATING_RO_ROLLUP],0),MATCH(H$9,MMWR_RATING_RO_ROLLUP[#Headers],0)),"ERROR"))</f>
        <v>148.94174757280001</v>
      </c>
      <c r="I44" s="155">
        <f>IF($B44=" ","",IFERROR(INDEX(MMWR_RATING_RO_ROLLUP[],MATCH($B44,MMWR_RATING_RO_ROLLUP[MMWR_RATING_RO_ROLLUP],0),MATCH(I$9,MMWR_RATING_RO_ROLLUP[#Headers],0)),"ERROR"))</f>
        <v>136.54714149270001</v>
      </c>
      <c r="J44" s="42"/>
      <c r="K44" s="42"/>
      <c r="L44" s="42"/>
      <c r="M44" s="42"/>
      <c r="N44" s="28"/>
    </row>
    <row r="45" spans="1:14" x14ac:dyDescent="0.2">
      <c r="A45" s="25"/>
      <c r="B45" s="45" t="s">
        <v>214</v>
      </c>
      <c r="C45" s="154">
        <f>IF($B45=" ","",IFERROR(INDEX(MMWR_RATING_RO_ROLLUP[],MATCH($B45,MMWR_RATING_RO_ROLLUP[MMWR_RATING_RO_ROLLUP],0),MATCH(C$9,MMWR_RATING_RO_ROLLUP[#Headers],0)),"ERROR"))</f>
        <v>65</v>
      </c>
      <c r="D45" s="155">
        <f>IF($B45=" ","",IFERROR(INDEX(MMWR_RATING_RO_ROLLUP[],MATCH($B45,MMWR_RATING_RO_ROLLUP[MMWR_RATING_RO_ROLLUP],0),MATCH(D$9,MMWR_RATING_RO_ROLLUP[#Headers],0)),"ERROR"))</f>
        <v>97.661538461500001</v>
      </c>
      <c r="E45" s="156">
        <f>IF($B45=" ","",IFERROR(INDEX(MMWR_RATING_RO_ROLLUP[],MATCH($B45,MMWR_RATING_RO_ROLLUP[MMWR_RATING_RO_ROLLUP],0),MATCH(E$9,MMWR_RATING_RO_ROLLUP[#Headers],0))/$C45,"ERROR"))</f>
        <v>0.27692307692307694</v>
      </c>
      <c r="F45" s="154">
        <f>IF($B45=" ","",IFERROR(INDEX(MMWR_RATING_RO_ROLLUP[],MATCH($B45,MMWR_RATING_RO_ROLLUP[MMWR_RATING_RO_ROLLUP],0),MATCH(F$9,MMWR_RATING_RO_ROLLUP[#Headers],0)),"ERROR"))</f>
        <v>14</v>
      </c>
      <c r="G45" s="154">
        <f>IF($B45=" ","",IFERROR(INDEX(MMWR_RATING_RO_ROLLUP[],MATCH($B45,MMWR_RATING_RO_ROLLUP[MMWR_RATING_RO_ROLLUP],0),MATCH(G$9,MMWR_RATING_RO_ROLLUP[#Headers],0)),"ERROR"))</f>
        <v>52</v>
      </c>
      <c r="H45" s="155">
        <f>IF($B45=" ","",IFERROR(INDEX(MMWR_RATING_RO_ROLLUP[],MATCH($B45,MMWR_RATING_RO_ROLLUP[MMWR_RATING_RO_ROLLUP],0),MATCH(H$9,MMWR_RATING_RO_ROLLUP[#Headers],0)),"ERROR"))</f>
        <v>151.21428571429999</v>
      </c>
      <c r="I45" s="155">
        <f>IF($B45=" ","",IFERROR(INDEX(MMWR_RATING_RO_ROLLUP[],MATCH($B45,MMWR_RATING_RO_ROLLUP[MMWR_RATING_RO_ROLLUP],0),MATCH(I$9,MMWR_RATING_RO_ROLLUP[#Headers],0)),"ERROR"))</f>
        <v>150.23076923080001</v>
      </c>
      <c r="J45" s="42"/>
      <c r="K45" s="42"/>
      <c r="L45" s="42"/>
      <c r="M45" s="42"/>
      <c r="N45" s="28"/>
    </row>
    <row r="46" spans="1:14" x14ac:dyDescent="0.2">
      <c r="A46" s="25"/>
      <c r="B46" s="45" t="s">
        <v>216</v>
      </c>
      <c r="C46" s="154">
        <f>IF($B46=" ","",IFERROR(INDEX(MMWR_RATING_RO_ROLLUP[],MATCH($B46,MMWR_RATING_RO_ROLLUP[MMWR_RATING_RO_ROLLUP],0),MATCH(C$9,MMWR_RATING_RO_ROLLUP[#Headers],0)),"ERROR"))</f>
        <v>1745</v>
      </c>
      <c r="D46" s="155">
        <f>IF($B46=" ","",IFERROR(INDEX(MMWR_RATING_RO_ROLLUP[],MATCH($B46,MMWR_RATING_RO_ROLLUP[MMWR_RATING_RO_ROLLUP],0),MATCH(D$9,MMWR_RATING_RO_ROLLUP[#Headers],0)),"ERROR"))</f>
        <v>91.116332378199999</v>
      </c>
      <c r="E46" s="156">
        <f>IF($B46=" ","",IFERROR(INDEX(MMWR_RATING_RO_ROLLUP[],MATCH($B46,MMWR_RATING_RO_ROLLUP[MMWR_RATING_RO_ROLLUP],0),MATCH(E$9,MMWR_RATING_RO_ROLLUP[#Headers],0))/$C46,"ERROR"))</f>
        <v>0.28653295128939826</v>
      </c>
      <c r="F46" s="154">
        <f>IF($B46=" ","",IFERROR(INDEX(MMWR_RATING_RO_ROLLUP[],MATCH($B46,MMWR_RATING_RO_ROLLUP[MMWR_RATING_RO_ROLLUP],0),MATCH(F$9,MMWR_RATING_RO_ROLLUP[#Headers],0)),"ERROR"))</f>
        <v>248</v>
      </c>
      <c r="G46" s="154">
        <f>IF($B46=" ","",IFERROR(INDEX(MMWR_RATING_RO_ROLLUP[],MATCH($B46,MMWR_RATING_RO_ROLLUP[MMWR_RATING_RO_ROLLUP],0),MATCH(G$9,MMWR_RATING_RO_ROLLUP[#Headers],0)),"ERROR"))</f>
        <v>1405</v>
      </c>
      <c r="H46" s="155">
        <f>IF($B46=" ","",IFERROR(INDEX(MMWR_RATING_RO_ROLLUP[],MATCH($B46,MMWR_RATING_RO_ROLLUP[MMWR_RATING_RO_ROLLUP],0),MATCH(H$9,MMWR_RATING_RO_ROLLUP[#Headers],0)),"ERROR"))</f>
        <v>156.66532258059999</v>
      </c>
      <c r="I46" s="155">
        <f>IF($B46=" ","",IFERROR(INDEX(MMWR_RATING_RO_ROLLUP[],MATCH($B46,MMWR_RATING_RO_ROLLUP[MMWR_RATING_RO_ROLLUP],0),MATCH(I$9,MMWR_RATING_RO_ROLLUP[#Headers],0)),"ERROR"))</f>
        <v>145.3238434164</v>
      </c>
      <c r="J46" s="42"/>
      <c r="K46" s="42"/>
      <c r="L46" s="42"/>
      <c r="M46" s="42"/>
      <c r="N46" s="28"/>
    </row>
    <row r="47" spans="1:14" x14ac:dyDescent="0.2">
      <c r="A47" s="25"/>
      <c r="B47" s="47" t="s">
        <v>311</v>
      </c>
      <c r="C47" s="154">
        <f>IF($B47=" ","",IFERROR(INDEX(MMWR_RATING_RO_ROLLUP[],MATCH($B47,MMWR_RATING_RO_ROLLUP[MMWR_RATING_RO_ROLLUP],0),MATCH(C$9,MMWR_RATING_RO_ROLLUP[#Headers],0)),"ERROR"))</f>
        <v>9352</v>
      </c>
      <c r="D47" s="155">
        <f>IF($B47=" ","",IFERROR(INDEX(MMWR_RATING_RO_ROLLUP[],MATCH($B47,MMWR_RATING_RO_ROLLUP[MMWR_RATING_RO_ROLLUP],0),MATCH(D$9,MMWR_RATING_RO_ROLLUP[#Headers],0)),"ERROR"))</f>
        <v>89.407292557700003</v>
      </c>
      <c r="E47" s="156">
        <f>IF($B47=" ","",IFERROR(INDEX(MMWR_RATING_RO_ROLLUP[],MATCH($B47,MMWR_RATING_RO_ROLLUP[MMWR_RATING_RO_ROLLUP],0),MATCH(E$9,MMWR_RATING_RO_ROLLUP[#Headers],0))/$C47,"ERROR"))</f>
        <v>0.20701454234388367</v>
      </c>
      <c r="F47" s="154">
        <f>IF($B47=" ","",IFERROR(INDEX(MMWR_RATING_RO_ROLLUP[],MATCH($B47,MMWR_RATING_RO_ROLLUP[MMWR_RATING_RO_ROLLUP],0),MATCH(F$9,MMWR_RATING_RO_ROLLUP[#Headers],0)),"ERROR"))</f>
        <v>1180</v>
      </c>
      <c r="G47" s="154">
        <f>IF($B47=" ","",IFERROR(INDEX(MMWR_RATING_RO_ROLLUP[],MATCH($B47,MMWR_RATING_RO_ROLLUP[MMWR_RATING_RO_ROLLUP],0),MATCH(G$9,MMWR_RATING_RO_ROLLUP[#Headers],0)),"ERROR"))</f>
        <v>5872</v>
      </c>
      <c r="H47" s="155">
        <f>IF($B47=" ","",IFERROR(INDEX(MMWR_RATING_RO_ROLLUP[],MATCH($B47,MMWR_RATING_RO_ROLLUP[MMWR_RATING_RO_ROLLUP],0),MATCH(H$9,MMWR_RATING_RO_ROLLUP[#Headers],0)),"ERROR"))</f>
        <v>147.29152542369999</v>
      </c>
      <c r="I47" s="155">
        <f>IF($B47=" ","",IFERROR(INDEX(MMWR_RATING_RO_ROLLUP[],MATCH($B47,MMWR_RATING_RO_ROLLUP[MMWR_RATING_RO_ROLLUP],0),MATCH(I$9,MMWR_RATING_RO_ROLLUP[#Headers],0)),"ERROR"))</f>
        <v>134.32595367850001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10:M10"/>
    <mergeCell ref="B13:M13"/>
    <mergeCell ref="B32:M32"/>
    <mergeCell ref="B38:M38"/>
    <mergeCell ref="B43:M43"/>
    <mergeCell ref="J11:M11"/>
    <mergeCell ref="D7:E7"/>
    <mergeCell ref="G7:H7"/>
    <mergeCell ref="L7:M7"/>
    <mergeCell ref="D8:E8"/>
    <mergeCell ref="G8:H8"/>
    <mergeCell ref="L8:M8"/>
    <mergeCell ref="C2:I3"/>
    <mergeCell ref="J2:M2"/>
    <mergeCell ref="J3:M3"/>
    <mergeCell ref="D6:E6"/>
    <mergeCell ref="G6:H6"/>
    <mergeCell ref="L6:M6"/>
    <mergeCell ref="C4:M4"/>
    <mergeCell ref="C5:O5"/>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6" t="s">
        <v>982</v>
      </c>
      <c r="D2" s="357"/>
      <c r="E2" s="357"/>
      <c r="F2" s="357"/>
      <c r="G2" s="357"/>
      <c r="H2" s="357"/>
      <c r="I2" s="357"/>
      <c r="J2" s="356" t="s">
        <v>303</v>
      </c>
      <c r="K2" s="357"/>
      <c r="L2" s="357"/>
      <c r="M2" s="358"/>
      <c r="N2" s="28"/>
    </row>
    <row r="3" spans="1:15" ht="24" customHeight="1" thickBot="1" x14ac:dyDescent="0.4">
      <c r="A3" s="25"/>
      <c r="B3" s="29"/>
      <c r="C3" s="359"/>
      <c r="D3" s="360"/>
      <c r="E3" s="360"/>
      <c r="F3" s="360"/>
      <c r="G3" s="360"/>
      <c r="H3" s="360"/>
      <c r="I3" s="360"/>
      <c r="J3" s="359" t="str">
        <f>Transformation!B4</f>
        <v>As of: January 23, 2016</v>
      </c>
      <c r="K3" s="360"/>
      <c r="L3" s="360"/>
      <c r="M3" s="361"/>
      <c r="N3" s="28"/>
    </row>
    <row r="4" spans="1:15" ht="51.75" customHeight="1" thickBot="1" x14ac:dyDescent="0.35">
      <c r="A4" s="30"/>
      <c r="B4" s="247" t="s">
        <v>459</v>
      </c>
      <c r="C4" s="362" t="s">
        <v>435</v>
      </c>
      <c r="D4" s="363"/>
      <c r="E4" s="363"/>
      <c r="F4" s="363"/>
      <c r="G4" s="363"/>
      <c r="H4" s="363"/>
      <c r="I4" s="363"/>
      <c r="J4" s="363"/>
      <c r="K4" s="363"/>
      <c r="L4" s="363"/>
      <c r="M4" s="364"/>
      <c r="N4" s="28"/>
    </row>
    <row r="5" spans="1:15" ht="27" customHeight="1" thickBot="1" x14ac:dyDescent="0.25">
      <c r="A5" s="30"/>
      <c r="B5" s="246" t="s">
        <v>373</v>
      </c>
      <c r="C5" s="365" t="s">
        <v>1046</v>
      </c>
      <c r="D5" s="366"/>
      <c r="E5" s="366"/>
      <c r="F5" s="366"/>
      <c r="G5" s="366"/>
      <c r="H5" s="366"/>
      <c r="I5" s="366"/>
      <c r="J5" s="366"/>
      <c r="K5" s="366"/>
      <c r="L5" s="366"/>
      <c r="M5" s="366"/>
      <c r="N5" s="366"/>
      <c r="O5" s="367"/>
    </row>
    <row r="6" spans="1:15" ht="55.5" customHeight="1" x14ac:dyDescent="0.2">
      <c r="A6" s="30"/>
      <c r="B6" s="31"/>
      <c r="C6" s="32" t="s">
        <v>193</v>
      </c>
      <c r="D6" s="368" t="s">
        <v>16</v>
      </c>
      <c r="E6" s="369"/>
      <c r="F6" s="33" t="s">
        <v>196</v>
      </c>
      <c r="G6" s="368" t="s">
        <v>201</v>
      </c>
      <c r="H6" s="370"/>
      <c r="I6" s="33" t="s">
        <v>199</v>
      </c>
      <c r="J6" s="49" t="s">
        <v>14</v>
      </c>
      <c r="K6" s="33" t="s">
        <v>204</v>
      </c>
      <c r="L6" s="374" t="s">
        <v>88</v>
      </c>
      <c r="M6" s="387"/>
      <c r="N6" s="28"/>
    </row>
    <row r="7" spans="1:15" ht="51.75" customHeight="1" x14ac:dyDescent="0.2">
      <c r="A7" s="30"/>
      <c r="B7" s="34"/>
      <c r="C7" s="35" t="s">
        <v>194</v>
      </c>
      <c r="D7" s="344" t="s">
        <v>0</v>
      </c>
      <c r="E7" s="345"/>
      <c r="F7" s="36" t="s">
        <v>197</v>
      </c>
      <c r="G7" s="346" t="s">
        <v>202</v>
      </c>
      <c r="H7" s="346"/>
      <c r="I7" s="36" t="s">
        <v>200</v>
      </c>
      <c r="J7" s="50" t="s">
        <v>19</v>
      </c>
      <c r="K7" s="36" t="s">
        <v>205</v>
      </c>
      <c r="L7" s="388" t="s">
        <v>90</v>
      </c>
      <c r="M7" s="389"/>
      <c r="N7" s="28"/>
    </row>
    <row r="8" spans="1:15" ht="51.75" customHeight="1" thickBot="1" x14ac:dyDescent="0.25">
      <c r="A8" s="25"/>
      <c r="B8" s="28"/>
      <c r="C8" s="37" t="s">
        <v>195</v>
      </c>
      <c r="D8" s="347" t="s">
        <v>18</v>
      </c>
      <c r="E8" s="348"/>
      <c r="F8" s="38" t="s">
        <v>198</v>
      </c>
      <c r="G8" s="349" t="s">
        <v>17</v>
      </c>
      <c r="H8" s="349"/>
      <c r="I8" s="38" t="s">
        <v>203</v>
      </c>
      <c r="J8" s="51" t="s">
        <v>87</v>
      </c>
      <c r="K8" s="38" t="s">
        <v>206</v>
      </c>
      <c r="L8" s="390" t="s">
        <v>89</v>
      </c>
      <c r="M8" s="391"/>
      <c r="N8" s="28"/>
    </row>
    <row r="9" spans="1:15" x14ac:dyDescent="0.2">
      <c r="A9" s="28"/>
      <c r="B9" s="39"/>
      <c r="C9" s="39" t="s">
        <v>718</v>
      </c>
      <c r="D9" s="39" t="s">
        <v>720</v>
      </c>
      <c r="E9" s="39" t="s">
        <v>719</v>
      </c>
      <c r="F9" s="39" t="s">
        <v>722</v>
      </c>
      <c r="G9" s="39" t="s">
        <v>721</v>
      </c>
      <c r="H9" s="39" t="s">
        <v>724</v>
      </c>
      <c r="I9" s="39" t="s">
        <v>723</v>
      </c>
      <c r="J9" s="39"/>
      <c r="K9" s="39"/>
      <c r="L9" s="39"/>
      <c r="M9" s="39"/>
      <c r="N9" s="39"/>
    </row>
    <row r="10" spans="1:15" ht="15.75" customHeight="1" x14ac:dyDescent="0.2">
      <c r="A10" s="25"/>
      <c r="B10" s="26"/>
      <c r="C10" s="350" t="s">
        <v>296</v>
      </c>
      <c r="D10" s="350"/>
      <c r="E10" s="350"/>
      <c r="F10" s="350"/>
      <c r="G10" s="350"/>
      <c r="H10" s="350"/>
      <c r="I10" s="350"/>
      <c r="J10" s="350"/>
      <c r="K10" s="350"/>
      <c r="L10" s="350"/>
      <c r="M10" s="392"/>
      <c r="N10" s="28"/>
    </row>
    <row r="11" spans="1:15" ht="63.75" customHeight="1" x14ac:dyDescent="0.2">
      <c r="A11" s="25"/>
      <c r="B11" s="26"/>
      <c r="C11" s="52" t="s">
        <v>229</v>
      </c>
      <c r="D11" s="52" t="s">
        <v>137</v>
      </c>
      <c r="E11" s="52" t="s">
        <v>230</v>
      </c>
      <c r="F11" s="52" t="s">
        <v>192</v>
      </c>
      <c r="G11" s="52" t="s">
        <v>207</v>
      </c>
      <c r="H11" s="52" t="s">
        <v>209</v>
      </c>
      <c r="I11" s="52" t="s">
        <v>210</v>
      </c>
      <c r="J11" s="394" t="s">
        <v>976</v>
      </c>
      <c r="K11" s="395"/>
      <c r="L11" s="395"/>
      <c r="M11" s="396"/>
      <c r="N11" s="28"/>
    </row>
    <row r="12" spans="1:15" x14ac:dyDescent="0.2">
      <c r="A12" s="25"/>
      <c r="B12" s="41" t="s">
        <v>733</v>
      </c>
      <c r="C12" s="154">
        <f>IF($B12=" ","",IFERROR(INDEX(MMWR_RATING_STATE_ROLLUP_VSC[],MATCH($B12,MMWR_RATING_STATE_ROLLUP_VSC[MMWR_RATING_STATE_ROLLUP_VSC],0),MATCH(C$9,MMWR_RATING_STATE_ROLLUP_VSC[#Headers],0)),"ERROR"))</f>
        <v>357440</v>
      </c>
      <c r="D12" s="155">
        <f>IF($B12=" ","",IFERROR(INDEX(MMWR_RATING_STATE_ROLLUP_VSC[],MATCH($B12,MMWR_RATING_STATE_ROLLUP_VSC[MMWR_RATING_STATE_ROLLUP_VSC],0),MATCH(D$9,MMWR_RATING_STATE_ROLLUP_VSC[#Headers],0)),"ERROR"))</f>
        <v>93.9570557296</v>
      </c>
      <c r="E12" s="158">
        <f>IF($B12=" ","",IFERROR(INDEX(MMWR_RATING_STATE_ROLLUP_VSC[],MATCH($B12,MMWR_RATING_STATE_ROLLUP_VSC[MMWR_RATING_STATE_ROLLUP_VSC],0),MATCH(E$9,MMWR_RATING_STATE_ROLLUP_VSC[#Headers],0))/$C12,"ERROR"))</f>
        <v>0.2218414279319606</v>
      </c>
      <c r="F12" s="154">
        <f>IF($B12=" ","",IFERROR(INDEX(MMWR_RATING_STATE_ROLLUP_VSC[],MATCH($B12,MMWR_RATING_STATE_ROLLUP_VSC[MMWR_RATING_STATE_ROLLUP_VSC],0),MATCH(F$9,MMWR_RATING_STATE_ROLLUP_VSC[#Headers],0)),"ERROR"))</f>
        <v>71467</v>
      </c>
      <c r="G12" s="154">
        <f>IF($B12=" ","",IFERROR(INDEX(MMWR_RATING_STATE_ROLLUP_VSC[],MATCH($B12,MMWR_RATING_STATE_ROLLUP_VSC[MMWR_RATING_STATE_ROLLUP_VSC],0),MATCH(G$9,MMWR_RATING_STATE_ROLLUP_VSC[#Headers],0)),"ERROR"))</f>
        <v>379169</v>
      </c>
      <c r="H12" s="155">
        <f>IF($B12=" ","",IFERROR(INDEX(MMWR_RATING_STATE_ROLLUP_VSC[],MATCH($B12,MMWR_RATING_STATE_ROLLUP_VSC[MMWR_RATING_STATE_ROLLUP_VSC],0),MATCH(H$9,MMWR_RATING_STATE_ROLLUP_VSC[#Headers],0)),"ERROR"))</f>
        <v>129.2833335665</v>
      </c>
      <c r="I12" s="155">
        <f>IF($B12=" ","",IFERROR(INDEX(MMWR_RATING_STATE_ROLLUP_VSC[],MATCH($B12,MMWR_RATING_STATE_ROLLUP_VSC[MMWR_RATING_STATE_ROLLUP_VSC],0),MATCH(I$9,MMWR_RATING_STATE_ROLLUP_VSC[#Headers],0)),"ERROR"))</f>
        <v>128.5056346906</v>
      </c>
      <c r="J12" s="42"/>
      <c r="K12" s="42"/>
      <c r="L12" s="42"/>
      <c r="M12" s="42"/>
      <c r="N12" s="28"/>
    </row>
    <row r="13" spans="1:15" x14ac:dyDescent="0.2">
      <c r="A13" s="25"/>
      <c r="B13" s="342" t="s">
        <v>962</v>
      </c>
      <c r="C13" s="343"/>
      <c r="D13" s="343"/>
      <c r="E13" s="343"/>
      <c r="F13" s="343"/>
      <c r="G13" s="343"/>
      <c r="H13" s="343"/>
      <c r="I13" s="343"/>
      <c r="J13" s="343"/>
      <c r="K13" s="343"/>
      <c r="L13" s="343"/>
      <c r="M13" s="393"/>
      <c r="N13" s="28"/>
    </row>
    <row r="14" spans="1:15" x14ac:dyDescent="0.2">
      <c r="A14" s="25"/>
      <c r="B14" s="41" t="s">
        <v>1040</v>
      </c>
      <c r="C14" s="154">
        <f>IF($B14=" ","",IFERROR(INDEX(MMWR_RATING_STATE_ROLLUP_VSC[],MATCH($B14,MMWR_RATING_STATE_ROLLUP_VSC[MMWR_RATING_STATE_ROLLUP_VSC],0),MATCH(C$9,MMWR_RATING_STATE_ROLLUP_VSC[#Headers],0)),"ERROR"))</f>
        <v>308839</v>
      </c>
      <c r="D14" s="155">
        <f>IF($B14=" ","",IFERROR(INDEX(MMWR_RATING_STATE_ROLLUP_VSC[],MATCH($B14,MMWR_RATING_STATE_ROLLUP_VSC[MMWR_RATING_STATE_ROLLUP_VSC],0),MATCH(D$9,MMWR_RATING_STATE_ROLLUP_VSC[#Headers],0)),"ERROR"))</f>
        <v>96.221244726199998</v>
      </c>
      <c r="E14" s="156">
        <f>IF($B14=" ","",IFERROR(INDEX(MMWR_RATING_STATE_ROLLUP_VSC[],MATCH($B14,MMWR_RATING_STATE_ROLLUP_VSC[MMWR_RATING_STATE_ROLLUP_VSC],0),MATCH(E$9,MMWR_RATING_STATE_ROLLUP_VSC[#Headers],0))/$C14,"ERROR"))</f>
        <v>0.23113013576653207</v>
      </c>
      <c r="F14" s="154">
        <f>IF($B14=" ","",IFERROR(INDEX(MMWR_RATING_STATE_ROLLUP_VSC[],MATCH($B14,MMWR_RATING_STATE_ROLLUP_VSC[MMWR_RATING_STATE_ROLLUP_VSC],0),MATCH(F$9,MMWR_RATING_STATE_ROLLUP_VSC[#Headers],0)),"ERROR"))</f>
        <v>60711</v>
      </c>
      <c r="G14" s="154">
        <f>IF($B14=" ","",IFERROR(INDEX(MMWR_RATING_STATE_ROLLUP_VSC[],MATCH($B14,MMWR_RATING_STATE_ROLLUP_VSC[MMWR_RATING_STATE_ROLLUP_VSC],0),MATCH(G$9,MMWR_RATING_STATE_ROLLUP_VSC[#Headers],0)),"ERROR"))</f>
        <v>321597</v>
      </c>
      <c r="H14" s="155">
        <f>IF($B14=" ","",IFERROR(INDEX(MMWR_RATING_STATE_ROLLUP_VSC[],MATCH($B14,MMWR_RATING_STATE_ROLLUP_VSC[MMWR_RATING_STATE_ROLLUP_VSC],0),MATCH(H$9,MMWR_RATING_STATE_ROLLUP_VSC[#Headers],0)),"ERROR"))</f>
        <v>134.89555434760001</v>
      </c>
      <c r="I14" s="155">
        <f>IF($B14=" ","",IFERROR(INDEX(MMWR_RATING_STATE_ROLLUP_VSC[],MATCH($B14,MMWR_RATING_STATE_ROLLUP_VSC[MMWR_RATING_STATE_ROLLUP_VSC],0),MATCH(I$9,MMWR_RATING_STATE_ROLLUP_VSC[#Headers],0)),"ERROR"))</f>
        <v>135.70682562339999</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65567</v>
      </c>
      <c r="D15" s="155">
        <f>IF($B15=" ","",IFERROR(INDEX(MMWR_RATING_STATE_ROLLUP_VSC[],MATCH($B15,MMWR_RATING_STATE_ROLLUP_VSC[MMWR_RATING_STATE_ROLLUP_VSC],0),MATCH(D$9,MMWR_RATING_STATE_ROLLUP_VSC[#Headers],0)),"ERROR"))</f>
        <v>98.809721353699999</v>
      </c>
      <c r="E15" s="156">
        <f>IF($B15=" ","",IFERROR(INDEX(MMWR_RATING_STATE_ROLLUP_VSC[],MATCH($B15,MMWR_RATING_STATE_ROLLUP_VSC[MMWR_RATING_STATE_ROLLUP_VSC],0),MATCH(E$9,MMWR_RATING_STATE_ROLLUP_VSC[#Headers],0))/$C15,"ERROR"))</f>
        <v>0.24094437750697759</v>
      </c>
      <c r="F15" s="154">
        <f>IF($B15=" ","",IFERROR(INDEX(MMWR_RATING_STATE_ROLLUP_VSC[],MATCH($B15,MMWR_RATING_STATE_ROLLUP_VSC[MMWR_RATING_STATE_ROLLUP_VSC],0),MATCH(F$9,MMWR_RATING_STATE_ROLLUP_VSC[#Headers],0)),"ERROR"))</f>
        <v>13089</v>
      </c>
      <c r="G15" s="154">
        <f>IF($B15=" ","",IFERROR(INDEX(MMWR_RATING_STATE_ROLLUP_VSC[],MATCH($B15,MMWR_RATING_STATE_ROLLUP_VSC[MMWR_RATING_STATE_ROLLUP_VSC],0),MATCH(G$9,MMWR_RATING_STATE_ROLLUP_VSC[#Headers],0)),"ERROR"))</f>
        <v>67650</v>
      </c>
      <c r="H15" s="155">
        <f>IF($B15=" ","",IFERROR(INDEX(MMWR_RATING_STATE_ROLLUP_VSC[],MATCH($B15,MMWR_RATING_STATE_ROLLUP_VSC[MMWR_RATING_STATE_ROLLUP_VSC],0),MATCH(H$9,MMWR_RATING_STATE_ROLLUP_VSC[#Headers],0)),"ERROR"))</f>
        <v>137.1634196654</v>
      </c>
      <c r="I15" s="155">
        <f>IF($B15=" ","",IFERROR(INDEX(MMWR_RATING_STATE_ROLLUP_VSC[],MATCH($B15,MMWR_RATING_STATE_ROLLUP_VSC[MMWR_RATING_STATE_ROLLUP_VSC],0),MATCH(I$9,MMWR_RATING_STATE_ROLLUP_VSC[#Headers],0)),"ERROR"))</f>
        <v>137.99164818919999</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2053</v>
      </c>
      <c r="D16" s="155">
        <f>IF($B16=" ","",IFERROR(INDEX(MMWR_RATING_STATE_ROLLUP_VSC[],MATCH($B16,MMWR_RATING_STATE_ROLLUP_VSC[MMWR_RATING_STATE_ROLLUP_VSC],0),MATCH(D$9,MMWR_RATING_STATE_ROLLUP_VSC[#Headers],0)),"ERROR"))</f>
        <v>90.302971261600007</v>
      </c>
      <c r="E16" s="156">
        <f>IF($B16=" ","",IFERROR(INDEX(MMWR_RATING_STATE_ROLLUP_VSC[],MATCH($B16,MMWR_RATING_STATE_ROLLUP_VSC[MMWR_RATING_STATE_ROLLUP_VSC],0),MATCH(E$9,MMWR_RATING_STATE_ROLLUP_VSC[#Headers],0))/$C16,"ERROR"))</f>
        <v>0.18460789089137847</v>
      </c>
      <c r="F16" s="154">
        <f>IF($B16=" ","",IFERROR(INDEX(MMWR_RATING_STATE_ROLLUP_VSC[],MATCH($B16,MMWR_RATING_STATE_ROLLUP_VSC[MMWR_RATING_STATE_ROLLUP_VSC],0),MATCH(F$9,MMWR_RATING_STATE_ROLLUP_VSC[#Headers],0)),"ERROR"))</f>
        <v>304</v>
      </c>
      <c r="G16" s="154">
        <f>IF($B16=" ","",IFERROR(INDEX(MMWR_RATING_STATE_ROLLUP_VSC[],MATCH($B16,MMWR_RATING_STATE_ROLLUP_VSC[MMWR_RATING_STATE_ROLLUP_VSC],0),MATCH(G$9,MMWR_RATING_STATE_ROLLUP_VSC[#Headers],0)),"ERROR"))</f>
        <v>1817</v>
      </c>
      <c r="H16" s="155">
        <f>IF($B16=" ","",IFERROR(INDEX(MMWR_RATING_STATE_ROLLUP_VSC[],MATCH($B16,MMWR_RATING_STATE_ROLLUP_VSC[MMWR_RATING_STATE_ROLLUP_VSC],0),MATCH(H$9,MMWR_RATING_STATE_ROLLUP_VSC[#Headers],0)),"ERROR"))</f>
        <v>131.50328947369999</v>
      </c>
      <c r="I16" s="155">
        <f>IF($B16=" ","",IFERROR(INDEX(MMWR_RATING_STATE_ROLLUP_VSC[],MATCH($B16,MMWR_RATING_STATE_ROLLUP_VSC[MMWR_RATING_STATE_ROLLUP_VSC],0),MATCH(I$9,MMWR_RATING_STATE_ROLLUP_VSC[#Headers],0)),"ERROR"))</f>
        <v>115.80352228949999</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857</v>
      </c>
      <c r="D17" s="155">
        <f>IF($B17=" ","",IFERROR(INDEX(MMWR_RATING_STATE_ROLLUP_VSC[],MATCH($B17,MMWR_RATING_STATE_ROLLUP_VSC[MMWR_RATING_STATE_ROLLUP_VSC],0),MATCH(D$9,MMWR_RATING_STATE_ROLLUP_VSC[#Headers],0)),"ERROR"))</f>
        <v>103.6756126021</v>
      </c>
      <c r="E17" s="156">
        <f>IF($B17=" ","",IFERROR(INDEX(MMWR_RATING_STATE_ROLLUP_VSC[],MATCH($B17,MMWR_RATING_STATE_ROLLUP_VSC[MMWR_RATING_STATE_ROLLUP_VSC],0),MATCH(E$9,MMWR_RATING_STATE_ROLLUP_VSC[#Headers],0))/$C17,"ERROR"))</f>
        <v>0.2928821470245041</v>
      </c>
      <c r="F17" s="154">
        <f>IF($B17=" ","",IFERROR(INDEX(MMWR_RATING_STATE_ROLLUP_VSC[],MATCH($B17,MMWR_RATING_STATE_ROLLUP_VSC[MMWR_RATING_STATE_ROLLUP_VSC],0),MATCH(F$9,MMWR_RATING_STATE_ROLLUP_VSC[#Headers],0)),"ERROR"))</f>
        <v>183</v>
      </c>
      <c r="G17" s="154">
        <f>IF($B17=" ","",IFERROR(INDEX(MMWR_RATING_STATE_ROLLUP_VSC[],MATCH($B17,MMWR_RATING_STATE_ROLLUP_VSC[MMWR_RATING_STATE_ROLLUP_VSC],0),MATCH(G$9,MMWR_RATING_STATE_ROLLUP_VSC[#Headers],0)),"ERROR"))</f>
        <v>912</v>
      </c>
      <c r="H17" s="155">
        <f>IF($B17=" ","",IFERROR(INDEX(MMWR_RATING_STATE_ROLLUP_VSC[],MATCH($B17,MMWR_RATING_STATE_ROLLUP_VSC[MMWR_RATING_STATE_ROLLUP_VSC],0),MATCH(H$9,MMWR_RATING_STATE_ROLLUP_VSC[#Headers],0)),"ERROR"))</f>
        <v>159.68852459019999</v>
      </c>
      <c r="I17" s="155">
        <f>IF($B17=" ","",IFERROR(INDEX(MMWR_RATING_STATE_ROLLUP_VSC[],MATCH($B17,MMWR_RATING_STATE_ROLLUP_VSC[MMWR_RATING_STATE_ROLLUP_VSC],0),MATCH(I$9,MMWR_RATING_STATE_ROLLUP_VSC[#Headers],0)),"ERROR"))</f>
        <v>145.43969298249999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376</v>
      </c>
      <c r="D18" s="155">
        <f>IF($B18=" ","",IFERROR(INDEX(MMWR_RATING_STATE_ROLLUP_VSC[],MATCH($B18,MMWR_RATING_STATE_ROLLUP_VSC[MMWR_RATING_STATE_ROLLUP_VSC],0),MATCH(D$9,MMWR_RATING_STATE_ROLLUP_VSC[#Headers],0)),"ERROR"))</f>
        <v>104.6409574468</v>
      </c>
      <c r="E18" s="156">
        <f>IF($B18=" ","",IFERROR(INDEX(MMWR_RATING_STATE_ROLLUP_VSC[],MATCH($B18,MMWR_RATING_STATE_ROLLUP_VSC[MMWR_RATING_STATE_ROLLUP_VSC],0),MATCH(E$9,MMWR_RATING_STATE_ROLLUP_VSC[#Headers],0))/$C18,"ERROR"))</f>
        <v>0.24468085106382978</v>
      </c>
      <c r="F18" s="154">
        <f>IF($B18=" ","",IFERROR(INDEX(MMWR_RATING_STATE_ROLLUP_VSC[],MATCH($B18,MMWR_RATING_STATE_ROLLUP_VSC[MMWR_RATING_STATE_ROLLUP_VSC],0),MATCH(F$9,MMWR_RATING_STATE_ROLLUP_VSC[#Headers],0)),"ERROR"))</f>
        <v>78</v>
      </c>
      <c r="G18" s="154">
        <f>IF($B18=" ","",IFERROR(INDEX(MMWR_RATING_STATE_ROLLUP_VSC[],MATCH($B18,MMWR_RATING_STATE_ROLLUP_VSC[MMWR_RATING_STATE_ROLLUP_VSC],0),MATCH(G$9,MMWR_RATING_STATE_ROLLUP_VSC[#Headers],0)),"ERROR"))</f>
        <v>400</v>
      </c>
      <c r="H18" s="155">
        <f>IF($B18=" ","",IFERROR(INDEX(MMWR_RATING_STATE_ROLLUP_VSC[],MATCH($B18,MMWR_RATING_STATE_ROLLUP_VSC[MMWR_RATING_STATE_ROLLUP_VSC],0),MATCH(H$9,MMWR_RATING_STATE_ROLLUP_VSC[#Headers],0)),"ERROR"))</f>
        <v>141.0384615385</v>
      </c>
      <c r="I18" s="155">
        <f>IF($B18=" ","",IFERROR(INDEX(MMWR_RATING_STATE_ROLLUP_VSC[],MATCH($B18,MMWR_RATING_STATE_ROLLUP_VSC[MMWR_RATING_STATE_ROLLUP_VSC],0),MATCH(I$9,MMWR_RATING_STATE_ROLLUP_VSC[#Headers],0)),"ERROR"))</f>
        <v>149.19749999999999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1344</v>
      </c>
      <c r="D19" s="155">
        <f>IF($B19=" ","",IFERROR(INDEX(MMWR_RATING_STATE_ROLLUP_VSC[],MATCH($B19,MMWR_RATING_STATE_ROLLUP_VSC[MMWR_RATING_STATE_ROLLUP_VSC],0),MATCH(D$9,MMWR_RATING_STATE_ROLLUP_VSC[#Headers],0)),"ERROR"))</f>
        <v>78.090773809500007</v>
      </c>
      <c r="E19" s="156">
        <f>IF($B19=" ","",IFERROR(INDEX(MMWR_RATING_STATE_ROLLUP_VSC[],MATCH($B19,MMWR_RATING_STATE_ROLLUP_VSC[MMWR_RATING_STATE_ROLLUP_VSC],0),MATCH(E$9,MMWR_RATING_STATE_ROLLUP_VSC[#Headers],0))/$C19,"ERROR"))</f>
        <v>0.12872023809523808</v>
      </c>
      <c r="F19" s="154">
        <f>IF($B19=" ","",IFERROR(INDEX(MMWR_RATING_STATE_ROLLUP_VSC[],MATCH($B19,MMWR_RATING_STATE_ROLLUP_VSC[MMWR_RATING_STATE_ROLLUP_VSC],0),MATCH(F$9,MMWR_RATING_STATE_ROLLUP_VSC[#Headers],0)),"ERROR"))</f>
        <v>216</v>
      </c>
      <c r="G19" s="154">
        <f>IF($B19=" ","",IFERROR(INDEX(MMWR_RATING_STATE_ROLLUP_VSC[],MATCH($B19,MMWR_RATING_STATE_ROLLUP_VSC[MMWR_RATING_STATE_ROLLUP_VSC],0),MATCH(G$9,MMWR_RATING_STATE_ROLLUP_VSC[#Headers],0)),"ERROR"))</f>
        <v>1463</v>
      </c>
      <c r="H19" s="155">
        <f>IF($B19=" ","",IFERROR(INDEX(MMWR_RATING_STATE_ROLLUP_VSC[],MATCH($B19,MMWR_RATING_STATE_ROLLUP_VSC[MMWR_RATING_STATE_ROLLUP_VSC],0),MATCH(H$9,MMWR_RATING_STATE_ROLLUP_VSC[#Headers],0)),"ERROR"))</f>
        <v>116.1574074074</v>
      </c>
      <c r="I19" s="155">
        <f>IF($B19=" ","",IFERROR(INDEX(MMWR_RATING_STATE_ROLLUP_VSC[],MATCH($B19,MMWR_RATING_STATE_ROLLUP_VSC[MMWR_RATING_STATE_ROLLUP_VSC],0),MATCH(I$9,MMWR_RATING_STATE_ROLLUP_VSC[#Headers],0)),"ERROR"))</f>
        <v>107.5249487355</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5131</v>
      </c>
      <c r="D20" s="155">
        <f>IF($B20=" ","",IFERROR(INDEX(MMWR_RATING_STATE_ROLLUP_VSC[],MATCH($B20,MMWR_RATING_STATE_ROLLUP_VSC[MMWR_RATING_STATE_ROLLUP_VSC],0),MATCH(D$9,MMWR_RATING_STATE_ROLLUP_VSC[#Headers],0)),"ERROR"))</f>
        <v>96.040537906799997</v>
      </c>
      <c r="E20" s="156">
        <f>IF($B20=" ","",IFERROR(INDEX(MMWR_RATING_STATE_ROLLUP_VSC[],MATCH($B20,MMWR_RATING_STATE_ROLLUP_VSC[MMWR_RATING_STATE_ROLLUP_VSC],0),MATCH(E$9,MMWR_RATING_STATE_ROLLUP_VSC[#Headers],0))/$C20,"ERROR"))</f>
        <v>0.21769635548625998</v>
      </c>
      <c r="F20" s="154">
        <f>IF($B20=" ","",IFERROR(INDEX(MMWR_RATING_STATE_ROLLUP_VSC[],MATCH($B20,MMWR_RATING_STATE_ROLLUP_VSC[MMWR_RATING_STATE_ROLLUP_VSC],0),MATCH(F$9,MMWR_RATING_STATE_ROLLUP_VSC[#Headers],0)),"ERROR"))</f>
        <v>888</v>
      </c>
      <c r="G20" s="154">
        <f>IF($B20=" ","",IFERROR(INDEX(MMWR_RATING_STATE_ROLLUP_VSC[],MATCH($B20,MMWR_RATING_STATE_ROLLUP_VSC[MMWR_RATING_STATE_ROLLUP_VSC],0),MATCH(G$9,MMWR_RATING_STATE_ROLLUP_VSC[#Headers],0)),"ERROR"))</f>
        <v>5416</v>
      </c>
      <c r="H20" s="155">
        <f>IF($B20=" ","",IFERROR(INDEX(MMWR_RATING_STATE_ROLLUP_VSC[],MATCH($B20,MMWR_RATING_STATE_ROLLUP_VSC[MMWR_RATING_STATE_ROLLUP_VSC],0),MATCH(H$9,MMWR_RATING_STATE_ROLLUP_VSC[#Headers],0)),"ERROR"))</f>
        <v>144.19256756760001</v>
      </c>
      <c r="I20" s="155">
        <f>IF($B20=" ","",IFERROR(INDEX(MMWR_RATING_STATE_ROLLUP_VSC[],MATCH($B20,MMWR_RATING_STATE_ROLLUP_VSC[MMWR_RATING_STATE_ROLLUP_VSC],0),MATCH(I$9,MMWR_RATING_STATE_ROLLUP_VSC[#Headers],0)),"ERROR"))</f>
        <v>138.38626292469999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4361</v>
      </c>
      <c r="D21" s="155">
        <f>IF($B21=" ","",IFERROR(INDEX(MMWR_RATING_STATE_ROLLUP_VSC[],MATCH($B21,MMWR_RATING_STATE_ROLLUP_VSC[MMWR_RATING_STATE_ROLLUP_VSC],0),MATCH(D$9,MMWR_RATING_STATE_ROLLUP_VSC[#Headers],0)),"ERROR"))</f>
        <v>97.767943132300005</v>
      </c>
      <c r="E21" s="156">
        <f>IF($B21=" ","",IFERROR(INDEX(MMWR_RATING_STATE_ROLLUP_VSC[],MATCH($B21,MMWR_RATING_STATE_ROLLUP_VSC[MMWR_RATING_STATE_ROLLUP_VSC],0),MATCH(E$9,MMWR_RATING_STATE_ROLLUP_VSC[#Headers],0))/$C21,"ERROR"))</f>
        <v>0.25085989451960561</v>
      </c>
      <c r="F21" s="154">
        <f>IF($B21=" ","",IFERROR(INDEX(MMWR_RATING_STATE_ROLLUP_VSC[],MATCH($B21,MMWR_RATING_STATE_ROLLUP_VSC[MMWR_RATING_STATE_ROLLUP_VSC],0),MATCH(F$9,MMWR_RATING_STATE_ROLLUP_VSC[#Headers],0)),"ERROR"))</f>
        <v>647</v>
      </c>
      <c r="G21" s="154">
        <f>IF($B21=" ","",IFERROR(INDEX(MMWR_RATING_STATE_ROLLUP_VSC[],MATCH($B21,MMWR_RATING_STATE_ROLLUP_VSC[MMWR_RATING_STATE_ROLLUP_VSC],0),MATCH(G$9,MMWR_RATING_STATE_ROLLUP_VSC[#Headers],0)),"ERROR"))</f>
        <v>4133</v>
      </c>
      <c r="H21" s="155">
        <f>IF($B21=" ","",IFERROR(INDEX(MMWR_RATING_STATE_ROLLUP_VSC[],MATCH($B21,MMWR_RATING_STATE_ROLLUP_VSC[MMWR_RATING_STATE_ROLLUP_VSC],0),MATCH(H$9,MMWR_RATING_STATE_ROLLUP_VSC[#Headers],0)),"ERROR"))</f>
        <v>149.0757341577</v>
      </c>
      <c r="I21" s="155">
        <f>IF($B21=" ","",IFERROR(INDEX(MMWR_RATING_STATE_ROLLUP_VSC[],MATCH($B21,MMWR_RATING_STATE_ROLLUP_VSC[MMWR_RATING_STATE_ROLLUP_VSC],0),MATCH(I$9,MMWR_RATING_STATE_ROLLUP_VSC[#Headers],0)),"ERROR"))</f>
        <v>127.2806677958</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1236</v>
      </c>
      <c r="D22" s="155">
        <f>IF($B22=" ","",IFERROR(INDEX(MMWR_RATING_STATE_ROLLUP_VSC[],MATCH($B22,MMWR_RATING_STATE_ROLLUP_VSC[MMWR_RATING_STATE_ROLLUP_VSC],0),MATCH(D$9,MMWR_RATING_STATE_ROLLUP_VSC[#Headers],0)),"ERROR"))</f>
        <v>103.51051779940001</v>
      </c>
      <c r="E22" s="156">
        <f>IF($B22=" ","",IFERROR(INDEX(MMWR_RATING_STATE_ROLLUP_VSC[],MATCH($B22,MMWR_RATING_STATE_ROLLUP_VSC[MMWR_RATING_STATE_ROLLUP_VSC],0),MATCH(E$9,MMWR_RATING_STATE_ROLLUP_VSC[#Headers],0))/$C22,"ERROR"))</f>
        <v>0.24190938511326862</v>
      </c>
      <c r="F22" s="154">
        <f>IF($B22=" ","",IFERROR(INDEX(MMWR_RATING_STATE_ROLLUP_VSC[],MATCH($B22,MMWR_RATING_STATE_ROLLUP_VSC[MMWR_RATING_STATE_ROLLUP_VSC],0),MATCH(F$9,MMWR_RATING_STATE_ROLLUP_VSC[#Headers],0)),"ERROR"))</f>
        <v>217</v>
      </c>
      <c r="G22" s="154">
        <f>IF($B22=" ","",IFERROR(INDEX(MMWR_RATING_STATE_ROLLUP_VSC[],MATCH($B22,MMWR_RATING_STATE_ROLLUP_VSC[MMWR_RATING_STATE_ROLLUP_VSC],0),MATCH(G$9,MMWR_RATING_STATE_ROLLUP_VSC[#Headers],0)),"ERROR"))</f>
        <v>1239</v>
      </c>
      <c r="H22" s="155">
        <f>IF($B22=" ","",IFERROR(INDEX(MMWR_RATING_STATE_ROLLUP_VSC[],MATCH($B22,MMWR_RATING_STATE_ROLLUP_VSC[MMWR_RATING_STATE_ROLLUP_VSC],0),MATCH(H$9,MMWR_RATING_STATE_ROLLUP_VSC[#Headers],0)),"ERROR"))</f>
        <v>138.13364055299999</v>
      </c>
      <c r="I22" s="155">
        <f>IF($B22=" ","",IFERROR(INDEX(MMWR_RATING_STATE_ROLLUP_VSC[],MATCH($B22,MMWR_RATING_STATE_ROLLUP_VSC[MMWR_RATING_STATE_ROLLUP_VSC],0),MATCH(I$9,MMWR_RATING_STATE_ROLLUP_VSC[#Headers],0)),"ERROR"))</f>
        <v>130.6561743341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3893</v>
      </c>
      <c r="D23" s="155">
        <f>IF($B23=" ","",IFERROR(INDEX(MMWR_RATING_STATE_ROLLUP_VSC[],MATCH($B23,MMWR_RATING_STATE_ROLLUP_VSC[MMWR_RATING_STATE_ROLLUP_VSC],0),MATCH(D$9,MMWR_RATING_STATE_ROLLUP_VSC[#Headers],0)),"ERROR"))</f>
        <v>98.043154379699999</v>
      </c>
      <c r="E23" s="156">
        <f>IF($B23=" ","",IFERROR(INDEX(MMWR_RATING_STATE_ROLLUP_VSC[],MATCH($B23,MMWR_RATING_STATE_ROLLUP_VSC[MMWR_RATING_STATE_ROLLUP_VSC],0),MATCH(E$9,MMWR_RATING_STATE_ROLLUP_VSC[#Headers],0))/$C23,"ERROR"))</f>
        <v>0.23606473156948368</v>
      </c>
      <c r="F23" s="154">
        <f>IF($B23=" ","",IFERROR(INDEX(MMWR_RATING_STATE_ROLLUP_VSC[],MATCH($B23,MMWR_RATING_STATE_ROLLUP_VSC[MMWR_RATING_STATE_ROLLUP_VSC],0),MATCH(F$9,MMWR_RATING_STATE_ROLLUP_VSC[#Headers],0)),"ERROR"))</f>
        <v>806</v>
      </c>
      <c r="G23" s="154">
        <f>IF($B23=" ","",IFERROR(INDEX(MMWR_RATING_STATE_ROLLUP_VSC[],MATCH($B23,MMWR_RATING_STATE_ROLLUP_VSC[MMWR_RATING_STATE_ROLLUP_VSC],0),MATCH(G$9,MMWR_RATING_STATE_ROLLUP_VSC[#Headers],0)),"ERROR"))</f>
        <v>3978</v>
      </c>
      <c r="H23" s="155">
        <f>IF($B23=" ","",IFERROR(INDEX(MMWR_RATING_STATE_ROLLUP_VSC[],MATCH($B23,MMWR_RATING_STATE_ROLLUP_VSC[MMWR_RATING_STATE_ROLLUP_VSC],0),MATCH(H$9,MMWR_RATING_STATE_ROLLUP_VSC[#Headers],0)),"ERROR"))</f>
        <v>133.858560794</v>
      </c>
      <c r="I23" s="155">
        <f>IF($B23=" ","",IFERROR(INDEX(MMWR_RATING_STATE_ROLLUP_VSC[],MATCH($B23,MMWR_RATING_STATE_ROLLUP_VSC[MMWR_RATING_STATE_ROLLUP_VSC],0),MATCH(I$9,MMWR_RATING_STATE_ROLLUP_VSC[#Headers],0)),"ERROR"))</f>
        <v>141.88687782810001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8538</v>
      </c>
      <c r="D24" s="155">
        <f>IF($B24=" ","",IFERROR(INDEX(MMWR_RATING_STATE_ROLLUP_VSC[],MATCH($B24,MMWR_RATING_STATE_ROLLUP_VSC[MMWR_RATING_STATE_ROLLUP_VSC],0),MATCH(D$9,MMWR_RATING_STATE_ROLLUP_VSC[#Headers],0)),"ERROR"))</f>
        <v>94.476809557300001</v>
      </c>
      <c r="E24" s="156">
        <f>IF($B24=" ","",IFERROR(INDEX(MMWR_RATING_STATE_ROLLUP_VSC[],MATCH($B24,MMWR_RATING_STATE_ROLLUP_VSC[MMWR_RATING_STATE_ROLLUP_VSC],0),MATCH(E$9,MMWR_RATING_STATE_ROLLUP_VSC[#Headers],0))/$C24,"ERROR"))</f>
        <v>0.2139845397048489</v>
      </c>
      <c r="F24" s="154">
        <f>IF($B24=" ","",IFERROR(INDEX(MMWR_RATING_STATE_ROLLUP_VSC[],MATCH($B24,MMWR_RATING_STATE_ROLLUP_VSC[MMWR_RATING_STATE_ROLLUP_VSC],0),MATCH(F$9,MMWR_RATING_STATE_ROLLUP_VSC[#Headers],0)),"ERROR"))</f>
        <v>1730</v>
      </c>
      <c r="G24" s="154">
        <f>IF($B24=" ","",IFERROR(INDEX(MMWR_RATING_STATE_ROLLUP_VSC[],MATCH($B24,MMWR_RATING_STATE_ROLLUP_VSC[MMWR_RATING_STATE_ROLLUP_VSC],0),MATCH(G$9,MMWR_RATING_STATE_ROLLUP_VSC[#Headers],0)),"ERROR"))</f>
        <v>8555</v>
      </c>
      <c r="H24" s="155">
        <f>IF($B24=" ","",IFERROR(INDEX(MMWR_RATING_STATE_ROLLUP_VSC[],MATCH($B24,MMWR_RATING_STATE_ROLLUP_VSC[MMWR_RATING_STATE_ROLLUP_VSC],0),MATCH(H$9,MMWR_RATING_STATE_ROLLUP_VSC[#Headers],0)),"ERROR"))</f>
        <v>139.51040462430001</v>
      </c>
      <c r="I24" s="155">
        <f>IF($B24=" ","",IFERROR(INDEX(MMWR_RATING_STATE_ROLLUP_VSC[],MATCH($B24,MMWR_RATING_STATE_ROLLUP_VSC[MMWR_RATING_STATE_ROLLUP_VSC],0),MATCH(I$9,MMWR_RATING_STATE_ROLLUP_VSC[#Headers],0)),"ERROR"))</f>
        <v>138.9334891876</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15366</v>
      </c>
      <c r="D25" s="155">
        <f>IF($B25=" ","",IFERROR(INDEX(MMWR_RATING_STATE_ROLLUP_VSC[],MATCH($B25,MMWR_RATING_STATE_ROLLUP_VSC[MMWR_RATING_STATE_ROLLUP_VSC],0),MATCH(D$9,MMWR_RATING_STATE_ROLLUP_VSC[#Headers],0)),"ERROR"))</f>
        <v>103.0605232331</v>
      </c>
      <c r="E25" s="156">
        <f>IF($B25=" ","",IFERROR(INDEX(MMWR_RATING_STATE_ROLLUP_VSC[],MATCH($B25,MMWR_RATING_STATE_ROLLUP_VSC[MMWR_RATING_STATE_ROLLUP_VSC],0),MATCH(E$9,MMWR_RATING_STATE_ROLLUP_VSC[#Headers],0))/$C25,"ERROR"))</f>
        <v>0.27476246257972148</v>
      </c>
      <c r="F25" s="154">
        <f>IF($B25=" ","",IFERROR(INDEX(MMWR_RATING_STATE_ROLLUP_VSC[],MATCH($B25,MMWR_RATING_STATE_ROLLUP_VSC[MMWR_RATING_STATE_ROLLUP_VSC],0),MATCH(F$9,MMWR_RATING_STATE_ROLLUP_VSC[#Headers],0)),"ERROR"))</f>
        <v>3012</v>
      </c>
      <c r="G25" s="154">
        <f>IF($B25=" ","",IFERROR(INDEX(MMWR_RATING_STATE_ROLLUP_VSC[],MATCH($B25,MMWR_RATING_STATE_ROLLUP_VSC[MMWR_RATING_STATE_ROLLUP_VSC],0),MATCH(G$9,MMWR_RATING_STATE_ROLLUP_VSC[#Headers],0)),"ERROR"))</f>
        <v>15945</v>
      </c>
      <c r="H25" s="155">
        <f>IF($B25=" ","",IFERROR(INDEX(MMWR_RATING_STATE_ROLLUP_VSC[],MATCH($B25,MMWR_RATING_STATE_ROLLUP_VSC[MMWR_RATING_STATE_ROLLUP_VSC],0),MATCH(H$9,MMWR_RATING_STATE_ROLLUP_VSC[#Headers],0)),"ERROR"))</f>
        <v>143.89940239040001</v>
      </c>
      <c r="I25" s="155">
        <f>IF($B25=" ","",IFERROR(INDEX(MMWR_RATING_STATE_ROLLUP_VSC[],MATCH($B25,MMWR_RATING_STATE_ROLLUP_VSC[MMWR_RATING_STATE_ROLLUP_VSC],0),MATCH(I$9,MMWR_RATING_STATE_ROLLUP_VSC[#Headers],0)),"ERROR"))</f>
        <v>143.4465976795</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8441</v>
      </c>
      <c r="D26" s="155">
        <f>IF($B26=" ","",IFERROR(INDEX(MMWR_RATING_STATE_ROLLUP_VSC[],MATCH($B26,MMWR_RATING_STATE_ROLLUP_VSC[MMWR_RATING_STATE_ROLLUP_VSC],0),MATCH(D$9,MMWR_RATING_STATE_ROLLUP_VSC[#Headers],0)),"ERROR"))</f>
        <v>109.5447221893</v>
      </c>
      <c r="E26" s="156">
        <f>IF($B26=" ","",IFERROR(INDEX(MMWR_RATING_STATE_ROLLUP_VSC[],MATCH($B26,MMWR_RATING_STATE_ROLLUP_VSC[MMWR_RATING_STATE_ROLLUP_VSC],0),MATCH(E$9,MMWR_RATING_STATE_ROLLUP_VSC[#Headers],0))/$C26,"ERROR"))</f>
        <v>0.27792915531335149</v>
      </c>
      <c r="F26" s="154">
        <f>IF($B26=" ","",IFERROR(INDEX(MMWR_RATING_STATE_ROLLUP_VSC[],MATCH($B26,MMWR_RATING_STATE_ROLLUP_VSC[MMWR_RATING_STATE_ROLLUP_VSC],0),MATCH(F$9,MMWR_RATING_STATE_ROLLUP_VSC[#Headers],0)),"ERROR"))</f>
        <v>1871</v>
      </c>
      <c r="G26" s="154">
        <f>IF($B26=" ","",IFERROR(INDEX(MMWR_RATING_STATE_ROLLUP_VSC[],MATCH($B26,MMWR_RATING_STATE_ROLLUP_VSC[MMWR_RATING_STATE_ROLLUP_VSC],0),MATCH(G$9,MMWR_RATING_STATE_ROLLUP_VSC[#Headers],0)),"ERROR"))</f>
        <v>9366</v>
      </c>
      <c r="H26" s="155">
        <f>IF($B26=" ","",IFERROR(INDEX(MMWR_RATING_STATE_ROLLUP_VSC[],MATCH($B26,MMWR_RATING_STATE_ROLLUP_VSC[MMWR_RATING_STATE_ROLLUP_VSC],0),MATCH(H$9,MMWR_RATING_STATE_ROLLUP_VSC[#Headers],0)),"ERROR"))</f>
        <v>136.74826296099999</v>
      </c>
      <c r="I26" s="155">
        <f>IF($B26=" ","",IFERROR(INDEX(MMWR_RATING_STATE_ROLLUP_VSC[],MATCH($B26,MMWR_RATING_STATE_ROLLUP_VSC[MMWR_RATING_STATE_ROLLUP_VSC],0),MATCH(I$9,MMWR_RATING_STATE_ROLLUP_VSC[#Headers],0)),"ERROR"))</f>
        <v>146.75453768950001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876</v>
      </c>
      <c r="D27" s="155">
        <f>IF($B27=" ","",IFERROR(INDEX(MMWR_RATING_STATE_ROLLUP_VSC[],MATCH($B27,MMWR_RATING_STATE_ROLLUP_VSC[MMWR_RATING_STATE_ROLLUP_VSC],0),MATCH(D$9,MMWR_RATING_STATE_ROLLUP_VSC[#Headers],0)),"ERROR"))</f>
        <v>92.437214611900004</v>
      </c>
      <c r="E27" s="156">
        <f>IF($B27=" ","",IFERROR(INDEX(MMWR_RATING_STATE_ROLLUP_VSC[],MATCH($B27,MMWR_RATING_STATE_ROLLUP_VSC[MMWR_RATING_STATE_ROLLUP_VSC],0),MATCH(E$9,MMWR_RATING_STATE_ROLLUP_VSC[#Headers],0))/$C27,"ERROR"))</f>
        <v>0.21917808219178081</v>
      </c>
      <c r="F27" s="154">
        <f>IF($B27=" ","",IFERROR(INDEX(MMWR_RATING_STATE_ROLLUP_VSC[],MATCH($B27,MMWR_RATING_STATE_ROLLUP_VSC[MMWR_RATING_STATE_ROLLUP_VSC],0),MATCH(F$9,MMWR_RATING_STATE_ROLLUP_VSC[#Headers],0)),"ERROR"))</f>
        <v>180</v>
      </c>
      <c r="G27" s="154">
        <f>IF($B27=" ","",IFERROR(INDEX(MMWR_RATING_STATE_ROLLUP_VSC[],MATCH($B27,MMWR_RATING_STATE_ROLLUP_VSC[MMWR_RATING_STATE_ROLLUP_VSC],0),MATCH(G$9,MMWR_RATING_STATE_ROLLUP_VSC[#Headers],0)),"ERROR"))</f>
        <v>966</v>
      </c>
      <c r="H27" s="155">
        <f>IF($B27=" ","",IFERROR(INDEX(MMWR_RATING_STATE_ROLLUP_VSC[],MATCH($B27,MMWR_RATING_STATE_ROLLUP_VSC[MMWR_RATING_STATE_ROLLUP_VSC],0),MATCH(H$9,MMWR_RATING_STATE_ROLLUP_VSC[#Headers],0)),"ERROR"))</f>
        <v>133.03333333329999</v>
      </c>
      <c r="I27" s="155">
        <f>IF($B27=" ","",IFERROR(INDEX(MMWR_RATING_STATE_ROLLUP_VSC[],MATCH($B27,MMWR_RATING_STATE_ROLLUP_VSC[MMWR_RATING_STATE_ROLLUP_VSC],0),MATCH(I$9,MMWR_RATING_STATE_ROLLUP_VSC[#Headers],0)),"ERROR"))</f>
        <v>117.0672877847</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509</v>
      </c>
      <c r="D28" s="155">
        <f>IF($B28=" ","",IFERROR(INDEX(MMWR_RATING_STATE_ROLLUP_VSC[],MATCH($B28,MMWR_RATING_STATE_ROLLUP_VSC[MMWR_RATING_STATE_ROLLUP_VSC],0),MATCH(D$9,MMWR_RATING_STATE_ROLLUP_VSC[#Headers],0)),"ERROR"))</f>
        <v>95.520628683699996</v>
      </c>
      <c r="E28" s="156">
        <f>IF($B28=" ","",IFERROR(INDEX(MMWR_RATING_STATE_ROLLUP_VSC[],MATCH($B28,MMWR_RATING_STATE_ROLLUP_VSC[MMWR_RATING_STATE_ROLLUP_VSC],0),MATCH(E$9,MMWR_RATING_STATE_ROLLUP_VSC[#Headers],0))/$C28,"ERROR"))</f>
        <v>0.23182711198428291</v>
      </c>
      <c r="F28" s="154">
        <f>IF($B28=" ","",IFERROR(INDEX(MMWR_RATING_STATE_ROLLUP_VSC[],MATCH($B28,MMWR_RATING_STATE_ROLLUP_VSC[MMWR_RATING_STATE_ROLLUP_VSC],0),MATCH(F$9,MMWR_RATING_STATE_ROLLUP_VSC[#Headers],0)),"ERROR"))</f>
        <v>104</v>
      </c>
      <c r="G28" s="154">
        <f>IF($B28=" ","",IFERROR(INDEX(MMWR_RATING_STATE_ROLLUP_VSC[],MATCH($B28,MMWR_RATING_STATE_ROLLUP_VSC[MMWR_RATING_STATE_ROLLUP_VSC],0),MATCH(G$9,MMWR_RATING_STATE_ROLLUP_VSC[#Headers],0)),"ERROR"))</f>
        <v>390</v>
      </c>
      <c r="H28" s="155">
        <f>IF($B28=" ","",IFERROR(INDEX(MMWR_RATING_STATE_ROLLUP_VSC[],MATCH($B28,MMWR_RATING_STATE_ROLLUP_VSC[MMWR_RATING_STATE_ROLLUP_VSC],0),MATCH(H$9,MMWR_RATING_STATE_ROLLUP_VSC[#Headers],0)),"ERROR"))</f>
        <v>140.89423076919999</v>
      </c>
      <c r="I28" s="155">
        <f>IF($B28=" ","",IFERROR(INDEX(MMWR_RATING_STATE_ROLLUP_VSC[],MATCH($B28,MMWR_RATING_STATE_ROLLUP_VSC[MMWR_RATING_STATE_ROLLUP_VSC],0),MATCH(I$9,MMWR_RATING_STATE_ROLLUP_VSC[#Headers],0)),"ERROR"))</f>
        <v>141.45641025640001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10042</v>
      </c>
      <c r="D29" s="155">
        <f>IF($B29=" ","",IFERROR(INDEX(MMWR_RATING_STATE_ROLLUP_VSC[],MATCH($B29,MMWR_RATING_STATE_ROLLUP_VSC[MMWR_RATING_STATE_ROLLUP_VSC],0),MATCH(D$9,MMWR_RATING_STATE_ROLLUP_VSC[#Headers],0)),"ERROR"))</f>
        <v>95.645588528199994</v>
      </c>
      <c r="E29" s="156">
        <f>IF($B29=" ","",IFERROR(INDEX(MMWR_RATING_STATE_ROLLUP_VSC[],MATCH($B29,MMWR_RATING_STATE_ROLLUP_VSC[MMWR_RATING_STATE_ROLLUP_VSC],0),MATCH(E$9,MMWR_RATING_STATE_ROLLUP_VSC[#Headers],0))/$C29,"ERROR"))</f>
        <v>0.22973511252738499</v>
      </c>
      <c r="F29" s="154">
        <f>IF($B29=" ","",IFERROR(INDEX(MMWR_RATING_STATE_ROLLUP_VSC[],MATCH($B29,MMWR_RATING_STATE_ROLLUP_VSC[MMWR_RATING_STATE_ROLLUP_VSC],0),MATCH(F$9,MMWR_RATING_STATE_ROLLUP_VSC[#Headers],0)),"ERROR"))</f>
        <v>2369</v>
      </c>
      <c r="G29" s="154">
        <f>IF($B29=" ","",IFERROR(INDEX(MMWR_RATING_STATE_ROLLUP_VSC[],MATCH($B29,MMWR_RATING_STATE_ROLLUP_VSC[MMWR_RATING_STATE_ROLLUP_VSC],0),MATCH(G$9,MMWR_RATING_STATE_ROLLUP_VSC[#Headers],0)),"ERROR"))</f>
        <v>10456</v>
      </c>
      <c r="H29" s="155">
        <f>IF($B29=" ","",IFERROR(INDEX(MMWR_RATING_STATE_ROLLUP_VSC[],MATCH($B29,MMWR_RATING_STATE_ROLLUP_VSC[MMWR_RATING_STATE_ROLLUP_VSC],0),MATCH(H$9,MMWR_RATING_STATE_ROLLUP_VSC[#Headers],0)),"ERROR"))</f>
        <v>126.8868720979</v>
      </c>
      <c r="I29" s="155">
        <f>IF($B29=" ","",IFERROR(INDEX(MMWR_RATING_STATE_ROLLUP_VSC[],MATCH($B29,MMWR_RATING_STATE_ROLLUP_VSC[MMWR_RATING_STATE_ROLLUP_VSC],0),MATCH(I$9,MMWR_RATING_STATE_ROLLUP_VSC[#Headers],0)),"ERROR"))</f>
        <v>137.69701606730001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2544</v>
      </c>
      <c r="D30" s="155">
        <f>IF($B30=" ","",IFERROR(INDEX(MMWR_RATING_STATE_ROLLUP_VSC[],MATCH($B30,MMWR_RATING_STATE_ROLLUP_VSC[MMWR_RATING_STATE_ROLLUP_VSC],0),MATCH(D$9,MMWR_RATING_STATE_ROLLUP_VSC[#Headers],0)),"ERROR"))</f>
        <v>88.969732704400002</v>
      </c>
      <c r="E30" s="156">
        <f>IF($B30=" ","",IFERROR(INDEX(MMWR_RATING_STATE_ROLLUP_VSC[],MATCH($B30,MMWR_RATING_STATE_ROLLUP_VSC[MMWR_RATING_STATE_ROLLUP_VSC],0),MATCH(E$9,MMWR_RATING_STATE_ROLLUP_VSC[#Headers],0))/$C30,"ERROR"))</f>
        <v>0.18160377358490565</v>
      </c>
      <c r="F30" s="154">
        <f>IF($B30=" ","",IFERROR(INDEX(MMWR_RATING_STATE_ROLLUP_VSC[],MATCH($B30,MMWR_RATING_STATE_ROLLUP_VSC[MMWR_RATING_STATE_ROLLUP_VSC],0),MATCH(F$9,MMWR_RATING_STATE_ROLLUP_VSC[#Headers],0)),"ERROR"))</f>
        <v>484</v>
      </c>
      <c r="G30" s="154">
        <f>IF($B30=" ","",IFERROR(INDEX(MMWR_RATING_STATE_ROLLUP_VSC[],MATCH($B30,MMWR_RATING_STATE_ROLLUP_VSC[MMWR_RATING_STATE_ROLLUP_VSC],0),MATCH(G$9,MMWR_RATING_STATE_ROLLUP_VSC[#Headers],0)),"ERROR"))</f>
        <v>2614</v>
      </c>
      <c r="H30" s="155">
        <f>IF($B30=" ","",IFERROR(INDEX(MMWR_RATING_STATE_ROLLUP_VSC[],MATCH($B30,MMWR_RATING_STATE_ROLLUP_VSC[MMWR_RATING_STATE_ROLLUP_VSC],0),MATCH(H$9,MMWR_RATING_STATE_ROLLUP_VSC[#Headers],0)),"ERROR"))</f>
        <v>119.5309917355</v>
      </c>
      <c r="I30" s="155">
        <f>IF($B30=" ","",IFERROR(INDEX(MMWR_RATING_STATE_ROLLUP_VSC[],MATCH($B30,MMWR_RATING_STATE_ROLLUP_VSC[MMWR_RATING_STATE_ROLLUP_VSC],0),MATCH(I$9,MMWR_RATING_STATE_ROLLUP_VSC[#Headers],0)),"ERROR"))</f>
        <v>120.4594491201</v>
      </c>
      <c r="J30" s="42"/>
      <c r="K30" s="42"/>
      <c r="L30" s="42"/>
      <c r="M30" s="42"/>
      <c r="N30" s="28"/>
    </row>
    <row r="31" spans="1:14" x14ac:dyDescent="0.2">
      <c r="A31" s="25"/>
      <c r="B31" s="342" t="s">
        <v>963</v>
      </c>
      <c r="C31" s="343"/>
      <c r="D31" s="343"/>
      <c r="E31" s="343"/>
      <c r="F31" s="343"/>
      <c r="G31" s="343"/>
      <c r="H31" s="343"/>
      <c r="I31" s="343"/>
      <c r="J31" s="343"/>
      <c r="K31" s="343"/>
      <c r="L31" s="343"/>
      <c r="M31" s="393"/>
      <c r="N31" s="28"/>
    </row>
    <row r="32" spans="1:14" x14ac:dyDescent="0.2">
      <c r="A32" s="25"/>
      <c r="B32" s="41" t="s">
        <v>1042</v>
      </c>
      <c r="C32" s="154">
        <f>IF($B32=" ","",IFERROR(INDEX(MMWR_RATING_STATE_ROLLUP_PMC[],MATCH($B32,MMWR_RATING_STATE_ROLLUP_PMC[MMWR_RATING_STATE_ROLLUP_PMC],0),MATCH(C$9,MMWR_RATING_STATE_ROLLUP_PMC[#Headers],0)),"ERROR"))</f>
        <v>26761</v>
      </c>
      <c r="D32" s="155">
        <f>IF($B32=" ","",IFERROR(INDEX(MMWR_RATING_STATE_ROLLUP_PMC[],MATCH($B32,MMWR_RATING_STATE_ROLLUP_PMC[MMWR_RATING_STATE_ROLLUP_PMC],0),MATCH(D$9,MMWR_RATING_STATE_ROLLUP_PMC[#Headers],0)),"ERROR"))</f>
        <v>70.9458914091</v>
      </c>
      <c r="E32" s="156">
        <f>IF($B32=" ","",IFERROR(INDEX(MMWR_RATING_STATE_ROLLUP_PMC[],MATCH($B32,MMWR_RATING_STATE_ROLLUP_PMC[MMWR_RATING_STATE_ROLLUP_PMC],0),MATCH(E$9,MMWR_RATING_STATE_ROLLUP_PMC[#Headers],0))/$C32,"ERROR"))</f>
        <v>0.11060872164717313</v>
      </c>
      <c r="F32" s="154">
        <f>IF($B32=" ","",IFERROR(INDEX(MMWR_RATING_STATE_ROLLUP_PMC[],MATCH($B32,MMWR_RATING_STATE_ROLLUP_PMC[MMWR_RATING_STATE_ROLLUP_PMC],0),MATCH(F$9,MMWR_RATING_STATE_ROLLUP_PMC[#Headers],0)),"ERROR"))</f>
        <v>8121</v>
      </c>
      <c r="G32" s="154">
        <f>IF($B32=" ","",IFERROR(INDEX(MMWR_RATING_STATE_ROLLUP_PMC[],MATCH($B32,MMWR_RATING_STATE_ROLLUP_PMC[MMWR_RATING_STATE_ROLLUP_PMC],0),MATCH(G$9,MMWR_RATING_STATE_ROLLUP_PMC[#Headers],0)),"ERROR"))</f>
        <v>44314</v>
      </c>
      <c r="H32" s="155">
        <f>IF($B32=" ","",IFERROR(INDEX(MMWR_RATING_STATE_ROLLUP_PMC[],MATCH($B32,MMWR_RATING_STATE_ROLLUP_PMC[MMWR_RATING_STATE_ROLLUP_PMC],0),MATCH(H$9,MMWR_RATING_STATE_ROLLUP_PMC[#Headers],0)),"ERROR"))</f>
        <v>79.3896071912</v>
      </c>
      <c r="I32" s="155">
        <f>IF($B32=" ","",IFERROR(INDEX(MMWR_RATING_STATE_ROLLUP_PMC[],MATCH($B32,MMWR_RATING_STATE_ROLLUP_PMC[MMWR_RATING_STATE_ROLLUP_PMC],0),MATCH(I$9,MMWR_RATING_STATE_ROLLUP_PMC[#Headers],0)),"ERROR"))</f>
        <v>72.820688721400003</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7292</v>
      </c>
      <c r="D33" s="155">
        <f>IF($B33=" ","",IFERROR(INDEX(MMWR_RATING_STATE_ROLLUP_PMC[],MATCH($B33,MMWR_RATING_STATE_ROLLUP_PMC[MMWR_RATING_STATE_ROLLUP_PMC],0),MATCH(D$9,MMWR_RATING_STATE_ROLLUP_PMC[#Headers],0)),"ERROR"))</f>
        <v>74.835984640700005</v>
      </c>
      <c r="E33" s="156">
        <f>IF($B33=" ","",IFERROR(INDEX(MMWR_RATING_STATE_ROLLUP_PMC[],MATCH($B33,MMWR_RATING_STATE_ROLLUP_PMC[MMWR_RATING_STATE_ROLLUP_PMC],0),MATCH(E$9,MMWR_RATING_STATE_ROLLUP_PMC[#Headers],0))/$C33,"ERROR"))</f>
        <v>0.11286341195831048</v>
      </c>
      <c r="F33" s="154">
        <f>IF($B33=" ","",IFERROR(INDEX(MMWR_RATING_STATE_ROLLUP_PMC[],MATCH($B33,MMWR_RATING_STATE_ROLLUP_PMC[MMWR_RATING_STATE_ROLLUP_PMC],0),MATCH(F$9,MMWR_RATING_STATE_ROLLUP_PMC[#Headers],0)),"ERROR"))</f>
        <v>1643</v>
      </c>
      <c r="G33" s="154">
        <f>IF($B33=" ","",IFERROR(INDEX(MMWR_RATING_STATE_ROLLUP_PMC[],MATCH($B33,MMWR_RATING_STATE_ROLLUP_PMC[MMWR_RATING_STATE_ROLLUP_PMC],0),MATCH(G$9,MMWR_RATING_STATE_ROLLUP_PMC[#Headers],0)),"ERROR"))</f>
        <v>8760</v>
      </c>
      <c r="H33" s="155">
        <f>IF($B33=" ","",IFERROR(INDEX(MMWR_RATING_STATE_ROLLUP_PMC[],MATCH($B33,MMWR_RATING_STATE_ROLLUP_PMC[MMWR_RATING_STATE_ROLLUP_PMC],0),MATCH(H$9,MMWR_RATING_STATE_ROLLUP_PMC[#Headers],0)),"ERROR"))</f>
        <v>98.481436396800007</v>
      </c>
      <c r="I33" s="155">
        <f>IF($B33=" ","",IFERROR(INDEX(MMWR_RATING_STATE_ROLLUP_PMC[],MATCH($B33,MMWR_RATING_STATE_ROLLUP_PMC[MMWR_RATING_STATE_ROLLUP_PMC],0),MATCH(I$9,MMWR_RATING_STATE_ROLLUP_PMC[#Headers],0)),"ERROR"))</f>
        <v>85.994520547899995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216</v>
      </c>
      <c r="D34" s="155">
        <f>IF($B34=" ","",IFERROR(INDEX(MMWR_RATING_STATE_ROLLUP_PMC[],MATCH($B34,MMWR_RATING_STATE_ROLLUP_PMC[MMWR_RATING_STATE_ROLLUP_PMC],0),MATCH(D$9,MMWR_RATING_STATE_ROLLUP_PMC[#Headers],0)),"ERROR"))</f>
        <v>78.888888888899999</v>
      </c>
      <c r="E34" s="156">
        <f>IF($B34=" ","",IFERROR(INDEX(MMWR_RATING_STATE_ROLLUP_PMC[],MATCH($B34,MMWR_RATING_STATE_ROLLUP_PMC[MMWR_RATING_STATE_ROLLUP_PMC],0),MATCH(E$9,MMWR_RATING_STATE_ROLLUP_PMC[#Headers],0))/$C34,"ERROR"))</f>
        <v>0.125</v>
      </c>
      <c r="F34" s="154">
        <f>IF($B34=" ","",IFERROR(INDEX(MMWR_RATING_STATE_ROLLUP_PMC[],MATCH($B34,MMWR_RATING_STATE_ROLLUP_PMC[MMWR_RATING_STATE_ROLLUP_PMC],0),MATCH(F$9,MMWR_RATING_STATE_ROLLUP_PMC[#Headers],0)),"ERROR"))</f>
        <v>55</v>
      </c>
      <c r="G34" s="154">
        <f>IF($B34=" ","",IFERROR(INDEX(MMWR_RATING_STATE_ROLLUP_PMC[],MATCH($B34,MMWR_RATING_STATE_ROLLUP_PMC[MMWR_RATING_STATE_ROLLUP_PMC],0),MATCH(G$9,MMWR_RATING_STATE_ROLLUP_PMC[#Headers],0)),"ERROR"))</f>
        <v>260</v>
      </c>
      <c r="H34" s="155">
        <f>IF($B34=" ","",IFERROR(INDEX(MMWR_RATING_STATE_ROLLUP_PMC[],MATCH($B34,MMWR_RATING_STATE_ROLLUP_PMC[MMWR_RATING_STATE_ROLLUP_PMC],0),MATCH(H$9,MMWR_RATING_STATE_ROLLUP_PMC[#Headers],0)),"ERROR"))</f>
        <v>97.054545454500001</v>
      </c>
      <c r="I34" s="155">
        <f>IF($B34=" ","",IFERROR(INDEX(MMWR_RATING_STATE_ROLLUP_PMC[],MATCH($B34,MMWR_RATING_STATE_ROLLUP_PMC[MMWR_RATING_STATE_ROLLUP_PMC],0),MATCH(I$9,MMWR_RATING_STATE_ROLLUP_PMC[#Headers],0)),"ERROR"))</f>
        <v>83.646153846199994</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78</v>
      </c>
      <c r="D35" s="155">
        <f>IF($B35=" ","",IFERROR(INDEX(MMWR_RATING_STATE_ROLLUP_PMC[],MATCH($B35,MMWR_RATING_STATE_ROLLUP_PMC[MMWR_RATING_STATE_ROLLUP_PMC],0),MATCH(D$9,MMWR_RATING_STATE_ROLLUP_PMC[#Headers],0)),"ERROR"))</f>
        <v>84.512820512800005</v>
      </c>
      <c r="E35" s="156">
        <f>IF($B35=" ","",IFERROR(INDEX(MMWR_RATING_STATE_ROLLUP_PMC[],MATCH($B35,MMWR_RATING_STATE_ROLLUP_PMC[MMWR_RATING_STATE_ROLLUP_PMC],0),MATCH(E$9,MMWR_RATING_STATE_ROLLUP_PMC[#Headers],0))/$C35,"ERROR"))</f>
        <v>0.11538461538461539</v>
      </c>
      <c r="F35" s="154">
        <f>IF($B35=" ","",IFERROR(INDEX(MMWR_RATING_STATE_ROLLUP_PMC[],MATCH($B35,MMWR_RATING_STATE_ROLLUP_PMC[MMWR_RATING_STATE_ROLLUP_PMC],0),MATCH(F$9,MMWR_RATING_STATE_ROLLUP_PMC[#Headers],0)),"ERROR"))</f>
        <v>14</v>
      </c>
      <c r="G35" s="154">
        <f>IF($B35=" ","",IFERROR(INDEX(MMWR_RATING_STATE_ROLLUP_PMC[],MATCH($B35,MMWR_RATING_STATE_ROLLUP_PMC[MMWR_RATING_STATE_ROLLUP_PMC],0),MATCH(G$9,MMWR_RATING_STATE_ROLLUP_PMC[#Headers],0)),"ERROR"))</f>
        <v>81</v>
      </c>
      <c r="H35" s="155">
        <f>IF($B35=" ","",IFERROR(INDEX(MMWR_RATING_STATE_ROLLUP_PMC[],MATCH($B35,MMWR_RATING_STATE_ROLLUP_PMC[MMWR_RATING_STATE_ROLLUP_PMC],0),MATCH(H$9,MMWR_RATING_STATE_ROLLUP_PMC[#Headers],0)),"ERROR"))</f>
        <v>105.6428571429</v>
      </c>
      <c r="I35" s="155">
        <f>IF($B35=" ","",IFERROR(INDEX(MMWR_RATING_STATE_ROLLUP_PMC[],MATCH($B35,MMWR_RATING_STATE_ROLLUP_PMC[MMWR_RATING_STATE_ROLLUP_PMC],0),MATCH(I$9,MMWR_RATING_STATE_ROLLUP_PMC[#Headers],0)),"ERROR"))</f>
        <v>86.086419753100003</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70</v>
      </c>
      <c r="D36" s="155">
        <f>IF($B36=" ","",IFERROR(INDEX(MMWR_RATING_STATE_ROLLUP_PMC[],MATCH($B36,MMWR_RATING_STATE_ROLLUP_PMC[MMWR_RATING_STATE_ROLLUP_PMC],0),MATCH(D$9,MMWR_RATING_STATE_ROLLUP_PMC[#Headers],0)),"ERROR"))</f>
        <v>82.185714285700001</v>
      </c>
      <c r="E36" s="156">
        <f>IF($B36=" ","",IFERROR(INDEX(MMWR_RATING_STATE_ROLLUP_PMC[],MATCH($B36,MMWR_RATING_STATE_ROLLUP_PMC[MMWR_RATING_STATE_ROLLUP_PMC],0),MATCH(E$9,MMWR_RATING_STATE_ROLLUP_PMC[#Headers],0))/$C36,"ERROR"))</f>
        <v>0.17142857142857143</v>
      </c>
      <c r="F36" s="154">
        <f>IF($B36=" ","",IFERROR(INDEX(MMWR_RATING_STATE_ROLLUP_PMC[],MATCH($B36,MMWR_RATING_STATE_ROLLUP_PMC[MMWR_RATING_STATE_ROLLUP_PMC],0),MATCH(F$9,MMWR_RATING_STATE_ROLLUP_PMC[#Headers],0)),"ERROR"))</f>
        <v>8</v>
      </c>
      <c r="G36" s="154">
        <f>IF($B36=" ","",IFERROR(INDEX(MMWR_RATING_STATE_ROLLUP_PMC[],MATCH($B36,MMWR_RATING_STATE_ROLLUP_PMC[MMWR_RATING_STATE_ROLLUP_PMC],0),MATCH(G$9,MMWR_RATING_STATE_ROLLUP_PMC[#Headers],0)),"ERROR"))</f>
        <v>81</v>
      </c>
      <c r="H36" s="155">
        <f>IF($B36=" ","",IFERROR(INDEX(MMWR_RATING_STATE_ROLLUP_PMC[],MATCH($B36,MMWR_RATING_STATE_ROLLUP_PMC[MMWR_RATING_STATE_ROLLUP_PMC],0),MATCH(H$9,MMWR_RATING_STATE_ROLLUP_PMC[#Headers],0)),"ERROR"))</f>
        <v>130.125</v>
      </c>
      <c r="I36" s="155">
        <f>IF($B36=" ","",IFERROR(INDEX(MMWR_RATING_STATE_ROLLUP_PMC[],MATCH($B36,MMWR_RATING_STATE_ROLLUP_PMC[MMWR_RATING_STATE_ROLLUP_PMC],0),MATCH(I$9,MMWR_RATING_STATE_ROLLUP_PMC[#Headers],0)),"ERROR"))</f>
        <v>90.493827160500004</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122</v>
      </c>
      <c r="D37" s="155">
        <f>IF($B37=" ","",IFERROR(INDEX(MMWR_RATING_STATE_ROLLUP_PMC[],MATCH($B37,MMWR_RATING_STATE_ROLLUP_PMC[MMWR_RATING_STATE_ROLLUP_PMC],0),MATCH(D$9,MMWR_RATING_STATE_ROLLUP_PMC[#Headers],0)),"ERROR"))</f>
        <v>61.434426229499998</v>
      </c>
      <c r="E37" s="156">
        <f>IF($B37=" ","",IFERROR(INDEX(MMWR_RATING_STATE_ROLLUP_PMC[],MATCH($B37,MMWR_RATING_STATE_ROLLUP_PMC[MMWR_RATING_STATE_ROLLUP_PMC],0),MATCH(E$9,MMWR_RATING_STATE_ROLLUP_PMC[#Headers],0))/$C37,"ERROR"))</f>
        <v>6.5573770491803282E-2</v>
      </c>
      <c r="F37" s="154">
        <f>IF($B37=" ","",IFERROR(INDEX(MMWR_RATING_STATE_ROLLUP_PMC[],MATCH($B37,MMWR_RATING_STATE_ROLLUP_PMC[MMWR_RATING_STATE_ROLLUP_PMC],0),MATCH(F$9,MMWR_RATING_STATE_ROLLUP_PMC[#Headers],0)),"ERROR"))</f>
        <v>31</v>
      </c>
      <c r="G37" s="154">
        <f>IF($B37=" ","",IFERROR(INDEX(MMWR_RATING_STATE_ROLLUP_PMC[],MATCH($B37,MMWR_RATING_STATE_ROLLUP_PMC[MMWR_RATING_STATE_ROLLUP_PMC],0),MATCH(G$9,MMWR_RATING_STATE_ROLLUP_PMC[#Headers],0)),"ERROR"))</f>
        <v>175</v>
      </c>
      <c r="H37" s="155">
        <f>IF($B37=" ","",IFERROR(INDEX(MMWR_RATING_STATE_ROLLUP_PMC[],MATCH($B37,MMWR_RATING_STATE_ROLLUP_PMC[MMWR_RATING_STATE_ROLLUP_PMC],0),MATCH(H$9,MMWR_RATING_STATE_ROLLUP_PMC[#Headers],0)),"ERROR"))</f>
        <v>83.322580645200006</v>
      </c>
      <c r="I37" s="155">
        <f>IF($B37=" ","",IFERROR(INDEX(MMWR_RATING_STATE_ROLLUP_PMC[],MATCH($B37,MMWR_RATING_STATE_ROLLUP_PMC[MMWR_RATING_STATE_ROLLUP_PMC],0),MATCH(I$9,MMWR_RATING_STATE_ROLLUP_PMC[#Headers],0)),"ERROR"))</f>
        <v>81.954285714299999</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474</v>
      </c>
      <c r="D38" s="155">
        <f>IF($B38=" ","",IFERROR(INDEX(MMWR_RATING_STATE_ROLLUP_PMC[],MATCH($B38,MMWR_RATING_STATE_ROLLUP_PMC[MMWR_RATING_STATE_ROLLUP_PMC],0),MATCH(D$9,MMWR_RATING_STATE_ROLLUP_PMC[#Headers],0)),"ERROR"))</f>
        <v>75.548523206799999</v>
      </c>
      <c r="E38" s="156">
        <f>IF($B38=" ","",IFERROR(INDEX(MMWR_RATING_STATE_ROLLUP_PMC[],MATCH($B38,MMWR_RATING_STATE_ROLLUP_PMC[MMWR_RATING_STATE_ROLLUP_PMC],0),MATCH(E$9,MMWR_RATING_STATE_ROLLUP_PMC[#Headers],0))/$C38,"ERROR"))</f>
        <v>0.1160337552742616</v>
      </c>
      <c r="F38" s="154">
        <f>IF($B38=" ","",IFERROR(INDEX(MMWR_RATING_STATE_ROLLUP_PMC[],MATCH($B38,MMWR_RATING_STATE_ROLLUP_PMC[MMWR_RATING_STATE_ROLLUP_PMC],0),MATCH(F$9,MMWR_RATING_STATE_ROLLUP_PMC[#Headers],0)),"ERROR"))</f>
        <v>120</v>
      </c>
      <c r="G38" s="154">
        <f>IF($B38=" ","",IFERROR(INDEX(MMWR_RATING_STATE_ROLLUP_PMC[],MATCH($B38,MMWR_RATING_STATE_ROLLUP_PMC[MMWR_RATING_STATE_ROLLUP_PMC],0),MATCH(G$9,MMWR_RATING_STATE_ROLLUP_PMC[#Headers],0)),"ERROR"))</f>
        <v>579</v>
      </c>
      <c r="H38" s="155">
        <f>IF($B38=" ","",IFERROR(INDEX(MMWR_RATING_STATE_ROLLUP_PMC[],MATCH($B38,MMWR_RATING_STATE_ROLLUP_PMC[MMWR_RATING_STATE_ROLLUP_PMC],0),MATCH(H$9,MMWR_RATING_STATE_ROLLUP_PMC[#Headers],0)),"ERROR"))</f>
        <v>97.091666666699993</v>
      </c>
      <c r="I38" s="155">
        <f>IF($B38=" ","",IFERROR(INDEX(MMWR_RATING_STATE_ROLLUP_PMC[],MATCH($B38,MMWR_RATING_STATE_ROLLUP_PMC[MMWR_RATING_STATE_ROLLUP_PMC],0),MATCH(I$9,MMWR_RATING_STATE_ROLLUP_PMC[#Headers],0)),"ERROR"))</f>
        <v>85.077720207300004</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449</v>
      </c>
      <c r="D39" s="155">
        <f>IF($B39=" ","",IFERROR(INDEX(MMWR_RATING_STATE_ROLLUP_PMC[],MATCH($B39,MMWR_RATING_STATE_ROLLUP_PMC[MMWR_RATING_STATE_ROLLUP_PMC],0),MATCH(D$9,MMWR_RATING_STATE_ROLLUP_PMC[#Headers],0)),"ERROR"))</f>
        <v>72.924276169300001</v>
      </c>
      <c r="E39" s="156">
        <f>IF($B39=" ","",IFERROR(INDEX(MMWR_RATING_STATE_ROLLUP_PMC[],MATCH($B39,MMWR_RATING_STATE_ROLLUP_PMC[MMWR_RATING_STATE_ROLLUP_PMC],0),MATCH(E$9,MMWR_RATING_STATE_ROLLUP_PMC[#Headers],0))/$C39,"ERROR"))</f>
        <v>0.1291759465478842</v>
      </c>
      <c r="F39" s="154">
        <f>IF($B39=" ","",IFERROR(INDEX(MMWR_RATING_STATE_ROLLUP_PMC[],MATCH($B39,MMWR_RATING_STATE_ROLLUP_PMC[MMWR_RATING_STATE_ROLLUP_PMC],0),MATCH(F$9,MMWR_RATING_STATE_ROLLUP_PMC[#Headers],0)),"ERROR"))</f>
        <v>112</v>
      </c>
      <c r="G39" s="154">
        <f>IF($B39=" ","",IFERROR(INDEX(MMWR_RATING_STATE_ROLLUP_PMC[],MATCH($B39,MMWR_RATING_STATE_ROLLUP_PMC[MMWR_RATING_STATE_ROLLUP_PMC],0),MATCH(G$9,MMWR_RATING_STATE_ROLLUP_PMC[#Headers],0)),"ERROR"))</f>
        <v>569</v>
      </c>
      <c r="H39" s="155">
        <f>IF($B39=" ","",IFERROR(INDEX(MMWR_RATING_STATE_ROLLUP_PMC[],MATCH($B39,MMWR_RATING_STATE_ROLLUP_PMC[MMWR_RATING_STATE_ROLLUP_PMC],0),MATCH(H$9,MMWR_RATING_STATE_ROLLUP_PMC[#Headers],0)),"ERROR"))</f>
        <v>80.589285714300004</v>
      </c>
      <c r="I39" s="155">
        <f>IF($B39=" ","",IFERROR(INDEX(MMWR_RATING_STATE_ROLLUP_PMC[],MATCH($B39,MMWR_RATING_STATE_ROLLUP_PMC[MMWR_RATING_STATE_ROLLUP_PMC],0),MATCH(I$9,MMWR_RATING_STATE_ROLLUP_PMC[#Headers],0)),"ERROR"))</f>
        <v>80.541300527199994</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108</v>
      </c>
      <c r="D40" s="155">
        <f>IF($B40=" ","",IFERROR(INDEX(MMWR_RATING_STATE_ROLLUP_PMC[],MATCH($B40,MMWR_RATING_STATE_ROLLUP_PMC[MMWR_RATING_STATE_ROLLUP_PMC],0),MATCH(D$9,MMWR_RATING_STATE_ROLLUP_PMC[#Headers],0)),"ERROR"))</f>
        <v>69</v>
      </c>
      <c r="E40" s="156">
        <f>IF($B40=" ","",IFERROR(INDEX(MMWR_RATING_STATE_ROLLUP_PMC[],MATCH($B40,MMWR_RATING_STATE_ROLLUP_PMC[MMWR_RATING_STATE_ROLLUP_PMC],0),MATCH(E$9,MMWR_RATING_STATE_ROLLUP_PMC[#Headers],0))/$C40,"ERROR"))</f>
        <v>0.12037037037037036</v>
      </c>
      <c r="F40" s="154">
        <f>IF($B40=" ","",IFERROR(INDEX(MMWR_RATING_STATE_ROLLUP_PMC[],MATCH($B40,MMWR_RATING_STATE_ROLLUP_PMC[MMWR_RATING_STATE_ROLLUP_PMC],0),MATCH(F$9,MMWR_RATING_STATE_ROLLUP_PMC[#Headers],0)),"ERROR"))</f>
        <v>28</v>
      </c>
      <c r="G40" s="154">
        <f>IF($B40=" ","",IFERROR(INDEX(MMWR_RATING_STATE_ROLLUP_PMC[],MATCH($B40,MMWR_RATING_STATE_ROLLUP_PMC[MMWR_RATING_STATE_ROLLUP_PMC],0),MATCH(G$9,MMWR_RATING_STATE_ROLLUP_PMC[#Headers],0)),"ERROR"))</f>
        <v>131</v>
      </c>
      <c r="H40" s="155">
        <f>IF($B40=" ","",IFERROR(INDEX(MMWR_RATING_STATE_ROLLUP_PMC[],MATCH($B40,MMWR_RATING_STATE_ROLLUP_PMC[MMWR_RATING_STATE_ROLLUP_PMC],0),MATCH(H$9,MMWR_RATING_STATE_ROLLUP_PMC[#Headers],0)),"ERROR"))</f>
        <v>104.6071428571</v>
      </c>
      <c r="I40" s="155">
        <f>IF($B40=" ","",IFERROR(INDEX(MMWR_RATING_STATE_ROLLUP_PMC[],MATCH($B40,MMWR_RATING_STATE_ROLLUP_PMC[MMWR_RATING_STATE_ROLLUP_PMC],0),MATCH(I$9,MMWR_RATING_STATE_ROLLUP_PMC[#Headers],0)),"ERROR"))</f>
        <v>90.076335877899993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502</v>
      </c>
      <c r="D41" s="155">
        <f>IF($B41=" ","",IFERROR(INDEX(MMWR_RATING_STATE_ROLLUP_PMC[],MATCH($B41,MMWR_RATING_STATE_ROLLUP_PMC[MMWR_RATING_STATE_ROLLUP_PMC],0),MATCH(D$9,MMWR_RATING_STATE_ROLLUP_PMC[#Headers],0)),"ERROR"))</f>
        <v>73.426294820699994</v>
      </c>
      <c r="E41" s="156">
        <f>IF($B41=" ","",IFERROR(INDEX(MMWR_RATING_STATE_ROLLUP_PMC[],MATCH($B41,MMWR_RATING_STATE_ROLLUP_PMC[MMWR_RATING_STATE_ROLLUP_PMC],0),MATCH(E$9,MMWR_RATING_STATE_ROLLUP_PMC[#Headers],0))/$C41,"ERROR"))</f>
        <v>0.12948207171314741</v>
      </c>
      <c r="F41" s="154">
        <f>IF($B41=" ","",IFERROR(INDEX(MMWR_RATING_STATE_ROLLUP_PMC[],MATCH($B41,MMWR_RATING_STATE_ROLLUP_PMC[MMWR_RATING_STATE_ROLLUP_PMC],0),MATCH(F$9,MMWR_RATING_STATE_ROLLUP_PMC[#Headers],0)),"ERROR"))</f>
        <v>107</v>
      </c>
      <c r="G41" s="154">
        <f>IF($B41=" ","",IFERROR(INDEX(MMWR_RATING_STATE_ROLLUP_PMC[],MATCH($B41,MMWR_RATING_STATE_ROLLUP_PMC[MMWR_RATING_STATE_ROLLUP_PMC],0),MATCH(G$9,MMWR_RATING_STATE_ROLLUP_PMC[#Headers],0)),"ERROR"))</f>
        <v>601</v>
      </c>
      <c r="H41" s="155">
        <f>IF($B41=" ","",IFERROR(INDEX(MMWR_RATING_STATE_ROLLUP_PMC[],MATCH($B41,MMWR_RATING_STATE_ROLLUP_PMC[MMWR_RATING_STATE_ROLLUP_PMC],0),MATCH(H$9,MMWR_RATING_STATE_ROLLUP_PMC[#Headers],0)),"ERROR"))</f>
        <v>112.5420560748</v>
      </c>
      <c r="I41" s="155">
        <f>IF($B41=" ","",IFERROR(INDEX(MMWR_RATING_STATE_ROLLUP_PMC[],MATCH($B41,MMWR_RATING_STATE_ROLLUP_PMC[MMWR_RATING_STATE_ROLLUP_PMC],0),MATCH(I$9,MMWR_RATING_STATE_ROLLUP_PMC[#Headers],0)),"ERROR"))</f>
        <v>84.417637271199993</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1284</v>
      </c>
      <c r="D42" s="155">
        <f>IF($B42=" ","",IFERROR(INDEX(MMWR_RATING_STATE_ROLLUP_PMC[],MATCH($B42,MMWR_RATING_STATE_ROLLUP_PMC[MMWR_RATING_STATE_ROLLUP_PMC],0),MATCH(D$9,MMWR_RATING_STATE_ROLLUP_PMC[#Headers],0)),"ERROR"))</f>
        <v>75.1339563863</v>
      </c>
      <c r="E42" s="156">
        <f>IF($B42=" ","",IFERROR(INDEX(MMWR_RATING_STATE_ROLLUP_PMC[],MATCH($B42,MMWR_RATING_STATE_ROLLUP_PMC[MMWR_RATING_STATE_ROLLUP_PMC],0),MATCH(E$9,MMWR_RATING_STATE_ROLLUP_PMC[#Headers],0))/$C42,"ERROR"))</f>
        <v>8.566978193146417E-2</v>
      </c>
      <c r="F42" s="154">
        <f>IF($B42=" ","",IFERROR(INDEX(MMWR_RATING_STATE_ROLLUP_PMC[],MATCH($B42,MMWR_RATING_STATE_ROLLUP_PMC[MMWR_RATING_STATE_ROLLUP_PMC],0),MATCH(F$9,MMWR_RATING_STATE_ROLLUP_PMC[#Headers],0)),"ERROR"))</f>
        <v>285</v>
      </c>
      <c r="G42" s="154">
        <f>IF($B42=" ","",IFERROR(INDEX(MMWR_RATING_STATE_ROLLUP_PMC[],MATCH($B42,MMWR_RATING_STATE_ROLLUP_PMC[MMWR_RATING_STATE_ROLLUP_PMC],0),MATCH(G$9,MMWR_RATING_STATE_ROLLUP_PMC[#Headers],0)),"ERROR"))</f>
        <v>1514</v>
      </c>
      <c r="H42" s="155">
        <f>IF($B42=" ","",IFERROR(INDEX(MMWR_RATING_STATE_ROLLUP_PMC[],MATCH($B42,MMWR_RATING_STATE_ROLLUP_PMC[MMWR_RATING_STATE_ROLLUP_PMC],0),MATCH(H$9,MMWR_RATING_STATE_ROLLUP_PMC[#Headers],0)),"ERROR"))</f>
        <v>102.2771929825</v>
      </c>
      <c r="I42" s="155">
        <f>IF($B42=" ","",IFERROR(INDEX(MMWR_RATING_STATE_ROLLUP_PMC[],MATCH($B42,MMWR_RATING_STATE_ROLLUP_PMC[MMWR_RATING_STATE_ROLLUP_PMC],0),MATCH(I$9,MMWR_RATING_STATE_ROLLUP_PMC[#Headers],0)),"ERROR"))</f>
        <v>87.145970937900003</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1267</v>
      </c>
      <c r="D43" s="155">
        <f>IF($B43=" ","",IFERROR(INDEX(MMWR_RATING_STATE_ROLLUP_PMC[],MATCH($B43,MMWR_RATING_STATE_ROLLUP_PMC[MMWR_RATING_STATE_ROLLUP_PMC],0),MATCH(D$9,MMWR_RATING_STATE_ROLLUP_PMC[#Headers],0)),"ERROR"))</f>
        <v>75.003946329900003</v>
      </c>
      <c r="E43" s="156">
        <f>IF($B43=" ","",IFERROR(INDEX(MMWR_RATING_STATE_ROLLUP_PMC[],MATCH($B43,MMWR_RATING_STATE_ROLLUP_PMC[MMWR_RATING_STATE_ROLLUP_PMC],0),MATCH(E$9,MMWR_RATING_STATE_ROLLUP_PMC[#Headers],0))/$C43,"ERROR"))</f>
        <v>0.1286503551696922</v>
      </c>
      <c r="F43" s="154">
        <f>IF($B43=" ","",IFERROR(INDEX(MMWR_RATING_STATE_ROLLUP_PMC[],MATCH($B43,MMWR_RATING_STATE_ROLLUP_PMC[MMWR_RATING_STATE_ROLLUP_PMC],0),MATCH(F$9,MMWR_RATING_STATE_ROLLUP_PMC[#Headers],0)),"ERROR"))</f>
        <v>271</v>
      </c>
      <c r="G43" s="154">
        <f>IF($B43=" ","",IFERROR(INDEX(MMWR_RATING_STATE_ROLLUP_PMC[],MATCH($B43,MMWR_RATING_STATE_ROLLUP_PMC[MMWR_RATING_STATE_ROLLUP_PMC],0),MATCH(G$9,MMWR_RATING_STATE_ROLLUP_PMC[#Headers],0)),"ERROR"))</f>
        <v>1468</v>
      </c>
      <c r="H43" s="155">
        <f>IF($B43=" ","",IFERROR(INDEX(MMWR_RATING_STATE_ROLLUP_PMC[],MATCH($B43,MMWR_RATING_STATE_ROLLUP_PMC[MMWR_RATING_STATE_ROLLUP_PMC],0),MATCH(H$9,MMWR_RATING_STATE_ROLLUP_PMC[#Headers],0)),"ERROR"))</f>
        <v>95.863468634699998</v>
      </c>
      <c r="I43" s="155">
        <f>IF($B43=" ","",IFERROR(INDEX(MMWR_RATING_STATE_ROLLUP_PMC[],MATCH($B43,MMWR_RATING_STATE_ROLLUP_PMC[MMWR_RATING_STATE_ROLLUP_PMC],0),MATCH(I$9,MMWR_RATING_STATE_ROLLUP_PMC[#Headers],0)),"ERROR"))</f>
        <v>84.677792915500007</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1535</v>
      </c>
      <c r="D44" s="155">
        <f>IF($B44=" ","",IFERROR(INDEX(MMWR_RATING_STATE_ROLLUP_PMC[],MATCH($B44,MMWR_RATING_STATE_ROLLUP_PMC[MMWR_RATING_STATE_ROLLUP_PMC],0),MATCH(D$9,MMWR_RATING_STATE_ROLLUP_PMC[#Headers],0)),"ERROR"))</f>
        <v>74.317263843600003</v>
      </c>
      <c r="E44" s="156">
        <f>IF($B44=" ","",IFERROR(INDEX(MMWR_RATING_STATE_ROLLUP_PMC[],MATCH($B44,MMWR_RATING_STATE_ROLLUP_PMC[MMWR_RATING_STATE_ROLLUP_PMC],0),MATCH(E$9,MMWR_RATING_STATE_ROLLUP_PMC[#Headers],0))/$C44,"ERROR"))</f>
        <v>0.10162866449511401</v>
      </c>
      <c r="F44" s="154">
        <f>IF($B44=" ","",IFERROR(INDEX(MMWR_RATING_STATE_ROLLUP_PMC[],MATCH($B44,MMWR_RATING_STATE_ROLLUP_PMC[MMWR_RATING_STATE_ROLLUP_PMC],0),MATCH(F$9,MMWR_RATING_STATE_ROLLUP_PMC[#Headers],0)),"ERROR"))</f>
        <v>319</v>
      </c>
      <c r="G44" s="154">
        <f>IF($B44=" ","",IFERROR(INDEX(MMWR_RATING_STATE_ROLLUP_PMC[],MATCH($B44,MMWR_RATING_STATE_ROLLUP_PMC[MMWR_RATING_STATE_ROLLUP_PMC],0),MATCH(G$9,MMWR_RATING_STATE_ROLLUP_PMC[#Headers],0)),"ERROR"))</f>
        <v>1790</v>
      </c>
      <c r="H44" s="155">
        <f>IF($B44=" ","",IFERROR(INDEX(MMWR_RATING_STATE_ROLLUP_PMC[],MATCH($B44,MMWR_RATING_STATE_ROLLUP_PMC[MMWR_RATING_STATE_ROLLUP_PMC],0),MATCH(H$9,MMWR_RATING_STATE_ROLLUP_PMC[#Headers],0)),"ERROR"))</f>
        <v>98.081504702199993</v>
      </c>
      <c r="I44" s="155">
        <f>IF($B44=" ","",IFERROR(INDEX(MMWR_RATING_STATE_ROLLUP_PMC[],MATCH($B44,MMWR_RATING_STATE_ROLLUP_PMC[MMWR_RATING_STATE_ROLLUP_PMC],0),MATCH(I$9,MMWR_RATING_STATE_ROLLUP_PMC[#Headers],0)),"ERROR"))</f>
        <v>84.411731843599995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100</v>
      </c>
      <c r="D45" s="155">
        <f>IF($B45=" ","",IFERROR(INDEX(MMWR_RATING_STATE_ROLLUP_PMC[],MATCH($B45,MMWR_RATING_STATE_ROLLUP_PMC[MMWR_RATING_STATE_ROLLUP_PMC],0),MATCH(D$9,MMWR_RATING_STATE_ROLLUP_PMC[#Headers],0)),"ERROR"))</f>
        <v>71.150000000000006</v>
      </c>
      <c r="E45" s="156">
        <f>IF($B45=" ","",IFERROR(INDEX(MMWR_RATING_STATE_ROLLUP_PMC[],MATCH($B45,MMWR_RATING_STATE_ROLLUP_PMC[MMWR_RATING_STATE_ROLLUP_PMC],0),MATCH(E$9,MMWR_RATING_STATE_ROLLUP_PMC[#Headers],0))/$C45,"ERROR"))</f>
        <v>7.0000000000000007E-2</v>
      </c>
      <c r="F45" s="154">
        <f>IF($B45=" ","",IFERROR(INDEX(MMWR_RATING_STATE_ROLLUP_PMC[],MATCH($B45,MMWR_RATING_STATE_ROLLUP_PMC[MMWR_RATING_STATE_ROLLUP_PMC],0),MATCH(F$9,MMWR_RATING_STATE_ROLLUP_PMC[#Headers],0)),"ERROR"))</f>
        <v>31</v>
      </c>
      <c r="G45" s="154">
        <f>IF($B45=" ","",IFERROR(INDEX(MMWR_RATING_STATE_ROLLUP_PMC[],MATCH($B45,MMWR_RATING_STATE_ROLLUP_PMC[MMWR_RATING_STATE_ROLLUP_PMC],0),MATCH(G$9,MMWR_RATING_STATE_ROLLUP_PMC[#Headers],0)),"ERROR"))</f>
        <v>158</v>
      </c>
      <c r="H45" s="155">
        <f>IF($B45=" ","",IFERROR(INDEX(MMWR_RATING_STATE_ROLLUP_PMC[],MATCH($B45,MMWR_RATING_STATE_ROLLUP_PMC[MMWR_RATING_STATE_ROLLUP_PMC],0),MATCH(H$9,MMWR_RATING_STATE_ROLLUP_PMC[#Headers],0)),"ERROR"))</f>
        <v>104.74193548389999</v>
      </c>
      <c r="I45" s="155">
        <f>IF($B45=" ","",IFERROR(INDEX(MMWR_RATING_STATE_ROLLUP_PMC[],MATCH($B45,MMWR_RATING_STATE_ROLLUP_PMC[MMWR_RATING_STATE_ROLLUP_PMC],0),MATCH(I$9,MMWR_RATING_STATE_ROLLUP_PMC[#Headers],0)),"ERROR"))</f>
        <v>92.310126582300001</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51</v>
      </c>
      <c r="D46" s="155">
        <f>IF($B46=" ","",IFERROR(INDEX(MMWR_RATING_STATE_ROLLUP_PMC[],MATCH($B46,MMWR_RATING_STATE_ROLLUP_PMC[MMWR_RATING_STATE_ROLLUP_PMC],0),MATCH(D$9,MMWR_RATING_STATE_ROLLUP_PMC[#Headers],0)),"ERROR"))</f>
        <v>70.470588235299999</v>
      </c>
      <c r="E46" s="156">
        <f>IF($B46=" ","",IFERROR(INDEX(MMWR_RATING_STATE_ROLLUP_PMC[],MATCH($B46,MMWR_RATING_STATE_ROLLUP_PMC[MMWR_RATING_STATE_ROLLUP_PMC],0),MATCH(E$9,MMWR_RATING_STATE_ROLLUP_PMC[#Headers],0))/$C46,"ERROR"))</f>
        <v>0.13725490196078433</v>
      </c>
      <c r="F46" s="154">
        <f>IF($B46=" ","",IFERROR(INDEX(MMWR_RATING_STATE_ROLLUP_PMC[],MATCH($B46,MMWR_RATING_STATE_ROLLUP_PMC[MMWR_RATING_STATE_ROLLUP_PMC],0),MATCH(F$9,MMWR_RATING_STATE_ROLLUP_PMC[#Headers],0)),"ERROR"))</f>
        <v>15</v>
      </c>
      <c r="G46" s="154">
        <f>IF($B46=" ","",IFERROR(INDEX(MMWR_RATING_STATE_ROLLUP_PMC[],MATCH($B46,MMWR_RATING_STATE_ROLLUP_PMC[MMWR_RATING_STATE_ROLLUP_PMC],0),MATCH(G$9,MMWR_RATING_STATE_ROLLUP_PMC[#Headers],0)),"ERROR"))</f>
        <v>42</v>
      </c>
      <c r="H46" s="155">
        <f>IF($B46=" ","",IFERROR(INDEX(MMWR_RATING_STATE_ROLLUP_PMC[],MATCH($B46,MMWR_RATING_STATE_ROLLUP_PMC[MMWR_RATING_STATE_ROLLUP_PMC],0),MATCH(H$9,MMWR_RATING_STATE_ROLLUP_PMC[#Headers],0)),"ERROR"))</f>
        <v>99.2</v>
      </c>
      <c r="I46" s="155">
        <f>IF($B46=" ","",IFERROR(INDEX(MMWR_RATING_STATE_ROLLUP_PMC[],MATCH($B46,MMWR_RATING_STATE_ROLLUP_PMC[MMWR_RATING_STATE_ROLLUP_PMC],0),MATCH(I$9,MMWR_RATING_STATE_ROLLUP_PMC[#Headers],0)),"ERROR"))</f>
        <v>93.904761904799997</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795</v>
      </c>
      <c r="D47" s="155">
        <f>IF($B47=" ","",IFERROR(INDEX(MMWR_RATING_STATE_ROLLUP_PMC[],MATCH($B47,MMWR_RATING_STATE_ROLLUP_PMC[MMWR_RATING_STATE_ROLLUP_PMC],0),MATCH(D$9,MMWR_RATING_STATE_ROLLUP_PMC[#Headers],0)),"ERROR"))</f>
        <v>77.501886792500002</v>
      </c>
      <c r="E47" s="156">
        <f>IF($B47=" ","",IFERROR(INDEX(MMWR_RATING_STATE_ROLLUP_PMC[],MATCH($B47,MMWR_RATING_STATE_ROLLUP_PMC[MMWR_RATING_STATE_ROLLUP_PMC],0),MATCH(E$9,MMWR_RATING_STATE_ROLLUP_PMC[#Headers],0))/$C47,"ERROR"))</f>
        <v>0.1270440251572327</v>
      </c>
      <c r="F47" s="154">
        <f>IF($B47=" ","",IFERROR(INDEX(MMWR_RATING_STATE_ROLLUP_PMC[],MATCH($B47,MMWR_RATING_STATE_ROLLUP_PMC[MMWR_RATING_STATE_ROLLUP_PMC],0),MATCH(F$9,MMWR_RATING_STATE_ROLLUP_PMC[#Headers],0)),"ERROR"))</f>
        <v>182</v>
      </c>
      <c r="G47" s="154">
        <f>IF($B47=" ","",IFERROR(INDEX(MMWR_RATING_STATE_ROLLUP_PMC[],MATCH($B47,MMWR_RATING_STATE_ROLLUP_PMC[MMWR_RATING_STATE_ROLLUP_PMC],0),MATCH(G$9,MMWR_RATING_STATE_ROLLUP_PMC[#Headers],0)),"ERROR"))</f>
        <v>974</v>
      </c>
      <c r="H47" s="155">
        <f>IF($B47=" ","",IFERROR(INDEX(MMWR_RATING_STATE_ROLLUP_PMC[],MATCH($B47,MMWR_RATING_STATE_ROLLUP_PMC[MMWR_RATING_STATE_ROLLUP_PMC],0),MATCH(H$9,MMWR_RATING_STATE_ROLLUP_PMC[#Headers],0)),"ERROR"))</f>
        <v>99.950549450500006</v>
      </c>
      <c r="I47" s="155">
        <f>IF($B47=" ","",IFERROR(INDEX(MMWR_RATING_STATE_ROLLUP_PMC[],MATCH($B47,MMWR_RATING_STATE_ROLLUP_PMC[MMWR_RATING_STATE_ROLLUP_PMC],0),MATCH(I$9,MMWR_RATING_STATE_ROLLUP_PMC[#Headers],0)),"ERROR"))</f>
        <v>91.563655030800007</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241</v>
      </c>
      <c r="D48" s="155">
        <f>IF($B48=" ","",IFERROR(INDEX(MMWR_RATING_STATE_ROLLUP_PMC[],MATCH($B48,MMWR_RATING_STATE_ROLLUP_PMC[MMWR_RATING_STATE_ROLLUP_PMC],0),MATCH(D$9,MMWR_RATING_STATE_ROLLUP_PMC[#Headers],0)),"ERROR"))</f>
        <v>74.925311203299998</v>
      </c>
      <c r="E48" s="156">
        <f>IF($B48=" ","",IFERROR(INDEX(MMWR_RATING_STATE_ROLLUP_PMC[],MATCH($B48,MMWR_RATING_STATE_ROLLUP_PMC[MMWR_RATING_STATE_ROLLUP_PMC],0),MATCH(E$9,MMWR_RATING_STATE_ROLLUP_PMC[#Headers],0))/$C48,"ERROR"))</f>
        <v>0.13278008298755187</v>
      </c>
      <c r="F48" s="154">
        <f>IF($B48=" ","",IFERROR(INDEX(MMWR_RATING_STATE_ROLLUP_PMC[],MATCH($B48,MMWR_RATING_STATE_ROLLUP_PMC[MMWR_RATING_STATE_ROLLUP_PMC],0),MATCH(F$9,MMWR_RATING_STATE_ROLLUP_PMC[#Headers],0)),"ERROR"))</f>
        <v>65</v>
      </c>
      <c r="G48" s="154">
        <f>IF($B48=" ","",IFERROR(INDEX(MMWR_RATING_STATE_ROLLUP_PMC[],MATCH($B48,MMWR_RATING_STATE_ROLLUP_PMC[MMWR_RATING_STATE_ROLLUP_PMC],0),MATCH(G$9,MMWR_RATING_STATE_ROLLUP_PMC[#Headers],0)),"ERROR"))</f>
        <v>337</v>
      </c>
      <c r="H48" s="155">
        <f>IF($B48=" ","",IFERROR(INDEX(MMWR_RATING_STATE_ROLLUP_PMC[],MATCH($B48,MMWR_RATING_STATE_ROLLUP_PMC[MMWR_RATING_STATE_ROLLUP_PMC],0),MATCH(H$9,MMWR_RATING_STATE_ROLLUP_PMC[#Headers],0)),"ERROR"))</f>
        <v>98.061538461500007</v>
      </c>
      <c r="I48" s="155">
        <f>IF($B48=" ","",IFERROR(INDEX(MMWR_RATING_STATE_ROLLUP_PMC[],MATCH($B48,MMWR_RATING_STATE_ROLLUP_PMC[MMWR_RATING_STATE_ROLLUP_PMC],0),MATCH(I$9,MMWR_RATING_STATE_ROLLUP_PMC[#Headers],0)),"ERROR"))</f>
        <v>89.735905044500001</v>
      </c>
      <c r="J48" s="42"/>
      <c r="K48" s="42"/>
      <c r="L48" s="42"/>
      <c r="M48" s="42"/>
      <c r="N48" s="28"/>
    </row>
    <row r="49" spans="1:14" x14ac:dyDescent="0.2">
      <c r="A49" s="25"/>
      <c r="B49" s="342" t="s">
        <v>1044</v>
      </c>
      <c r="C49" s="343"/>
      <c r="D49" s="343"/>
      <c r="E49" s="343"/>
      <c r="F49" s="343"/>
      <c r="G49" s="343"/>
      <c r="H49" s="343"/>
      <c r="I49" s="343"/>
      <c r="J49" s="343"/>
      <c r="K49" s="343"/>
      <c r="L49" s="343"/>
      <c r="M49" s="393"/>
      <c r="N49" s="28"/>
    </row>
    <row r="50" spans="1:14" x14ac:dyDescent="0.2">
      <c r="A50" s="25"/>
      <c r="B50" s="41" t="s">
        <v>1043</v>
      </c>
      <c r="C50" s="154">
        <f>IF($B50=" ","",IFERROR(INDEX(MMWR_RATING_STATE_ROLLUP_QST[],MATCH($B50,MMWR_RATING_STATE_ROLLUP_QST[MMWR_RATING_STATE_ROLLUP_QST],0),MATCH(C$9,MMWR_RATING_STATE_ROLLUP_QST[#Headers],0)),"ERROR"))</f>
        <v>10678</v>
      </c>
      <c r="D50" s="155">
        <f>IF($B50=" ","",IFERROR(INDEX(MMWR_RATING_STATE_ROLLUP_QST[],MATCH($B50,MMWR_RATING_STATE_ROLLUP_QST[MMWR_RATING_STATE_ROLLUP_QST],0),MATCH(D$9,MMWR_RATING_STATE_ROLLUP_QST[#Headers],0)),"ERROR"))</f>
        <v>90.566679153400003</v>
      </c>
      <c r="E50" s="156">
        <f>IF($B50=" ","",IFERROR(INDEX(MMWR_RATING_STATE_ROLLUP_QST[],MATCH($B50,MMWR_RATING_STATE_ROLLUP_QST[MMWR_RATING_STATE_ROLLUP_QST],0),MATCH(E$9,MMWR_RATING_STATE_ROLLUP_QST[#Headers],0))/$C50,"ERROR"))</f>
        <v>0.23403259037272897</v>
      </c>
      <c r="F50" s="154">
        <f>IF($B50=" ","",IFERROR(INDEX(MMWR_RATING_STATE_ROLLUP_QST[],MATCH($B50,MMWR_RATING_STATE_ROLLUP_QST[MMWR_RATING_STATE_ROLLUP_QST],0),MATCH(F$9,MMWR_RATING_STATE_ROLLUP_QST[#Headers],0)),"ERROR"))</f>
        <v>1193</v>
      </c>
      <c r="G50" s="154">
        <f>IF($B50=" ","",IFERROR(INDEX(MMWR_RATING_STATE_ROLLUP_QST[],MATCH($B50,MMWR_RATING_STATE_ROLLUP_QST[MMWR_RATING_STATE_ROLLUP_QST],0),MATCH(G$9,MMWR_RATING_STATE_ROLLUP_QST[#Headers],0)),"ERROR"))</f>
        <v>5929</v>
      </c>
      <c r="H50" s="155">
        <f>IF($B50=" ","",IFERROR(INDEX(MMWR_RATING_STATE_ROLLUP_QST[],MATCH($B50,MMWR_RATING_STATE_ROLLUP_QST[MMWR_RATING_STATE_ROLLUP_QST],0),MATCH(H$9,MMWR_RATING_STATE_ROLLUP_QST[#Headers],0)),"ERROR"))</f>
        <v>159.5565800503</v>
      </c>
      <c r="I50" s="155">
        <f>IF($B50=" ","",IFERROR(INDEX(MMWR_RATING_STATE_ROLLUP_QST[],MATCH($B50,MMWR_RATING_STATE_ROLLUP_QST[MMWR_RATING_STATE_ROLLUP_QST],0),MATCH(I$9,MMWR_RATING_STATE_ROLLUP_QST[#Headers],0)),"ERROR"))</f>
        <v>144.1583740934</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2443</v>
      </c>
      <c r="D51" s="155">
        <f>IF($B51=" ","",IFERROR(INDEX(MMWR_RATING_STATE_ROLLUP_QST[],MATCH($B51,MMWR_RATING_STATE_ROLLUP_QST[MMWR_RATING_STATE_ROLLUP_QST],0),MATCH(D$9,MMWR_RATING_STATE_ROLLUP_QST[#Headers],0)),"ERROR"))</f>
        <v>94.103151862499999</v>
      </c>
      <c r="E51" s="156">
        <f>IF($B51=" ","",IFERROR(INDEX(MMWR_RATING_STATE_ROLLUP_QST[],MATCH($B51,MMWR_RATING_STATE_ROLLUP_QST[MMWR_RATING_STATE_ROLLUP_QST],0),MATCH(E$9,MMWR_RATING_STATE_ROLLUP_QST[#Headers],0))/$C51,"ERROR"))</f>
        <v>0.2762996316004912</v>
      </c>
      <c r="F51" s="154">
        <f>IF($B51=" ","",IFERROR(INDEX(MMWR_RATING_STATE_ROLLUP_QST[],MATCH($B51,MMWR_RATING_STATE_ROLLUP_QST[MMWR_RATING_STATE_ROLLUP_QST],0),MATCH(F$9,MMWR_RATING_STATE_ROLLUP_QST[#Headers],0)),"ERROR"))</f>
        <v>290</v>
      </c>
      <c r="G51" s="154">
        <f>IF($B51=" ","",IFERROR(INDEX(MMWR_RATING_STATE_ROLLUP_QST[],MATCH($B51,MMWR_RATING_STATE_ROLLUP_QST[MMWR_RATING_STATE_ROLLUP_QST],0),MATCH(G$9,MMWR_RATING_STATE_ROLLUP_QST[#Headers],0)),"ERROR"))</f>
        <v>1374</v>
      </c>
      <c r="H51" s="155">
        <f>IF($B51=" ","",IFERROR(INDEX(MMWR_RATING_STATE_ROLLUP_QST[],MATCH($B51,MMWR_RATING_STATE_ROLLUP_QST[MMWR_RATING_STATE_ROLLUP_QST],0),MATCH(H$9,MMWR_RATING_STATE_ROLLUP_QST[#Headers],0)),"ERROR"))</f>
        <v>162.9551724138</v>
      </c>
      <c r="I51" s="155">
        <f>IF($B51=" ","",IFERROR(INDEX(MMWR_RATING_STATE_ROLLUP_QST[],MATCH($B51,MMWR_RATING_STATE_ROLLUP_QST[MMWR_RATING_STATE_ROLLUP_QST],0),MATCH(I$9,MMWR_RATING_STATE_ROLLUP_QST[#Headers],0)),"ERROR"))</f>
        <v>150.08806404660001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49</v>
      </c>
      <c r="D52" s="155">
        <f>IF($B52=" ","",IFERROR(INDEX(MMWR_RATING_STATE_ROLLUP_QST[],MATCH($B52,MMWR_RATING_STATE_ROLLUP_QST[MMWR_RATING_STATE_ROLLUP_QST],0),MATCH(D$9,MMWR_RATING_STATE_ROLLUP_QST[#Headers],0)),"ERROR"))</f>
        <v>91.367346938799997</v>
      </c>
      <c r="E52" s="156">
        <f>IF($B52=" ","",IFERROR(INDEX(MMWR_RATING_STATE_ROLLUP_QST[],MATCH($B52,MMWR_RATING_STATE_ROLLUP_QST[MMWR_RATING_STATE_ROLLUP_QST],0),MATCH(E$9,MMWR_RATING_STATE_ROLLUP_QST[#Headers],0))/$C52,"ERROR"))</f>
        <v>0.2857142857142857</v>
      </c>
      <c r="F52" s="154">
        <f>IF($B52=" ","",IFERROR(INDEX(MMWR_RATING_STATE_ROLLUP_QST[],MATCH($B52,MMWR_RATING_STATE_ROLLUP_QST[MMWR_RATING_STATE_ROLLUP_QST],0),MATCH(F$9,MMWR_RATING_STATE_ROLLUP_QST[#Headers],0)),"ERROR"))</f>
        <v>9</v>
      </c>
      <c r="G52" s="154">
        <f>IF($B52=" ","",IFERROR(INDEX(MMWR_RATING_STATE_ROLLUP_QST[],MATCH($B52,MMWR_RATING_STATE_ROLLUP_QST[MMWR_RATING_STATE_ROLLUP_QST],0),MATCH(G$9,MMWR_RATING_STATE_ROLLUP_QST[#Headers],0)),"ERROR"))</f>
        <v>39</v>
      </c>
      <c r="H52" s="155">
        <f>IF($B52=" ","",IFERROR(INDEX(MMWR_RATING_STATE_ROLLUP_QST[],MATCH($B52,MMWR_RATING_STATE_ROLLUP_QST[MMWR_RATING_STATE_ROLLUP_QST],0),MATCH(H$9,MMWR_RATING_STATE_ROLLUP_QST[#Headers],0)),"ERROR"))</f>
        <v>157</v>
      </c>
      <c r="I52" s="155">
        <f>IF($B52=" ","",IFERROR(INDEX(MMWR_RATING_STATE_ROLLUP_QST[],MATCH($B52,MMWR_RATING_STATE_ROLLUP_QST[MMWR_RATING_STATE_ROLLUP_QST],0),MATCH(I$9,MMWR_RATING_STATE_ROLLUP_QST[#Headers],0)),"ERROR"))</f>
        <v>133.74358974360001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17</v>
      </c>
      <c r="D53" s="155">
        <f>IF($B53=" ","",IFERROR(INDEX(MMWR_RATING_STATE_ROLLUP_QST[],MATCH($B53,MMWR_RATING_STATE_ROLLUP_QST[MMWR_RATING_STATE_ROLLUP_QST],0),MATCH(D$9,MMWR_RATING_STATE_ROLLUP_QST[#Headers],0)),"ERROR"))</f>
        <v>96.647058823500004</v>
      </c>
      <c r="E53" s="156">
        <f>IF($B53=" ","",IFERROR(INDEX(MMWR_RATING_STATE_ROLLUP_QST[],MATCH($B53,MMWR_RATING_STATE_ROLLUP_QST[MMWR_RATING_STATE_ROLLUP_QST],0),MATCH(E$9,MMWR_RATING_STATE_ROLLUP_QST[#Headers],0))/$C53,"ERROR"))</f>
        <v>0.23529411764705882</v>
      </c>
      <c r="F53" s="154">
        <f>IF($B53=" ","",IFERROR(INDEX(MMWR_RATING_STATE_ROLLUP_QST[],MATCH($B53,MMWR_RATING_STATE_ROLLUP_QST[MMWR_RATING_STATE_ROLLUP_QST],0),MATCH(F$9,MMWR_RATING_STATE_ROLLUP_QST[#Headers],0)),"ERROR"))</f>
        <v>3</v>
      </c>
      <c r="G53" s="154">
        <f>IF($B53=" ","",IFERROR(INDEX(MMWR_RATING_STATE_ROLLUP_QST[],MATCH($B53,MMWR_RATING_STATE_ROLLUP_QST[MMWR_RATING_STATE_ROLLUP_QST],0),MATCH(G$9,MMWR_RATING_STATE_ROLLUP_QST[#Headers],0)),"ERROR"))</f>
        <v>15</v>
      </c>
      <c r="H53" s="155">
        <f>IF($B53=" ","",IFERROR(INDEX(MMWR_RATING_STATE_ROLLUP_QST[],MATCH($B53,MMWR_RATING_STATE_ROLLUP_QST[MMWR_RATING_STATE_ROLLUP_QST],0),MATCH(H$9,MMWR_RATING_STATE_ROLLUP_QST[#Headers],0)),"ERROR"))</f>
        <v>144.6666666667</v>
      </c>
      <c r="I53" s="155">
        <f>IF($B53=" ","",IFERROR(INDEX(MMWR_RATING_STATE_ROLLUP_QST[],MATCH($B53,MMWR_RATING_STATE_ROLLUP_QST[MMWR_RATING_STATE_ROLLUP_QST],0),MATCH(I$9,MMWR_RATING_STATE_ROLLUP_QST[#Headers],0)),"ERROR"))</f>
        <v>142.13333333329999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28</v>
      </c>
      <c r="D54" s="155">
        <f>IF($B54=" ","",IFERROR(INDEX(MMWR_RATING_STATE_ROLLUP_QST[],MATCH($B54,MMWR_RATING_STATE_ROLLUP_QST[MMWR_RATING_STATE_ROLLUP_QST],0),MATCH(D$9,MMWR_RATING_STATE_ROLLUP_QST[#Headers],0)),"ERROR"))</f>
        <v>89.857142857100001</v>
      </c>
      <c r="E54" s="156">
        <f>IF($B54=" ","",IFERROR(INDEX(MMWR_RATING_STATE_ROLLUP_QST[],MATCH($B54,MMWR_RATING_STATE_ROLLUP_QST[MMWR_RATING_STATE_ROLLUP_QST],0),MATCH(E$9,MMWR_RATING_STATE_ROLLUP_QST[#Headers],0))/$C54,"ERROR"))</f>
        <v>0.25</v>
      </c>
      <c r="F54" s="154">
        <f>IF($B54=" ","",IFERROR(INDEX(MMWR_RATING_STATE_ROLLUP_QST[],MATCH($B54,MMWR_RATING_STATE_ROLLUP_QST[MMWR_RATING_STATE_ROLLUP_QST],0),MATCH(F$9,MMWR_RATING_STATE_ROLLUP_QST[#Headers],0)),"ERROR"))</f>
        <v>1</v>
      </c>
      <c r="G54" s="154">
        <f>IF($B54=" ","",IFERROR(INDEX(MMWR_RATING_STATE_ROLLUP_QST[],MATCH($B54,MMWR_RATING_STATE_ROLLUP_QST[MMWR_RATING_STATE_ROLLUP_QST],0),MATCH(G$9,MMWR_RATING_STATE_ROLLUP_QST[#Headers],0)),"ERROR"))</f>
        <v>8</v>
      </c>
      <c r="H54" s="155">
        <f>IF($B54=" ","",IFERROR(INDEX(MMWR_RATING_STATE_ROLLUP_QST[],MATCH($B54,MMWR_RATING_STATE_ROLLUP_QST[MMWR_RATING_STATE_ROLLUP_QST],0),MATCH(H$9,MMWR_RATING_STATE_ROLLUP_QST[#Headers],0)),"ERROR"))</f>
        <v>199</v>
      </c>
      <c r="I54" s="155">
        <f>IF($B54=" ","",IFERROR(INDEX(MMWR_RATING_STATE_ROLLUP_QST[],MATCH($B54,MMWR_RATING_STATE_ROLLUP_QST[MMWR_RATING_STATE_ROLLUP_QST],0),MATCH(I$9,MMWR_RATING_STATE_ROLLUP_QST[#Headers],0)),"ERROR"))</f>
        <v>152</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28</v>
      </c>
      <c r="D55" s="155">
        <f>IF($B55=" ","",IFERROR(INDEX(MMWR_RATING_STATE_ROLLUP_QST[],MATCH($B55,MMWR_RATING_STATE_ROLLUP_QST[MMWR_RATING_STATE_ROLLUP_QST],0),MATCH(D$9,MMWR_RATING_STATE_ROLLUP_QST[#Headers],0)),"ERROR"))</f>
        <v>91.678571428599994</v>
      </c>
      <c r="E55" s="156">
        <f>IF($B55=" ","",IFERROR(INDEX(MMWR_RATING_STATE_ROLLUP_QST[],MATCH($B55,MMWR_RATING_STATE_ROLLUP_QST[MMWR_RATING_STATE_ROLLUP_QST],0),MATCH(E$9,MMWR_RATING_STATE_ROLLUP_QST[#Headers],0))/$C55,"ERROR"))</f>
        <v>0.17857142857142858</v>
      </c>
      <c r="F55" s="154">
        <f>IF($B55=" ","",IFERROR(INDEX(MMWR_RATING_STATE_ROLLUP_QST[],MATCH($B55,MMWR_RATING_STATE_ROLLUP_QST[MMWR_RATING_STATE_ROLLUP_QST],0),MATCH(F$9,MMWR_RATING_STATE_ROLLUP_QST[#Headers],0)),"ERROR"))</f>
        <v>4</v>
      </c>
      <c r="G55" s="154">
        <f>IF($B55=" ","",IFERROR(INDEX(MMWR_RATING_STATE_ROLLUP_QST[],MATCH($B55,MMWR_RATING_STATE_ROLLUP_QST[MMWR_RATING_STATE_ROLLUP_QST],0),MATCH(G$9,MMWR_RATING_STATE_ROLLUP_QST[#Headers],0)),"ERROR"))</f>
        <v>13</v>
      </c>
      <c r="H55" s="155">
        <f>IF($B55=" ","",IFERROR(INDEX(MMWR_RATING_STATE_ROLLUP_QST[],MATCH($B55,MMWR_RATING_STATE_ROLLUP_QST[MMWR_RATING_STATE_ROLLUP_QST],0),MATCH(H$9,MMWR_RATING_STATE_ROLLUP_QST[#Headers],0)),"ERROR"))</f>
        <v>171.5</v>
      </c>
      <c r="I55" s="155">
        <f>IF($B55=" ","",IFERROR(INDEX(MMWR_RATING_STATE_ROLLUP_QST[],MATCH($B55,MMWR_RATING_STATE_ROLLUP_QST[MMWR_RATING_STATE_ROLLUP_QST],0),MATCH(I$9,MMWR_RATING_STATE_ROLLUP_QST[#Headers],0)),"ERROR"))</f>
        <v>162.5384615385</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243</v>
      </c>
      <c r="D56" s="155">
        <f>IF($B56=" ","",IFERROR(INDEX(MMWR_RATING_STATE_ROLLUP_QST[],MATCH($B56,MMWR_RATING_STATE_ROLLUP_QST[MMWR_RATING_STATE_ROLLUP_QST],0),MATCH(D$9,MMWR_RATING_STATE_ROLLUP_QST[#Headers],0)),"ERROR"))</f>
        <v>99.020576131699997</v>
      </c>
      <c r="E56" s="156">
        <f>IF($B56=" ","",IFERROR(INDEX(MMWR_RATING_STATE_ROLLUP_QST[],MATCH($B56,MMWR_RATING_STATE_ROLLUP_QST[MMWR_RATING_STATE_ROLLUP_QST],0),MATCH(E$9,MMWR_RATING_STATE_ROLLUP_QST[#Headers],0))/$C56,"ERROR"))</f>
        <v>0.30041152263374488</v>
      </c>
      <c r="F56" s="154">
        <f>IF($B56=" ","",IFERROR(INDEX(MMWR_RATING_STATE_ROLLUP_QST[],MATCH($B56,MMWR_RATING_STATE_ROLLUP_QST[MMWR_RATING_STATE_ROLLUP_QST],0),MATCH(F$9,MMWR_RATING_STATE_ROLLUP_QST[#Headers],0)),"ERROR"))</f>
        <v>35</v>
      </c>
      <c r="G56" s="154">
        <f>IF($B56=" ","",IFERROR(INDEX(MMWR_RATING_STATE_ROLLUP_QST[],MATCH($B56,MMWR_RATING_STATE_ROLLUP_QST[MMWR_RATING_STATE_ROLLUP_QST],0),MATCH(G$9,MMWR_RATING_STATE_ROLLUP_QST[#Headers],0)),"ERROR"))</f>
        <v>157</v>
      </c>
      <c r="H56" s="155">
        <f>IF($B56=" ","",IFERROR(INDEX(MMWR_RATING_STATE_ROLLUP_QST[],MATCH($B56,MMWR_RATING_STATE_ROLLUP_QST[MMWR_RATING_STATE_ROLLUP_QST],0),MATCH(H$9,MMWR_RATING_STATE_ROLLUP_QST[#Headers],0)),"ERROR"))</f>
        <v>165.2</v>
      </c>
      <c r="I56" s="155">
        <f>IF($B56=" ","",IFERROR(INDEX(MMWR_RATING_STATE_ROLLUP_QST[],MATCH($B56,MMWR_RATING_STATE_ROLLUP_QST[MMWR_RATING_STATE_ROLLUP_QST],0),MATCH(I$9,MMWR_RATING_STATE_ROLLUP_QST[#Headers],0)),"ERROR"))</f>
        <v>148.3375796178</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95</v>
      </c>
      <c r="D57" s="155">
        <f>IF($B57=" ","",IFERROR(INDEX(MMWR_RATING_STATE_ROLLUP_QST[],MATCH($B57,MMWR_RATING_STATE_ROLLUP_QST[MMWR_RATING_STATE_ROLLUP_QST],0),MATCH(D$9,MMWR_RATING_STATE_ROLLUP_QST[#Headers],0)),"ERROR"))</f>
        <v>99.368421052599999</v>
      </c>
      <c r="E57" s="156">
        <f>IF($B57=" ","",IFERROR(INDEX(MMWR_RATING_STATE_ROLLUP_QST[],MATCH($B57,MMWR_RATING_STATE_ROLLUP_QST[MMWR_RATING_STATE_ROLLUP_QST],0),MATCH(E$9,MMWR_RATING_STATE_ROLLUP_QST[#Headers],0))/$C57,"ERROR"))</f>
        <v>0.3473684210526316</v>
      </c>
      <c r="F57" s="154">
        <f>IF($B57=" ","",IFERROR(INDEX(MMWR_RATING_STATE_ROLLUP_QST[],MATCH($B57,MMWR_RATING_STATE_ROLLUP_QST[MMWR_RATING_STATE_ROLLUP_QST],0),MATCH(F$9,MMWR_RATING_STATE_ROLLUP_QST[#Headers],0)),"ERROR"))</f>
        <v>7</v>
      </c>
      <c r="G57" s="154">
        <f>IF($B57=" ","",IFERROR(INDEX(MMWR_RATING_STATE_ROLLUP_QST[],MATCH($B57,MMWR_RATING_STATE_ROLLUP_QST[MMWR_RATING_STATE_ROLLUP_QST],0),MATCH(G$9,MMWR_RATING_STATE_ROLLUP_QST[#Headers],0)),"ERROR"))</f>
        <v>64</v>
      </c>
      <c r="H57" s="155">
        <f>IF($B57=" ","",IFERROR(INDEX(MMWR_RATING_STATE_ROLLUP_QST[],MATCH($B57,MMWR_RATING_STATE_ROLLUP_QST[MMWR_RATING_STATE_ROLLUP_QST],0),MATCH(H$9,MMWR_RATING_STATE_ROLLUP_QST[#Headers],0)),"ERROR"))</f>
        <v>157.57142857139999</v>
      </c>
      <c r="I57" s="155">
        <f>IF($B57=" ","",IFERROR(INDEX(MMWR_RATING_STATE_ROLLUP_QST[],MATCH($B57,MMWR_RATING_STATE_ROLLUP_QST[MMWR_RATING_STATE_ROLLUP_QST],0),MATCH(I$9,MMWR_RATING_STATE_ROLLUP_QST[#Headers],0)),"ERROR"))</f>
        <v>135.953125</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29</v>
      </c>
      <c r="D58" s="155">
        <f>IF($B58=" ","",IFERROR(INDEX(MMWR_RATING_STATE_ROLLUP_QST[],MATCH($B58,MMWR_RATING_STATE_ROLLUP_QST[MMWR_RATING_STATE_ROLLUP_QST],0),MATCH(D$9,MMWR_RATING_STATE_ROLLUP_QST[#Headers],0)),"ERROR"))</f>
        <v>98.758620689699995</v>
      </c>
      <c r="E58" s="156">
        <f>IF($B58=" ","",IFERROR(INDEX(MMWR_RATING_STATE_ROLLUP_QST[],MATCH($B58,MMWR_RATING_STATE_ROLLUP_QST[MMWR_RATING_STATE_ROLLUP_QST],0),MATCH(E$9,MMWR_RATING_STATE_ROLLUP_QST[#Headers],0))/$C58,"ERROR"))</f>
        <v>0.31034482758620691</v>
      </c>
      <c r="F58" s="154">
        <f>IF($B58=" ","",IFERROR(INDEX(MMWR_RATING_STATE_ROLLUP_QST[],MATCH($B58,MMWR_RATING_STATE_ROLLUP_QST[MMWR_RATING_STATE_ROLLUP_QST],0),MATCH(F$9,MMWR_RATING_STATE_ROLLUP_QST[#Headers],0)),"ERROR"))</f>
        <v>2</v>
      </c>
      <c r="G58" s="154">
        <f>IF($B58=" ","",IFERROR(INDEX(MMWR_RATING_STATE_ROLLUP_QST[],MATCH($B58,MMWR_RATING_STATE_ROLLUP_QST[MMWR_RATING_STATE_ROLLUP_QST],0),MATCH(G$9,MMWR_RATING_STATE_ROLLUP_QST[#Headers],0)),"ERROR"))</f>
        <v>10</v>
      </c>
      <c r="H58" s="155">
        <f>IF($B58=" ","",IFERROR(INDEX(MMWR_RATING_STATE_ROLLUP_QST[],MATCH($B58,MMWR_RATING_STATE_ROLLUP_QST[MMWR_RATING_STATE_ROLLUP_QST],0),MATCH(H$9,MMWR_RATING_STATE_ROLLUP_QST[#Headers],0)),"ERROR"))</f>
        <v>152</v>
      </c>
      <c r="I58" s="155">
        <f>IF($B58=" ","",IFERROR(INDEX(MMWR_RATING_STATE_ROLLUP_QST[],MATCH($B58,MMWR_RATING_STATE_ROLLUP_QST[MMWR_RATING_STATE_ROLLUP_QST],0),MATCH(I$9,MMWR_RATING_STATE_ROLLUP_QST[#Headers],0)),"ERROR"))</f>
        <v>140.4</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122</v>
      </c>
      <c r="D59" s="155">
        <f>IF($B59=" ","",IFERROR(INDEX(MMWR_RATING_STATE_ROLLUP_QST[],MATCH($B59,MMWR_RATING_STATE_ROLLUP_QST[MMWR_RATING_STATE_ROLLUP_QST],0),MATCH(D$9,MMWR_RATING_STATE_ROLLUP_QST[#Headers],0)),"ERROR"))</f>
        <v>92.729508196699996</v>
      </c>
      <c r="E59" s="156">
        <f>IF($B59=" ","",IFERROR(INDEX(MMWR_RATING_STATE_ROLLUP_QST[],MATCH($B59,MMWR_RATING_STATE_ROLLUP_QST[MMWR_RATING_STATE_ROLLUP_QST],0),MATCH(E$9,MMWR_RATING_STATE_ROLLUP_QST[#Headers],0))/$C59,"ERROR"))</f>
        <v>0.27049180327868855</v>
      </c>
      <c r="F59" s="154">
        <f>IF($B59=" ","",IFERROR(INDEX(MMWR_RATING_STATE_ROLLUP_QST[],MATCH($B59,MMWR_RATING_STATE_ROLLUP_QST[MMWR_RATING_STATE_ROLLUP_QST],0),MATCH(F$9,MMWR_RATING_STATE_ROLLUP_QST[#Headers],0)),"ERROR"))</f>
        <v>11</v>
      </c>
      <c r="G59" s="154">
        <f>IF($B59=" ","",IFERROR(INDEX(MMWR_RATING_STATE_ROLLUP_QST[],MATCH($B59,MMWR_RATING_STATE_ROLLUP_QST[MMWR_RATING_STATE_ROLLUP_QST],0),MATCH(G$9,MMWR_RATING_STATE_ROLLUP_QST[#Headers],0)),"ERROR"))</f>
        <v>51</v>
      </c>
      <c r="H59" s="155">
        <f>IF($B59=" ","",IFERROR(INDEX(MMWR_RATING_STATE_ROLLUP_QST[],MATCH($B59,MMWR_RATING_STATE_ROLLUP_QST[MMWR_RATING_STATE_ROLLUP_QST],0),MATCH(H$9,MMWR_RATING_STATE_ROLLUP_QST[#Headers],0)),"ERROR"))</f>
        <v>150.36363636359999</v>
      </c>
      <c r="I59" s="155">
        <f>IF($B59=" ","",IFERROR(INDEX(MMWR_RATING_STATE_ROLLUP_QST[],MATCH($B59,MMWR_RATING_STATE_ROLLUP_QST[MMWR_RATING_STATE_ROLLUP_QST],0),MATCH(I$9,MMWR_RATING_STATE_ROLLUP_QST[#Headers],0)),"ERROR"))</f>
        <v>145.29411764709999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268</v>
      </c>
      <c r="D60" s="155">
        <f>IF($B60=" ","",IFERROR(INDEX(MMWR_RATING_STATE_ROLLUP_QST[],MATCH($B60,MMWR_RATING_STATE_ROLLUP_QST[MMWR_RATING_STATE_ROLLUP_QST],0),MATCH(D$9,MMWR_RATING_STATE_ROLLUP_QST[#Headers],0)),"ERROR"))</f>
        <v>85.358208955199999</v>
      </c>
      <c r="E60" s="156">
        <f>IF($B60=" ","",IFERROR(INDEX(MMWR_RATING_STATE_ROLLUP_QST[],MATCH($B60,MMWR_RATING_STATE_ROLLUP_QST[MMWR_RATING_STATE_ROLLUP_QST],0),MATCH(E$9,MMWR_RATING_STATE_ROLLUP_QST[#Headers],0))/$C60,"ERROR"))</f>
        <v>0.22014925373134328</v>
      </c>
      <c r="F60" s="154">
        <f>IF($B60=" ","",IFERROR(INDEX(MMWR_RATING_STATE_ROLLUP_QST[],MATCH($B60,MMWR_RATING_STATE_ROLLUP_QST[MMWR_RATING_STATE_ROLLUP_QST],0),MATCH(F$9,MMWR_RATING_STATE_ROLLUP_QST[#Headers],0)),"ERROR"))</f>
        <v>28</v>
      </c>
      <c r="G60" s="154">
        <f>IF($B60=" ","",IFERROR(INDEX(MMWR_RATING_STATE_ROLLUP_QST[],MATCH($B60,MMWR_RATING_STATE_ROLLUP_QST[MMWR_RATING_STATE_ROLLUP_QST],0),MATCH(G$9,MMWR_RATING_STATE_ROLLUP_QST[#Headers],0)),"ERROR"))</f>
        <v>146</v>
      </c>
      <c r="H60" s="155">
        <f>IF($B60=" ","",IFERROR(INDEX(MMWR_RATING_STATE_ROLLUP_QST[],MATCH($B60,MMWR_RATING_STATE_ROLLUP_QST[MMWR_RATING_STATE_ROLLUP_QST],0),MATCH(H$9,MMWR_RATING_STATE_ROLLUP_QST[#Headers],0)),"ERROR"))</f>
        <v>166.5</v>
      </c>
      <c r="I60" s="155">
        <f>IF($B60=" ","",IFERROR(INDEX(MMWR_RATING_STATE_ROLLUP_QST[],MATCH($B60,MMWR_RATING_STATE_ROLLUP_QST[MMWR_RATING_STATE_ROLLUP_QST],0),MATCH(I$9,MMWR_RATING_STATE_ROLLUP_QST[#Headers],0)),"ERROR"))</f>
        <v>132.07534246579999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636</v>
      </c>
      <c r="D61" s="155">
        <f>IF($B61=" ","",IFERROR(INDEX(MMWR_RATING_STATE_ROLLUP_QST[],MATCH($B61,MMWR_RATING_STATE_ROLLUP_QST[MMWR_RATING_STATE_ROLLUP_QST],0),MATCH(D$9,MMWR_RATING_STATE_ROLLUP_QST[#Headers],0)),"ERROR"))</f>
        <v>94.811320754700006</v>
      </c>
      <c r="E61" s="156">
        <f>IF($B61=" ","",IFERROR(INDEX(MMWR_RATING_STATE_ROLLUP_QST[],MATCH($B61,MMWR_RATING_STATE_ROLLUP_QST[MMWR_RATING_STATE_ROLLUP_QST],0),MATCH(E$9,MMWR_RATING_STATE_ROLLUP_QST[#Headers],0))/$C61,"ERROR"))</f>
        <v>0.29245283018867924</v>
      </c>
      <c r="F61" s="154">
        <f>IF($B61=" ","",IFERROR(INDEX(MMWR_RATING_STATE_ROLLUP_QST[],MATCH($B61,MMWR_RATING_STATE_ROLLUP_QST[MMWR_RATING_STATE_ROLLUP_QST],0),MATCH(F$9,MMWR_RATING_STATE_ROLLUP_QST[#Headers],0)),"ERROR"))</f>
        <v>74</v>
      </c>
      <c r="G61" s="154">
        <f>IF($B61=" ","",IFERROR(INDEX(MMWR_RATING_STATE_ROLLUP_QST[],MATCH($B61,MMWR_RATING_STATE_ROLLUP_QST[MMWR_RATING_STATE_ROLLUP_QST],0),MATCH(G$9,MMWR_RATING_STATE_ROLLUP_QST[#Headers],0)),"ERROR"))</f>
        <v>345</v>
      </c>
      <c r="H61" s="155">
        <f>IF($B61=" ","",IFERROR(INDEX(MMWR_RATING_STATE_ROLLUP_QST[],MATCH($B61,MMWR_RATING_STATE_ROLLUP_QST[MMWR_RATING_STATE_ROLLUP_QST],0),MATCH(H$9,MMWR_RATING_STATE_ROLLUP_QST[#Headers],0)),"ERROR"))</f>
        <v>161.06756756760001</v>
      </c>
      <c r="I61" s="155">
        <f>IF($B61=" ","",IFERROR(INDEX(MMWR_RATING_STATE_ROLLUP_QST[],MATCH($B61,MMWR_RATING_STATE_ROLLUP_QST[MMWR_RATING_STATE_ROLLUP_QST],0),MATCH(I$9,MMWR_RATING_STATE_ROLLUP_QST[#Headers],0)),"ERROR"))</f>
        <v>150.5188405797</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207</v>
      </c>
      <c r="D62" s="155">
        <f>IF($B62=" ","",IFERROR(INDEX(MMWR_RATING_STATE_ROLLUP_QST[],MATCH($B62,MMWR_RATING_STATE_ROLLUP_QST[MMWR_RATING_STATE_ROLLUP_QST],0),MATCH(D$9,MMWR_RATING_STATE_ROLLUP_QST[#Headers],0)),"ERROR"))</f>
        <v>88.608695652199998</v>
      </c>
      <c r="E62" s="156">
        <f>IF($B62=" ","",IFERROR(INDEX(MMWR_RATING_STATE_ROLLUP_QST[],MATCH($B62,MMWR_RATING_STATE_ROLLUP_QST[MMWR_RATING_STATE_ROLLUP_QST],0),MATCH(E$9,MMWR_RATING_STATE_ROLLUP_QST[#Headers],0))/$C62,"ERROR"))</f>
        <v>0.24154589371980675</v>
      </c>
      <c r="F62" s="154">
        <f>IF($B62=" ","",IFERROR(INDEX(MMWR_RATING_STATE_ROLLUP_QST[],MATCH($B62,MMWR_RATING_STATE_ROLLUP_QST[MMWR_RATING_STATE_ROLLUP_QST],0),MATCH(F$9,MMWR_RATING_STATE_ROLLUP_QST[#Headers],0)),"ERROR"))</f>
        <v>21</v>
      </c>
      <c r="G62" s="154">
        <f>IF($B62=" ","",IFERROR(INDEX(MMWR_RATING_STATE_ROLLUP_QST[],MATCH($B62,MMWR_RATING_STATE_ROLLUP_QST[MMWR_RATING_STATE_ROLLUP_QST],0),MATCH(G$9,MMWR_RATING_STATE_ROLLUP_QST[#Headers],0)),"ERROR"))</f>
        <v>129</v>
      </c>
      <c r="H62" s="155">
        <f>IF($B62=" ","",IFERROR(INDEX(MMWR_RATING_STATE_ROLLUP_QST[],MATCH($B62,MMWR_RATING_STATE_ROLLUP_QST[MMWR_RATING_STATE_ROLLUP_QST],0),MATCH(H$9,MMWR_RATING_STATE_ROLLUP_QST[#Headers],0)),"ERROR"))</f>
        <v>153.23809523809999</v>
      </c>
      <c r="I62" s="155">
        <f>IF($B62=" ","",IFERROR(INDEX(MMWR_RATING_STATE_ROLLUP_QST[],MATCH($B62,MMWR_RATING_STATE_ROLLUP_QST[MMWR_RATING_STATE_ROLLUP_QST],0),MATCH(I$9,MMWR_RATING_STATE_ROLLUP_QST[#Headers],0)),"ERROR"))</f>
        <v>140.15503875970001</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12</v>
      </c>
      <c r="D63" s="155">
        <f>IF($B63=" ","",IFERROR(INDEX(MMWR_RATING_STATE_ROLLUP_QST[],MATCH($B63,MMWR_RATING_STATE_ROLLUP_QST[MMWR_RATING_STATE_ROLLUP_QST],0),MATCH(D$9,MMWR_RATING_STATE_ROLLUP_QST[#Headers],0)),"ERROR"))</f>
        <v>116</v>
      </c>
      <c r="E63" s="156">
        <f>IF($B63=" ","",IFERROR(INDEX(MMWR_RATING_STATE_ROLLUP_QST[],MATCH($B63,MMWR_RATING_STATE_ROLLUP_QST[MMWR_RATING_STATE_ROLLUP_QST],0),MATCH(E$9,MMWR_RATING_STATE_ROLLUP_QST[#Headers],0))/$C63,"ERROR"))</f>
        <v>0.5</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8</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157.625</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4</v>
      </c>
      <c r="D64" s="155">
        <f>IF($B64=" ","",IFERROR(INDEX(MMWR_RATING_STATE_ROLLUP_QST[],MATCH($B64,MMWR_RATING_STATE_ROLLUP_QST[MMWR_RATING_STATE_ROLLUP_QST],0),MATCH(D$9,MMWR_RATING_STATE_ROLLUP_QST[#Headers],0)),"ERROR"))</f>
        <v>98.5</v>
      </c>
      <c r="E64" s="156">
        <f>IF($B64=" ","",IFERROR(INDEX(MMWR_RATING_STATE_ROLLUP_QST[],MATCH($B64,MMWR_RATING_STATE_ROLLUP_QST[MMWR_RATING_STATE_ROLLUP_QST],0),MATCH(E$9,MMWR_RATING_STATE_ROLLUP_QST[#Headers],0))/$C64,"ERROR"))</f>
        <v>0.5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4</v>
      </c>
      <c r="H64" s="155">
        <f>IF($B64=" ","",IFERROR(INDEX(MMWR_RATING_STATE_ROLLUP_QST[],MATCH($B64,MMWR_RATING_STATE_ROLLUP_QST[MMWR_RATING_STATE_ROLLUP_QST],0),MATCH(H$9,MMWR_RATING_STATE_ROLLUP_QST[#Headers],0)),"ERROR"))</f>
        <v>172</v>
      </c>
      <c r="I64" s="155">
        <f>IF($B64=" ","",IFERROR(INDEX(MMWR_RATING_STATE_ROLLUP_QST[],MATCH($B64,MMWR_RATING_STATE_ROLLUP_QST[MMWR_RATING_STATE_ROLLUP_QST],0),MATCH(I$9,MMWR_RATING_STATE_ROLLUP_QST[#Headers],0)),"ERROR"))</f>
        <v>124</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683</v>
      </c>
      <c r="D65" s="155">
        <f>IF($B65=" ","",IFERROR(INDEX(MMWR_RATING_STATE_ROLLUP_QST[],MATCH($B65,MMWR_RATING_STATE_ROLLUP_QST[MMWR_RATING_STATE_ROLLUP_QST],0),MATCH(D$9,MMWR_RATING_STATE_ROLLUP_QST[#Headers],0)),"ERROR"))</f>
        <v>96.786237188900003</v>
      </c>
      <c r="E65" s="156">
        <f>IF($B65=" ","",IFERROR(INDEX(MMWR_RATING_STATE_ROLLUP_QST[],MATCH($B65,MMWR_RATING_STATE_ROLLUP_QST[MMWR_RATING_STATE_ROLLUP_QST],0),MATCH(E$9,MMWR_RATING_STATE_ROLLUP_QST[#Headers],0))/$C65,"ERROR"))</f>
        <v>0.27672035139092238</v>
      </c>
      <c r="F65" s="154">
        <f>IF($B65=" ","",IFERROR(INDEX(MMWR_RATING_STATE_ROLLUP_QST[],MATCH($B65,MMWR_RATING_STATE_ROLLUP_QST[MMWR_RATING_STATE_ROLLUP_QST],0),MATCH(F$9,MMWR_RATING_STATE_ROLLUP_QST[#Headers],0)),"ERROR"))</f>
        <v>89</v>
      </c>
      <c r="G65" s="154">
        <f>IF($B65=" ","",IFERROR(INDEX(MMWR_RATING_STATE_ROLLUP_QST[],MATCH($B65,MMWR_RATING_STATE_ROLLUP_QST[MMWR_RATING_STATE_ROLLUP_QST],0),MATCH(G$9,MMWR_RATING_STATE_ROLLUP_QST[#Headers],0)),"ERROR"))</f>
        <v>370</v>
      </c>
      <c r="H65" s="155">
        <f>IF($B65=" ","",IFERROR(INDEX(MMWR_RATING_STATE_ROLLUP_QST[],MATCH($B65,MMWR_RATING_STATE_ROLLUP_QST[MMWR_RATING_STATE_ROLLUP_QST],0),MATCH(H$9,MMWR_RATING_STATE_ROLLUP_QST[#Headers],0)),"ERROR"))</f>
        <v>167.80898876399999</v>
      </c>
      <c r="I65" s="155">
        <f>IF($B65=" ","",IFERROR(INDEX(MMWR_RATING_STATE_ROLLUP_QST[],MATCH($B65,MMWR_RATING_STATE_ROLLUP_QST[MMWR_RATING_STATE_ROLLUP_QST],0),MATCH(I$9,MMWR_RATING_STATE_ROLLUP_QST[#Headers],0)),"ERROR"))</f>
        <v>166.07567567570001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22</v>
      </c>
      <c r="D66" s="155">
        <f>IF($B66=" ","",IFERROR(INDEX(MMWR_RATING_STATE_ROLLUP_QST[],MATCH($B66,MMWR_RATING_STATE_ROLLUP_QST[MMWR_RATING_STATE_ROLLUP_QST],0),MATCH(D$9,MMWR_RATING_STATE_ROLLUP_QST[#Headers],0)),"ERROR"))</f>
        <v>72.863636363599994</v>
      </c>
      <c r="E66" s="156">
        <f>IF($B66=" ","",IFERROR(INDEX(MMWR_RATING_STATE_ROLLUP_QST[],MATCH($B66,MMWR_RATING_STATE_ROLLUP_QST[MMWR_RATING_STATE_ROLLUP_QST],0),MATCH(E$9,MMWR_RATING_STATE_ROLLUP_QST[#Headers],0))/$C66,"ERROR"))</f>
        <v>0.22727272727272727</v>
      </c>
      <c r="F66" s="154">
        <f>IF($B66=" ","",IFERROR(INDEX(MMWR_RATING_STATE_ROLLUP_QST[],MATCH($B66,MMWR_RATING_STATE_ROLLUP_QST[MMWR_RATING_STATE_ROLLUP_QST],0),MATCH(F$9,MMWR_RATING_STATE_ROLLUP_QST[#Headers],0)),"ERROR"))</f>
        <v>5</v>
      </c>
      <c r="G66" s="154">
        <f>IF($B66=" ","",IFERROR(INDEX(MMWR_RATING_STATE_ROLLUP_QST[],MATCH($B66,MMWR_RATING_STATE_ROLLUP_QST[MMWR_RATING_STATE_ROLLUP_QST],0),MATCH(G$9,MMWR_RATING_STATE_ROLLUP_QST[#Headers],0)),"ERROR"))</f>
        <v>15</v>
      </c>
      <c r="H66" s="155">
        <f>IF($B66=" ","",IFERROR(INDEX(MMWR_RATING_STATE_ROLLUP_QST[],MATCH($B66,MMWR_RATING_STATE_ROLLUP_QST[MMWR_RATING_STATE_ROLLUP_QST],0),MATCH(H$9,MMWR_RATING_STATE_ROLLUP_QST[#Headers],0)),"ERROR"))</f>
        <v>155.19999999999999</v>
      </c>
      <c r="I66" s="155">
        <f>IF($B66=" ","",IFERROR(INDEX(MMWR_RATING_STATE_ROLLUP_QST[],MATCH($B66,MMWR_RATING_STATE_ROLLUP_QST[MMWR_RATING_STATE_ROLLUP_QST],0),MATCH(I$9,MMWR_RATING_STATE_ROLLUP_QST[#Headers],0)),"ERROR"))</f>
        <v>149.53333333329999</v>
      </c>
      <c r="J66" s="42"/>
      <c r="K66" s="42"/>
      <c r="L66" s="42"/>
      <c r="M66" s="42"/>
      <c r="N66" s="28"/>
    </row>
    <row r="67" spans="1:14" x14ac:dyDescent="0.2">
      <c r="A67" s="25"/>
      <c r="B67" s="342" t="s">
        <v>1045</v>
      </c>
      <c r="C67" s="343"/>
      <c r="D67" s="343"/>
      <c r="E67" s="343"/>
      <c r="F67" s="343"/>
      <c r="G67" s="343"/>
      <c r="H67" s="343"/>
      <c r="I67" s="343"/>
      <c r="J67" s="343"/>
      <c r="K67" s="343"/>
      <c r="L67" s="343"/>
      <c r="M67" s="393"/>
      <c r="N67" s="28"/>
    </row>
    <row r="68" spans="1:14" ht="25.5" x14ac:dyDescent="0.2">
      <c r="A68" s="25"/>
      <c r="B68" s="251" t="s">
        <v>1041</v>
      </c>
      <c r="C68" s="154">
        <f>IF($B68=" ","",IFERROR(INDEX(MMWR_RATING_STATE_ROLLUP_BDD[],MATCH($B68,MMWR_RATING_STATE_ROLLUP_BDD[MMWR_RATING_STATE_ROLLUP_BDD],0),MATCH(C$9,MMWR_RATING_STATE_ROLLUP_BDD[#Headers],0)),"ERROR"))</f>
        <v>11162</v>
      </c>
      <c r="D68" s="155">
        <f>IF($B68=" ","",IFERROR(INDEX(MMWR_RATING_STATE_ROLLUP_BDD[],MATCH($B68,MMWR_RATING_STATE_ROLLUP_BDD[MMWR_RATING_STATE_ROLLUP_BDD],0),MATCH(D$9,MMWR_RATING_STATE_ROLLUP_BDD[#Headers],0)),"ERROR"))</f>
        <v>89.722540763300003</v>
      </c>
      <c r="E68" s="156">
        <f>IF($B68=" ","",IFERROR(INDEX(MMWR_RATING_STATE_ROLLUP_BDD[],MATCH($B68,MMWR_RATING_STATE_ROLLUP_BDD[MMWR_RATING_STATE_ROLLUP_BDD],0),MATCH(E$9,MMWR_RATING_STATE_ROLLUP_BDD[#Headers],0))/$C68,"ERROR"))</f>
        <v>0.21985307292599893</v>
      </c>
      <c r="F68" s="154">
        <f>IF($B68=" ","",IFERROR(INDEX(MMWR_RATING_STATE_ROLLUP_BDD[],MATCH($B68,MMWR_RATING_STATE_ROLLUP_BDD[MMWR_RATING_STATE_ROLLUP_BDD],0),MATCH(F$9,MMWR_RATING_STATE_ROLLUP_BDD[#Headers],0)),"ERROR"))</f>
        <v>1442</v>
      </c>
      <c r="G68" s="154">
        <f>IF($B68=" ","",IFERROR(INDEX(MMWR_RATING_STATE_ROLLUP_BDD[],MATCH($B68,MMWR_RATING_STATE_ROLLUP_BDD[MMWR_RATING_STATE_ROLLUP_BDD],0),MATCH(G$9,MMWR_RATING_STATE_ROLLUP_BDD[#Headers],0)),"ERROR"))</f>
        <v>7329</v>
      </c>
      <c r="H68" s="155">
        <f>IF($B68=" ","",IFERROR(INDEX(MMWR_RATING_STATE_ROLLUP_BDD[],MATCH($B68,MMWR_RATING_STATE_ROLLUP_BDD[MMWR_RATING_STATE_ROLLUP_BDD],0),MATCH(H$9,MMWR_RATING_STATE_ROLLUP_BDD[#Headers],0)),"ERROR"))</f>
        <v>148.94174757280001</v>
      </c>
      <c r="I68" s="155">
        <f>IF($B68=" ","",IFERROR(INDEX(MMWR_RATING_STATE_ROLLUP_BDD[],MATCH($B68,MMWR_RATING_STATE_ROLLUP_BDD[MMWR_RATING_STATE_ROLLUP_BDD],0),MATCH(I$9,MMWR_RATING_STATE_ROLLUP_BDD[#Headers],0)),"ERROR"))</f>
        <v>136.54714149270001</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3320</v>
      </c>
      <c r="D69" s="155">
        <f>IF($B69=" ","",IFERROR(INDEX(MMWR_RATING_STATE_ROLLUP_BDD[],MATCH($B69,MMWR_RATING_STATE_ROLLUP_BDD[MMWR_RATING_STATE_ROLLUP_BDD],0),MATCH(D$9,MMWR_RATING_STATE_ROLLUP_BDD[#Headers],0)),"ERROR"))</f>
        <v>93.647289156599996</v>
      </c>
      <c r="E69" s="156">
        <f>IF($B69=" ","",IFERROR(INDEX(MMWR_RATING_STATE_ROLLUP_BDD[],MATCH($B69,MMWR_RATING_STATE_ROLLUP_BDD[MMWR_RATING_STATE_ROLLUP_BDD],0),MATCH(E$9,MMWR_RATING_STATE_ROLLUP_BDD[#Headers],0))/$C69,"ERROR"))</f>
        <v>0.26536144578313253</v>
      </c>
      <c r="F69" s="154">
        <f>IF($B69=" ","",IFERROR(INDEX(MMWR_RATING_STATE_ROLLUP_BDD[],MATCH($B69,MMWR_RATING_STATE_ROLLUP_BDD[MMWR_RATING_STATE_ROLLUP_BDD],0),MATCH(F$9,MMWR_RATING_STATE_ROLLUP_BDD[#Headers],0)),"ERROR"))</f>
        <v>425</v>
      </c>
      <c r="G69" s="154">
        <f>IF($B69=" ","",IFERROR(INDEX(MMWR_RATING_STATE_ROLLUP_BDD[],MATCH($B69,MMWR_RATING_STATE_ROLLUP_BDD[MMWR_RATING_STATE_ROLLUP_BDD],0),MATCH(G$9,MMWR_RATING_STATE_ROLLUP_BDD[#Headers],0)),"ERROR"))</f>
        <v>1921</v>
      </c>
      <c r="H69" s="155">
        <f>IF($B69=" ","",IFERROR(INDEX(MMWR_RATING_STATE_ROLLUP_BDD[],MATCH($B69,MMWR_RATING_STATE_ROLLUP_BDD[MMWR_RATING_STATE_ROLLUP_BDD],0),MATCH(H$9,MMWR_RATING_STATE_ROLLUP_BDD[#Headers],0)),"ERROR"))</f>
        <v>155.00941176469999</v>
      </c>
      <c r="I69" s="155">
        <f>IF($B69=" ","",IFERROR(INDEX(MMWR_RATING_STATE_ROLLUP_BDD[],MATCH($B69,MMWR_RATING_STATE_ROLLUP_BDD[MMWR_RATING_STATE_ROLLUP_BDD],0),MATCH(I$9,MMWR_RATING_STATE_ROLLUP_BDD[#Headers],0)),"ERROR"))</f>
        <v>145.73815720979999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53</v>
      </c>
      <c r="D70" s="155">
        <f>IF($B70=" ","",IFERROR(INDEX(MMWR_RATING_STATE_ROLLUP_BDD[],MATCH($B70,MMWR_RATING_STATE_ROLLUP_BDD[MMWR_RATING_STATE_ROLLUP_BDD],0),MATCH(D$9,MMWR_RATING_STATE_ROLLUP_BDD[#Headers],0)),"ERROR"))</f>
        <v>109.81132075470001</v>
      </c>
      <c r="E70" s="156">
        <f>IF($B70=" ","",IFERROR(INDEX(MMWR_RATING_STATE_ROLLUP_BDD[],MATCH($B70,MMWR_RATING_STATE_ROLLUP_BDD[MMWR_RATING_STATE_ROLLUP_BDD],0),MATCH(E$9,MMWR_RATING_STATE_ROLLUP_BDD[#Headers],0))/$C70,"ERROR"))</f>
        <v>0.28301886792452829</v>
      </c>
      <c r="F70" s="154">
        <f>IF($B70=" ","",IFERROR(INDEX(MMWR_RATING_STATE_ROLLUP_BDD[],MATCH($B70,MMWR_RATING_STATE_ROLLUP_BDD[MMWR_RATING_STATE_ROLLUP_BDD],0),MATCH(F$9,MMWR_RATING_STATE_ROLLUP_BDD[#Headers],0)),"ERROR"))</f>
        <v>8</v>
      </c>
      <c r="G70" s="154">
        <f>IF($B70=" ","",IFERROR(INDEX(MMWR_RATING_STATE_ROLLUP_BDD[],MATCH($B70,MMWR_RATING_STATE_ROLLUP_BDD[MMWR_RATING_STATE_ROLLUP_BDD],0),MATCH(G$9,MMWR_RATING_STATE_ROLLUP_BDD[#Headers],0)),"ERROR"))</f>
        <v>43</v>
      </c>
      <c r="H70" s="155">
        <f>IF($B70=" ","",IFERROR(INDEX(MMWR_RATING_STATE_ROLLUP_BDD[],MATCH($B70,MMWR_RATING_STATE_ROLLUP_BDD[MMWR_RATING_STATE_ROLLUP_BDD],0),MATCH(H$9,MMWR_RATING_STATE_ROLLUP_BDD[#Headers],0)),"ERROR"))</f>
        <v>152.75</v>
      </c>
      <c r="I70" s="155">
        <f>IF($B70=" ","",IFERROR(INDEX(MMWR_RATING_STATE_ROLLUP_BDD[],MATCH($B70,MMWR_RATING_STATE_ROLLUP_BDD[MMWR_RATING_STATE_ROLLUP_BDD],0),MATCH(I$9,MMWR_RATING_STATE_ROLLUP_BDD[#Headers],0)),"ERROR"))</f>
        <v>139</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27</v>
      </c>
      <c r="D71" s="155">
        <f>IF($B71=" ","",IFERROR(INDEX(MMWR_RATING_STATE_ROLLUP_BDD[],MATCH($B71,MMWR_RATING_STATE_ROLLUP_BDD[MMWR_RATING_STATE_ROLLUP_BDD],0),MATCH(D$9,MMWR_RATING_STATE_ROLLUP_BDD[#Headers],0)),"ERROR"))</f>
        <v>101.6666666667</v>
      </c>
      <c r="E71" s="156">
        <f>IF($B71=" ","",IFERROR(INDEX(MMWR_RATING_STATE_ROLLUP_BDD[],MATCH($B71,MMWR_RATING_STATE_ROLLUP_BDD[MMWR_RATING_STATE_ROLLUP_BDD],0),MATCH(E$9,MMWR_RATING_STATE_ROLLUP_BDD[#Headers],0))/$C71,"ERROR"))</f>
        <v>0.33333333333333331</v>
      </c>
      <c r="F71" s="154">
        <f>IF($B71=" ","",IFERROR(INDEX(MMWR_RATING_STATE_ROLLUP_BDD[],MATCH($B71,MMWR_RATING_STATE_ROLLUP_BDD[MMWR_RATING_STATE_ROLLUP_BDD],0),MATCH(F$9,MMWR_RATING_STATE_ROLLUP_BDD[#Headers],0)),"ERROR"))</f>
        <v>4</v>
      </c>
      <c r="G71" s="154">
        <f>IF($B71=" ","",IFERROR(INDEX(MMWR_RATING_STATE_ROLLUP_BDD[],MATCH($B71,MMWR_RATING_STATE_ROLLUP_BDD[MMWR_RATING_STATE_ROLLUP_BDD],0),MATCH(G$9,MMWR_RATING_STATE_ROLLUP_BDD[#Headers],0)),"ERROR"))</f>
        <v>12</v>
      </c>
      <c r="H71" s="155">
        <f>IF($B71=" ","",IFERROR(INDEX(MMWR_RATING_STATE_ROLLUP_BDD[],MATCH($B71,MMWR_RATING_STATE_ROLLUP_BDD[MMWR_RATING_STATE_ROLLUP_BDD],0),MATCH(H$9,MMWR_RATING_STATE_ROLLUP_BDD[#Headers],0)),"ERROR"))</f>
        <v>140.75</v>
      </c>
      <c r="I71" s="155">
        <f>IF($B71=" ","",IFERROR(INDEX(MMWR_RATING_STATE_ROLLUP_BDD[],MATCH($B71,MMWR_RATING_STATE_ROLLUP_BDD[MMWR_RATING_STATE_ROLLUP_BDD],0),MATCH(I$9,MMWR_RATING_STATE_ROLLUP_BDD[#Headers],0)),"ERROR"))</f>
        <v>161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25</v>
      </c>
      <c r="D72" s="155">
        <f>IF($B72=" ","",IFERROR(INDEX(MMWR_RATING_STATE_ROLLUP_BDD[],MATCH($B72,MMWR_RATING_STATE_ROLLUP_BDD[MMWR_RATING_STATE_ROLLUP_BDD],0),MATCH(D$9,MMWR_RATING_STATE_ROLLUP_BDD[#Headers],0)),"ERROR"))</f>
        <v>88.48</v>
      </c>
      <c r="E72" s="156">
        <f>IF($B72=" ","",IFERROR(INDEX(MMWR_RATING_STATE_ROLLUP_BDD[],MATCH($B72,MMWR_RATING_STATE_ROLLUP_BDD[MMWR_RATING_STATE_ROLLUP_BDD],0),MATCH(E$9,MMWR_RATING_STATE_ROLLUP_BDD[#Headers],0))/$C72,"ERROR"))</f>
        <v>0.2</v>
      </c>
      <c r="F72" s="154">
        <f>IF($B72=" ","",IFERROR(INDEX(MMWR_RATING_STATE_ROLLUP_BDD[],MATCH($B72,MMWR_RATING_STATE_ROLLUP_BDD[MMWR_RATING_STATE_ROLLUP_BDD],0),MATCH(F$9,MMWR_RATING_STATE_ROLLUP_BDD[#Headers],0)),"ERROR"))</f>
        <v>5</v>
      </c>
      <c r="G72" s="154">
        <f>IF($B72=" ","",IFERROR(INDEX(MMWR_RATING_STATE_ROLLUP_BDD[],MATCH($B72,MMWR_RATING_STATE_ROLLUP_BDD[MMWR_RATING_STATE_ROLLUP_BDD],0),MATCH(G$9,MMWR_RATING_STATE_ROLLUP_BDD[#Headers],0)),"ERROR"))</f>
        <v>19</v>
      </c>
      <c r="H72" s="155">
        <f>IF($B72=" ","",IFERROR(INDEX(MMWR_RATING_STATE_ROLLUP_BDD[],MATCH($B72,MMWR_RATING_STATE_ROLLUP_BDD[MMWR_RATING_STATE_ROLLUP_BDD],0),MATCH(H$9,MMWR_RATING_STATE_ROLLUP_BDD[#Headers],0)),"ERROR"))</f>
        <v>167.6</v>
      </c>
      <c r="I72" s="155">
        <f>IF($B72=" ","",IFERROR(INDEX(MMWR_RATING_STATE_ROLLUP_BDD[],MATCH($B72,MMWR_RATING_STATE_ROLLUP_BDD[MMWR_RATING_STATE_ROLLUP_BDD],0),MATCH(I$9,MMWR_RATING_STATE_ROLLUP_BDD[#Headers],0)),"ERROR"))</f>
        <v>145</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17</v>
      </c>
      <c r="D73" s="155">
        <f>IF($B73=" ","",IFERROR(INDEX(MMWR_RATING_STATE_ROLLUP_BDD[],MATCH($B73,MMWR_RATING_STATE_ROLLUP_BDD[MMWR_RATING_STATE_ROLLUP_BDD],0),MATCH(D$9,MMWR_RATING_STATE_ROLLUP_BDD[#Headers],0)),"ERROR"))</f>
        <v>104.9411764706</v>
      </c>
      <c r="E73" s="156">
        <f>IF($B73=" ","",IFERROR(INDEX(MMWR_RATING_STATE_ROLLUP_BDD[],MATCH($B73,MMWR_RATING_STATE_ROLLUP_BDD[MMWR_RATING_STATE_ROLLUP_BDD],0),MATCH(E$9,MMWR_RATING_STATE_ROLLUP_BDD[#Headers],0))/$C73,"ERROR"))</f>
        <v>0.29411764705882354</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17</v>
      </c>
      <c r="H73" s="155">
        <f>IF($B73=" ","",IFERROR(INDEX(MMWR_RATING_STATE_ROLLUP_BDD[],MATCH($B73,MMWR_RATING_STATE_ROLLUP_BDD[MMWR_RATING_STATE_ROLLUP_BDD],0),MATCH(H$9,MMWR_RATING_STATE_ROLLUP_BDD[#Headers],0)),"ERROR"))</f>
        <v>174.6666666667</v>
      </c>
      <c r="I73" s="155">
        <f>IF($B73=" ","",IFERROR(INDEX(MMWR_RATING_STATE_ROLLUP_BDD[],MATCH($B73,MMWR_RATING_STATE_ROLLUP_BDD[MMWR_RATING_STATE_ROLLUP_BDD],0),MATCH(I$9,MMWR_RATING_STATE_ROLLUP_BDD[#Headers],0)),"ERROR"))</f>
        <v>163.4117647059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340</v>
      </c>
      <c r="D74" s="155">
        <f>IF($B74=" ","",IFERROR(INDEX(MMWR_RATING_STATE_ROLLUP_BDD[],MATCH($B74,MMWR_RATING_STATE_ROLLUP_BDD[MMWR_RATING_STATE_ROLLUP_BDD],0),MATCH(D$9,MMWR_RATING_STATE_ROLLUP_BDD[#Headers],0)),"ERROR"))</f>
        <v>93.032352941200003</v>
      </c>
      <c r="E74" s="156">
        <f>IF($B74=" ","",IFERROR(INDEX(MMWR_RATING_STATE_ROLLUP_BDD[],MATCH($B74,MMWR_RATING_STATE_ROLLUP_BDD[MMWR_RATING_STATE_ROLLUP_BDD],0),MATCH(E$9,MMWR_RATING_STATE_ROLLUP_BDD[#Headers],0))/$C74,"ERROR"))</f>
        <v>0.2323529411764706</v>
      </c>
      <c r="F74" s="154">
        <f>IF($B74=" ","",IFERROR(INDEX(MMWR_RATING_STATE_ROLLUP_BDD[],MATCH($B74,MMWR_RATING_STATE_ROLLUP_BDD[MMWR_RATING_STATE_ROLLUP_BDD],0),MATCH(F$9,MMWR_RATING_STATE_ROLLUP_BDD[#Headers],0)),"ERROR"))</f>
        <v>47</v>
      </c>
      <c r="G74" s="154">
        <f>IF($B74=" ","",IFERROR(INDEX(MMWR_RATING_STATE_ROLLUP_BDD[],MATCH($B74,MMWR_RATING_STATE_ROLLUP_BDD[MMWR_RATING_STATE_ROLLUP_BDD],0),MATCH(G$9,MMWR_RATING_STATE_ROLLUP_BDD[#Headers],0)),"ERROR"))</f>
        <v>198</v>
      </c>
      <c r="H74" s="155">
        <f>IF($B74=" ","",IFERROR(INDEX(MMWR_RATING_STATE_ROLLUP_BDD[],MATCH($B74,MMWR_RATING_STATE_ROLLUP_BDD[MMWR_RATING_STATE_ROLLUP_BDD],0),MATCH(H$9,MMWR_RATING_STATE_ROLLUP_BDD[#Headers],0)),"ERROR"))</f>
        <v>165.8723404255</v>
      </c>
      <c r="I74" s="155">
        <f>IF($B74=" ","",IFERROR(INDEX(MMWR_RATING_STATE_ROLLUP_BDD[],MATCH($B74,MMWR_RATING_STATE_ROLLUP_BDD[MMWR_RATING_STATE_ROLLUP_BDD],0),MATCH(I$9,MMWR_RATING_STATE_ROLLUP_BDD[#Headers],0)),"ERROR"))</f>
        <v>150.1868686869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48</v>
      </c>
      <c r="D75" s="155">
        <f>IF($B75=" ","",IFERROR(INDEX(MMWR_RATING_STATE_ROLLUP_BDD[],MATCH($B75,MMWR_RATING_STATE_ROLLUP_BDD[MMWR_RATING_STATE_ROLLUP_BDD],0),MATCH(D$9,MMWR_RATING_STATE_ROLLUP_BDD[#Headers],0)),"ERROR"))</f>
        <v>100.0416666667</v>
      </c>
      <c r="E75" s="156">
        <f>IF($B75=" ","",IFERROR(INDEX(MMWR_RATING_STATE_ROLLUP_BDD[],MATCH($B75,MMWR_RATING_STATE_ROLLUP_BDD[MMWR_RATING_STATE_ROLLUP_BDD],0),MATCH(E$9,MMWR_RATING_STATE_ROLLUP_BDD[#Headers],0))/$C75,"ERROR"))</f>
        <v>0.3125</v>
      </c>
      <c r="F75" s="154">
        <f>IF($B75=" ","",IFERROR(INDEX(MMWR_RATING_STATE_ROLLUP_BDD[],MATCH($B75,MMWR_RATING_STATE_ROLLUP_BDD[MMWR_RATING_STATE_ROLLUP_BDD],0),MATCH(F$9,MMWR_RATING_STATE_ROLLUP_BDD[#Headers],0)),"ERROR"))</f>
        <v>8</v>
      </c>
      <c r="G75" s="154">
        <f>IF($B75=" ","",IFERROR(INDEX(MMWR_RATING_STATE_ROLLUP_BDD[],MATCH($B75,MMWR_RATING_STATE_ROLLUP_BDD[MMWR_RATING_STATE_ROLLUP_BDD],0),MATCH(G$9,MMWR_RATING_STATE_ROLLUP_BDD[#Headers],0)),"ERROR"))</f>
        <v>36</v>
      </c>
      <c r="H75" s="155">
        <f>IF($B75=" ","",IFERROR(INDEX(MMWR_RATING_STATE_ROLLUP_BDD[],MATCH($B75,MMWR_RATING_STATE_ROLLUP_BDD[MMWR_RATING_STATE_ROLLUP_BDD],0),MATCH(H$9,MMWR_RATING_STATE_ROLLUP_BDD[#Headers],0)),"ERROR"))</f>
        <v>166.5</v>
      </c>
      <c r="I75" s="155">
        <f>IF($B75=" ","",IFERROR(INDEX(MMWR_RATING_STATE_ROLLUP_BDD[],MATCH($B75,MMWR_RATING_STATE_ROLLUP_BDD[MMWR_RATING_STATE_ROLLUP_BDD],0),MATCH(I$9,MMWR_RATING_STATE_ROLLUP_BDD[#Headers],0)),"ERROR"))</f>
        <v>121.69444444440001</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18</v>
      </c>
      <c r="D76" s="155">
        <f>IF($B76=" ","",IFERROR(INDEX(MMWR_RATING_STATE_ROLLUP_BDD[],MATCH($B76,MMWR_RATING_STATE_ROLLUP_BDD[MMWR_RATING_STATE_ROLLUP_BDD],0),MATCH(D$9,MMWR_RATING_STATE_ROLLUP_BDD[#Headers],0)),"ERROR"))</f>
        <v>91.388888888899999</v>
      </c>
      <c r="E76" s="156">
        <f>IF($B76=" ","",IFERROR(INDEX(MMWR_RATING_STATE_ROLLUP_BDD[],MATCH($B76,MMWR_RATING_STATE_ROLLUP_BDD[MMWR_RATING_STATE_ROLLUP_BDD],0),MATCH(E$9,MMWR_RATING_STATE_ROLLUP_BDD[#Headers],0))/$C76,"ERROR"))</f>
        <v>0.16666666666666666</v>
      </c>
      <c r="F76" s="154">
        <f>IF($B76=" ","",IFERROR(INDEX(MMWR_RATING_STATE_ROLLUP_BDD[],MATCH($B76,MMWR_RATING_STATE_ROLLUP_BDD[MMWR_RATING_STATE_ROLLUP_BDD],0),MATCH(F$9,MMWR_RATING_STATE_ROLLUP_BDD[#Headers],0)),"ERROR"))</f>
        <v>4</v>
      </c>
      <c r="G76" s="154">
        <f>IF($B76=" ","",IFERROR(INDEX(MMWR_RATING_STATE_ROLLUP_BDD[],MATCH($B76,MMWR_RATING_STATE_ROLLUP_BDD[MMWR_RATING_STATE_ROLLUP_BDD],0),MATCH(G$9,MMWR_RATING_STATE_ROLLUP_BDD[#Headers],0)),"ERROR"))</f>
        <v>19</v>
      </c>
      <c r="H76" s="155">
        <f>IF($B76=" ","",IFERROR(INDEX(MMWR_RATING_STATE_ROLLUP_BDD[],MATCH($B76,MMWR_RATING_STATE_ROLLUP_BDD[MMWR_RATING_STATE_ROLLUP_BDD],0),MATCH(H$9,MMWR_RATING_STATE_ROLLUP_BDD[#Headers],0)),"ERROR"))</f>
        <v>126.75</v>
      </c>
      <c r="I76" s="155">
        <f>IF($B76=" ","",IFERROR(INDEX(MMWR_RATING_STATE_ROLLUP_BDD[],MATCH($B76,MMWR_RATING_STATE_ROLLUP_BDD[MMWR_RATING_STATE_ROLLUP_BDD],0),MATCH(I$9,MMWR_RATING_STATE_ROLLUP_BDD[#Headers],0)),"ERROR"))</f>
        <v>133.15789473679999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82</v>
      </c>
      <c r="D77" s="155">
        <f>IF($B77=" ","",IFERROR(INDEX(MMWR_RATING_STATE_ROLLUP_BDD[],MATCH($B77,MMWR_RATING_STATE_ROLLUP_BDD[MMWR_RATING_STATE_ROLLUP_BDD],0),MATCH(D$9,MMWR_RATING_STATE_ROLLUP_BDD[#Headers],0)),"ERROR"))</f>
        <v>89.951219512199998</v>
      </c>
      <c r="E77" s="156">
        <f>IF($B77=" ","",IFERROR(INDEX(MMWR_RATING_STATE_ROLLUP_BDD[],MATCH($B77,MMWR_RATING_STATE_ROLLUP_BDD[MMWR_RATING_STATE_ROLLUP_BDD],0),MATCH(E$9,MMWR_RATING_STATE_ROLLUP_BDD[#Headers],0))/$C77,"ERROR"))</f>
        <v>0.2073170731707317</v>
      </c>
      <c r="F77" s="154">
        <f>IF($B77=" ","",IFERROR(INDEX(MMWR_RATING_STATE_ROLLUP_BDD[],MATCH($B77,MMWR_RATING_STATE_ROLLUP_BDD[MMWR_RATING_STATE_ROLLUP_BDD],0),MATCH(F$9,MMWR_RATING_STATE_ROLLUP_BDD[#Headers],0)),"ERROR"))</f>
        <v>17</v>
      </c>
      <c r="G77" s="154">
        <f>IF($B77=" ","",IFERROR(INDEX(MMWR_RATING_STATE_ROLLUP_BDD[],MATCH($B77,MMWR_RATING_STATE_ROLLUP_BDD[MMWR_RATING_STATE_ROLLUP_BDD],0),MATCH(G$9,MMWR_RATING_STATE_ROLLUP_BDD[#Headers],0)),"ERROR"))</f>
        <v>69</v>
      </c>
      <c r="H77" s="155">
        <f>IF($B77=" ","",IFERROR(INDEX(MMWR_RATING_STATE_ROLLUP_BDD[],MATCH($B77,MMWR_RATING_STATE_ROLLUP_BDD[MMWR_RATING_STATE_ROLLUP_BDD],0),MATCH(H$9,MMWR_RATING_STATE_ROLLUP_BDD[#Headers],0)),"ERROR"))</f>
        <v>141.0588235294</v>
      </c>
      <c r="I77" s="155">
        <f>IF($B77=" ","",IFERROR(INDEX(MMWR_RATING_STATE_ROLLUP_BDD[],MATCH($B77,MMWR_RATING_STATE_ROLLUP_BDD[MMWR_RATING_STATE_ROLLUP_BDD],0),MATCH(I$9,MMWR_RATING_STATE_ROLLUP_BDD[#Headers],0)),"ERROR"))</f>
        <v>134.4637681159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154</v>
      </c>
      <c r="D78" s="155">
        <f>IF($B78=" ","",IFERROR(INDEX(MMWR_RATING_STATE_ROLLUP_BDD[],MATCH($B78,MMWR_RATING_STATE_ROLLUP_BDD[MMWR_RATING_STATE_ROLLUP_BDD],0),MATCH(D$9,MMWR_RATING_STATE_ROLLUP_BDD[#Headers],0)),"ERROR"))</f>
        <v>87.603896103899999</v>
      </c>
      <c r="E78" s="156">
        <f>IF($B78=" ","",IFERROR(INDEX(MMWR_RATING_STATE_ROLLUP_BDD[],MATCH($B78,MMWR_RATING_STATE_ROLLUP_BDD[MMWR_RATING_STATE_ROLLUP_BDD],0),MATCH(E$9,MMWR_RATING_STATE_ROLLUP_BDD[#Headers],0))/$C78,"ERROR"))</f>
        <v>0.24675324675324675</v>
      </c>
      <c r="F78" s="154">
        <f>IF($B78=" ","",IFERROR(INDEX(MMWR_RATING_STATE_ROLLUP_BDD[],MATCH($B78,MMWR_RATING_STATE_ROLLUP_BDD[MMWR_RATING_STATE_ROLLUP_BDD],0),MATCH(F$9,MMWR_RATING_STATE_ROLLUP_BDD[#Headers],0)),"ERROR"))</f>
        <v>20</v>
      </c>
      <c r="G78" s="154">
        <f>IF($B78=" ","",IFERROR(INDEX(MMWR_RATING_STATE_ROLLUP_BDD[],MATCH($B78,MMWR_RATING_STATE_ROLLUP_BDD[MMWR_RATING_STATE_ROLLUP_BDD],0),MATCH(G$9,MMWR_RATING_STATE_ROLLUP_BDD[#Headers],0)),"ERROR"))</f>
        <v>112</v>
      </c>
      <c r="H78" s="155">
        <f>IF($B78=" ","",IFERROR(INDEX(MMWR_RATING_STATE_ROLLUP_BDD[],MATCH($B78,MMWR_RATING_STATE_ROLLUP_BDD[MMWR_RATING_STATE_ROLLUP_BDD],0),MATCH(H$9,MMWR_RATING_STATE_ROLLUP_BDD[#Headers],0)),"ERROR"))</f>
        <v>158.1</v>
      </c>
      <c r="I78" s="155">
        <f>IF($B78=" ","",IFERROR(INDEX(MMWR_RATING_STATE_ROLLUP_BDD[],MATCH($B78,MMWR_RATING_STATE_ROLLUP_BDD[MMWR_RATING_STATE_ROLLUP_BDD],0),MATCH(I$9,MMWR_RATING_STATE_ROLLUP_BDD[#Headers],0)),"ERROR"))</f>
        <v>143.21428571429999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1201</v>
      </c>
      <c r="D79" s="155">
        <f>IF($B79=" ","",IFERROR(INDEX(MMWR_RATING_STATE_ROLLUP_BDD[],MATCH($B79,MMWR_RATING_STATE_ROLLUP_BDD[MMWR_RATING_STATE_ROLLUP_BDD],0),MATCH(D$9,MMWR_RATING_STATE_ROLLUP_BDD[#Headers],0)),"ERROR"))</f>
        <v>89.135720233100002</v>
      </c>
      <c r="E79" s="156">
        <f>IF($B79=" ","",IFERROR(INDEX(MMWR_RATING_STATE_ROLLUP_BDD[],MATCH($B79,MMWR_RATING_STATE_ROLLUP_BDD[MMWR_RATING_STATE_ROLLUP_BDD],0),MATCH(E$9,MMWR_RATING_STATE_ROLLUP_BDD[#Headers],0))/$C79,"ERROR"))</f>
        <v>0.25478767693588678</v>
      </c>
      <c r="F79" s="154">
        <f>IF($B79=" ","",IFERROR(INDEX(MMWR_RATING_STATE_ROLLUP_BDD[],MATCH($B79,MMWR_RATING_STATE_ROLLUP_BDD[MMWR_RATING_STATE_ROLLUP_BDD],0),MATCH(F$9,MMWR_RATING_STATE_ROLLUP_BDD[#Headers],0)),"ERROR"))</f>
        <v>109</v>
      </c>
      <c r="G79" s="154">
        <f>IF($B79=" ","",IFERROR(INDEX(MMWR_RATING_STATE_ROLLUP_BDD[],MATCH($B79,MMWR_RATING_STATE_ROLLUP_BDD[MMWR_RATING_STATE_ROLLUP_BDD],0),MATCH(G$9,MMWR_RATING_STATE_ROLLUP_BDD[#Headers],0)),"ERROR"))</f>
        <v>609</v>
      </c>
      <c r="H79" s="155">
        <f>IF($B79=" ","",IFERROR(INDEX(MMWR_RATING_STATE_ROLLUP_BDD[],MATCH($B79,MMWR_RATING_STATE_ROLLUP_BDD[MMWR_RATING_STATE_ROLLUP_BDD],0),MATCH(H$9,MMWR_RATING_STATE_ROLLUP_BDD[#Headers],0)),"ERROR"))</f>
        <v>152.78899082570001</v>
      </c>
      <c r="I79" s="155">
        <f>IF($B79=" ","",IFERROR(INDEX(MMWR_RATING_STATE_ROLLUP_BDD[],MATCH($B79,MMWR_RATING_STATE_ROLLUP_BDD[MMWR_RATING_STATE_ROLLUP_BDD],0),MATCH(I$9,MMWR_RATING_STATE_ROLLUP_BDD[#Headers],0)),"ERROR"))</f>
        <v>144.58949096879999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127</v>
      </c>
      <c r="D80" s="155">
        <f>IF($B80=" ","",IFERROR(INDEX(MMWR_RATING_STATE_ROLLUP_BDD[],MATCH($B80,MMWR_RATING_STATE_ROLLUP_BDD[MMWR_RATING_STATE_ROLLUP_BDD],0),MATCH(D$9,MMWR_RATING_STATE_ROLLUP_BDD[#Headers],0)),"ERROR"))</f>
        <v>84.448818897600006</v>
      </c>
      <c r="E80" s="156">
        <f>IF($B80=" ","",IFERROR(INDEX(MMWR_RATING_STATE_ROLLUP_BDD[],MATCH($B80,MMWR_RATING_STATE_ROLLUP_BDD[MMWR_RATING_STATE_ROLLUP_BDD],0),MATCH(E$9,MMWR_RATING_STATE_ROLLUP_BDD[#Headers],0))/$C80,"ERROR"))</f>
        <v>0.2125984251968504</v>
      </c>
      <c r="F80" s="154">
        <f>IF($B80=" ","",IFERROR(INDEX(MMWR_RATING_STATE_ROLLUP_BDD[],MATCH($B80,MMWR_RATING_STATE_ROLLUP_BDD[MMWR_RATING_STATE_ROLLUP_BDD],0),MATCH(F$9,MMWR_RATING_STATE_ROLLUP_BDD[#Headers],0)),"ERROR"))</f>
        <v>30</v>
      </c>
      <c r="G80" s="154">
        <f>IF($B80=" ","",IFERROR(INDEX(MMWR_RATING_STATE_ROLLUP_BDD[],MATCH($B80,MMWR_RATING_STATE_ROLLUP_BDD[MMWR_RATING_STATE_ROLLUP_BDD],0),MATCH(G$9,MMWR_RATING_STATE_ROLLUP_BDD[#Headers],0)),"ERROR"))</f>
        <v>130</v>
      </c>
      <c r="H80" s="155">
        <f>IF($B80=" ","",IFERROR(INDEX(MMWR_RATING_STATE_ROLLUP_BDD[],MATCH($B80,MMWR_RATING_STATE_ROLLUP_BDD[MMWR_RATING_STATE_ROLLUP_BDD],0),MATCH(H$9,MMWR_RATING_STATE_ROLLUP_BDD[#Headers],0)),"ERROR"))</f>
        <v>137.26666666669999</v>
      </c>
      <c r="I80" s="155">
        <f>IF($B80=" ","",IFERROR(INDEX(MMWR_RATING_STATE_ROLLUP_BDD[],MATCH($B80,MMWR_RATING_STATE_ROLLUP_BDD[MMWR_RATING_STATE_ROLLUP_BDD],0),MATCH(I$9,MMWR_RATING_STATE_ROLLUP_BDD[#Headers],0)),"ERROR"))</f>
        <v>131.55384615380001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11</v>
      </c>
      <c r="D81" s="155">
        <f>IF($B81=" ","",IFERROR(INDEX(MMWR_RATING_STATE_ROLLUP_BDD[],MATCH($B81,MMWR_RATING_STATE_ROLLUP_BDD[MMWR_RATING_STATE_ROLLUP_BDD],0),MATCH(D$9,MMWR_RATING_STATE_ROLLUP_BDD[#Headers],0)),"ERROR"))</f>
        <v>107.9090909091</v>
      </c>
      <c r="E81" s="156">
        <f>IF($B81=" ","",IFERROR(INDEX(MMWR_RATING_STATE_ROLLUP_BDD[],MATCH($B81,MMWR_RATING_STATE_ROLLUP_BDD[MMWR_RATING_STATE_ROLLUP_BDD],0),MATCH(E$9,MMWR_RATING_STATE_ROLLUP_BDD[#Headers],0))/$C81,"ERROR"))</f>
        <v>0.45454545454545453</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9</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121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3</v>
      </c>
      <c r="D82" s="155">
        <f>IF($B82=" ","",IFERROR(INDEX(MMWR_RATING_STATE_ROLLUP_BDD[],MATCH($B82,MMWR_RATING_STATE_ROLLUP_BDD[MMWR_RATING_STATE_ROLLUP_BDD],0),MATCH(D$9,MMWR_RATING_STATE_ROLLUP_BDD[#Headers],0)),"ERROR"))</f>
        <v>53</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1</v>
      </c>
      <c r="G82" s="154">
        <f>IF($B82=" ","",IFERROR(INDEX(MMWR_RATING_STATE_ROLLUP_BDD[],MATCH($B82,MMWR_RATING_STATE_ROLLUP_BDD[MMWR_RATING_STATE_ROLLUP_BDD],0),MATCH(G$9,MMWR_RATING_STATE_ROLLUP_BDD[#Headers],0)),"ERROR"))</f>
        <v>6</v>
      </c>
      <c r="H82" s="155">
        <f>IF($B82=" ","",IFERROR(INDEX(MMWR_RATING_STATE_ROLLUP_BDD[],MATCH($B82,MMWR_RATING_STATE_ROLLUP_BDD[MMWR_RATING_STATE_ROLLUP_BDD],0),MATCH(H$9,MMWR_RATING_STATE_ROLLUP_BDD[#Headers],0)),"ERROR"))</f>
        <v>170</v>
      </c>
      <c r="I82" s="155">
        <f>IF($B82=" ","",IFERROR(INDEX(MMWR_RATING_STATE_ROLLUP_BDD[],MATCH($B82,MMWR_RATING_STATE_ROLLUP_BDD[MMWR_RATING_STATE_ROLLUP_BDD],0),MATCH(I$9,MMWR_RATING_STATE_ROLLUP_BDD[#Headers],0)),"ERROR"))</f>
        <v>106</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1184</v>
      </c>
      <c r="D83" s="155">
        <f>IF($B83=" ","",IFERROR(INDEX(MMWR_RATING_STATE_ROLLUP_BDD[],MATCH($B83,MMWR_RATING_STATE_ROLLUP_BDD[MMWR_RATING_STATE_ROLLUP_BDD],0),MATCH(D$9,MMWR_RATING_STATE_ROLLUP_BDD[#Headers],0)),"ERROR"))</f>
        <v>98.813344594599997</v>
      </c>
      <c r="E83" s="156">
        <f>IF($B83=" ","",IFERROR(INDEX(MMWR_RATING_STATE_ROLLUP_BDD[],MATCH($B83,MMWR_RATING_STATE_ROLLUP_BDD[MMWR_RATING_STATE_ROLLUP_BDD],0),MATCH(E$9,MMWR_RATING_STATE_ROLLUP_BDD[#Headers],0))/$C83,"ERROR"))</f>
        <v>0.29222972972972971</v>
      </c>
      <c r="F83" s="154">
        <f>IF($B83=" ","",IFERROR(INDEX(MMWR_RATING_STATE_ROLLUP_BDD[],MATCH($B83,MMWR_RATING_STATE_ROLLUP_BDD[MMWR_RATING_STATE_ROLLUP_BDD],0),MATCH(F$9,MMWR_RATING_STATE_ROLLUP_BDD[#Headers],0)),"ERROR"))</f>
        <v>164</v>
      </c>
      <c r="G83" s="154">
        <f>IF($B83=" ","",IFERROR(INDEX(MMWR_RATING_STATE_ROLLUP_BDD[],MATCH($B83,MMWR_RATING_STATE_ROLLUP_BDD[MMWR_RATING_STATE_ROLLUP_BDD],0),MATCH(G$9,MMWR_RATING_STATE_ROLLUP_BDD[#Headers],0)),"ERROR"))</f>
        <v>623</v>
      </c>
      <c r="H83" s="155">
        <f>IF($B83=" ","",IFERROR(INDEX(MMWR_RATING_STATE_ROLLUP_BDD[],MATCH($B83,MMWR_RATING_STATE_ROLLUP_BDD[MMWR_RATING_STATE_ROLLUP_BDD],0),MATCH(H$9,MMWR_RATING_STATE_ROLLUP_BDD[#Headers],0)),"ERROR"))</f>
        <v>156.51829268290001</v>
      </c>
      <c r="I83" s="155">
        <f>IF($B83=" ","",IFERROR(INDEX(MMWR_RATING_STATE_ROLLUP_BDD[],MATCH($B83,MMWR_RATING_STATE_ROLLUP_BDD[MMWR_RATING_STATE_ROLLUP_BDD],0),MATCH(I$9,MMWR_RATING_STATE_ROLLUP_BDD[#Headers],0)),"ERROR"))</f>
        <v>152.5666131621</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30</v>
      </c>
      <c r="D84" s="155">
        <f>IF($B84=" ","",IFERROR(INDEX(MMWR_RATING_STATE_ROLLUP_BDD[],MATCH($B84,MMWR_RATING_STATE_ROLLUP_BDD[MMWR_RATING_STATE_ROLLUP_BDD],0),MATCH(D$9,MMWR_RATING_STATE_ROLLUP_BDD[#Headers],0)),"ERROR"))</f>
        <v>109.5</v>
      </c>
      <c r="E84" s="156">
        <f>IF($B84=" ","",IFERROR(INDEX(MMWR_RATING_STATE_ROLLUP_BDD[],MATCH($B84,MMWR_RATING_STATE_ROLLUP_BDD[MMWR_RATING_STATE_ROLLUP_BDD],0),MATCH(E$9,MMWR_RATING_STATE_ROLLUP_BDD[#Headers],0))/$C84,"ERROR"))</f>
        <v>0.36666666666666664</v>
      </c>
      <c r="F84" s="154">
        <f>IF($B84=" ","",IFERROR(INDEX(MMWR_RATING_STATE_ROLLUP_BDD[],MATCH($B84,MMWR_RATING_STATE_ROLLUP_BDD[MMWR_RATING_STATE_ROLLUP_BDD],0),MATCH(F$9,MMWR_RATING_STATE_ROLLUP_BDD[#Headers],0)),"ERROR"))</f>
        <v>5</v>
      </c>
      <c r="G84" s="154">
        <f>IF($B84=" ","",IFERROR(INDEX(MMWR_RATING_STATE_ROLLUP_BDD[],MATCH($B84,MMWR_RATING_STATE_ROLLUP_BDD[MMWR_RATING_STATE_ROLLUP_BDD],0),MATCH(G$9,MMWR_RATING_STATE_ROLLUP_BDD[#Headers],0)),"ERROR"))</f>
        <v>19</v>
      </c>
      <c r="H84" s="155">
        <f>IF($B84=" ","",IFERROR(INDEX(MMWR_RATING_STATE_ROLLUP_BDD[],MATCH($B84,MMWR_RATING_STATE_ROLLUP_BDD[MMWR_RATING_STATE_ROLLUP_BDD],0),MATCH(H$9,MMWR_RATING_STATE_ROLLUP_BDD[#Headers],0)),"ERROR"))</f>
        <v>185.2</v>
      </c>
      <c r="I84" s="155">
        <f>IF($B84=" ","",IFERROR(INDEX(MMWR_RATING_STATE_ROLLUP_BDD[],MATCH($B84,MMWR_RATING_STATE_ROLLUP_BDD[MMWR_RATING_STATE_ROLLUP_BDD],0),MATCH(I$9,MMWR_RATING_STATE_ROLLUP_BDD[#Headers],0)),"ERROR"))</f>
        <v>138.1052631579</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 ref="C2:I3"/>
    <mergeCell ref="J2:M2"/>
    <mergeCell ref="J3:M3"/>
    <mergeCell ref="C4:M4"/>
    <mergeCell ref="C5:O5"/>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23" t="s">
        <v>299</v>
      </c>
      <c r="C2" s="424"/>
      <c r="D2" s="424"/>
      <c r="E2" s="424"/>
      <c r="F2" s="424"/>
      <c r="G2" s="424"/>
      <c r="H2" s="424"/>
      <c r="I2" s="424"/>
      <c r="J2" s="424"/>
      <c r="K2" s="424"/>
      <c r="L2" s="424"/>
      <c r="M2" s="424"/>
      <c r="N2" s="424"/>
      <c r="O2" s="424"/>
      <c r="P2" s="424"/>
      <c r="Q2" s="424"/>
      <c r="R2" s="424"/>
      <c r="S2" s="424"/>
      <c r="T2" s="424"/>
      <c r="U2" s="425"/>
      <c r="V2" s="25"/>
    </row>
    <row r="3" spans="1:22" s="1" customFormat="1" ht="63" customHeight="1" thickBot="1" x14ac:dyDescent="0.25">
      <c r="A3" s="25"/>
      <c r="B3" s="432" t="s">
        <v>314</v>
      </c>
      <c r="C3" s="433"/>
      <c r="D3" s="433"/>
      <c r="E3" s="433"/>
      <c r="F3" s="433"/>
      <c r="G3" s="433"/>
      <c r="H3" s="433"/>
      <c r="I3" s="433"/>
      <c r="J3" s="433"/>
      <c r="K3" s="433"/>
      <c r="L3" s="433"/>
      <c r="M3" s="433"/>
      <c r="N3" s="433"/>
      <c r="O3" s="433"/>
      <c r="P3" s="433"/>
      <c r="Q3" s="433"/>
      <c r="R3" s="433"/>
      <c r="S3" s="433"/>
      <c r="T3" s="433"/>
      <c r="U3" s="434"/>
      <c r="V3" s="25"/>
    </row>
    <row r="4" spans="1:22" s="1" customFormat="1" ht="32.25" customHeight="1" thickBot="1" x14ac:dyDescent="0.25">
      <c r="A4" s="25"/>
      <c r="B4" s="429" t="str">
        <f>Transformation!B4</f>
        <v>As of: January 23, 2016</v>
      </c>
      <c r="C4" s="430"/>
      <c r="D4" s="430"/>
      <c r="E4" s="430"/>
      <c r="F4" s="430"/>
      <c r="G4" s="430"/>
      <c r="H4" s="430"/>
      <c r="I4" s="430"/>
      <c r="J4" s="430"/>
      <c r="K4" s="430"/>
      <c r="L4" s="430"/>
      <c r="M4" s="430"/>
      <c r="N4" s="430"/>
      <c r="O4" s="430"/>
      <c r="P4" s="430"/>
      <c r="Q4" s="430"/>
      <c r="R4" s="430"/>
      <c r="S4" s="430"/>
      <c r="T4" s="430"/>
      <c r="U4" s="431"/>
      <c r="V4" s="25"/>
    </row>
    <row r="5" spans="1:22" s="1" customFormat="1" ht="27" customHeight="1" thickBot="1" x14ac:dyDescent="0.45">
      <c r="A5" s="25"/>
      <c r="B5" s="435" t="s">
        <v>242</v>
      </c>
      <c r="C5" s="436"/>
      <c r="D5" s="436"/>
      <c r="E5" s="436"/>
      <c r="F5" s="436"/>
      <c r="G5" s="436"/>
      <c r="H5" s="437"/>
      <c r="I5" s="55"/>
      <c r="J5" s="435" t="s">
        <v>239</v>
      </c>
      <c r="K5" s="436"/>
      <c r="L5" s="436"/>
      <c r="M5" s="436"/>
      <c r="N5" s="437"/>
      <c r="O5" s="56"/>
      <c r="P5" s="407" t="s">
        <v>11</v>
      </c>
      <c r="Q5" s="408"/>
      <c r="R5" s="408"/>
      <c r="S5" s="408"/>
      <c r="T5" s="408"/>
      <c r="U5" s="409"/>
      <c r="V5" s="25"/>
    </row>
    <row r="6" spans="1:22" s="1" customFormat="1" ht="65.25" customHeight="1" thickBot="1" x14ac:dyDescent="0.25">
      <c r="A6" s="25"/>
      <c r="B6" s="426" t="s">
        <v>282</v>
      </c>
      <c r="C6" s="427"/>
      <c r="D6" s="427"/>
      <c r="E6" s="428"/>
      <c r="F6" s="57" t="s">
        <v>12</v>
      </c>
      <c r="G6" s="58" t="s">
        <v>3</v>
      </c>
      <c r="H6" s="59" t="s">
        <v>4</v>
      </c>
      <c r="I6" s="25"/>
      <c r="J6" s="446" t="s">
        <v>282</v>
      </c>
      <c r="K6" s="447"/>
      <c r="L6" s="60" t="s">
        <v>12</v>
      </c>
      <c r="M6" s="61" t="s">
        <v>3</v>
      </c>
      <c r="N6" s="62" t="s">
        <v>4</v>
      </c>
      <c r="O6" s="63"/>
      <c r="P6" s="438" t="s">
        <v>282</v>
      </c>
      <c r="Q6" s="439"/>
      <c r="R6" s="64" t="s">
        <v>492</v>
      </c>
      <c r="S6" s="441" t="s">
        <v>282</v>
      </c>
      <c r="T6" s="442"/>
      <c r="U6" s="65" t="s">
        <v>137</v>
      </c>
      <c r="V6" s="25"/>
    </row>
    <row r="7" spans="1:22" s="1" customFormat="1" ht="32.25" customHeight="1" thickBot="1" x14ac:dyDescent="0.25">
      <c r="A7" s="25"/>
      <c r="B7" s="410" t="s">
        <v>301</v>
      </c>
      <c r="C7" s="411"/>
      <c r="D7" s="411"/>
      <c r="E7" s="411"/>
      <c r="F7" s="167">
        <f>SUM(F8:F10)</f>
        <v>119131</v>
      </c>
      <c r="G7" s="168">
        <f>SUM(G8:G10)</f>
        <v>33590</v>
      </c>
      <c r="H7" s="169">
        <f t="shared" ref="H7:H44" si="0">IF(G7="--", 0, G7/F7)</f>
        <v>0.28195851625521484</v>
      </c>
      <c r="I7" s="25"/>
      <c r="J7" s="410" t="s">
        <v>267</v>
      </c>
      <c r="K7" s="411"/>
      <c r="L7" s="168">
        <f>SUM(L8:L10)</f>
        <v>32918</v>
      </c>
      <c r="M7" s="168">
        <f>SUM(M8:M10)</f>
        <v>5383</v>
      </c>
      <c r="N7" s="179">
        <f>IF(M7="--", 0, M7/L7)</f>
        <v>0.16352755331429614</v>
      </c>
      <c r="O7" s="66"/>
      <c r="P7" s="410" t="s">
        <v>970</v>
      </c>
      <c r="Q7" s="411"/>
      <c r="R7" s="180">
        <f>R8+R9+R10+R11+R12</f>
        <v>326413</v>
      </c>
      <c r="S7" s="410"/>
      <c r="T7" s="411"/>
      <c r="U7" s="67"/>
      <c r="V7" s="25"/>
    </row>
    <row r="8" spans="1:22" s="1" customFormat="1" ht="51" customHeight="1" x14ac:dyDescent="0.2">
      <c r="A8" s="25"/>
      <c r="B8" s="323" t="s">
        <v>252</v>
      </c>
      <c r="C8" s="324"/>
      <c r="D8" s="324"/>
      <c r="E8" s="403"/>
      <c r="F8" s="170">
        <f>IFERROR(VLOOKUP(MID(B8,4,3),MMWR_TRAD_AGG_NATIONAL[],2,0),"--")</f>
        <v>274</v>
      </c>
      <c r="G8" s="171">
        <f>IFERROR(VLOOKUP(MID(B8,4,3),MMWR_TRAD_AGG_NATIONAL[],3,0),"--")</f>
        <v>160</v>
      </c>
      <c r="H8" s="172">
        <f t="shared" si="0"/>
        <v>0.58394160583941601</v>
      </c>
      <c r="I8" s="25"/>
      <c r="J8" s="421" t="s">
        <v>269</v>
      </c>
      <c r="K8" s="440"/>
      <c r="L8" s="170">
        <f>IFERROR(VLOOKUP(MID(J8,4,3),MMWR_TRAD_AGG_NATIONAL[],2,0),"--")</f>
        <v>8519</v>
      </c>
      <c r="M8" s="171">
        <f>IFERROR(VLOOKUP(MID(J8,4,3),MMWR_TRAD_AGG_NATIONAL[],3,0),"--")</f>
        <v>602</v>
      </c>
      <c r="N8" s="172">
        <f>IF(M8="--", 0, M8/L8)</f>
        <v>7.0665571076417424E-2</v>
      </c>
      <c r="O8" s="68" t="s">
        <v>313</v>
      </c>
      <c r="P8" s="443" t="s">
        <v>243</v>
      </c>
      <c r="Q8" s="444"/>
      <c r="R8" s="181">
        <f>VLOOKUP(P8,MMWR_APP_NATIONAL[],2,0)</f>
        <v>235365</v>
      </c>
      <c r="S8" s="445" t="s">
        <v>232</v>
      </c>
      <c r="T8" s="422"/>
      <c r="U8" s="182">
        <f>VLOOKUP(P8,MMWR_APP_NATIONAL[],3,0)</f>
        <v>403.53769869090002</v>
      </c>
      <c r="V8" s="25"/>
    </row>
    <row r="9" spans="1:22" s="1" customFormat="1" ht="45" customHeight="1" x14ac:dyDescent="0.2">
      <c r="A9" s="25"/>
      <c r="B9" s="323" t="s">
        <v>250</v>
      </c>
      <c r="C9" s="324"/>
      <c r="D9" s="324"/>
      <c r="E9" s="403"/>
      <c r="F9" s="170">
        <f>IFERROR(VLOOKUP(MID(B9,4,3),MMWR_TRAD_AGG_NATIONAL[],2,0),"--")</f>
        <v>40071</v>
      </c>
      <c r="G9" s="171">
        <f>IFERROR(VLOOKUP(MID(B9,4,3),MMWR_TRAD_AGG_NATIONAL[],3,0),"--")</f>
        <v>12946</v>
      </c>
      <c r="H9" s="172">
        <f t="shared" si="0"/>
        <v>0.32307653914302115</v>
      </c>
      <c r="I9" s="68" t="s">
        <v>313</v>
      </c>
      <c r="J9" s="323" t="s">
        <v>268</v>
      </c>
      <c r="K9" s="324"/>
      <c r="L9" s="170">
        <f>IFERROR(VLOOKUP(MID(J9,4,3),MMWR_TRAD_AGG_NATIONAL[],2,0),"--")</f>
        <v>8072</v>
      </c>
      <c r="M9" s="171">
        <f>IFERROR(VLOOKUP(MID(J9,4,3),MMWR_TRAD_AGG_NATIONAL[],3,0),"--")</f>
        <v>453</v>
      </c>
      <c r="N9" s="172">
        <f>IF(M9="--", 0, M9/L9)</f>
        <v>5.6119920713577798E-2</v>
      </c>
      <c r="O9" s="68" t="s">
        <v>313</v>
      </c>
      <c r="P9" s="401" t="s">
        <v>244</v>
      </c>
      <c r="Q9" s="402"/>
      <c r="R9" s="183">
        <f>VLOOKUP(P9,MMWR_APP_NATIONAL[],2,0)</f>
        <v>54645</v>
      </c>
      <c r="S9" s="397" t="s">
        <v>233</v>
      </c>
      <c r="T9" s="398"/>
      <c r="U9" s="184">
        <f>VLOOKUP(P9,MMWR_APP_NATIONAL[],3,0)</f>
        <v>609.2710586513</v>
      </c>
      <c r="V9" s="25"/>
    </row>
    <row r="10" spans="1:22" s="1" customFormat="1" ht="63" customHeight="1" thickBot="1" x14ac:dyDescent="0.25">
      <c r="A10" s="25"/>
      <c r="B10" s="323" t="s">
        <v>251</v>
      </c>
      <c r="C10" s="324"/>
      <c r="D10" s="324"/>
      <c r="E10" s="403"/>
      <c r="F10" s="170">
        <f>IFERROR(VLOOKUP(MID(B10,4,3),MMWR_TRAD_AGG_NATIONAL[],2,0),"--")</f>
        <v>78786</v>
      </c>
      <c r="G10" s="171">
        <f>IFERROR(VLOOKUP(MID(B10,4,3),MMWR_TRAD_AGG_NATIONAL[],3,0),"--")</f>
        <v>20484</v>
      </c>
      <c r="H10" s="172">
        <f t="shared" si="0"/>
        <v>0.25999543066026959</v>
      </c>
      <c r="I10" s="68" t="s">
        <v>313</v>
      </c>
      <c r="J10" s="325" t="s">
        <v>270</v>
      </c>
      <c r="K10" s="326"/>
      <c r="L10" s="170">
        <f>IFERROR(VLOOKUP(MID(J10,4,3),MMWR_TRAD_AGG_NATIONAL[],2,0),"--")</f>
        <v>16327</v>
      </c>
      <c r="M10" s="171">
        <f>IFERROR(VLOOKUP(MID(J10,4,3),MMWR_TRAD_AGG_NATIONAL[],3,0),"--")</f>
        <v>4328</v>
      </c>
      <c r="N10" s="172">
        <f>IF(M10="--", 0, M10/L10)</f>
        <v>0.26508237888160713</v>
      </c>
      <c r="O10" s="69"/>
      <c r="P10" s="401" t="s">
        <v>245</v>
      </c>
      <c r="Q10" s="402"/>
      <c r="R10" s="183">
        <f>VLOOKUP(P10,MMWR_APP_NATIONAL[],2,0)</f>
        <v>25144</v>
      </c>
      <c r="S10" s="397" t="s">
        <v>234</v>
      </c>
      <c r="T10" s="398"/>
      <c r="U10" s="184">
        <f>VLOOKUP(P10,MMWR_APP_NATIONAL[],3,0)</f>
        <v>525.34550517100001</v>
      </c>
      <c r="V10" s="25"/>
    </row>
    <row r="11" spans="1:22" s="1" customFormat="1" ht="45" customHeight="1" thickBot="1" x14ac:dyDescent="0.25">
      <c r="A11" s="25"/>
      <c r="B11" s="410" t="s">
        <v>302</v>
      </c>
      <c r="C11" s="411"/>
      <c r="D11" s="411"/>
      <c r="E11" s="411"/>
      <c r="F11" s="167">
        <f>SUM(F12:F13)</f>
        <v>9431</v>
      </c>
      <c r="G11" s="168">
        <f>SUM(G12:G13)</f>
        <v>2207</v>
      </c>
      <c r="H11" s="169">
        <f t="shared" si="0"/>
        <v>0.23401548086099036</v>
      </c>
      <c r="I11" s="25"/>
      <c r="J11" s="410" t="s">
        <v>240</v>
      </c>
      <c r="K11" s="411"/>
      <c r="L11" s="167">
        <f>SUM(L12:L17)</f>
        <v>28809</v>
      </c>
      <c r="M11" s="167">
        <f>SUM(M12:M17)</f>
        <v>7024</v>
      </c>
      <c r="N11" s="160">
        <f>IF(M11="--", 0, M11/L11)</f>
        <v>0.24381269742094486</v>
      </c>
      <c r="O11" s="69"/>
      <c r="P11" s="401" t="s">
        <v>971</v>
      </c>
      <c r="Q11" s="402"/>
      <c r="R11" s="183">
        <f>VLOOKUP(P11,MMWR_APP_NATIONAL[],2,0)</f>
        <v>10781</v>
      </c>
      <c r="S11" s="397" t="s">
        <v>235</v>
      </c>
      <c r="T11" s="398"/>
      <c r="U11" s="184">
        <f>VLOOKUP(P11,MMWR_APP_NATIONAL[],3,0)</f>
        <v>184.034793097</v>
      </c>
      <c r="V11" s="25"/>
    </row>
    <row r="12" spans="1:22" s="1" customFormat="1" ht="46.5" customHeight="1" thickBot="1" x14ac:dyDescent="0.25">
      <c r="A12" s="25"/>
      <c r="B12" s="404" t="s">
        <v>272</v>
      </c>
      <c r="C12" s="405"/>
      <c r="D12" s="405"/>
      <c r="E12" s="406"/>
      <c r="F12" s="170">
        <f>IFERROR(VLOOKUP(MID(B12,4,3),MMWR_TRAD_AGG_NATIONAL[],2,0),"--")</f>
        <v>8397</v>
      </c>
      <c r="G12" s="171">
        <f>IFERROR(VLOOKUP(MID(B12,4,3),MMWR_TRAD_AGG_NATIONAL[],3,0),"--")</f>
        <v>1563</v>
      </c>
      <c r="H12" s="172">
        <f t="shared" si="0"/>
        <v>0.18613790639514113</v>
      </c>
      <c r="I12" s="68" t="s">
        <v>313</v>
      </c>
      <c r="J12" s="325" t="s">
        <v>262</v>
      </c>
      <c r="K12" s="398"/>
      <c r="L12" s="170">
        <f>IFERROR(VLOOKUP(MID(J12,4,3)&amp;"p",MMWR_TRAD_AGG_NATIONAL[],2,0),"--")</f>
        <v>1328</v>
      </c>
      <c r="M12" s="171">
        <f>IFERROR(VLOOKUP(MID(J12,4,3)&amp;"p",MMWR_TRAD_AGG_NATIONAL[],3,0),"--")</f>
        <v>282</v>
      </c>
      <c r="N12" s="172">
        <f t="shared" ref="N12:N17" si="1">IF(L12="--", 0,M12/L12)</f>
        <v>0.21234939759036145</v>
      </c>
      <c r="O12" s="69"/>
      <c r="P12" s="401" t="s">
        <v>952</v>
      </c>
      <c r="Q12" s="402"/>
      <c r="R12" s="183">
        <f>VLOOKUP(P12,MMWR_APP_NATIONAL[],2,0)</f>
        <v>478</v>
      </c>
      <c r="S12" s="399" t="s">
        <v>969</v>
      </c>
      <c r="T12" s="400"/>
      <c r="U12" s="184">
        <f>VLOOKUP(P12,MMWR_APP_NATIONAL[],3,0)</f>
        <v>464.87447698739999</v>
      </c>
      <c r="V12" s="25"/>
    </row>
    <row r="13" spans="1:22" s="1" customFormat="1" ht="49.5" customHeight="1" thickBot="1" x14ac:dyDescent="0.25">
      <c r="A13" s="25"/>
      <c r="B13" s="404" t="s">
        <v>1062</v>
      </c>
      <c r="C13" s="405"/>
      <c r="D13" s="405"/>
      <c r="E13" s="406"/>
      <c r="F13" s="170">
        <f>IFERROR(VLOOKUP(MID(B13,4,3),MMWR_TRAD_AGG_NATIONAL[],2,0),"--")</f>
        <v>1034</v>
      </c>
      <c r="G13" s="171">
        <f>IFERROR(VLOOKUP(MID(B13,4,3),MMWR_TRAD_AGG_NATIONAL[],3,0),"--")</f>
        <v>644</v>
      </c>
      <c r="H13" s="172">
        <f t="shared" si="0"/>
        <v>0.62282398452611221</v>
      </c>
      <c r="I13" s="25"/>
      <c r="J13" s="325" t="s">
        <v>271</v>
      </c>
      <c r="K13" s="398"/>
      <c r="L13" s="170">
        <f>IFERROR(VLOOKUP(MID(J13,4,3),MMWR_TRAD_AGG_NATIONAL[],2,0),"--")</f>
        <v>4220</v>
      </c>
      <c r="M13" s="171">
        <f>IFERROR(VLOOKUP(MID(J13,4,3),MMWR_TRAD_AGG_NATIONAL[],3,0),"--")</f>
        <v>857</v>
      </c>
      <c r="N13" s="172">
        <f t="shared" si="1"/>
        <v>0.20308056872037913</v>
      </c>
      <c r="O13" s="69"/>
      <c r="P13" s="410" t="s">
        <v>981</v>
      </c>
      <c r="Q13" s="411"/>
      <c r="R13" s="412"/>
      <c r="S13" s="413">
        <f>VLOOKUP(P13,MMWR_APP_NATIONAL[],2,0)</f>
        <v>22595</v>
      </c>
      <c r="T13" s="414"/>
      <c r="U13" s="415"/>
      <c r="V13" s="25"/>
    </row>
    <row r="14" spans="1:22" s="1" customFormat="1" ht="45" customHeight="1" thickBot="1" x14ac:dyDescent="0.25">
      <c r="A14" s="25"/>
      <c r="B14" s="410" t="s">
        <v>1</v>
      </c>
      <c r="C14" s="411"/>
      <c r="D14" s="411"/>
      <c r="E14" s="411"/>
      <c r="F14" s="167">
        <f>SUM(F15:F21)</f>
        <v>197922</v>
      </c>
      <c r="G14" s="168">
        <f>SUM(G15:G21)</f>
        <v>41448</v>
      </c>
      <c r="H14" s="169">
        <f t="shared" si="0"/>
        <v>0.2094158304786734</v>
      </c>
      <c r="I14" s="25"/>
      <c r="J14" s="325" t="s">
        <v>273</v>
      </c>
      <c r="K14" s="398"/>
      <c r="L14" s="170">
        <f>IFERROR(VLOOKUP(MID(J14,4,3),MMWR_TRAD_AGG_NATIONAL[],2,0),"--")</f>
        <v>13232</v>
      </c>
      <c r="M14" s="171">
        <f>IFERROR(VLOOKUP(MID(J14,4,3),MMWR_TRAD_AGG_NATIONAL[],3,0),"--")</f>
        <v>2913</v>
      </c>
      <c r="N14" s="172">
        <f t="shared" si="1"/>
        <v>0.22014812575574366</v>
      </c>
      <c r="O14" s="69"/>
      <c r="P14" s="21"/>
      <c r="Q14" s="21"/>
      <c r="R14" s="21"/>
      <c r="S14" s="28"/>
      <c r="T14" s="28"/>
      <c r="U14" s="70"/>
      <c r="V14" s="25"/>
    </row>
    <row r="15" spans="1:22" s="1" customFormat="1" ht="44.25" customHeight="1" thickBot="1" x14ac:dyDescent="0.25">
      <c r="A15" s="25"/>
      <c r="B15" s="323" t="s">
        <v>253</v>
      </c>
      <c r="C15" s="324"/>
      <c r="D15" s="324"/>
      <c r="E15" s="403"/>
      <c r="F15" s="170">
        <f>IFERROR(VLOOKUP(MID(B15,4,3),MMWR_TRAD_AGG_NATIONAL[],2,0),"--")</f>
        <v>196313</v>
      </c>
      <c r="G15" s="171">
        <f>IFERROR(VLOOKUP(MID(B15,4,3),MMWR_TRAD_AGG_NATIONAL[],3,0),"--")</f>
        <v>40549</v>
      </c>
      <c r="H15" s="172">
        <f t="shared" si="0"/>
        <v>0.20655280088430211</v>
      </c>
      <c r="I15" s="68" t="s">
        <v>313</v>
      </c>
      <c r="J15" s="325" t="s">
        <v>274</v>
      </c>
      <c r="K15" s="398"/>
      <c r="L15" s="170">
        <f>IFERROR(VLOOKUP(MID(J15,4,3),MMWR_TRAD_AGG_NATIONAL[],2,0),"--")</f>
        <v>1</v>
      </c>
      <c r="M15" s="171">
        <f>IFERROR(VLOOKUP(MID(J15,4,3),MMWR_TRAD_AGG_NATIONAL[],3,0),"--")</f>
        <v>1</v>
      </c>
      <c r="N15" s="172">
        <f t="shared" si="1"/>
        <v>1</v>
      </c>
      <c r="O15" s="69"/>
      <c r="P15" s="25"/>
      <c r="Q15" s="25"/>
      <c r="R15" s="25"/>
      <c r="S15" s="25"/>
      <c r="T15" s="28"/>
      <c r="U15" s="71"/>
      <c r="V15" s="25"/>
    </row>
    <row r="16" spans="1:22" s="1" customFormat="1" ht="57.75" customHeight="1" thickBot="1" x14ac:dyDescent="0.25">
      <c r="A16" s="25"/>
      <c r="B16" s="325" t="s">
        <v>254</v>
      </c>
      <c r="C16" s="326"/>
      <c r="D16" s="326"/>
      <c r="E16" s="398"/>
      <c r="F16" s="170">
        <f>IFERROR(VLOOKUP(MID(B16,4,3),MMWR_TRAD_AGG_NATIONAL[],2,0),"--")</f>
        <v>1373</v>
      </c>
      <c r="G16" s="171">
        <f>IFERROR(VLOOKUP(MID(B16,4,3),MMWR_TRAD_AGG_NATIONAL[],3,0),"--")</f>
        <v>726</v>
      </c>
      <c r="H16" s="172">
        <f t="shared" si="0"/>
        <v>0.52876911871813548</v>
      </c>
      <c r="I16" s="68" t="s">
        <v>313</v>
      </c>
      <c r="J16" s="325" t="s">
        <v>275</v>
      </c>
      <c r="K16" s="398"/>
      <c r="L16" s="170">
        <f>IFERROR(VLOOKUP(MID(J16,4,3),MMWR_TRAD_AGG_NATIONAL[],2,0),"--")</f>
        <v>3445</v>
      </c>
      <c r="M16" s="171">
        <f>IFERROR(VLOOKUP(MID(J16,4,3),MMWR_TRAD_AGG_NATIONAL[],3,0),"--")</f>
        <v>1007</v>
      </c>
      <c r="N16" s="172">
        <f t="shared" si="1"/>
        <v>0.29230769230769232</v>
      </c>
      <c r="O16" s="69"/>
      <c r="P16" s="407" t="s">
        <v>953</v>
      </c>
      <c r="Q16" s="408"/>
      <c r="R16" s="408"/>
      <c r="S16" s="409"/>
      <c r="T16" s="28"/>
      <c r="U16" s="71"/>
      <c r="V16" s="25"/>
    </row>
    <row r="17" spans="1:22" s="1" customFormat="1" ht="31.5" customHeight="1" thickBot="1" x14ac:dyDescent="0.25">
      <c r="A17" s="25"/>
      <c r="B17" s="325" t="s">
        <v>255</v>
      </c>
      <c r="C17" s="326"/>
      <c r="D17" s="326"/>
      <c r="E17" s="398"/>
      <c r="F17" s="170">
        <f>IFERROR(VLOOKUP(MID(B17,4,3),MMWR_TRAD_AGG_NATIONAL[],2,0),"--")</f>
        <v>198</v>
      </c>
      <c r="G17" s="171">
        <f>IFERROR(VLOOKUP(MID(B17,4,3),MMWR_TRAD_AGG_NATIONAL[],3,0),"--")</f>
        <v>169</v>
      </c>
      <c r="H17" s="172">
        <f t="shared" si="0"/>
        <v>0.85353535353535348</v>
      </c>
      <c r="I17" s="25"/>
      <c r="J17" s="325" t="s">
        <v>276</v>
      </c>
      <c r="K17" s="398"/>
      <c r="L17" s="170">
        <f>IFERROR(VLOOKUP(MID(J17,4,3),MMWR_TRAD_AGG_NATIONAL[],2,0),"--")</f>
        <v>6583</v>
      </c>
      <c r="M17" s="171">
        <f>IFERROR(VLOOKUP(MID(J17,4,3),MMWR_TRAD_AGG_NATIONAL[],3,0),"--")</f>
        <v>1964</v>
      </c>
      <c r="N17" s="172">
        <f t="shared" si="1"/>
        <v>0.29834421996050431</v>
      </c>
      <c r="O17" s="72"/>
      <c r="P17" s="416" t="s">
        <v>248</v>
      </c>
      <c r="Q17" s="417"/>
      <c r="R17" s="417"/>
      <c r="S17" s="185">
        <f>IFERROR(VLOOKUP("160",MMWR_TRAD_AGG_NATIONAL[],2,0),"--")</f>
        <v>28693</v>
      </c>
      <c r="T17" s="28"/>
      <c r="U17" s="71"/>
      <c r="V17" s="25"/>
    </row>
    <row r="18" spans="1:22" s="1" customFormat="1" ht="32.25" customHeight="1" thickBot="1" x14ac:dyDescent="0.25">
      <c r="A18" s="25"/>
      <c r="B18" s="325" t="s">
        <v>256</v>
      </c>
      <c r="C18" s="326"/>
      <c r="D18" s="326"/>
      <c r="E18" s="398"/>
      <c r="F18" s="170">
        <f>IFERROR(VLOOKUP(MID(B18,4,3),MMWR_TRAD_AGG_NATIONAL[],2,0),"--")</f>
        <v>31</v>
      </c>
      <c r="G18" s="171">
        <f>IFERROR(VLOOKUP(MID(B18,4,3),MMWR_TRAD_AGG_NATIONAL[],3,0),"--")</f>
        <v>3</v>
      </c>
      <c r="H18" s="172">
        <f t="shared" si="0"/>
        <v>9.6774193548387094E-2</v>
      </c>
      <c r="I18" s="68" t="s">
        <v>313</v>
      </c>
      <c r="J18" s="410" t="s">
        <v>15</v>
      </c>
      <c r="K18" s="411"/>
      <c r="L18" s="167">
        <f>SUM(L19:L21)</f>
        <v>456</v>
      </c>
      <c r="M18" s="167">
        <f>SUM(M19:M21)</f>
        <v>433</v>
      </c>
      <c r="N18" s="160">
        <f t="shared" ref="N18:N26" si="2">IF(M18="--", 0, M18/L18)</f>
        <v>0.94956140350877194</v>
      </c>
      <c r="O18" s="73"/>
      <c r="P18" s="418" t="s">
        <v>249</v>
      </c>
      <c r="Q18" s="419"/>
      <c r="R18" s="419"/>
      <c r="S18" s="186">
        <f>IFERROR(VLOOKUP("165",MMWR_TRAD_AGG_NATIONAL[],2,0),"--")</f>
        <v>10040</v>
      </c>
      <c r="T18" s="28"/>
      <c r="U18" s="71"/>
      <c r="V18" s="25"/>
    </row>
    <row r="19" spans="1:22" s="1" customFormat="1" ht="41.25" customHeight="1" x14ac:dyDescent="0.4">
      <c r="A19" s="25"/>
      <c r="B19" s="325" t="s">
        <v>257</v>
      </c>
      <c r="C19" s="326"/>
      <c r="D19" s="326"/>
      <c r="E19" s="398"/>
      <c r="F19" s="170">
        <f>IFERROR(VLOOKUP(MID(B19,4,3),MMWR_TRAD_AGG_NATIONAL[],2,0),"--")</f>
        <v>3</v>
      </c>
      <c r="G19" s="171">
        <f>IFERROR(VLOOKUP(MID(B19,4,3),MMWR_TRAD_AGG_NATIONAL[],3,0),"--")</f>
        <v>1</v>
      </c>
      <c r="H19" s="172">
        <f t="shared" si="0"/>
        <v>0.33333333333333331</v>
      </c>
      <c r="I19" s="68" t="s">
        <v>313</v>
      </c>
      <c r="J19" s="325" t="s">
        <v>277</v>
      </c>
      <c r="K19" s="398"/>
      <c r="L19" s="170">
        <f>IFERROR(VLOOKUP(MID(J19,4,3),MMWR_TRAD_AGG_NATIONAL[],2,0),"--")</f>
        <v>372</v>
      </c>
      <c r="M19" s="171">
        <f>IFERROR(VLOOKUP(MID(J19,4,3),MMWR_TRAD_AGG_NATIONAL[],3,0),"--")</f>
        <v>369</v>
      </c>
      <c r="N19" s="172">
        <f t="shared" si="2"/>
        <v>0.99193548387096775</v>
      </c>
      <c r="O19" s="56"/>
      <c r="P19" s="25"/>
      <c r="Q19" s="25"/>
      <c r="R19" s="25"/>
      <c r="S19" s="25"/>
      <c r="T19" s="28"/>
      <c r="U19" s="71"/>
      <c r="V19" s="25"/>
    </row>
    <row r="20" spans="1:22" s="1" customFormat="1" ht="40.5" customHeight="1" x14ac:dyDescent="0.4">
      <c r="A20" s="25"/>
      <c r="B20" s="325" t="s">
        <v>258</v>
      </c>
      <c r="C20" s="326"/>
      <c r="D20" s="326"/>
      <c r="E20" s="398"/>
      <c r="F20" s="170">
        <f>IFERROR(VLOOKUP(MID(B20,4,3),MMWR_TRAD_AGG_NATIONAL[],2,0),"--")</f>
        <v>3</v>
      </c>
      <c r="G20" s="171">
        <f>IFERROR(VLOOKUP(MID(B20,4,3),MMWR_TRAD_AGG_NATIONAL[],3,0),"--")</f>
        <v>0</v>
      </c>
      <c r="H20" s="172">
        <f t="shared" si="0"/>
        <v>0</v>
      </c>
      <c r="I20" s="68" t="s">
        <v>313</v>
      </c>
      <c r="J20" s="325" t="s">
        <v>300</v>
      </c>
      <c r="K20" s="398"/>
      <c r="L20" s="170">
        <f>IFERROR(VLOOKUP(MID(J20,4,3),MMWR_TRAD_AGG_NATIONAL[],2,0),"--")</f>
        <v>63</v>
      </c>
      <c r="M20" s="171">
        <f>IFERROR(VLOOKUP(MID(J20,4,3),MMWR_TRAD_AGG_NATIONAL[],3,0),"--")</f>
        <v>49</v>
      </c>
      <c r="N20" s="172">
        <f t="shared" si="2"/>
        <v>0.77777777777777779</v>
      </c>
      <c r="O20" s="56"/>
      <c r="P20" s="56"/>
      <c r="Q20" s="56"/>
      <c r="R20" s="56"/>
      <c r="S20" s="56"/>
      <c r="T20" s="56"/>
      <c r="U20" s="74"/>
      <c r="V20" s="25"/>
    </row>
    <row r="21" spans="1:22" s="1" customFormat="1" ht="39" customHeight="1" thickBot="1" x14ac:dyDescent="0.45">
      <c r="A21" s="25"/>
      <c r="B21" s="325" t="s">
        <v>259</v>
      </c>
      <c r="C21" s="326"/>
      <c r="D21" s="326"/>
      <c r="E21" s="398"/>
      <c r="F21" s="170">
        <f>IFERROR(VLOOKUP(MID(B21,4,3),MMWR_TRAD_AGG_NATIONAL[],2,0),"--")</f>
        <v>1</v>
      </c>
      <c r="G21" s="171">
        <f>IFERROR(VLOOKUP(MID(B21,4,3),MMWR_TRAD_AGG_NATIONAL[],3,0),"--")</f>
        <v>0</v>
      </c>
      <c r="H21" s="172">
        <f t="shared" si="0"/>
        <v>0</v>
      </c>
      <c r="I21" s="68" t="s">
        <v>313</v>
      </c>
      <c r="J21" s="325" t="s">
        <v>278</v>
      </c>
      <c r="K21" s="398"/>
      <c r="L21" s="170">
        <f>IFERROR(VLOOKUP(MID(J21,4,3),MMWR_TRAD_AGG_NATIONAL[],2,0),"--")</f>
        <v>21</v>
      </c>
      <c r="M21" s="171">
        <f>IFERROR(VLOOKUP(MID(J21,4,3),MMWR_TRAD_AGG_NATIONAL[],3,0),"--")</f>
        <v>15</v>
      </c>
      <c r="N21" s="172">
        <f t="shared" si="2"/>
        <v>0.7142857142857143</v>
      </c>
      <c r="O21" s="56"/>
      <c r="P21" s="56"/>
      <c r="Q21" s="56"/>
      <c r="R21" s="56"/>
      <c r="S21" s="56"/>
      <c r="T21" s="56"/>
      <c r="U21" s="74"/>
      <c r="V21" s="25"/>
    </row>
    <row r="22" spans="1:22" s="1" customFormat="1" ht="32.25" customHeight="1" thickBot="1" x14ac:dyDescent="0.45">
      <c r="A22" s="25"/>
      <c r="B22" s="410" t="s">
        <v>13</v>
      </c>
      <c r="C22" s="411"/>
      <c r="D22" s="411"/>
      <c r="E22" s="411"/>
      <c r="F22" s="167">
        <f>SUM(F23:F29)</f>
        <v>458815</v>
      </c>
      <c r="G22" s="168">
        <f>SUM(G23:G29)</f>
        <v>305311</v>
      </c>
      <c r="H22" s="169">
        <f t="shared" si="0"/>
        <v>0.66543378049976565</v>
      </c>
      <c r="I22" s="25"/>
      <c r="J22" s="410" t="s">
        <v>227</v>
      </c>
      <c r="K22" s="411"/>
      <c r="L22" s="167">
        <f>SUM(L23:L26)</f>
        <v>1593</v>
      </c>
      <c r="M22" s="167">
        <f>SUM(M23:M26)</f>
        <v>561</v>
      </c>
      <c r="N22" s="160">
        <f t="shared" si="2"/>
        <v>0.35216572504708099</v>
      </c>
      <c r="O22" s="56"/>
      <c r="P22" s="25"/>
      <c r="Q22" s="25"/>
      <c r="R22" s="25"/>
      <c r="S22" s="25"/>
      <c r="T22" s="56"/>
      <c r="U22" s="74"/>
      <c r="V22" s="25"/>
    </row>
    <row r="23" spans="1:22" s="1" customFormat="1" ht="26.25" customHeight="1" x14ac:dyDescent="0.4">
      <c r="A23" s="25"/>
      <c r="B23" s="404" t="s">
        <v>260</v>
      </c>
      <c r="C23" s="405"/>
      <c r="D23" s="405"/>
      <c r="E23" s="406"/>
      <c r="F23" s="170">
        <f>IFERROR(VLOOKUP(MID(B23,4,3),MMWR_TRAD_AGG_NATIONAL[],2,0),"--")</f>
        <v>214522</v>
      </c>
      <c r="G23" s="171">
        <f>IFERROR(VLOOKUP(MID(B23,4,3),MMWR_TRAD_AGG_NATIONAL[],3,0),"--")</f>
        <v>152839</v>
      </c>
      <c r="H23" s="172">
        <f t="shared" si="0"/>
        <v>0.71246305740203797</v>
      </c>
      <c r="I23" s="25"/>
      <c r="J23" s="421" t="s">
        <v>281</v>
      </c>
      <c r="K23" s="422"/>
      <c r="L23" s="173">
        <f>IFERROR(VLOOKUP(MID(J23,4,3),MMWR_TRAD_AGG_NATIONAL[],2,0),"--")</f>
        <v>207</v>
      </c>
      <c r="M23" s="174">
        <f>IFERROR(VLOOKUP(MID(J23,4,3),MMWR_TRAD_AGG_NATIONAL[],3,0),"--")</f>
        <v>92</v>
      </c>
      <c r="N23" s="175">
        <f t="shared" si="2"/>
        <v>0.44444444444444442</v>
      </c>
      <c r="O23" s="56"/>
      <c r="P23" s="25"/>
      <c r="Q23" s="25"/>
      <c r="R23" s="25"/>
      <c r="S23" s="25"/>
      <c r="T23" s="56"/>
      <c r="U23" s="74"/>
      <c r="V23" s="25"/>
    </row>
    <row r="24" spans="1:22" s="1" customFormat="1" ht="39.75" customHeight="1" x14ac:dyDescent="0.4">
      <c r="A24" s="25"/>
      <c r="B24" s="404" t="s">
        <v>261</v>
      </c>
      <c r="C24" s="405"/>
      <c r="D24" s="405"/>
      <c r="E24" s="406"/>
      <c r="F24" s="170">
        <f>IFERROR(VLOOKUP(MID(B24,4,3),MMWR_TRAD_AGG_NATIONAL[],2,0),"--")</f>
        <v>215</v>
      </c>
      <c r="G24" s="171">
        <f>IFERROR(VLOOKUP(MID(B24,4,3),MMWR_TRAD_AGG_NATIONAL[],3,0),"--")</f>
        <v>147</v>
      </c>
      <c r="H24" s="172">
        <f t="shared" si="0"/>
        <v>0.68372093023255809</v>
      </c>
      <c r="I24" s="25"/>
      <c r="J24" s="325" t="s">
        <v>280</v>
      </c>
      <c r="K24" s="398"/>
      <c r="L24" s="170">
        <f>IFERROR(VLOOKUP(MID(J24,4,3),MMWR_TRAD_AGG_NATIONAL[],2,0),"--")</f>
        <v>610</v>
      </c>
      <c r="M24" s="171">
        <f>IFERROR(VLOOKUP(MID(J24,4,3),MMWR_TRAD_AGG_NATIONAL[],3,0),"--")</f>
        <v>21</v>
      </c>
      <c r="N24" s="172">
        <f t="shared" si="2"/>
        <v>3.4426229508196723E-2</v>
      </c>
      <c r="O24" s="56"/>
      <c r="P24" s="25"/>
      <c r="Q24" s="25"/>
      <c r="R24" s="25"/>
      <c r="S24" s="25"/>
      <c r="T24" s="56"/>
      <c r="U24" s="74"/>
      <c r="V24" s="25"/>
    </row>
    <row r="25" spans="1:22" s="1" customFormat="1" ht="37.5" customHeight="1" x14ac:dyDescent="0.4">
      <c r="A25" s="25"/>
      <c r="B25" s="404" t="s">
        <v>262</v>
      </c>
      <c r="C25" s="405"/>
      <c r="D25" s="405"/>
      <c r="E25" s="406"/>
      <c r="F25" s="170">
        <f>IFERROR(VLOOKUP(MID(B25,4,3),MMWR_TRAD_AGG_NATIONAL[],2,0),"--")</f>
        <v>297</v>
      </c>
      <c r="G25" s="171">
        <f>IFERROR(VLOOKUP(MID(B25,4,3),MMWR_TRAD_AGG_NATIONAL[],3,0),"--")</f>
        <v>212</v>
      </c>
      <c r="H25" s="172">
        <f t="shared" si="0"/>
        <v>0.71380471380471378</v>
      </c>
      <c r="I25" s="25"/>
      <c r="J25" s="325" t="s">
        <v>279</v>
      </c>
      <c r="K25" s="398"/>
      <c r="L25" s="170">
        <f>IFERROR(VLOOKUP(MID(J25,4,3),MMWR_TRAD_AGG_NATIONAL[],2,0),"--")</f>
        <v>735</v>
      </c>
      <c r="M25" s="171">
        <f>IFERROR(VLOOKUP(MID(J25,4,3),MMWR_TRAD_AGG_NATIONAL[],3,0),"--")</f>
        <v>416</v>
      </c>
      <c r="N25" s="172">
        <f t="shared" si="2"/>
        <v>0.56598639455782318</v>
      </c>
      <c r="O25" s="56"/>
      <c r="P25" s="56"/>
      <c r="Q25" s="56"/>
      <c r="R25" s="56"/>
      <c r="S25" s="56"/>
      <c r="T25" s="56"/>
      <c r="U25" s="74"/>
      <c r="V25" s="25"/>
    </row>
    <row r="26" spans="1:22" s="1" customFormat="1" ht="37.5" customHeight="1" thickBot="1" x14ac:dyDescent="0.45">
      <c r="A26" s="25"/>
      <c r="B26" s="404" t="s">
        <v>263</v>
      </c>
      <c r="C26" s="405"/>
      <c r="D26" s="405"/>
      <c r="E26" s="406"/>
      <c r="F26" s="170">
        <f>IFERROR(VLOOKUP(MID(B26,4,3),MMWR_TRAD_AGG_NATIONAL[],2,0),"--")</f>
        <v>102372</v>
      </c>
      <c r="G26" s="171">
        <f>IFERROR(VLOOKUP(MID(B26,4,3),MMWR_TRAD_AGG_NATIONAL[],3,0),"--")</f>
        <v>81663</v>
      </c>
      <c r="H26" s="172">
        <f t="shared" si="0"/>
        <v>0.79770835775407334</v>
      </c>
      <c r="I26" s="56"/>
      <c r="J26" s="327" t="s">
        <v>316</v>
      </c>
      <c r="K26" s="400"/>
      <c r="L26" s="176">
        <f>IFERROR(VLOOKUP(MID(J26,4,3),MMWR_TRAD_AGG_NATIONAL[],2,0),"--")</f>
        <v>41</v>
      </c>
      <c r="M26" s="177">
        <f>IFERROR(VLOOKUP(MID(J26,4,3),MMWR_TRAD_AGG_NATIONAL[],3,0),"--")</f>
        <v>32</v>
      </c>
      <c r="N26" s="178">
        <f t="shared" si="2"/>
        <v>0.78048780487804881</v>
      </c>
      <c r="O26" s="56"/>
      <c r="P26" s="56"/>
      <c r="Q26" s="56"/>
      <c r="R26" s="56"/>
      <c r="S26" s="56"/>
      <c r="T26" s="56"/>
      <c r="U26" s="74"/>
      <c r="V26" s="25"/>
    </row>
    <row r="27" spans="1:22" s="1" customFormat="1" ht="26.25" customHeight="1" thickBot="1" x14ac:dyDescent="0.45">
      <c r="A27" s="25"/>
      <c r="B27" s="404" t="s">
        <v>264</v>
      </c>
      <c r="C27" s="405"/>
      <c r="D27" s="405"/>
      <c r="E27" s="406"/>
      <c r="F27" s="170">
        <f>IFERROR(VLOOKUP(MID(B27,4,3),MMWR_TRAD_AGG_NATIONAL[],2,0),"--")</f>
        <v>362</v>
      </c>
      <c r="G27" s="171">
        <f>IFERROR(VLOOKUP(MID(B27,4,3),MMWR_TRAD_AGG_NATIONAL[],3,0),"--")</f>
        <v>90</v>
      </c>
      <c r="H27" s="172">
        <f t="shared" si="0"/>
        <v>0.24861878453038674</v>
      </c>
      <c r="I27" s="56"/>
      <c r="J27" s="56"/>
      <c r="K27" s="56"/>
      <c r="L27" s="56"/>
      <c r="M27" s="56"/>
      <c r="N27" s="56"/>
      <c r="O27" s="56"/>
      <c r="P27" s="56"/>
      <c r="Q27" s="56"/>
      <c r="R27" s="56"/>
      <c r="S27" s="56"/>
      <c r="T27" s="56"/>
      <c r="U27" s="74"/>
      <c r="V27" s="25"/>
    </row>
    <row r="28" spans="1:22" s="1" customFormat="1" ht="32.25" customHeight="1" x14ac:dyDescent="0.4">
      <c r="A28" s="25"/>
      <c r="B28" s="404" t="s">
        <v>265</v>
      </c>
      <c r="C28" s="405"/>
      <c r="D28" s="405"/>
      <c r="E28" s="406"/>
      <c r="F28" s="170">
        <f>IFERROR(VLOOKUP(MID(B28,4,3),MMWR_TRAD_AGG_NATIONAL[],2,0),"--")</f>
        <v>15871</v>
      </c>
      <c r="G28" s="171">
        <f>IFERROR(VLOOKUP(MID(B28,4,3),MMWR_TRAD_AGG_NATIONAL[],3,0),"--")</f>
        <v>1968</v>
      </c>
      <c r="H28" s="172">
        <f t="shared" si="0"/>
        <v>0.12399974796799193</v>
      </c>
      <c r="I28" s="68" t="s">
        <v>313</v>
      </c>
      <c r="J28" s="448" t="s">
        <v>315</v>
      </c>
      <c r="K28" s="449"/>
      <c r="L28" s="449"/>
      <c r="M28" s="449"/>
      <c r="N28" s="450"/>
      <c r="O28" s="420" t="s">
        <v>313</v>
      </c>
      <c r="P28" s="75"/>
      <c r="Q28" s="56"/>
      <c r="R28" s="56"/>
      <c r="S28" s="56"/>
      <c r="T28" s="56"/>
      <c r="U28" s="74"/>
      <c r="V28" s="25"/>
    </row>
    <row r="29" spans="1:22" s="1" customFormat="1" ht="27" customHeight="1" thickBot="1" x14ac:dyDescent="0.45">
      <c r="A29" s="25"/>
      <c r="B29" s="404" t="s">
        <v>266</v>
      </c>
      <c r="C29" s="405"/>
      <c r="D29" s="405"/>
      <c r="E29" s="406"/>
      <c r="F29" s="170">
        <f>IFERROR(VLOOKUP(MID(B29,4,3),MMWR_TRAD_AGG_NATIONAL[],2,0),"--")</f>
        <v>125176</v>
      </c>
      <c r="G29" s="171">
        <f>IFERROR(VLOOKUP(MID(B29,4,3),MMWR_TRAD_AGG_NATIONAL[],3,0),"--")</f>
        <v>68392</v>
      </c>
      <c r="H29" s="172">
        <f t="shared" si="0"/>
        <v>0.54636671566434458</v>
      </c>
      <c r="I29" s="56"/>
      <c r="J29" s="451"/>
      <c r="K29" s="452"/>
      <c r="L29" s="452"/>
      <c r="M29" s="452"/>
      <c r="N29" s="453"/>
      <c r="O29" s="420"/>
      <c r="P29" s="76"/>
      <c r="Q29" s="56"/>
      <c r="R29" s="56"/>
      <c r="S29" s="56"/>
      <c r="T29" s="56"/>
      <c r="U29" s="74"/>
      <c r="V29" s="25"/>
    </row>
    <row r="30" spans="1:22" s="1" customFormat="1" ht="32.25" customHeight="1" thickBot="1" x14ac:dyDescent="0.45">
      <c r="A30" s="25"/>
      <c r="B30" s="410" t="s">
        <v>32</v>
      </c>
      <c r="C30" s="411"/>
      <c r="D30" s="411"/>
      <c r="E30" s="411"/>
      <c r="F30" s="168">
        <f>SUM(F31:F37)</f>
        <v>119698</v>
      </c>
      <c r="G30" s="168">
        <f>SUM(G31:G37)</f>
        <v>79947</v>
      </c>
      <c r="H30" s="160">
        <f t="shared" si="0"/>
        <v>0.66790589650620724</v>
      </c>
      <c r="I30" s="56"/>
      <c r="J30" s="28"/>
      <c r="K30" s="28"/>
      <c r="L30" s="28"/>
      <c r="M30" s="28"/>
      <c r="N30" s="28"/>
      <c r="O30" s="28"/>
      <c r="P30" s="56"/>
      <c r="Q30" s="56"/>
      <c r="R30" s="56"/>
      <c r="S30" s="56"/>
      <c r="T30" s="56"/>
      <c r="U30" s="74"/>
      <c r="V30" s="25"/>
    </row>
    <row r="31" spans="1:22" s="1" customFormat="1" ht="33.75" customHeight="1" x14ac:dyDescent="0.4">
      <c r="A31" s="25"/>
      <c r="B31" s="325" t="s">
        <v>283</v>
      </c>
      <c r="C31" s="326"/>
      <c r="D31" s="326"/>
      <c r="E31" s="398"/>
      <c r="F31" s="170">
        <f>IFERROR(VLOOKUP(MID(B31,4,3),MMWR_TRAD_AGG_NATIONAL[],2,0),"--")</f>
        <v>47</v>
      </c>
      <c r="G31" s="171">
        <f>IFERROR(VLOOKUP(MID(B31,4,3),MMWR_TRAD_AGG_NATIONAL[],3,0),"--")</f>
        <v>38</v>
      </c>
      <c r="H31" s="172">
        <f t="shared" si="0"/>
        <v>0.80851063829787229</v>
      </c>
      <c r="I31" s="56"/>
      <c r="J31" s="56"/>
      <c r="K31" s="56"/>
      <c r="L31" s="56"/>
      <c r="M31" s="56"/>
      <c r="N31" s="56"/>
      <c r="O31" s="56"/>
      <c r="P31" s="56"/>
      <c r="Q31" s="56"/>
      <c r="R31" s="56"/>
      <c r="S31" s="56"/>
      <c r="T31" s="56"/>
      <c r="U31" s="74"/>
      <c r="V31" s="25"/>
    </row>
    <row r="32" spans="1:22" s="1" customFormat="1" ht="32.25" customHeight="1" x14ac:dyDescent="0.4">
      <c r="A32" s="25"/>
      <c r="B32" s="325" t="s">
        <v>284</v>
      </c>
      <c r="C32" s="326"/>
      <c r="D32" s="326"/>
      <c r="E32" s="398"/>
      <c r="F32" s="170">
        <f>IFERROR(VLOOKUP(MID(B32,4,3),MMWR_TRAD_AGG_NATIONAL[],2,0),"--")</f>
        <v>39381</v>
      </c>
      <c r="G32" s="171">
        <f>IFERROR(VLOOKUP(MID(B32,4,3),MMWR_TRAD_AGG_NATIONAL[],3,0),"--")</f>
        <v>11019</v>
      </c>
      <c r="H32" s="172">
        <f t="shared" si="0"/>
        <v>0.279804982097966</v>
      </c>
      <c r="I32" s="56"/>
      <c r="J32" s="56"/>
      <c r="K32" s="56"/>
      <c r="L32" s="56"/>
      <c r="M32" s="56"/>
      <c r="N32" s="56"/>
      <c r="O32" s="56"/>
      <c r="P32" s="56"/>
      <c r="Q32" s="56"/>
      <c r="R32" s="56"/>
      <c r="S32" s="56"/>
      <c r="T32" s="56"/>
      <c r="U32" s="74"/>
      <c r="V32" s="25"/>
    </row>
    <row r="33" spans="1:22" s="1" customFormat="1" ht="32.25" customHeight="1" x14ac:dyDescent="0.4">
      <c r="A33" s="25"/>
      <c r="B33" s="325" t="s">
        <v>285</v>
      </c>
      <c r="C33" s="326"/>
      <c r="D33" s="326"/>
      <c r="E33" s="398"/>
      <c r="F33" s="170" t="str">
        <f>IFERROR(VLOOKUP(MID(B33,4,3),MMWR_TRAD_AGG_NATIONAL[],2,0),"--")</f>
        <v>--</v>
      </c>
      <c r="G33" s="171" t="str">
        <f>IFERROR(VLOOKUP(MID(B33,4,3),MMWR_TRAD_AGG_NATIONAL[],3,0),"--")</f>
        <v>--</v>
      </c>
      <c r="H33" s="172">
        <f t="shared" si="0"/>
        <v>0</v>
      </c>
      <c r="I33" s="56"/>
      <c r="J33" s="56"/>
      <c r="K33" s="56"/>
      <c r="L33" s="28"/>
      <c r="M33" s="28"/>
      <c r="N33" s="28"/>
      <c r="O33" s="28"/>
      <c r="P33" s="28"/>
      <c r="Q33" s="28"/>
      <c r="R33" s="56"/>
      <c r="S33" s="56"/>
      <c r="T33" s="56"/>
      <c r="U33" s="74"/>
      <c r="V33" s="25"/>
    </row>
    <row r="34" spans="1:22" s="1" customFormat="1" ht="32.25" customHeight="1" x14ac:dyDescent="0.4">
      <c r="A34" s="25"/>
      <c r="B34" s="325" t="s">
        <v>286</v>
      </c>
      <c r="C34" s="326"/>
      <c r="D34" s="326"/>
      <c r="E34" s="398"/>
      <c r="F34" s="170" t="str">
        <f>IFERROR(VLOOKUP(MID(B34,4,3),MMWR_TRAD_AGG_NATIONAL[],2,0),"--")</f>
        <v>--</v>
      </c>
      <c r="G34" s="171" t="str">
        <f>IFERROR(VLOOKUP(MID(B34,4,3),MMWR_TRAD_AGG_NATIONAL[],3,0),"--")</f>
        <v>--</v>
      </c>
      <c r="H34" s="172">
        <f t="shared" si="0"/>
        <v>0</v>
      </c>
      <c r="I34" s="56"/>
      <c r="J34" s="56"/>
      <c r="K34" s="56"/>
      <c r="L34" s="28"/>
      <c r="M34" s="28"/>
      <c r="N34" s="28"/>
      <c r="O34" s="28"/>
      <c r="P34" s="28"/>
      <c r="Q34" s="28"/>
      <c r="R34" s="56"/>
      <c r="S34" s="56"/>
      <c r="T34" s="56"/>
      <c r="U34" s="74"/>
      <c r="V34" s="25"/>
    </row>
    <row r="35" spans="1:22" s="1" customFormat="1" ht="32.25" customHeight="1" x14ac:dyDescent="0.4">
      <c r="A35" s="25"/>
      <c r="B35" s="325" t="s">
        <v>287</v>
      </c>
      <c r="C35" s="326"/>
      <c r="D35" s="326"/>
      <c r="E35" s="398"/>
      <c r="F35" s="170" t="str">
        <f>IFERROR(VLOOKUP(MID(B35,4,3),MMWR_TRAD_AGG_NATIONAL[],2,0),"--")</f>
        <v>--</v>
      </c>
      <c r="G35" s="171" t="str">
        <f>IFERROR(VLOOKUP(MID(B35,4,3),MMWR_TRAD_AGG_NATIONAL[],3,0),"--")</f>
        <v>--</v>
      </c>
      <c r="H35" s="172">
        <f t="shared" si="0"/>
        <v>0</v>
      </c>
      <c r="I35" s="56"/>
      <c r="J35" s="56"/>
      <c r="K35" s="56"/>
      <c r="L35" s="56"/>
      <c r="M35" s="56"/>
      <c r="N35" s="56"/>
      <c r="O35" s="56"/>
      <c r="P35" s="56"/>
      <c r="Q35" s="56"/>
      <c r="R35" s="56"/>
      <c r="S35" s="56"/>
      <c r="T35" s="56"/>
      <c r="U35" s="74"/>
      <c r="V35" s="25"/>
    </row>
    <row r="36" spans="1:22" s="1" customFormat="1" ht="32.25" customHeight="1" x14ac:dyDescent="0.4">
      <c r="A36" s="25"/>
      <c r="B36" s="325" t="s">
        <v>288</v>
      </c>
      <c r="C36" s="326"/>
      <c r="D36" s="326"/>
      <c r="E36" s="398"/>
      <c r="F36" s="170">
        <f>IFERROR(VLOOKUP(MID(B36,4,3),MMWR_TRAD_AGG_NATIONAL[],2,0),"--")</f>
        <v>20049</v>
      </c>
      <c r="G36" s="171">
        <f>IFERROR(VLOOKUP(MID(B36,4,3),MMWR_TRAD_AGG_NATIONAL[],3,0),"--")</f>
        <v>14658</v>
      </c>
      <c r="H36" s="172">
        <f t="shared" si="0"/>
        <v>0.73110878348047281</v>
      </c>
      <c r="I36" s="56"/>
      <c r="J36" s="56"/>
      <c r="K36" s="56"/>
      <c r="L36" s="56"/>
      <c r="M36" s="56"/>
      <c r="N36" s="56"/>
      <c r="O36" s="56"/>
      <c r="P36" s="56"/>
      <c r="Q36" s="56"/>
      <c r="R36" s="56"/>
      <c r="S36" s="56"/>
      <c r="T36" s="56"/>
      <c r="U36" s="74"/>
      <c r="V36" s="25"/>
    </row>
    <row r="37" spans="1:22" s="1" customFormat="1" ht="27" customHeight="1" thickBot="1" x14ac:dyDescent="0.45">
      <c r="A37" s="25"/>
      <c r="B37" s="325" t="s">
        <v>289</v>
      </c>
      <c r="C37" s="326"/>
      <c r="D37" s="326"/>
      <c r="E37" s="398"/>
      <c r="F37" s="170">
        <f>IFERROR(VLOOKUP(MID(B37,4,3)&amp;"G",MMWR_TRAD_AGG_NATIONAL[],2,0),"--")</f>
        <v>60221</v>
      </c>
      <c r="G37" s="171">
        <f>IFERROR(VLOOKUP(MID(B37,4,3)&amp;"G",MMWR_TRAD_AGG_NATIONAL[],3,0),"--")</f>
        <v>54232</v>
      </c>
      <c r="H37" s="172">
        <f t="shared" si="0"/>
        <v>0.90054964215140898</v>
      </c>
      <c r="I37" s="56"/>
      <c r="J37" s="56"/>
      <c r="K37" s="56"/>
      <c r="L37" s="56"/>
      <c r="M37" s="56"/>
      <c r="N37" s="56"/>
      <c r="O37" s="56"/>
      <c r="P37" s="56"/>
      <c r="Q37" s="56"/>
      <c r="R37" s="56"/>
      <c r="S37" s="56"/>
      <c r="T37" s="56"/>
      <c r="U37" s="74"/>
      <c r="V37" s="25"/>
    </row>
    <row r="38" spans="1:22" s="1" customFormat="1" ht="32.25" customHeight="1" thickBot="1" x14ac:dyDescent="0.45">
      <c r="A38" s="25"/>
      <c r="B38" s="410" t="s">
        <v>241</v>
      </c>
      <c r="C38" s="411"/>
      <c r="D38" s="411"/>
      <c r="E38" s="411"/>
      <c r="F38" s="167">
        <f>SUM(F39:F44)</f>
        <v>164522</v>
      </c>
      <c r="G38" s="168">
        <f>SUM(G39:G44)</f>
        <v>102504</v>
      </c>
      <c r="H38" s="169">
        <f t="shared" si="0"/>
        <v>0.6230412953890665</v>
      </c>
      <c r="I38" s="56"/>
      <c r="J38" s="56"/>
      <c r="K38" s="75"/>
      <c r="L38" s="75"/>
      <c r="M38" s="75"/>
      <c r="N38" s="75"/>
      <c r="O38" s="75"/>
      <c r="P38" s="56"/>
      <c r="Q38" s="56"/>
      <c r="R38" s="56"/>
      <c r="S38" s="56"/>
      <c r="T38" s="56"/>
      <c r="U38" s="74"/>
      <c r="V38" s="25"/>
    </row>
    <row r="39" spans="1:22" s="1" customFormat="1" ht="26.25" customHeight="1" x14ac:dyDescent="0.4">
      <c r="A39" s="25"/>
      <c r="B39" s="421" t="s">
        <v>290</v>
      </c>
      <c r="C39" s="440"/>
      <c r="D39" s="440"/>
      <c r="E39" s="422"/>
      <c r="F39" s="173">
        <f>IFERROR(VLOOKUP(MID(B39,4,3),MMWR_TRAD_AGG_NATIONAL[],2,0),"--")</f>
        <v>7308</v>
      </c>
      <c r="G39" s="174">
        <f>IFERROR(VLOOKUP(MID(B39,4,3),MMWR_TRAD_AGG_NATIONAL[],3,0),"--")</f>
        <v>5870</v>
      </c>
      <c r="H39" s="175">
        <f t="shared" si="0"/>
        <v>0.80322933771209637</v>
      </c>
      <c r="I39" s="56"/>
      <c r="J39" s="56"/>
      <c r="K39" s="75"/>
      <c r="L39" s="75"/>
      <c r="M39" s="75"/>
      <c r="N39" s="75"/>
      <c r="O39" s="75"/>
      <c r="P39" s="56"/>
      <c r="Q39" s="56"/>
      <c r="R39" s="56"/>
      <c r="S39" s="56"/>
      <c r="T39" s="56"/>
      <c r="U39" s="74"/>
      <c r="V39" s="25"/>
    </row>
    <row r="40" spans="1:22" s="1" customFormat="1" ht="26.25" customHeight="1" x14ac:dyDescent="0.4">
      <c r="A40" s="25"/>
      <c r="B40" s="325" t="s">
        <v>291</v>
      </c>
      <c r="C40" s="326"/>
      <c r="D40" s="326"/>
      <c r="E40" s="398"/>
      <c r="F40" s="170">
        <f>IFERROR(VLOOKUP(MID(B40,4,3),MMWR_TRAD_AGG_NATIONAL[],2,0),"--")</f>
        <v>76225</v>
      </c>
      <c r="G40" s="171">
        <f>IFERROR(VLOOKUP(MID(B40,4,3),MMWR_TRAD_AGG_NATIONAL[],3,0),"--")</f>
        <v>55564</v>
      </c>
      <c r="H40" s="172">
        <f t="shared" si="0"/>
        <v>0.72894719580190226</v>
      </c>
      <c r="I40" s="56"/>
      <c r="J40" s="56"/>
      <c r="K40" s="56"/>
      <c r="L40" s="56"/>
      <c r="M40" s="56"/>
      <c r="N40" s="56"/>
      <c r="O40" s="56"/>
      <c r="P40" s="56"/>
      <c r="Q40" s="56"/>
      <c r="R40" s="56"/>
      <c r="S40" s="56"/>
      <c r="T40" s="56"/>
      <c r="U40" s="74"/>
      <c r="V40" s="25"/>
    </row>
    <row r="41" spans="1:22" s="1" customFormat="1" ht="26.25" customHeight="1" x14ac:dyDescent="0.4">
      <c r="A41" s="25"/>
      <c r="B41" s="325" t="s">
        <v>292</v>
      </c>
      <c r="C41" s="326"/>
      <c r="D41" s="326"/>
      <c r="E41" s="398"/>
      <c r="F41" s="170">
        <f>IFERROR(VLOOKUP(MID(B41,4,3),MMWR_TRAD_AGG_NATIONAL[],2,0),"--")</f>
        <v>1645</v>
      </c>
      <c r="G41" s="171">
        <f>IFERROR(VLOOKUP(MID(B41,4,3),MMWR_TRAD_AGG_NATIONAL[],3,0),"--")</f>
        <v>631</v>
      </c>
      <c r="H41" s="172">
        <f t="shared" si="0"/>
        <v>0.38358662613981764</v>
      </c>
      <c r="I41" s="56"/>
      <c r="J41" s="56"/>
      <c r="K41" s="56"/>
      <c r="L41" s="56"/>
      <c r="M41" s="56"/>
      <c r="N41" s="56"/>
      <c r="O41" s="56"/>
      <c r="P41" s="56"/>
      <c r="Q41" s="56"/>
      <c r="R41" s="56"/>
      <c r="S41" s="56"/>
      <c r="T41" s="56"/>
      <c r="U41" s="74"/>
      <c r="V41" s="25"/>
    </row>
    <row r="42" spans="1:22" s="1" customFormat="1" ht="36" customHeight="1" x14ac:dyDescent="0.4">
      <c r="A42" s="25"/>
      <c r="B42" s="325" t="s">
        <v>293</v>
      </c>
      <c r="C42" s="326"/>
      <c r="D42" s="326"/>
      <c r="E42" s="398"/>
      <c r="F42" s="170">
        <f>IFERROR(VLOOKUP(MID(B42,4,3),MMWR_TRAD_AGG_NATIONAL[],2,0),"--")</f>
        <v>56762</v>
      </c>
      <c r="G42" s="171">
        <f>IFERROR(VLOOKUP(MID(B42,4,3),MMWR_TRAD_AGG_NATIONAL[],3,0),"--")</f>
        <v>28502</v>
      </c>
      <c r="H42" s="172">
        <f t="shared" si="0"/>
        <v>0.502131707832705</v>
      </c>
      <c r="I42" s="56"/>
      <c r="J42" s="56"/>
      <c r="K42" s="56"/>
      <c r="L42" s="56"/>
      <c r="M42" s="56"/>
      <c r="N42" s="56"/>
      <c r="O42" s="56"/>
      <c r="P42" s="56"/>
      <c r="Q42" s="56"/>
      <c r="R42" s="56"/>
      <c r="S42" s="56"/>
      <c r="T42" s="56"/>
      <c r="U42" s="74"/>
      <c r="V42" s="25"/>
    </row>
    <row r="43" spans="1:22" s="1" customFormat="1" ht="33" customHeight="1" x14ac:dyDescent="0.4">
      <c r="A43" s="25"/>
      <c r="B43" s="325" t="s">
        <v>294</v>
      </c>
      <c r="C43" s="326"/>
      <c r="D43" s="326"/>
      <c r="E43" s="398"/>
      <c r="F43" s="170">
        <f>IFERROR(VLOOKUP(MID(B43,4,3),MMWR_TRAD_AGG_NATIONAL[],2,0),"--")</f>
        <v>22064</v>
      </c>
      <c r="G43" s="171">
        <f>IFERROR(VLOOKUP(MID(B43,4,3),MMWR_TRAD_AGG_NATIONAL[],3,0),"--")</f>
        <v>11503</v>
      </c>
      <c r="H43" s="172">
        <f t="shared" si="0"/>
        <v>0.52134699057287892</v>
      </c>
      <c r="I43" s="56"/>
      <c r="J43" s="56"/>
      <c r="K43" s="56"/>
      <c r="L43" s="56"/>
      <c r="M43" s="56"/>
      <c r="N43" s="56"/>
      <c r="O43" s="56"/>
      <c r="P43" s="56"/>
      <c r="Q43" s="56"/>
      <c r="R43" s="56"/>
      <c r="S43" s="56"/>
      <c r="T43" s="56"/>
      <c r="U43" s="74"/>
      <c r="V43" s="25"/>
    </row>
    <row r="44" spans="1:22" s="1" customFormat="1" ht="27" customHeight="1" thickBot="1" x14ac:dyDescent="0.45">
      <c r="A44" s="25"/>
      <c r="B44" s="327" t="s">
        <v>295</v>
      </c>
      <c r="C44" s="328"/>
      <c r="D44" s="328"/>
      <c r="E44" s="400"/>
      <c r="F44" s="176">
        <f>IFERROR(VLOOKUP(MID(B44,4,3),MMWR_TRAD_AGG_NATIONAL[],2,0),"--")</f>
        <v>518</v>
      </c>
      <c r="G44" s="177">
        <f>IFERROR(VLOOKUP(MID(B44,4,3),MMWR_TRAD_AGG_NATIONAL[],3,0),"--")</f>
        <v>434</v>
      </c>
      <c r="H44" s="178">
        <f t="shared" si="0"/>
        <v>0.83783783783783783</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J21:K21"/>
    <mergeCell ref="B24:E24"/>
    <mergeCell ref="B25:E25"/>
    <mergeCell ref="B44:E44"/>
    <mergeCell ref="B42:E42"/>
    <mergeCell ref="B43:E43"/>
    <mergeCell ref="B36:E36"/>
    <mergeCell ref="B41:E41"/>
    <mergeCell ref="B38:E38"/>
    <mergeCell ref="B39:E39"/>
    <mergeCell ref="B37:E37"/>
    <mergeCell ref="B40:E40"/>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18:E18"/>
    <mergeCell ref="B19:E19"/>
    <mergeCell ref="P16:S16"/>
    <mergeCell ref="J10:K10"/>
    <mergeCell ref="J11:K11"/>
    <mergeCell ref="J16:K16"/>
    <mergeCell ref="P13:R13"/>
    <mergeCell ref="S13:U13"/>
    <mergeCell ref="P11:Q11"/>
    <mergeCell ref="B14:E14"/>
    <mergeCell ref="B15:E15"/>
    <mergeCell ref="J12:K12"/>
    <mergeCell ref="J9:K9"/>
    <mergeCell ref="J13:K13"/>
    <mergeCell ref="B9:E9"/>
    <mergeCell ref="J14:K14"/>
    <mergeCell ref="J15:K15"/>
    <mergeCell ref="B10:E10"/>
    <mergeCell ref="B12:E12"/>
    <mergeCell ref="B13:E13"/>
    <mergeCell ref="S9:T9"/>
    <mergeCell ref="S10:T10"/>
    <mergeCell ref="S11:T11"/>
    <mergeCell ref="S12:T12"/>
    <mergeCell ref="P12:Q12"/>
    <mergeCell ref="P10:Q10"/>
    <mergeCell ref="P9:Q9"/>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3"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JANUARY 23, 2016</v>
      </c>
      <c r="D2" s="455"/>
      <c r="E2" s="455"/>
      <c r="F2" s="455"/>
      <c r="G2" s="455"/>
      <c r="H2" s="455"/>
      <c r="I2" s="455"/>
      <c r="J2" s="455"/>
      <c r="K2" s="455"/>
      <c r="L2" s="455"/>
      <c r="M2" s="455"/>
      <c r="N2" s="455"/>
      <c r="O2" s="455"/>
      <c r="P2" s="455"/>
      <c r="Q2" s="455"/>
      <c r="R2" s="455"/>
      <c r="S2" s="456"/>
      <c r="T2" s="25"/>
    </row>
    <row r="3" spans="1:20" x14ac:dyDescent="0.2">
      <c r="A3" s="25"/>
      <c r="B3" s="26"/>
      <c r="C3" s="457" t="s">
        <v>228</v>
      </c>
      <c r="D3" s="458"/>
      <c r="E3" s="459" t="s">
        <v>208</v>
      </c>
      <c r="F3" s="460"/>
      <c r="G3" s="461"/>
      <c r="H3" s="459" t="s">
        <v>7</v>
      </c>
      <c r="I3" s="460"/>
      <c r="J3" s="461"/>
      <c r="K3" s="459" t="s">
        <v>33</v>
      </c>
      <c r="L3" s="460"/>
      <c r="M3" s="461"/>
      <c r="N3" s="459" t="s">
        <v>8</v>
      </c>
      <c r="O3" s="460"/>
      <c r="P3" s="461"/>
      <c r="Q3" s="81" t="s">
        <v>9</v>
      </c>
      <c r="R3" s="82" t="s">
        <v>10</v>
      </c>
      <c r="S3" s="82" t="s">
        <v>11</v>
      </c>
      <c r="T3" s="25"/>
    </row>
    <row r="4" spans="1:20"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492</v>
      </c>
      <c r="T4" s="91"/>
    </row>
    <row r="5" spans="1:20" ht="26.25" x14ac:dyDescent="0.4">
      <c r="A5" s="25"/>
      <c r="B5" s="26"/>
      <c r="C5" s="454" t="s">
        <v>490</v>
      </c>
      <c r="D5" s="455"/>
      <c r="E5" s="455"/>
      <c r="F5" s="455"/>
      <c r="G5" s="455"/>
      <c r="H5" s="455"/>
      <c r="I5" s="455"/>
      <c r="J5" s="455"/>
      <c r="K5" s="455"/>
      <c r="L5" s="455"/>
      <c r="M5" s="455"/>
      <c r="N5" s="455"/>
      <c r="O5" s="455"/>
      <c r="P5" s="455"/>
      <c r="Q5" s="455"/>
      <c r="R5" s="455"/>
      <c r="S5" s="456"/>
      <c r="T5" s="25"/>
    </row>
    <row r="6" spans="1:20" x14ac:dyDescent="0.2">
      <c r="A6" s="92"/>
      <c r="B6" s="93" t="s">
        <v>465</v>
      </c>
      <c r="C6" s="209">
        <f>IFERROR(VLOOKUP($B6,MMWR_TRAD_AGG_DISTRICT_COMP[],C$1,0),"ERROR")</f>
        <v>317076</v>
      </c>
      <c r="D6" s="187">
        <f>IFERROR(VLOOKUP($B6,MMWR_TRAD_AGG_DISTRICT_COMP[],D$1,0),"ERROR")</f>
        <v>392.05580365589998</v>
      </c>
      <c r="E6" s="195">
        <f>IFERROR(VLOOKUP($B6,MMWR_TRAD_AGG_DISTRICT_COMP[],E$1,0),"ERROR")</f>
        <v>326484</v>
      </c>
      <c r="F6" s="189">
        <f>IFERROR(VLOOKUP($B6,MMWR_TRAD_AGG_DISTRICT_COMP[],F$1,0),"ERROR")</f>
        <v>77245</v>
      </c>
      <c r="G6" s="212">
        <f t="shared" ref="G6:G69" si="0">IFERROR(F6/E6,"0%")</f>
        <v>0.23659658666274611</v>
      </c>
      <c r="H6" s="188">
        <f>IFERROR(VLOOKUP($B6,MMWR_TRAD_AGG_DISTRICT_COMP[],H$1,0),"ERROR")</f>
        <v>458815</v>
      </c>
      <c r="I6" s="189">
        <f>IFERROR(VLOOKUP($B6,MMWR_TRAD_AGG_DISTRICT_COMP[],I$1,0),"ERROR")</f>
        <v>305311</v>
      </c>
      <c r="J6" s="212">
        <f t="shared" ref="J6:J69" si="1">IFERROR(I6/H6,"0%")</f>
        <v>0.66543378049976565</v>
      </c>
      <c r="K6" s="188">
        <f>IFERROR(VLOOKUP($B6,MMWR_TRAD_AGG_DISTRICT_COMP[],K$1,0),"ERROR")</f>
        <v>123625</v>
      </c>
      <c r="L6" s="189">
        <f>IFERROR(VLOOKUP($B6,MMWR_TRAD_AGG_DISTRICT_COMP[],L$1,0),"ERROR")</f>
        <v>83705</v>
      </c>
      <c r="M6" s="212">
        <f t="shared" ref="M6:M69" si="2">IFERROR(L6/K6,"0%")</f>
        <v>0.67708796764408496</v>
      </c>
      <c r="N6" s="188">
        <f>IFERROR(VLOOKUP($B6,MMWR_TRAD_AGG_DISTRICT_COMP[],N$1,0),"ERROR")</f>
        <v>165952</v>
      </c>
      <c r="O6" s="189">
        <f>IFERROR(VLOOKUP($B6,MMWR_TRAD_AGG_DISTRICT_COMP[],O$1,0),"ERROR")</f>
        <v>103260</v>
      </c>
      <c r="P6" s="212">
        <f t="shared" ref="P6:P69" si="3">IFERROR(O6/N6,"0%")</f>
        <v>0.62222811415349022</v>
      </c>
      <c r="Q6" s="201">
        <f>IFERROR(VLOOKUP($B6,MMWR_TRAD_AGG_DISTRICT_COMP[],Q$1,0),"ERROR")</f>
        <v>19166</v>
      </c>
      <c r="R6" s="201">
        <f>IFERROR(VLOOKUP($B6,MMWR_TRAD_AGG_DISTRICT_COMP[],R$1,0),"ERROR")</f>
        <v>4092</v>
      </c>
      <c r="S6" s="204">
        <f>S7+S25+S38+S49+S62+S70</f>
        <v>319042</v>
      </c>
      <c r="T6" s="25"/>
    </row>
    <row r="7" spans="1:20" x14ac:dyDescent="0.2">
      <c r="A7" s="92"/>
      <c r="B7" s="101" t="s">
        <v>373</v>
      </c>
      <c r="C7" s="213">
        <f>IFERROR(VLOOKUP($B7,MMWR_TRAD_AGG_DISTRICT_COMP[],C$1,0),"ERROR")</f>
        <v>94186</v>
      </c>
      <c r="D7" s="198">
        <f>IFERROR(VLOOKUP($B7,MMWR_TRAD_AGG_DISTRICT_COMP[],D$1,0),"ERROR")</f>
        <v>460.16705242820001</v>
      </c>
      <c r="E7" s="214">
        <f>IFERROR(VLOOKUP($B7,MMWR_TRAD_AGG_DISTRICT_COMP[],E$1,0),"ERROR")</f>
        <v>76295</v>
      </c>
      <c r="F7" s="213">
        <f>IFERROR(VLOOKUP($B7,MMWR_TRAD_AGG_DISTRICT_COMP[],F$1,0),"ERROR")</f>
        <v>19464</v>
      </c>
      <c r="G7" s="215">
        <f t="shared" si="0"/>
        <v>0.25511501409004522</v>
      </c>
      <c r="H7" s="213">
        <f>IFERROR(VLOOKUP($B7,MMWR_TRAD_AGG_DISTRICT_COMP[],H$1,0),"ERROR")</f>
        <v>127631</v>
      </c>
      <c r="I7" s="213">
        <f>IFERROR(VLOOKUP($B7,MMWR_TRAD_AGG_DISTRICT_COMP[],I$1,0),"ERROR")</f>
        <v>93080</v>
      </c>
      <c r="J7" s="215">
        <f t="shared" si="1"/>
        <v>0.72928990605730581</v>
      </c>
      <c r="K7" s="213">
        <f>IFERROR(VLOOKUP($B7,MMWR_TRAD_AGG_DISTRICT_COMP[],K$1,0),"ERROR")</f>
        <v>38034</v>
      </c>
      <c r="L7" s="213">
        <f>IFERROR(VLOOKUP($B7,MMWR_TRAD_AGG_DISTRICT_COMP[],L$1,0),"ERROR")</f>
        <v>26198</v>
      </c>
      <c r="M7" s="215">
        <f t="shared" si="2"/>
        <v>0.68880475364147864</v>
      </c>
      <c r="N7" s="213">
        <f>IFERROR(VLOOKUP($B7,MMWR_TRAD_AGG_DISTRICT_COMP[],N$1,0),"ERROR")</f>
        <v>29380</v>
      </c>
      <c r="O7" s="213">
        <f>IFERROR(VLOOKUP($B7,MMWR_TRAD_AGG_DISTRICT_COMP[],O$1,0),"ERROR")</f>
        <v>21620</v>
      </c>
      <c r="P7" s="215">
        <f t="shared" si="3"/>
        <v>0.73587474472430225</v>
      </c>
      <c r="Q7" s="213">
        <f>IFERROR(VLOOKUP($B7,MMWR_TRAD_AGG_DISTRICT_COMP[],Q$1,0),"ERROR")</f>
        <v>12592</v>
      </c>
      <c r="R7" s="216">
        <f>IFERROR(VLOOKUP($B7,MMWR_TRAD_AGG_DISTRICT_COMP[],R$1,0),"ERROR")</f>
        <v>53</v>
      </c>
      <c r="S7" s="216">
        <f>IFERROR(VLOOKUP($B7,MMWR_APP_RO[],S$1,0),"ERROR")</f>
        <v>56338</v>
      </c>
      <c r="T7" s="25"/>
    </row>
    <row r="8" spans="1:20" x14ac:dyDescent="0.2">
      <c r="A8" s="107"/>
      <c r="B8" s="108" t="s">
        <v>36</v>
      </c>
      <c r="C8" s="210">
        <f>IFERROR(VLOOKUP($B8,MMWR_TRAD_AGG_RO_COMP[],C$1,0),"ERROR")</f>
        <v>7984</v>
      </c>
      <c r="D8" s="199">
        <f>IFERROR(VLOOKUP($B8,MMWR_TRAD_AGG_RO_COMP[],D$1,0),"ERROR")</f>
        <v>716.82126753509999</v>
      </c>
      <c r="E8" s="196">
        <f>IFERROR(VLOOKUP($B8,MMWR_TRAD_AGG_RO_COMP[],E$1,0),"ERROR")</f>
        <v>4812</v>
      </c>
      <c r="F8" s="192">
        <f>IFERROR(VLOOKUP($B8,MMWR_TRAD_AGG_RO_COMP[],F$1,0),"ERROR")</f>
        <v>1056</v>
      </c>
      <c r="G8" s="217">
        <f t="shared" si="0"/>
        <v>0.21945137157107231</v>
      </c>
      <c r="H8" s="191">
        <f>IFERROR(VLOOKUP($B8,MMWR_TRAD_AGG_RO_COMP[],H$1,0),"ERROR")</f>
        <v>9316</v>
      </c>
      <c r="I8" s="192">
        <f>IFERROR(VLOOKUP($B8,MMWR_TRAD_AGG_RO_COMP[],I$1,0),"ERROR")</f>
        <v>7683</v>
      </c>
      <c r="J8" s="217">
        <f t="shared" si="1"/>
        <v>0.82471017604121943</v>
      </c>
      <c r="K8" s="205">
        <f>IFERROR(VLOOKUP($B8,MMWR_TRAD_AGG_RO_COMP[],K$1,0),"ERROR")</f>
        <v>1362</v>
      </c>
      <c r="L8" s="206">
        <f>IFERROR(VLOOKUP($B8,MMWR_TRAD_AGG_RO_COMP[],L$1,0),"ERROR")</f>
        <v>1109</v>
      </c>
      <c r="M8" s="217">
        <f t="shared" si="2"/>
        <v>0.81424375917767988</v>
      </c>
      <c r="N8" s="205">
        <f>IFERROR(VLOOKUP($B8,MMWR_TRAD_AGG_RO_COMP[],N$1,0),"ERROR")</f>
        <v>2586</v>
      </c>
      <c r="O8" s="206">
        <f>IFERROR(VLOOKUP($B8,MMWR_TRAD_AGG_RO_COMP[],O$1,0),"ERROR")</f>
        <v>2146</v>
      </c>
      <c r="P8" s="217">
        <f t="shared" si="3"/>
        <v>0.82985305491105954</v>
      </c>
      <c r="Q8" s="202">
        <f>IFERROR(VLOOKUP($B8,MMWR_TRAD_AGG_RO_COMP[],Q$1,0),"ERROR")</f>
        <v>0</v>
      </c>
      <c r="R8" s="202">
        <f>IFERROR(VLOOKUP($B8,MMWR_TRAD_AGG_RO_COMP[],R$1,0),"ERROR")</f>
        <v>4</v>
      </c>
      <c r="S8" s="202">
        <f>IFERROR(VLOOKUP($B8,MMWR_APP_RO[],S$1,0),"ERROR")</f>
        <v>5616</v>
      </c>
      <c r="T8" s="25"/>
    </row>
    <row r="9" spans="1:20" x14ac:dyDescent="0.2">
      <c r="A9" s="107"/>
      <c r="B9" s="108" t="s">
        <v>38</v>
      </c>
      <c r="C9" s="210">
        <f>IFERROR(VLOOKUP($B9,MMWR_TRAD_AGG_RO_COMP[],C$1,0),"ERROR")</f>
        <v>4339</v>
      </c>
      <c r="D9" s="199">
        <f>IFERROR(VLOOKUP($B9,MMWR_TRAD_AGG_RO_COMP[],D$1,0),"ERROR")</f>
        <v>602.99377736810004</v>
      </c>
      <c r="E9" s="196">
        <f>IFERROR(VLOOKUP($B9,MMWR_TRAD_AGG_RO_COMP[],E$1,0),"ERROR")</f>
        <v>3491</v>
      </c>
      <c r="F9" s="192">
        <f>IFERROR(VLOOKUP($B9,MMWR_TRAD_AGG_RO_COMP[],F$1,0),"ERROR")</f>
        <v>908</v>
      </c>
      <c r="G9" s="217">
        <f t="shared" si="0"/>
        <v>0.26009739329704956</v>
      </c>
      <c r="H9" s="191">
        <f>IFERROR(VLOOKUP($B9,MMWR_TRAD_AGG_RO_COMP[],H$1,0),"ERROR")</f>
        <v>5737</v>
      </c>
      <c r="I9" s="192">
        <f>IFERROR(VLOOKUP($B9,MMWR_TRAD_AGG_RO_COMP[],I$1,0),"ERROR")</f>
        <v>4502</v>
      </c>
      <c r="J9" s="217">
        <f t="shared" si="1"/>
        <v>0.78473069548544538</v>
      </c>
      <c r="K9" s="205">
        <f>IFERROR(VLOOKUP($B9,MMWR_TRAD_AGG_RO_COMP[],K$1,0),"ERROR")</f>
        <v>2703</v>
      </c>
      <c r="L9" s="206">
        <f>IFERROR(VLOOKUP($B9,MMWR_TRAD_AGG_RO_COMP[],L$1,0),"ERROR")</f>
        <v>2137</v>
      </c>
      <c r="M9" s="217">
        <f t="shared" si="2"/>
        <v>0.7906030336662967</v>
      </c>
      <c r="N9" s="205">
        <f>IFERROR(VLOOKUP($B9,MMWR_TRAD_AGG_RO_COMP[],N$1,0),"ERROR")</f>
        <v>861</v>
      </c>
      <c r="O9" s="206">
        <f>IFERROR(VLOOKUP($B9,MMWR_TRAD_AGG_RO_COMP[],O$1,0),"ERROR")</f>
        <v>690</v>
      </c>
      <c r="P9" s="217">
        <f t="shared" si="3"/>
        <v>0.80139372822299648</v>
      </c>
      <c r="Q9" s="202">
        <f>IFERROR(VLOOKUP($B9,MMWR_TRAD_AGG_RO_COMP[],Q$1,0),"ERROR")</f>
        <v>0</v>
      </c>
      <c r="R9" s="202">
        <f>IFERROR(VLOOKUP($B9,MMWR_TRAD_AGG_RO_COMP[],R$1,0),"ERROR")</f>
        <v>2</v>
      </c>
      <c r="S9" s="202">
        <f>IFERROR(VLOOKUP($B9,MMWR_APP_RO[],S$1,0),"ERROR")</f>
        <v>3278</v>
      </c>
      <c r="T9" s="25"/>
    </row>
    <row r="10" spans="1:20" x14ac:dyDescent="0.2">
      <c r="A10" s="107"/>
      <c r="B10" s="108" t="s">
        <v>24</v>
      </c>
      <c r="C10" s="210">
        <f>IFERROR(VLOOKUP($B10,MMWR_TRAD_AGG_RO_COMP[],C$1,0),"ERROR")</f>
        <v>1487</v>
      </c>
      <c r="D10" s="199">
        <f>IFERROR(VLOOKUP($B10,MMWR_TRAD_AGG_RO_COMP[],D$1,0),"ERROR")</f>
        <v>161.73570948220001</v>
      </c>
      <c r="E10" s="196">
        <f>IFERROR(VLOOKUP($B10,MMWR_TRAD_AGG_RO_COMP[],E$1,0),"ERROR")</f>
        <v>3938</v>
      </c>
      <c r="F10" s="192">
        <f>IFERROR(VLOOKUP($B10,MMWR_TRAD_AGG_RO_COMP[],F$1,0),"ERROR")</f>
        <v>722</v>
      </c>
      <c r="G10" s="217">
        <f t="shared" si="0"/>
        <v>0.18334179786693752</v>
      </c>
      <c r="H10" s="191">
        <f>IFERROR(VLOOKUP($B10,MMWR_TRAD_AGG_RO_COMP[],H$1,0),"ERROR")</f>
        <v>2639</v>
      </c>
      <c r="I10" s="192">
        <f>IFERROR(VLOOKUP($B10,MMWR_TRAD_AGG_RO_COMP[],I$1,0),"ERROR")</f>
        <v>1020</v>
      </c>
      <c r="J10" s="217">
        <f t="shared" si="1"/>
        <v>0.38651004168245545</v>
      </c>
      <c r="K10" s="205">
        <f>IFERROR(VLOOKUP($B10,MMWR_TRAD_AGG_RO_COMP[],K$1,0),"ERROR")</f>
        <v>1025</v>
      </c>
      <c r="L10" s="206">
        <f>IFERROR(VLOOKUP($B10,MMWR_TRAD_AGG_RO_COMP[],L$1,0),"ERROR")</f>
        <v>515</v>
      </c>
      <c r="M10" s="217">
        <f t="shared" si="2"/>
        <v>0.5024390243902439</v>
      </c>
      <c r="N10" s="205">
        <f>IFERROR(VLOOKUP($B10,MMWR_TRAD_AGG_RO_COMP[],N$1,0),"ERROR")</f>
        <v>453</v>
      </c>
      <c r="O10" s="206">
        <f>IFERROR(VLOOKUP($B10,MMWR_TRAD_AGG_RO_COMP[],O$1,0),"ERROR")</f>
        <v>237</v>
      </c>
      <c r="P10" s="217">
        <f t="shared" si="3"/>
        <v>0.52317880794701987</v>
      </c>
      <c r="Q10" s="202">
        <f>IFERROR(VLOOKUP($B10,MMWR_TRAD_AGG_RO_COMP[],Q$1,0),"ERROR")</f>
        <v>0</v>
      </c>
      <c r="R10" s="202">
        <f>IFERROR(VLOOKUP($B10,MMWR_TRAD_AGG_RO_COMP[],R$1,0),"ERROR")</f>
        <v>0</v>
      </c>
      <c r="S10" s="202">
        <f>IFERROR(VLOOKUP($B10,MMWR_APP_RO[],S$1,0),"ERROR")</f>
        <v>1880</v>
      </c>
      <c r="T10" s="25"/>
    </row>
    <row r="11" spans="1:20" x14ac:dyDescent="0.2">
      <c r="A11" s="107"/>
      <c r="B11" s="108" t="s">
        <v>47</v>
      </c>
      <c r="C11" s="210">
        <f>IFERROR(VLOOKUP($B11,MMWR_TRAD_AGG_RO_COMP[],C$1,0),"ERROR")</f>
        <v>1280</v>
      </c>
      <c r="D11" s="199">
        <f>IFERROR(VLOOKUP($B11,MMWR_TRAD_AGG_RO_COMP[],D$1,0),"ERROR")</f>
        <v>296.25390625</v>
      </c>
      <c r="E11" s="196">
        <f>IFERROR(VLOOKUP($B11,MMWR_TRAD_AGG_RO_COMP[],E$1,0),"ERROR")</f>
        <v>1929</v>
      </c>
      <c r="F11" s="192">
        <f>IFERROR(VLOOKUP($B11,MMWR_TRAD_AGG_RO_COMP[],F$1,0),"ERROR")</f>
        <v>402</v>
      </c>
      <c r="G11" s="217">
        <f t="shared" si="0"/>
        <v>0.20839813374805599</v>
      </c>
      <c r="H11" s="191">
        <f>IFERROR(VLOOKUP($B11,MMWR_TRAD_AGG_RO_COMP[],H$1,0),"ERROR")</f>
        <v>2882</v>
      </c>
      <c r="I11" s="192">
        <f>IFERROR(VLOOKUP($B11,MMWR_TRAD_AGG_RO_COMP[],I$1,0),"ERROR")</f>
        <v>1934</v>
      </c>
      <c r="J11" s="217">
        <f t="shared" si="1"/>
        <v>0.6710617626648161</v>
      </c>
      <c r="K11" s="205">
        <f>IFERROR(VLOOKUP($B11,MMWR_TRAD_AGG_RO_COMP[],K$1,0),"ERROR")</f>
        <v>611</v>
      </c>
      <c r="L11" s="206">
        <f>IFERROR(VLOOKUP($B11,MMWR_TRAD_AGG_RO_COMP[],L$1,0),"ERROR")</f>
        <v>319</v>
      </c>
      <c r="M11" s="217">
        <f t="shared" si="2"/>
        <v>0.52209492635024546</v>
      </c>
      <c r="N11" s="205">
        <f>IFERROR(VLOOKUP($B11,MMWR_TRAD_AGG_RO_COMP[],N$1,0),"ERROR")</f>
        <v>826</v>
      </c>
      <c r="O11" s="206">
        <f>IFERROR(VLOOKUP($B11,MMWR_TRAD_AGG_RO_COMP[],O$1,0),"ERROR")</f>
        <v>578</v>
      </c>
      <c r="P11" s="217">
        <f t="shared" si="3"/>
        <v>0.69975786924939465</v>
      </c>
      <c r="Q11" s="202">
        <f>IFERROR(VLOOKUP($B11,MMWR_TRAD_AGG_RO_COMP[],Q$1,0),"ERROR")</f>
        <v>0</v>
      </c>
      <c r="R11" s="202">
        <f>IFERROR(VLOOKUP($B11,MMWR_TRAD_AGG_RO_COMP[],R$1,0),"ERROR")</f>
        <v>6</v>
      </c>
      <c r="S11" s="202">
        <f>IFERROR(VLOOKUP($B11,MMWR_APP_RO[],S$1,0),"ERROR")</f>
        <v>977</v>
      </c>
      <c r="T11" s="25"/>
    </row>
    <row r="12" spans="1:20" x14ac:dyDescent="0.2">
      <c r="A12" s="107"/>
      <c r="B12" s="108" t="s">
        <v>50</v>
      </c>
      <c r="C12" s="210">
        <f>IFERROR(VLOOKUP($B12,MMWR_TRAD_AGG_RO_COMP[],C$1,0),"ERROR")</f>
        <v>2129</v>
      </c>
      <c r="D12" s="199">
        <f>IFERROR(VLOOKUP($B12,MMWR_TRAD_AGG_RO_COMP[],D$1,0),"ERROR")</f>
        <v>239.75293565050001</v>
      </c>
      <c r="E12" s="196">
        <f>IFERROR(VLOOKUP($B12,MMWR_TRAD_AGG_RO_COMP[],E$1,0),"ERROR")</f>
        <v>2294</v>
      </c>
      <c r="F12" s="192">
        <f>IFERROR(VLOOKUP($B12,MMWR_TRAD_AGG_RO_COMP[],F$1,0),"ERROR")</f>
        <v>424</v>
      </c>
      <c r="G12" s="217">
        <f t="shared" si="0"/>
        <v>0.18482999128160418</v>
      </c>
      <c r="H12" s="191">
        <f>IFERROR(VLOOKUP($B12,MMWR_TRAD_AGG_RO_COMP[],H$1,0),"ERROR")</f>
        <v>3363</v>
      </c>
      <c r="I12" s="192">
        <f>IFERROR(VLOOKUP($B12,MMWR_TRAD_AGG_RO_COMP[],I$1,0),"ERROR")</f>
        <v>2191</v>
      </c>
      <c r="J12" s="217">
        <f t="shared" si="1"/>
        <v>0.65150163544454354</v>
      </c>
      <c r="K12" s="205">
        <f>IFERROR(VLOOKUP($B12,MMWR_TRAD_AGG_RO_COMP[],K$1,0),"ERROR")</f>
        <v>485</v>
      </c>
      <c r="L12" s="206">
        <f>IFERROR(VLOOKUP($B12,MMWR_TRAD_AGG_RO_COMP[],L$1,0),"ERROR")</f>
        <v>105</v>
      </c>
      <c r="M12" s="217">
        <f t="shared" si="2"/>
        <v>0.21649484536082475</v>
      </c>
      <c r="N12" s="205">
        <f>IFERROR(VLOOKUP($B12,MMWR_TRAD_AGG_RO_COMP[],N$1,0),"ERROR")</f>
        <v>1244</v>
      </c>
      <c r="O12" s="206">
        <f>IFERROR(VLOOKUP($B12,MMWR_TRAD_AGG_RO_COMP[],O$1,0),"ERROR")</f>
        <v>879</v>
      </c>
      <c r="P12" s="217">
        <f t="shared" si="3"/>
        <v>0.70659163987138263</v>
      </c>
      <c r="Q12" s="202">
        <f>IFERROR(VLOOKUP($B12,MMWR_TRAD_AGG_RO_COMP[],Q$1,0),"ERROR")</f>
        <v>0</v>
      </c>
      <c r="R12" s="202">
        <f>IFERROR(VLOOKUP($B12,MMWR_TRAD_AGG_RO_COMP[],R$1,0),"ERROR")</f>
        <v>10</v>
      </c>
      <c r="S12" s="202">
        <f>IFERROR(VLOOKUP($B12,MMWR_APP_RO[],S$1,0),"ERROR")</f>
        <v>1959</v>
      </c>
      <c r="T12" s="25"/>
    </row>
    <row r="13" spans="1:20" x14ac:dyDescent="0.2">
      <c r="A13" s="107"/>
      <c r="B13" s="108" t="s">
        <v>57</v>
      </c>
      <c r="C13" s="210">
        <f>IFERROR(VLOOKUP($B13,MMWR_TRAD_AGG_RO_COMP[],C$1,0),"ERROR")</f>
        <v>1451</v>
      </c>
      <c r="D13" s="199">
        <f>IFERROR(VLOOKUP($B13,MMWR_TRAD_AGG_RO_COMP[],D$1,0),"ERROR")</f>
        <v>386.255685734</v>
      </c>
      <c r="E13" s="196">
        <f>IFERROR(VLOOKUP($B13,MMWR_TRAD_AGG_RO_COMP[],E$1,0),"ERROR")</f>
        <v>1043</v>
      </c>
      <c r="F13" s="192">
        <f>IFERROR(VLOOKUP($B13,MMWR_TRAD_AGG_RO_COMP[],F$1,0),"ERROR")</f>
        <v>267</v>
      </c>
      <c r="G13" s="217">
        <f t="shared" si="0"/>
        <v>0.25599232981783315</v>
      </c>
      <c r="H13" s="191">
        <f>IFERROR(VLOOKUP($B13,MMWR_TRAD_AGG_RO_COMP[],H$1,0),"ERROR")</f>
        <v>1942</v>
      </c>
      <c r="I13" s="192">
        <f>IFERROR(VLOOKUP($B13,MMWR_TRAD_AGG_RO_COMP[],I$1,0),"ERROR")</f>
        <v>1288</v>
      </c>
      <c r="J13" s="217">
        <f t="shared" si="1"/>
        <v>0.66323377960865093</v>
      </c>
      <c r="K13" s="205">
        <f>IFERROR(VLOOKUP($B13,MMWR_TRAD_AGG_RO_COMP[],K$1,0),"ERROR")</f>
        <v>378</v>
      </c>
      <c r="L13" s="206">
        <f>IFERROR(VLOOKUP($B13,MMWR_TRAD_AGG_RO_COMP[],L$1,0),"ERROR")</f>
        <v>372</v>
      </c>
      <c r="M13" s="217">
        <f t="shared" si="2"/>
        <v>0.98412698412698407</v>
      </c>
      <c r="N13" s="205">
        <f>IFERROR(VLOOKUP($B13,MMWR_TRAD_AGG_RO_COMP[],N$1,0),"ERROR")</f>
        <v>96</v>
      </c>
      <c r="O13" s="206">
        <f>IFERROR(VLOOKUP($B13,MMWR_TRAD_AGG_RO_COMP[],O$1,0),"ERROR")</f>
        <v>47</v>
      </c>
      <c r="P13" s="217">
        <f t="shared" si="3"/>
        <v>0.48958333333333331</v>
      </c>
      <c r="Q13" s="202">
        <f>IFERROR(VLOOKUP($B13,MMWR_TRAD_AGG_RO_COMP[],Q$1,0),"ERROR")</f>
        <v>0</v>
      </c>
      <c r="R13" s="202">
        <f>IFERROR(VLOOKUP($B13,MMWR_TRAD_AGG_RO_COMP[],R$1,0),"ERROR")</f>
        <v>1</v>
      </c>
      <c r="S13" s="202">
        <f>IFERROR(VLOOKUP($B13,MMWR_APP_RO[],S$1,0),"ERROR")</f>
        <v>593</v>
      </c>
      <c r="T13" s="25"/>
    </row>
    <row r="14" spans="1:20" x14ac:dyDescent="0.2">
      <c r="A14" s="107"/>
      <c r="B14" s="108" t="s">
        <v>63</v>
      </c>
      <c r="C14" s="210">
        <f>IFERROR(VLOOKUP($B14,MMWR_TRAD_AGG_RO_COMP[],C$1,0),"ERROR")</f>
        <v>4273</v>
      </c>
      <c r="D14" s="199">
        <f>IFERROR(VLOOKUP($B14,MMWR_TRAD_AGG_RO_COMP[],D$1,0),"ERROR")</f>
        <v>302.47975661129999</v>
      </c>
      <c r="E14" s="196">
        <f>IFERROR(VLOOKUP($B14,MMWR_TRAD_AGG_RO_COMP[],E$1,0),"ERROR")</f>
        <v>4600</v>
      </c>
      <c r="F14" s="192">
        <f>IFERROR(VLOOKUP($B14,MMWR_TRAD_AGG_RO_COMP[],F$1,0),"ERROR")</f>
        <v>1196</v>
      </c>
      <c r="G14" s="217">
        <f t="shared" si="0"/>
        <v>0.26</v>
      </c>
      <c r="H14" s="191">
        <f>IFERROR(VLOOKUP($B14,MMWR_TRAD_AGG_RO_COMP[],H$1,0),"ERROR")</f>
        <v>5735</v>
      </c>
      <c r="I14" s="192">
        <f>IFERROR(VLOOKUP($B14,MMWR_TRAD_AGG_RO_COMP[],I$1,0),"ERROR")</f>
        <v>3902</v>
      </c>
      <c r="J14" s="217">
        <f t="shared" si="1"/>
        <v>0.68038360941586751</v>
      </c>
      <c r="K14" s="205">
        <f>IFERROR(VLOOKUP($B14,MMWR_TRAD_AGG_RO_COMP[],K$1,0),"ERROR")</f>
        <v>3498</v>
      </c>
      <c r="L14" s="206">
        <f>IFERROR(VLOOKUP($B14,MMWR_TRAD_AGG_RO_COMP[],L$1,0),"ERROR")</f>
        <v>2918</v>
      </c>
      <c r="M14" s="217">
        <f t="shared" si="2"/>
        <v>0.83419096626643796</v>
      </c>
      <c r="N14" s="205">
        <f>IFERROR(VLOOKUP($B14,MMWR_TRAD_AGG_RO_COMP[],N$1,0),"ERROR")</f>
        <v>1781</v>
      </c>
      <c r="O14" s="206">
        <f>IFERROR(VLOOKUP($B14,MMWR_TRAD_AGG_RO_COMP[],O$1,0),"ERROR")</f>
        <v>200</v>
      </c>
      <c r="P14" s="217">
        <f t="shared" si="3"/>
        <v>0.11229646266142616</v>
      </c>
      <c r="Q14" s="202">
        <f>IFERROR(VLOOKUP($B14,MMWR_TRAD_AGG_RO_COMP[],Q$1,0),"ERROR")</f>
        <v>0</v>
      </c>
      <c r="R14" s="202">
        <f>IFERROR(VLOOKUP($B14,MMWR_TRAD_AGG_RO_COMP[],R$1,0),"ERROR")</f>
        <v>1</v>
      </c>
      <c r="S14" s="202">
        <f>IFERROR(VLOOKUP($B14,MMWR_APP_RO[],S$1,0),"ERROR")</f>
        <v>3156</v>
      </c>
      <c r="T14" s="25"/>
    </row>
    <row r="15" spans="1:20" x14ac:dyDescent="0.2">
      <c r="A15" s="107"/>
      <c r="B15" s="108" t="s">
        <v>64</v>
      </c>
      <c r="C15" s="210">
        <f>IFERROR(VLOOKUP($B15,MMWR_TRAD_AGG_RO_COMP[],C$1,0),"ERROR")</f>
        <v>861</v>
      </c>
      <c r="D15" s="199">
        <f>IFERROR(VLOOKUP($B15,MMWR_TRAD_AGG_RO_COMP[],D$1,0),"ERROR")</f>
        <v>145.80023228799999</v>
      </c>
      <c r="E15" s="196">
        <f>IFERROR(VLOOKUP($B15,MMWR_TRAD_AGG_RO_COMP[],E$1,0),"ERROR")</f>
        <v>2433</v>
      </c>
      <c r="F15" s="192">
        <f>IFERROR(VLOOKUP($B15,MMWR_TRAD_AGG_RO_COMP[],F$1,0),"ERROR")</f>
        <v>546</v>
      </c>
      <c r="G15" s="217">
        <f t="shared" si="0"/>
        <v>0.22441430332922319</v>
      </c>
      <c r="H15" s="191">
        <f>IFERROR(VLOOKUP($B15,MMWR_TRAD_AGG_RO_COMP[],H$1,0),"ERROR")</f>
        <v>1541</v>
      </c>
      <c r="I15" s="192">
        <f>IFERROR(VLOOKUP($B15,MMWR_TRAD_AGG_RO_COMP[],I$1,0),"ERROR")</f>
        <v>802</v>
      </c>
      <c r="J15" s="217">
        <f t="shared" si="1"/>
        <v>0.5204412719013628</v>
      </c>
      <c r="K15" s="205">
        <f>IFERROR(VLOOKUP($B15,MMWR_TRAD_AGG_RO_COMP[],K$1,0),"ERROR")</f>
        <v>759</v>
      </c>
      <c r="L15" s="206">
        <f>IFERROR(VLOOKUP($B15,MMWR_TRAD_AGG_RO_COMP[],L$1,0),"ERROR")</f>
        <v>558</v>
      </c>
      <c r="M15" s="217">
        <f t="shared" si="2"/>
        <v>0.7351778656126482</v>
      </c>
      <c r="N15" s="205">
        <f>IFERROR(VLOOKUP($B15,MMWR_TRAD_AGG_RO_COMP[],N$1,0),"ERROR")</f>
        <v>2062</v>
      </c>
      <c r="O15" s="206">
        <f>IFERROR(VLOOKUP($B15,MMWR_TRAD_AGG_RO_COMP[],O$1,0),"ERROR")</f>
        <v>1571</v>
      </c>
      <c r="P15" s="217">
        <f t="shared" si="3"/>
        <v>0.76188166828322013</v>
      </c>
      <c r="Q15" s="202">
        <f>IFERROR(VLOOKUP($B15,MMWR_TRAD_AGG_RO_COMP[],Q$1,0),"ERROR")</f>
        <v>0</v>
      </c>
      <c r="R15" s="202">
        <f>IFERROR(VLOOKUP($B15,MMWR_TRAD_AGG_RO_COMP[],R$1,0),"ERROR")</f>
        <v>1</v>
      </c>
      <c r="S15" s="202">
        <f>IFERROR(VLOOKUP($B15,MMWR_APP_RO[],S$1,0),"ERROR")</f>
        <v>2645</v>
      </c>
      <c r="T15" s="25"/>
    </row>
    <row r="16" spans="1:20" x14ac:dyDescent="0.2">
      <c r="A16" s="107"/>
      <c r="B16" s="108" t="s">
        <v>66</v>
      </c>
      <c r="C16" s="210">
        <f>IFERROR(VLOOKUP($B16,MMWR_TRAD_AGG_RO_COMP[],C$1,0),"ERROR")</f>
        <v>6130</v>
      </c>
      <c r="D16" s="199">
        <f>IFERROR(VLOOKUP($B16,MMWR_TRAD_AGG_RO_COMP[],D$1,0),"ERROR")</f>
        <v>388.60603588909999</v>
      </c>
      <c r="E16" s="196">
        <f>IFERROR(VLOOKUP($B16,MMWR_TRAD_AGG_RO_COMP[],E$1,0),"ERROR")</f>
        <v>11201</v>
      </c>
      <c r="F16" s="192">
        <f>IFERROR(VLOOKUP($B16,MMWR_TRAD_AGG_RO_COMP[],F$1,0),"ERROR")</f>
        <v>3055</v>
      </c>
      <c r="G16" s="217">
        <f t="shared" si="0"/>
        <v>0.27274350504419248</v>
      </c>
      <c r="H16" s="191">
        <f>IFERROR(VLOOKUP($B16,MMWR_TRAD_AGG_RO_COMP[],H$1,0),"ERROR")</f>
        <v>9235</v>
      </c>
      <c r="I16" s="192">
        <f>IFERROR(VLOOKUP($B16,MMWR_TRAD_AGG_RO_COMP[],I$1,0),"ERROR")</f>
        <v>6650</v>
      </c>
      <c r="J16" s="217">
        <f t="shared" si="1"/>
        <v>0.72008662696264214</v>
      </c>
      <c r="K16" s="205">
        <f>IFERROR(VLOOKUP($B16,MMWR_TRAD_AGG_RO_COMP[],K$1,0),"ERROR")</f>
        <v>2171</v>
      </c>
      <c r="L16" s="206">
        <f>IFERROR(VLOOKUP($B16,MMWR_TRAD_AGG_RO_COMP[],L$1,0),"ERROR")</f>
        <v>976</v>
      </c>
      <c r="M16" s="217">
        <f t="shared" si="2"/>
        <v>0.44956241363426991</v>
      </c>
      <c r="N16" s="205">
        <f>IFERROR(VLOOKUP($B16,MMWR_TRAD_AGG_RO_COMP[],N$1,0),"ERROR")</f>
        <v>7361</v>
      </c>
      <c r="O16" s="206">
        <f>IFERROR(VLOOKUP($B16,MMWR_TRAD_AGG_RO_COMP[],O$1,0),"ERROR")</f>
        <v>6376</v>
      </c>
      <c r="P16" s="217">
        <f t="shared" si="3"/>
        <v>0.86618665942127426</v>
      </c>
      <c r="Q16" s="202">
        <f>IFERROR(VLOOKUP($B16,MMWR_TRAD_AGG_RO_COMP[],Q$1,0),"ERROR")</f>
        <v>12585</v>
      </c>
      <c r="R16" s="202">
        <f>IFERROR(VLOOKUP($B16,MMWR_TRAD_AGG_RO_COMP[],R$1,0),"ERROR")</f>
        <v>0</v>
      </c>
      <c r="S16" s="202">
        <f>IFERROR(VLOOKUP($B16,MMWR_APP_RO[],S$1,0),"ERROR")</f>
        <v>5568</v>
      </c>
      <c r="T16" s="25"/>
    </row>
    <row r="17" spans="1:20" x14ac:dyDescent="0.2">
      <c r="A17" s="107"/>
      <c r="B17" s="108" t="s">
        <v>68</v>
      </c>
      <c r="C17" s="210">
        <f>IFERROR(VLOOKUP($B17,MMWR_TRAD_AGG_RO_COMP[],C$1,0),"ERROR")</f>
        <v>4216</v>
      </c>
      <c r="D17" s="199">
        <f>IFERROR(VLOOKUP($B17,MMWR_TRAD_AGG_RO_COMP[],D$1,0),"ERROR")</f>
        <v>488.91864326379999</v>
      </c>
      <c r="E17" s="196">
        <f>IFERROR(VLOOKUP($B17,MMWR_TRAD_AGG_RO_COMP[],E$1,0),"ERROR")</f>
        <v>4955</v>
      </c>
      <c r="F17" s="192">
        <f>IFERROR(VLOOKUP($B17,MMWR_TRAD_AGG_RO_COMP[],F$1,0),"ERROR")</f>
        <v>1476</v>
      </c>
      <c r="G17" s="217">
        <f t="shared" si="0"/>
        <v>0.29788092835519675</v>
      </c>
      <c r="H17" s="191">
        <f>IFERROR(VLOOKUP($B17,MMWR_TRAD_AGG_RO_COMP[],H$1,0),"ERROR")</f>
        <v>5756</v>
      </c>
      <c r="I17" s="192">
        <f>IFERROR(VLOOKUP($B17,MMWR_TRAD_AGG_RO_COMP[],I$1,0),"ERROR")</f>
        <v>4394</v>
      </c>
      <c r="J17" s="217">
        <f t="shared" si="1"/>
        <v>0.76337734537873525</v>
      </c>
      <c r="K17" s="205">
        <f>IFERROR(VLOOKUP($B17,MMWR_TRAD_AGG_RO_COMP[],K$1,0),"ERROR")</f>
        <v>802</v>
      </c>
      <c r="L17" s="206">
        <f>IFERROR(VLOOKUP($B17,MMWR_TRAD_AGG_RO_COMP[],L$1,0),"ERROR")</f>
        <v>444</v>
      </c>
      <c r="M17" s="217">
        <f t="shared" si="2"/>
        <v>0.55361596009975067</v>
      </c>
      <c r="N17" s="205">
        <f>IFERROR(VLOOKUP($B17,MMWR_TRAD_AGG_RO_COMP[],N$1,0),"ERROR")</f>
        <v>1079</v>
      </c>
      <c r="O17" s="206">
        <f>IFERROR(VLOOKUP($B17,MMWR_TRAD_AGG_RO_COMP[],O$1,0),"ERROR")</f>
        <v>710</v>
      </c>
      <c r="P17" s="217">
        <f t="shared" si="3"/>
        <v>0.65801668211306763</v>
      </c>
      <c r="Q17" s="202">
        <f>IFERROR(VLOOKUP($B17,MMWR_TRAD_AGG_RO_COMP[],Q$1,0),"ERROR")</f>
        <v>0</v>
      </c>
      <c r="R17" s="202">
        <f>IFERROR(VLOOKUP($B17,MMWR_TRAD_AGG_RO_COMP[],R$1,0),"ERROR")</f>
        <v>2</v>
      </c>
      <c r="S17" s="202">
        <f>IFERROR(VLOOKUP($B17,MMWR_APP_RO[],S$1,0),"ERROR")</f>
        <v>5047</v>
      </c>
      <c r="T17" s="25"/>
    </row>
    <row r="18" spans="1:20" x14ac:dyDescent="0.2">
      <c r="A18" s="107"/>
      <c r="B18" s="108" t="s">
        <v>70</v>
      </c>
      <c r="C18" s="210">
        <f>IFERROR(VLOOKUP($B18,MMWR_TRAD_AGG_RO_COMP[],C$1,0),"ERROR")</f>
        <v>926</v>
      </c>
      <c r="D18" s="199">
        <f>IFERROR(VLOOKUP($B18,MMWR_TRAD_AGG_RO_COMP[],D$1,0),"ERROR")</f>
        <v>186.5237580994</v>
      </c>
      <c r="E18" s="196">
        <f>IFERROR(VLOOKUP($B18,MMWR_TRAD_AGG_RO_COMP[],E$1,0),"ERROR")</f>
        <v>2133</v>
      </c>
      <c r="F18" s="192">
        <f>IFERROR(VLOOKUP($B18,MMWR_TRAD_AGG_RO_COMP[],F$1,0),"ERROR")</f>
        <v>430</v>
      </c>
      <c r="G18" s="217">
        <f t="shared" si="0"/>
        <v>0.20159399906235348</v>
      </c>
      <c r="H18" s="191">
        <f>IFERROR(VLOOKUP($B18,MMWR_TRAD_AGG_RO_COMP[],H$1,0),"ERROR")</f>
        <v>4141</v>
      </c>
      <c r="I18" s="192">
        <f>IFERROR(VLOOKUP($B18,MMWR_TRAD_AGG_RO_COMP[],I$1,0),"ERROR")</f>
        <v>1202</v>
      </c>
      <c r="J18" s="217">
        <f t="shared" si="1"/>
        <v>0.29026805119536342</v>
      </c>
      <c r="K18" s="205">
        <f>IFERROR(VLOOKUP($B18,MMWR_TRAD_AGG_RO_COMP[],K$1,0),"ERROR")</f>
        <v>3245</v>
      </c>
      <c r="L18" s="206">
        <f>IFERROR(VLOOKUP($B18,MMWR_TRAD_AGG_RO_COMP[],L$1,0),"ERROR")</f>
        <v>2381</v>
      </c>
      <c r="M18" s="217">
        <f t="shared" si="2"/>
        <v>0.73374422187981514</v>
      </c>
      <c r="N18" s="205">
        <f>IFERROR(VLOOKUP($B18,MMWR_TRAD_AGG_RO_COMP[],N$1,0),"ERROR")</f>
        <v>445</v>
      </c>
      <c r="O18" s="206">
        <f>IFERROR(VLOOKUP($B18,MMWR_TRAD_AGG_RO_COMP[],O$1,0),"ERROR")</f>
        <v>202</v>
      </c>
      <c r="P18" s="217">
        <f t="shared" si="3"/>
        <v>0.45393258426966293</v>
      </c>
      <c r="Q18" s="202">
        <f>IFERROR(VLOOKUP($B18,MMWR_TRAD_AGG_RO_COMP[],Q$1,0),"ERROR")</f>
        <v>0</v>
      </c>
      <c r="R18" s="202">
        <f>IFERROR(VLOOKUP($B18,MMWR_TRAD_AGG_RO_COMP[],R$1,0),"ERROR")</f>
        <v>0</v>
      </c>
      <c r="S18" s="202">
        <f>IFERROR(VLOOKUP($B18,MMWR_APP_RO[],S$1,0),"ERROR")</f>
        <v>472</v>
      </c>
      <c r="T18" s="25"/>
    </row>
    <row r="19" spans="1:20" x14ac:dyDescent="0.2">
      <c r="A19" s="107"/>
      <c r="B19" s="108" t="s">
        <v>72</v>
      </c>
      <c r="C19" s="210">
        <f>IFERROR(VLOOKUP($B19,MMWR_TRAD_AGG_RO_COMP[],C$1,0),"ERROR")</f>
        <v>14623</v>
      </c>
      <c r="D19" s="199">
        <f>IFERROR(VLOOKUP($B19,MMWR_TRAD_AGG_RO_COMP[],D$1,0),"ERROR")</f>
        <v>450.96854270670002</v>
      </c>
      <c r="E19" s="196">
        <f>IFERROR(VLOOKUP($B19,MMWR_TRAD_AGG_RO_COMP[],E$1,0),"ERROR")</f>
        <v>11688</v>
      </c>
      <c r="F19" s="192">
        <f>IFERROR(VLOOKUP($B19,MMWR_TRAD_AGG_RO_COMP[],F$1,0),"ERROR")</f>
        <v>2760</v>
      </c>
      <c r="G19" s="217">
        <f t="shared" si="0"/>
        <v>0.23613963039014374</v>
      </c>
      <c r="H19" s="191">
        <f>IFERROR(VLOOKUP($B19,MMWR_TRAD_AGG_RO_COMP[],H$1,0),"ERROR")</f>
        <v>16702</v>
      </c>
      <c r="I19" s="192">
        <f>IFERROR(VLOOKUP($B19,MMWR_TRAD_AGG_RO_COMP[],I$1,0),"ERROR")</f>
        <v>11711</v>
      </c>
      <c r="J19" s="217">
        <f t="shared" si="1"/>
        <v>0.70117351215423307</v>
      </c>
      <c r="K19" s="205">
        <f>IFERROR(VLOOKUP($B19,MMWR_TRAD_AGG_RO_COMP[],K$1,0),"ERROR")</f>
        <v>7405</v>
      </c>
      <c r="L19" s="206">
        <f>IFERROR(VLOOKUP($B19,MMWR_TRAD_AGG_RO_COMP[],L$1,0),"ERROR")</f>
        <v>5566</v>
      </c>
      <c r="M19" s="217">
        <f t="shared" si="2"/>
        <v>0.75165428764348419</v>
      </c>
      <c r="N19" s="205">
        <f>IFERROR(VLOOKUP($B19,MMWR_TRAD_AGG_RO_COMP[],N$1,0),"ERROR")</f>
        <v>4443</v>
      </c>
      <c r="O19" s="206">
        <f>IFERROR(VLOOKUP($B19,MMWR_TRAD_AGG_RO_COMP[],O$1,0),"ERROR")</f>
        <v>3736</v>
      </c>
      <c r="P19" s="217">
        <f t="shared" si="3"/>
        <v>0.84087328381724058</v>
      </c>
      <c r="Q19" s="202">
        <f>IFERROR(VLOOKUP($B19,MMWR_TRAD_AGG_RO_COMP[],Q$1,0),"ERROR")</f>
        <v>5</v>
      </c>
      <c r="R19" s="202">
        <f>IFERROR(VLOOKUP($B19,MMWR_TRAD_AGG_RO_COMP[],R$1,0),"ERROR")</f>
        <v>4</v>
      </c>
      <c r="S19" s="202">
        <f>IFERROR(VLOOKUP($B19,MMWR_APP_RO[],S$1,0),"ERROR")</f>
        <v>15310</v>
      </c>
      <c r="T19" s="25"/>
    </row>
    <row r="20" spans="1:20" x14ac:dyDescent="0.2">
      <c r="A20" s="107"/>
      <c r="B20" s="108" t="s">
        <v>81</v>
      </c>
      <c r="C20" s="210">
        <f>IFERROR(VLOOKUP($B20,MMWR_TRAD_AGG_RO_COMP[],C$1,0),"ERROR")</f>
        <v>1481</v>
      </c>
      <c r="D20" s="199">
        <f>IFERROR(VLOOKUP($B20,MMWR_TRAD_AGG_RO_COMP[],D$1,0),"ERROR")</f>
        <v>262.603646185</v>
      </c>
      <c r="E20" s="196">
        <f>IFERROR(VLOOKUP($B20,MMWR_TRAD_AGG_RO_COMP[],E$1,0),"ERROR")</f>
        <v>1181</v>
      </c>
      <c r="F20" s="192">
        <f>IFERROR(VLOOKUP($B20,MMWR_TRAD_AGG_RO_COMP[],F$1,0),"ERROR")</f>
        <v>151</v>
      </c>
      <c r="G20" s="217">
        <f t="shared" si="0"/>
        <v>0.12785774767146485</v>
      </c>
      <c r="H20" s="191">
        <f>IFERROR(VLOOKUP($B20,MMWR_TRAD_AGG_RO_COMP[],H$1,0),"ERROR")</f>
        <v>2193</v>
      </c>
      <c r="I20" s="192">
        <f>IFERROR(VLOOKUP($B20,MMWR_TRAD_AGG_RO_COMP[],I$1,0),"ERROR")</f>
        <v>1370</v>
      </c>
      <c r="J20" s="217">
        <f t="shared" si="1"/>
        <v>0.62471500227998178</v>
      </c>
      <c r="K20" s="205">
        <f>IFERROR(VLOOKUP($B20,MMWR_TRAD_AGG_RO_COMP[],K$1,0),"ERROR")</f>
        <v>1262</v>
      </c>
      <c r="L20" s="206">
        <f>IFERROR(VLOOKUP($B20,MMWR_TRAD_AGG_RO_COMP[],L$1,0),"ERROR")</f>
        <v>889</v>
      </c>
      <c r="M20" s="217">
        <f t="shared" si="2"/>
        <v>0.7044374009508716</v>
      </c>
      <c r="N20" s="205">
        <f>IFERROR(VLOOKUP($B20,MMWR_TRAD_AGG_RO_COMP[],N$1,0),"ERROR")</f>
        <v>393</v>
      </c>
      <c r="O20" s="206">
        <f>IFERROR(VLOOKUP($B20,MMWR_TRAD_AGG_RO_COMP[],O$1,0),"ERROR")</f>
        <v>187</v>
      </c>
      <c r="P20" s="217">
        <f t="shared" si="3"/>
        <v>0.4758269720101781</v>
      </c>
      <c r="Q20" s="202">
        <f>IFERROR(VLOOKUP($B20,MMWR_TRAD_AGG_RO_COMP[],Q$1,0),"ERROR")</f>
        <v>1</v>
      </c>
      <c r="R20" s="202">
        <f>IFERROR(VLOOKUP($B20,MMWR_TRAD_AGG_RO_COMP[],R$1,0),"ERROR")</f>
        <v>0</v>
      </c>
      <c r="S20" s="202">
        <f>IFERROR(VLOOKUP($B20,MMWR_APP_RO[],S$1,0),"ERROR")</f>
        <v>421</v>
      </c>
      <c r="T20" s="25"/>
    </row>
    <row r="21" spans="1:20" x14ac:dyDescent="0.2">
      <c r="A21" s="107"/>
      <c r="B21" s="108" t="s">
        <v>434</v>
      </c>
      <c r="C21" s="210">
        <f>IFERROR(VLOOKUP($B21,MMWR_TRAD_AGG_RO_COMP[],C$1,0),"ERROR")</f>
        <v>24116</v>
      </c>
      <c r="D21" s="199">
        <f>IFERROR(VLOOKUP($B21,MMWR_TRAD_AGG_RO_COMP[],D$1,0),"ERROR")</f>
        <v>577.3007132194</v>
      </c>
      <c r="E21" s="196">
        <f>IFERROR(VLOOKUP($B21,MMWR_TRAD_AGG_RO_COMP[],E$1,0),"ERROR")</f>
        <v>1321</v>
      </c>
      <c r="F21" s="192">
        <f>IFERROR(VLOOKUP($B21,MMWR_TRAD_AGG_RO_COMP[],F$1,0),"ERROR")</f>
        <v>489</v>
      </c>
      <c r="G21" s="217">
        <f t="shared" si="0"/>
        <v>0.37017411052233157</v>
      </c>
      <c r="H21" s="191">
        <f>IFERROR(VLOOKUP($B21,MMWR_TRAD_AGG_RO_COMP[],H$1,0),"ERROR")</f>
        <v>24588</v>
      </c>
      <c r="I21" s="192">
        <f>IFERROR(VLOOKUP($B21,MMWR_TRAD_AGG_RO_COMP[],I$1,0),"ERROR")</f>
        <v>24060</v>
      </c>
      <c r="J21" s="217">
        <f t="shared" si="1"/>
        <v>0.9785261102977062</v>
      </c>
      <c r="K21" s="205">
        <f>IFERROR(VLOOKUP($B21,MMWR_TRAD_AGG_RO_COMP[],K$1,0),"ERROR")</f>
        <v>1084</v>
      </c>
      <c r="L21" s="206">
        <f>IFERROR(VLOOKUP($B21,MMWR_TRAD_AGG_RO_COMP[],L$1,0),"ERROR")</f>
        <v>644</v>
      </c>
      <c r="M21" s="217">
        <f t="shared" si="2"/>
        <v>0.59409594095940954</v>
      </c>
      <c r="N21" s="205">
        <f>IFERROR(VLOOKUP($B21,MMWR_TRAD_AGG_RO_COMP[],N$1,0),"ERROR")</f>
        <v>1361</v>
      </c>
      <c r="O21" s="206">
        <f>IFERROR(VLOOKUP($B21,MMWR_TRAD_AGG_RO_COMP[],O$1,0),"ERROR")</f>
        <v>1230</v>
      </c>
      <c r="P21" s="217">
        <f t="shared" si="3"/>
        <v>0.90374724467303458</v>
      </c>
      <c r="Q21" s="202">
        <f>IFERROR(VLOOKUP($B21,MMWR_TRAD_AGG_RO_COMP[],Q$1,0),"ERROR")</f>
        <v>0</v>
      </c>
      <c r="R21" s="202">
        <f>IFERROR(VLOOKUP($B21,MMWR_TRAD_AGG_RO_COMP[],R$1,0),"ERROR")</f>
        <v>0</v>
      </c>
      <c r="S21" s="202">
        <f>IFERROR(VLOOKUP($B21,MMWR_APP_RO[],S$1,0),"ERROR")</f>
        <v>20</v>
      </c>
      <c r="T21" s="25"/>
    </row>
    <row r="22" spans="1:20" x14ac:dyDescent="0.2">
      <c r="A22" s="107"/>
      <c r="B22" s="108" t="s">
        <v>138</v>
      </c>
      <c r="C22" s="210">
        <f>IFERROR(VLOOKUP($B22,MMWR_TRAD_AGG_RO_COMP[],C$1,0),"ERROR")</f>
        <v>421</v>
      </c>
      <c r="D22" s="199">
        <f>IFERROR(VLOOKUP($B22,MMWR_TRAD_AGG_RO_COMP[],D$1,0),"ERROR")</f>
        <v>348.3491686461</v>
      </c>
      <c r="E22" s="196">
        <f>IFERROR(VLOOKUP($B22,MMWR_TRAD_AGG_RO_COMP[],E$1,0),"ERROR")</f>
        <v>510</v>
      </c>
      <c r="F22" s="192">
        <f>IFERROR(VLOOKUP($B22,MMWR_TRAD_AGG_RO_COMP[],F$1,0),"ERROR")</f>
        <v>121</v>
      </c>
      <c r="G22" s="217">
        <f t="shared" si="0"/>
        <v>0.2372549019607843</v>
      </c>
      <c r="H22" s="191">
        <f>IFERROR(VLOOKUP($B22,MMWR_TRAD_AGG_RO_COMP[],H$1,0),"ERROR")</f>
        <v>639</v>
      </c>
      <c r="I22" s="192">
        <f>IFERROR(VLOOKUP($B22,MMWR_TRAD_AGG_RO_COMP[],I$1,0),"ERROR")</f>
        <v>424</v>
      </c>
      <c r="J22" s="217">
        <f t="shared" si="1"/>
        <v>0.66353677621283258</v>
      </c>
      <c r="K22" s="205">
        <f>IFERROR(VLOOKUP($B22,MMWR_TRAD_AGG_RO_COMP[],K$1,0),"ERROR")</f>
        <v>105</v>
      </c>
      <c r="L22" s="206">
        <f>IFERROR(VLOOKUP($B22,MMWR_TRAD_AGG_RO_COMP[],L$1,0),"ERROR")</f>
        <v>68</v>
      </c>
      <c r="M22" s="217">
        <f t="shared" si="2"/>
        <v>0.64761904761904765</v>
      </c>
      <c r="N22" s="205">
        <f>IFERROR(VLOOKUP($B22,MMWR_TRAD_AGG_RO_COMP[],N$1,0),"ERROR")</f>
        <v>117</v>
      </c>
      <c r="O22" s="206">
        <f>IFERROR(VLOOKUP($B22,MMWR_TRAD_AGG_RO_COMP[],O$1,0),"ERROR")</f>
        <v>65</v>
      </c>
      <c r="P22" s="217">
        <f t="shared" si="3"/>
        <v>0.55555555555555558</v>
      </c>
      <c r="Q22" s="202">
        <f>IFERROR(VLOOKUP($B22,MMWR_TRAD_AGG_RO_COMP[],Q$1,0),"ERROR")</f>
        <v>0</v>
      </c>
      <c r="R22" s="202">
        <f>IFERROR(VLOOKUP($B22,MMWR_TRAD_AGG_RO_COMP[],R$1,0),"ERROR")</f>
        <v>1</v>
      </c>
      <c r="S22" s="202">
        <f>IFERROR(VLOOKUP($B22,MMWR_APP_RO[],S$1,0),"ERROR")</f>
        <v>114</v>
      </c>
      <c r="T22" s="25"/>
    </row>
    <row r="23" spans="1:20" x14ac:dyDescent="0.2">
      <c r="A23" s="107"/>
      <c r="B23" s="108" t="s">
        <v>85</v>
      </c>
      <c r="C23" s="210">
        <f>IFERROR(VLOOKUP($B23,MMWR_TRAD_AGG_RO_COMP[],C$1,0),"ERROR")</f>
        <v>623</v>
      </c>
      <c r="D23" s="199">
        <f>IFERROR(VLOOKUP($B23,MMWR_TRAD_AGG_RO_COMP[],D$1,0),"ERROR")</f>
        <v>383.4895666132</v>
      </c>
      <c r="E23" s="196">
        <f>IFERROR(VLOOKUP($B23,MMWR_TRAD_AGG_RO_COMP[],E$1,0),"ERROR")</f>
        <v>701</v>
      </c>
      <c r="F23" s="192">
        <f>IFERROR(VLOOKUP($B23,MMWR_TRAD_AGG_RO_COMP[],F$1,0),"ERROR")</f>
        <v>213</v>
      </c>
      <c r="G23" s="217">
        <f t="shared" si="0"/>
        <v>0.30385164051355207</v>
      </c>
      <c r="H23" s="191">
        <f>IFERROR(VLOOKUP($B23,MMWR_TRAD_AGG_RO_COMP[],H$1,0),"ERROR")</f>
        <v>702</v>
      </c>
      <c r="I23" s="192">
        <f>IFERROR(VLOOKUP($B23,MMWR_TRAD_AGG_RO_COMP[],I$1,0),"ERROR")</f>
        <v>542</v>
      </c>
      <c r="J23" s="217">
        <f t="shared" si="1"/>
        <v>0.77207977207977208</v>
      </c>
      <c r="K23" s="205">
        <f>IFERROR(VLOOKUP($B23,MMWR_TRAD_AGG_RO_COMP[],K$1,0),"ERROR")</f>
        <v>53</v>
      </c>
      <c r="L23" s="206">
        <f>IFERROR(VLOOKUP($B23,MMWR_TRAD_AGG_RO_COMP[],L$1,0),"ERROR")</f>
        <v>15</v>
      </c>
      <c r="M23" s="217">
        <f t="shared" si="2"/>
        <v>0.28301886792452829</v>
      </c>
      <c r="N23" s="205">
        <f>IFERROR(VLOOKUP($B23,MMWR_TRAD_AGG_RO_COMP[],N$1,0),"ERROR")</f>
        <v>127</v>
      </c>
      <c r="O23" s="206">
        <f>IFERROR(VLOOKUP($B23,MMWR_TRAD_AGG_RO_COMP[],O$1,0),"ERROR")</f>
        <v>67</v>
      </c>
      <c r="P23" s="217">
        <f t="shared" si="3"/>
        <v>0.52755905511811019</v>
      </c>
      <c r="Q23" s="202">
        <f>IFERROR(VLOOKUP($B23,MMWR_TRAD_AGG_RO_COMP[],Q$1,0),"ERROR")</f>
        <v>0</v>
      </c>
      <c r="R23" s="202">
        <f>IFERROR(VLOOKUP($B23,MMWR_TRAD_AGG_RO_COMP[],R$1,0),"ERROR")</f>
        <v>0</v>
      </c>
      <c r="S23" s="202">
        <f>IFERROR(VLOOKUP($B23,MMWR_APP_RO[],S$1,0),"ERROR")</f>
        <v>186</v>
      </c>
      <c r="T23" s="25"/>
    </row>
    <row r="24" spans="1:20" x14ac:dyDescent="0.2">
      <c r="A24" s="92"/>
      <c r="B24" s="116" t="s">
        <v>86</v>
      </c>
      <c r="C24" s="211">
        <f>IFERROR(VLOOKUP($B24,MMWR_TRAD_AGG_RO_COMP[],C$1,0),"ERROR")</f>
        <v>17846</v>
      </c>
      <c r="D24" s="200">
        <f>IFERROR(VLOOKUP($B24,MMWR_TRAD_AGG_RO_COMP[],D$1,0),"ERROR")</f>
        <v>335.41617169109998</v>
      </c>
      <c r="E24" s="197">
        <f>IFERROR(VLOOKUP($B24,MMWR_TRAD_AGG_RO_COMP[],E$1,0),"ERROR")</f>
        <v>18065</v>
      </c>
      <c r="F24" s="194">
        <f>IFERROR(VLOOKUP($B24,MMWR_TRAD_AGG_RO_COMP[],F$1,0),"ERROR")</f>
        <v>5248</v>
      </c>
      <c r="G24" s="218">
        <f t="shared" si="0"/>
        <v>0.29050650429006364</v>
      </c>
      <c r="H24" s="193">
        <f>IFERROR(VLOOKUP($B24,MMWR_TRAD_AGG_RO_COMP[],H$1,0),"ERROR")</f>
        <v>30520</v>
      </c>
      <c r="I24" s="194">
        <f>IFERROR(VLOOKUP($B24,MMWR_TRAD_AGG_RO_COMP[],I$1,0),"ERROR")</f>
        <v>19405</v>
      </c>
      <c r="J24" s="218">
        <f t="shared" si="1"/>
        <v>0.63581258191349932</v>
      </c>
      <c r="K24" s="207">
        <f>IFERROR(VLOOKUP($B24,MMWR_TRAD_AGG_RO_COMP[],K$1,0),"ERROR")</f>
        <v>11086</v>
      </c>
      <c r="L24" s="208">
        <f>IFERROR(VLOOKUP($B24,MMWR_TRAD_AGG_RO_COMP[],L$1,0),"ERROR")</f>
        <v>7182</v>
      </c>
      <c r="M24" s="218">
        <f t="shared" si="2"/>
        <v>0.64784412772866684</v>
      </c>
      <c r="N24" s="207">
        <f>IFERROR(VLOOKUP($B24,MMWR_TRAD_AGG_RO_COMP[],N$1,0),"ERROR")</f>
        <v>4145</v>
      </c>
      <c r="O24" s="208">
        <f>IFERROR(VLOOKUP($B24,MMWR_TRAD_AGG_RO_COMP[],O$1,0),"ERROR")</f>
        <v>2699</v>
      </c>
      <c r="P24" s="218">
        <f t="shared" si="3"/>
        <v>0.651145958986731</v>
      </c>
      <c r="Q24" s="203">
        <f>IFERROR(VLOOKUP($B24,MMWR_TRAD_AGG_RO_COMP[],Q$1,0),"ERROR")</f>
        <v>1</v>
      </c>
      <c r="R24" s="203">
        <f>IFERROR(VLOOKUP($B24,MMWR_TRAD_AGG_RO_COMP[],R$1,0),"ERROR")</f>
        <v>21</v>
      </c>
      <c r="S24" s="202">
        <f>IFERROR(VLOOKUP($B24,MMWR_APP_RO[],S$1,0),"ERROR")</f>
        <v>9096</v>
      </c>
      <c r="T24" s="25"/>
    </row>
    <row r="25" spans="1:20" x14ac:dyDescent="0.2">
      <c r="A25" s="107"/>
      <c r="B25" s="101" t="s">
        <v>394</v>
      </c>
      <c r="C25" s="213">
        <f>IFERROR(VLOOKUP($B25,MMWR_TRAD_AGG_DISTRICT_COMP[],C$1,0),"ERROR")</f>
        <v>47500</v>
      </c>
      <c r="D25" s="198">
        <f>IFERROR(VLOOKUP($B25,MMWR_TRAD_AGG_DISTRICT_COMP[],D$1,0),"ERROR")</f>
        <v>381.78381052629999</v>
      </c>
      <c r="E25" s="214">
        <f>IFERROR(VLOOKUP($B25,MMWR_TRAD_AGG_DISTRICT_COMP[],E$1,0),"ERROR")</f>
        <v>55726</v>
      </c>
      <c r="F25" s="219">
        <f>IFERROR(VLOOKUP($B25,MMWR_TRAD_AGG_DISTRICT_COMP[],F$1,0),"ERROR")</f>
        <v>12154</v>
      </c>
      <c r="G25" s="215">
        <f t="shared" si="0"/>
        <v>0.2181028604242185</v>
      </c>
      <c r="H25" s="219">
        <f>IFERROR(VLOOKUP($B25,MMWR_TRAD_AGG_DISTRICT_COMP[],H$1,0),"ERROR")</f>
        <v>74123</v>
      </c>
      <c r="I25" s="219">
        <f>IFERROR(VLOOKUP($B25,MMWR_TRAD_AGG_DISTRICT_COMP[],I$1,0),"ERROR")</f>
        <v>44892</v>
      </c>
      <c r="J25" s="215">
        <f t="shared" si="1"/>
        <v>0.60564197347651871</v>
      </c>
      <c r="K25" s="213">
        <f>IFERROR(VLOOKUP($B25,MMWR_TRAD_AGG_DISTRICT_COMP[],K$1,0),"ERROR")</f>
        <v>13791</v>
      </c>
      <c r="L25" s="213">
        <f>IFERROR(VLOOKUP($B25,MMWR_TRAD_AGG_DISTRICT_COMP[],L$1,0),"ERROR")</f>
        <v>8568</v>
      </c>
      <c r="M25" s="215">
        <f t="shared" si="2"/>
        <v>0.62127474439852082</v>
      </c>
      <c r="N25" s="213">
        <f>IFERROR(VLOOKUP($B25,MMWR_TRAD_AGG_DISTRICT_COMP[],N$1,0),"ERROR")</f>
        <v>19857</v>
      </c>
      <c r="O25" s="213">
        <f>IFERROR(VLOOKUP($B25,MMWR_TRAD_AGG_DISTRICT_COMP[],O$1,0),"ERROR")</f>
        <v>11053</v>
      </c>
      <c r="P25" s="215">
        <f t="shared" si="3"/>
        <v>0.55662990381225763</v>
      </c>
      <c r="Q25" s="213">
        <f>IFERROR(VLOOKUP($B25,MMWR_TRAD_AGG_DISTRICT_COMP[],Q$1,0),"ERROR")</f>
        <v>5945</v>
      </c>
      <c r="R25" s="216">
        <f>IFERROR(VLOOKUP($B25,MMWR_TRAD_AGG_DISTRICT_COMP[],R$1,0),"ERROR")</f>
        <v>1039</v>
      </c>
      <c r="S25" s="216">
        <f>IFERROR(VLOOKUP($B25,MMWR_APP_RO[],S$1,0),"ERROR")</f>
        <v>51746</v>
      </c>
      <c r="T25" s="25"/>
    </row>
    <row r="26" spans="1:20" x14ac:dyDescent="0.2">
      <c r="A26" s="107"/>
      <c r="B26" s="108" t="s">
        <v>40</v>
      </c>
      <c r="C26" s="210">
        <f>IFERROR(VLOOKUP($B26,MMWR_TRAD_AGG_RO_COMP[],C$1,0),"ERROR")</f>
        <v>5863</v>
      </c>
      <c r="D26" s="199">
        <f>IFERROR(VLOOKUP($B26,MMWR_TRAD_AGG_RO_COMP[],D$1,0),"ERROR")</f>
        <v>504.65836602420001</v>
      </c>
      <c r="E26" s="196">
        <f>IFERROR(VLOOKUP($B26,MMWR_TRAD_AGG_RO_COMP[],E$1,0),"ERROR")</f>
        <v>6595</v>
      </c>
      <c r="F26" s="192">
        <f>IFERROR(VLOOKUP($B26,MMWR_TRAD_AGG_RO_COMP[],F$1,0),"ERROR")</f>
        <v>1829</v>
      </c>
      <c r="G26" s="217">
        <f t="shared" si="0"/>
        <v>0.27733131159969676</v>
      </c>
      <c r="H26" s="191">
        <f>IFERROR(VLOOKUP($B26,MMWR_TRAD_AGG_RO_COMP[],H$1,0),"ERROR")</f>
        <v>7368</v>
      </c>
      <c r="I26" s="192">
        <f>IFERROR(VLOOKUP($B26,MMWR_TRAD_AGG_RO_COMP[],I$1,0),"ERROR")</f>
        <v>5586</v>
      </c>
      <c r="J26" s="217">
        <f t="shared" si="1"/>
        <v>0.75814332247557004</v>
      </c>
      <c r="K26" s="205">
        <f>IFERROR(VLOOKUP($B26,MMWR_TRAD_AGG_RO_COMP[],K$1,0),"ERROR")</f>
        <v>1785</v>
      </c>
      <c r="L26" s="206">
        <f>IFERROR(VLOOKUP($B26,MMWR_TRAD_AGG_RO_COMP[],L$1,0),"ERROR")</f>
        <v>1489</v>
      </c>
      <c r="M26" s="217">
        <f t="shared" si="2"/>
        <v>0.83417366946778715</v>
      </c>
      <c r="N26" s="205">
        <f>IFERROR(VLOOKUP($B26,MMWR_TRAD_AGG_RO_COMP[],N$1,0),"ERROR")</f>
        <v>1201</v>
      </c>
      <c r="O26" s="206">
        <f>IFERROR(VLOOKUP($B26,MMWR_TRAD_AGG_RO_COMP[],O$1,0),"ERROR")</f>
        <v>684</v>
      </c>
      <c r="P26" s="217">
        <f t="shared" si="3"/>
        <v>0.56952539550374692</v>
      </c>
      <c r="Q26" s="202">
        <f>IFERROR(VLOOKUP($B26,MMWR_TRAD_AGG_RO_COMP[],Q$1,0),"ERROR")</f>
        <v>0</v>
      </c>
      <c r="R26" s="202">
        <f>IFERROR(VLOOKUP($B26,MMWR_TRAD_AGG_RO_COMP[],R$1,0),"ERROR")</f>
        <v>214</v>
      </c>
      <c r="S26" s="202">
        <f>IFERROR(VLOOKUP($B26,MMWR_APP_RO[],S$1,0),"ERROR")</f>
        <v>8244</v>
      </c>
      <c r="T26" s="25"/>
    </row>
    <row r="27" spans="1:20" x14ac:dyDescent="0.2">
      <c r="A27" s="107"/>
      <c r="B27" s="108" t="s">
        <v>41</v>
      </c>
      <c r="C27" s="210">
        <f>IFERROR(VLOOKUP($B27,MMWR_TRAD_AGG_RO_COMP[],C$1,0),"ERROR")</f>
        <v>5470</v>
      </c>
      <c r="D27" s="199">
        <f>IFERROR(VLOOKUP($B27,MMWR_TRAD_AGG_RO_COMP[],D$1,0),"ERROR")</f>
        <v>410.31279707499999</v>
      </c>
      <c r="E27" s="196">
        <f>IFERROR(VLOOKUP($B27,MMWR_TRAD_AGG_RO_COMP[],E$1,0),"ERROR")</f>
        <v>7886</v>
      </c>
      <c r="F27" s="192">
        <f>IFERROR(VLOOKUP($B27,MMWR_TRAD_AGG_RO_COMP[],F$1,0),"ERROR")</f>
        <v>2192</v>
      </c>
      <c r="G27" s="217">
        <f t="shared" si="0"/>
        <v>0.27796094344407812</v>
      </c>
      <c r="H27" s="191">
        <f>IFERROR(VLOOKUP($B27,MMWR_TRAD_AGG_RO_COMP[],H$1,0),"ERROR")</f>
        <v>7706</v>
      </c>
      <c r="I27" s="192">
        <f>IFERROR(VLOOKUP($B27,MMWR_TRAD_AGG_RO_COMP[],I$1,0),"ERROR")</f>
        <v>4935</v>
      </c>
      <c r="J27" s="217">
        <f t="shared" si="1"/>
        <v>0.64041007007526607</v>
      </c>
      <c r="K27" s="205">
        <f>IFERROR(VLOOKUP($B27,MMWR_TRAD_AGG_RO_COMP[],K$1,0),"ERROR")</f>
        <v>1595</v>
      </c>
      <c r="L27" s="206">
        <f>IFERROR(VLOOKUP($B27,MMWR_TRAD_AGG_RO_COMP[],L$1,0),"ERROR")</f>
        <v>795</v>
      </c>
      <c r="M27" s="217">
        <f t="shared" si="2"/>
        <v>0.49843260188087773</v>
      </c>
      <c r="N27" s="205">
        <f>IFERROR(VLOOKUP($B27,MMWR_TRAD_AGG_RO_COMP[],N$1,0),"ERROR")</f>
        <v>3212</v>
      </c>
      <c r="O27" s="206">
        <f>IFERROR(VLOOKUP($B27,MMWR_TRAD_AGG_RO_COMP[],O$1,0),"ERROR")</f>
        <v>2224</v>
      </c>
      <c r="P27" s="217">
        <f t="shared" si="3"/>
        <v>0.69240348692403486</v>
      </c>
      <c r="Q27" s="202">
        <f>IFERROR(VLOOKUP($B27,MMWR_TRAD_AGG_RO_COMP[],Q$1,0),"ERROR")</f>
        <v>0</v>
      </c>
      <c r="R27" s="202">
        <f>IFERROR(VLOOKUP($B27,MMWR_TRAD_AGG_RO_COMP[],R$1,0),"ERROR")</f>
        <v>324</v>
      </c>
      <c r="S27" s="202">
        <f>IFERROR(VLOOKUP($B27,MMWR_APP_RO[],S$1,0),"ERROR")</f>
        <v>13618</v>
      </c>
      <c r="T27" s="25"/>
    </row>
    <row r="28" spans="1:20" x14ac:dyDescent="0.2">
      <c r="A28" s="107"/>
      <c r="B28" s="108" t="s">
        <v>44</v>
      </c>
      <c r="C28" s="210">
        <f>IFERROR(VLOOKUP($B28,MMWR_TRAD_AGG_RO_COMP[],C$1,0),"ERROR")</f>
        <v>1094</v>
      </c>
      <c r="D28" s="199">
        <f>IFERROR(VLOOKUP($B28,MMWR_TRAD_AGG_RO_COMP[],D$1,0),"ERROR")</f>
        <v>135.6608775137</v>
      </c>
      <c r="E28" s="196">
        <f>IFERROR(VLOOKUP($B28,MMWR_TRAD_AGG_RO_COMP[],E$1,0),"ERROR")</f>
        <v>2247</v>
      </c>
      <c r="F28" s="192">
        <f>IFERROR(VLOOKUP($B28,MMWR_TRAD_AGG_RO_COMP[],F$1,0),"ERROR")</f>
        <v>396</v>
      </c>
      <c r="G28" s="217">
        <f t="shared" si="0"/>
        <v>0.17623497997329773</v>
      </c>
      <c r="H28" s="191">
        <f>IFERROR(VLOOKUP($B28,MMWR_TRAD_AGG_RO_COMP[],H$1,0),"ERROR")</f>
        <v>1650</v>
      </c>
      <c r="I28" s="192">
        <f>IFERROR(VLOOKUP($B28,MMWR_TRAD_AGG_RO_COMP[],I$1,0),"ERROR")</f>
        <v>682</v>
      </c>
      <c r="J28" s="217">
        <f t="shared" si="1"/>
        <v>0.41333333333333333</v>
      </c>
      <c r="K28" s="205">
        <f>IFERROR(VLOOKUP($B28,MMWR_TRAD_AGG_RO_COMP[],K$1,0),"ERROR")</f>
        <v>321</v>
      </c>
      <c r="L28" s="206">
        <f>IFERROR(VLOOKUP($B28,MMWR_TRAD_AGG_RO_COMP[],L$1,0),"ERROR")</f>
        <v>93</v>
      </c>
      <c r="M28" s="217">
        <f t="shared" si="2"/>
        <v>0.28971962616822428</v>
      </c>
      <c r="N28" s="205">
        <f>IFERROR(VLOOKUP($B28,MMWR_TRAD_AGG_RO_COMP[],N$1,0),"ERROR")</f>
        <v>343</v>
      </c>
      <c r="O28" s="206">
        <f>IFERROR(VLOOKUP($B28,MMWR_TRAD_AGG_RO_COMP[],O$1,0),"ERROR")</f>
        <v>175</v>
      </c>
      <c r="P28" s="217">
        <f t="shared" si="3"/>
        <v>0.51020408163265307</v>
      </c>
      <c r="Q28" s="202">
        <f>IFERROR(VLOOKUP($B28,MMWR_TRAD_AGG_RO_COMP[],Q$1,0),"ERROR")</f>
        <v>0</v>
      </c>
      <c r="R28" s="202">
        <f>IFERROR(VLOOKUP($B28,MMWR_TRAD_AGG_RO_COMP[],R$1,0),"ERROR")</f>
        <v>5</v>
      </c>
      <c r="S28" s="202">
        <f>IFERROR(VLOOKUP($B28,MMWR_APP_RO[],S$1,0),"ERROR")</f>
        <v>1238</v>
      </c>
      <c r="T28" s="25"/>
    </row>
    <row r="29" spans="1:20" x14ac:dyDescent="0.2">
      <c r="A29" s="107"/>
      <c r="B29" s="108" t="s">
        <v>45</v>
      </c>
      <c r="C29" s="210">
        <f>IFERROR(VLOOKUP($B29,MMWR_TRAD_AGG_RO_COMP[],C$1,0),"ERROR")</f>
        <v>3262</v>
      </c>
      <c r="D29" s="199">
        <f>IFERROR(VLOOKUP($B29,MMWR_TRAD_AGG_RO_COMP[],D$1,0),"ERROR")</f>
        <v>283.10269773149997</v>
      </c>
      <c r="E29" s="196">
        <f>IFERROR(VLOOKUP($B29,MMWR_TRAD_AGG_RO_COMP[],E$1,0),"ERROR")</f>
        <v>6654</v>
      </c>
      <c r="F29" s="192">
        <f>IFERROR(VLOOKUP($B29,MMWR_TRAD_AGG_RO_COMP[],F$1,0),"ERROR")</f>
        <v>1703</v>
      </c>
      <c r="G29" s="217">
        <f t="shared" si="0"/>
        <v>0.25593627892996695</v>
      </c>
      <c r="H29" s="191">
        <f>IFERROR(VLOOKUP($B29,MMWR_TRAD_AGG_RO_COMP[],H$1,0),"ERROR")</f>
        <v>7401</v>
      </c>
      <c r="I29" s="192">
        <f>IFERROR(VLOOKUP($B29,MMWR_TRAD_AGG_RO_COMP[],I$1,0),"ERROR")</f>
        <v>3732</v>
      </c>
      <c r="J29" s="217">
        <f t="shared" si="1"/>
        <v>0.50425618159708152</v>
      </c>
      <c r="K29" s="205">
        <f>IFERROR(VLOOKUP($B29,MMWR_TRAD_AGG_RO_COMP[],K$1,0),"ERROR")</f>
        <v>1479</v>
      </c>
      <c r="L29" s="206">
        <f>IFERROR(VLOOKUP($B29,MMWR_TRAD_AGG_RO_COMP[],L$1,0),"ERROR")</f>
        <v>1052</v>
      </c>
      <c r="M29" s="217">
        <f t="shared" si="2"/>
        <v>0.71129141311697097</v>
      </c>
      <c r="N29" s="205">
        <f>IFERROR(VLOOKUP($B29,MMWR_TRAD_AGG_RO_COMP[],N$1,0),"ERROR")</f>
        <v>4908</v>
      </c>
      <c r="O29" s="206">
        <f>IFERROR(VLOOKUP($B29,MMWR_TRAD_AGG_RO_COMP[],O$1,0),"ERROR")</f>
        <v>432</v>
      </c>
      <c r="P29" s="217">
        <f t="shared" si="3"/>
        <v>8.8019559902200492E-2</v>
      </c>
      <c r="Q29" s="202">
        <f>IFERROR(VLOOKUP($B29,MMWR_TRAD_AGG_RO_COMP[],Q$1,0),"ERROR")</f>
        <v>2</v>
      </c>
      <c r="R29" s="202">
        <f>IFERROR(VLOOKUP($B29,MMWR_TRAD_AGG_RO_COMP[],R$1,0),"ERROR")</f>
        <v>201</v>
      </c>
      <c r="S29" s="202">
        <f>IFERROR(VLOOKUP($B29,MMWR_APP_RO[],S$1,0),"ERROR")</f>
        <v>5546</v>
      </c>
      <c r="T29" s="25"/>
    </row>
    <row r="30" spans="1:20" x14ac:dyDescent="0.2">
      <c r="A30" s="107"/>
      <c r="B30" s="108" t="s">
        <v>46</v>
      </c>
      <c r="C30" s="210">
        <f>IFERROR(VLOOKUP($B30,MMWR_TRAD_AGG_RO_COMP[],C$1,0),"ERROR")</f>
        <v>88</v>
      </c>
      <c r="D30" s="199">
        <f>IFERROR(VLOOKUP($B30,MMWR_TRAD_AGG_RO_COMP[],D$1,0),"ERROR")</f>
        <v>93.056818181799997</v>
      </c>
      <c r="E30" s="196">
        <f>IFERROR(VLOOKUP($B30,MMWR_TRAD_AGG_RO_COMP[],E$1,0),"ERROR")</f>
        <v>831</v>
      </c>
      <c r="F30" s="192">
        <f>IFERROR(VLOOKUP($B30,MMWR_TRAD_AGG_RO_COMP[],F$1,0),"ERROR")</f>
        <v>150</v>
      </c>
      <c r="G30" s="217">
        <f t="shared" si="0"/>
        <v>0.18050541516245489</v>
      </c>
      <c r="H30" s="191">
        <f>IFERROR(VLOOKUP($B30,MMWR_TRAD_AGG_RO_COMP[],H$1,0),"ERROR")</f>
        <v>209</v>
      </c>
      <c r="I30" s="192">
        <f>IFERROR(VLOOKUP($B30,MMWR_TRAD_AGG_RO_COMP[],I$1,0),"ERROR")</f>
        <v>19</v>
      </c>
      <c r="J30" s="217">
        <f t="shared" si="1"/>
        <v>9.0909090909090912E-2</v>
      </c>
      <c r="K30" s="205">
        <f>IFERROR(VLOOKUP($B30,MMWR_TRAD_AGG_RO_COMP[],K$1,0),"ERROR")</f>
        <v>103</v>
      </c>
      <c r="L30" s="206">
        <f>IFERROR(VLOOKUP($B30,MMWR_TRAD_AGG_RO_COMP[],L$1,0),"ERROR")</f>
        <v>40</v>
      </c>
      <c r="M30" s="217">
        <f t="shared" si="2"/>
        <v>0.38834951456310679</v>
      </c>
      <c r="N30" s="205">
        <f>IFERROR(VLOOKUP($B30,MMWR_TRAD_AGG_RO_COMP[],N$1,0),"ERROR")</f>
        <v>88</v>
      </c>
      <c r="O30" s="206">
        <f>IFERROR(VLOOKUP($B30,MMWR_TRAD_AGG_RO_COMP[],O$1,0),"ERROR")</f>
        <v>36</v>
      </c>
      <c r="P30" s="217">
        <f t="shared" si="3"/>
        <v>0.40909090909090912</v>
      </c>
      <c r="Q30" s="202">
        <f>IFERROR(VLOOKUP($B30,MMWR_TRAD_AGG_RO_COMP[],Q$1,0),"ERROR")</f>
        <v>0</v>
      </c>
      <c r="R30" s="202">
        <f>IFERROR(VLOOKUP($B30,MMWR_TRAD_AGG_RO_COMP[],R$1,0),"ERROR")</f>
        <v>2</v>
      </c>
      <c r="S30" s="202">
        <f>IFERROR(VLOOKUP($B30,MMWR_APP_RO[],S$1,0),"ERROR")</f>
        <v>613</v>
      </c>
      <c r="T30" s="25"/>
    </row>
    <row r="31" spans="1:20" x14ac:dyDescent="0.2">
      <c r="A31" s="107"/>
      <c r="B31" s="108" t="s">
        <v>51</v>
      </c>
      <c r="C31" s="210">
        <f>IFERROR(VLOOKUP($B31,MMWR_TRAD_AGG_RO_COMP[],C$1,0),"ERROR")</f>
        <v>7250</v>
      </c>
      <c r="D31" s="199">
        <f>IFERROR(VLOOKUP($B31,MMWR_TRAD_AGG_RO_COMP[],D$1,0),"ERROR")</f>
        <v>585.68799999999999</v>
      </c>
      <c r="E31" s="196">
        <f>IFERROR(VLOOKUP($B31,MMWR_TRAD_AGG_RO_COMP[],E$1,0),"ERROR")</f>
        <v>4683</v>
      </c>
      <c r="F31" s="192">
        <f>IFERROR(VLOOKUP($B31,MMWR_TRAD_AGG_RO_COMP[],F$1,0),"ERROR")</f>
        <v>987</v>
      </c>
      <c r="G31" s="217">
        <f t="shared" si="0"/>
        <v>0.21076233183856502</v>
      </c>
      <c r="H31" s="191">
        <f>IFERROR(VLOOKUP($B31,MMWR_TRAD_AGG_RO_COMP[],H$1,0),"ERROR")</f>
        <v>11556</v>
      </c>
      <c r="I31" s="192">
        <f>IFERROR(VLOOKUP($B31,MMWR_TRAD_AGG_RO_COMP[],I$1,0),"ERROR")</f>
        <v>8717</v>
      </c>
      <c r="J31" s="217">
        <f t="shared" si="1"/>
        <v>0.75432675666320526</v>
      </c>
      <c r="K31" s="205">
        <f>IFERROR(VLOOKUP($B31,MMWR_TRAD_AGG_RO_COMP[],K$1,0),"ERROR")</f>
        <v>1944</v>
      </c>
      <c r="L31" s="206">
        <f>IFERROR(VLOOKUP($B31,MMWR_TRAD_AGG_RO_COMP[],L$1,0),"ERROR")</f>
        <v>1333</v>
      </c>
      <c r="M31" s="217">
        <f t="shared" si="2"/>
        <v>0.68569958847736623</v>
      </c>
      <c r="N31" s="205">
        <f>IFERROR(VLOOKUP($B31,MMWR_TRAD_AGG_RO_COMP[],N$1,0),"ERROR")</f>
        <v>1835</v>
      </c>
      <c r="O31" s="206">
        <f>IFERROR(VLOOKUP($B31,MMWR_TRAD_AGG_RO_COMP[],O$1,0),"ERROR")</f>
        <v>1418</v>
      </c>
      <c r="P31" s="217">
        <f t="shared" si="3"/>
        <v>0.77275204359673022</v>
      </c>
      <c r="Q31" s="202">
        <f>IFERROR(VLOOKUP($B31,MMWR_TRAD_AGG_RO_COMP[],Q$1,0),"ERROR")</f>
        <v>1</v>
      </c>
      <c r="R31" s="202">
        <f>IFERROR(VLOOKUP($B31,MMWR_TRAD_AGG_RO_COMP[],R$1,0),"ERROR")</f>
        <v>199</v>
      </c>
      <c r="S31" s="202">
        <f>IFERROR(VLOOKUP($B31,MMWR_APP_RO[],S$1,0),"ERROR")</f>
        <v>8338</v>
      </c>
      <c r="T31" s="25"/>
    </row>
    <row r="32" spans="1:20" x14ac:dyDescent="0.2">
      <c r="A32" s="107"/>
      <c r="B32" s="108" t="s">
        <v>53</v>
      </c>
      <c r="C32" s="210">
        <f>IFERROR(VLOOKUP($B32,MMWR_TRAD_AGG_RO_COMP[],C$1,0),"ERROR")</f>
        <v>1989</v>
      </c>
      <c r="D32" s="199">
        <f>IFERROR(VLOOKUP($B32,MMWR_TRAD_AGG_RO_COMP[],D$1,0),"ERROR")</f>
        <v>150.48265460030001</v>
      </c>
      <c r="E32" s="196">
        <f>IFERROR(VLOOKUP($B32,MMWR_TRAD_AGG_RO_COMP[],E$1,0),"ERROR")</f>
        <v>2188</v>
      </c>
      <c r="F32" s="192">
        <f>IFERROR(VLOOKUP($B32,MMWR_TRAD_AGG_RO_COMP[],F$1,0),"ERROR")</f>
        <v>256</v>
      </c>
      <c r="G32" s="217">
        <f t="shared" si="0"/>
        <v>0.1170018281535649</v>
      </c>
      <c r="H32" s="191">
        <f>IFERROR(VLOOKUP($B32,MMWR_TRAD_AGG_RO_COMP[],H$1,0),"ERROR")</f>
        <v>3192</v>
      </c>
      <c r="I32" s="192">
        <f>IFERROR(VLOOKUP($B32,MMWR_TRAD_AGG_RO_COMP[],I$1,0),"ERROR")</f>
        <v>1291</v>
      </c>
      <c r="J32" s="217">
        <f t="shared" si="1"/>
        <v>0.40444862155388472</v>
      </c>
      <c r="K32" s="205">
        <f>IFERROR(VLOOKUP($B32,MMWR_TRAD_AGG_RO_COMP[],K$1,0),"ERROR")</f>
        <v>813</v>
      </c>
      <c r="L32" s="206">
        <f>IFERROR(VLOOKUP($B32,MMWR_TRAD_AGG_RO_COMP[],L$1,0),"ERROR")</f>
        <v>590</v>
      </c>
      <c r="M32" s="217">
        <f t="shared" si="2"/>
        <v>0.72570725707257078</v>
      </c>
      <c r="N32" s="205">
        <f>IFERROR(VLOOKUP($B32,MMWR_TRAD_AGG_RO_COMP[],N$1,0),"ERROR")</f>
        <v>618</v>
      </c>
      <c r="O32" s="206">
        <f>IFERROR(VLOOKUP($B32,MMWR_TRAD_AGG_RO_COMP[],O$1,0),"ERROR")</f>
        <v>263</v>
      </c>
      <c r="P32" s="217">
        <f t="shared" si="3"/>
        <v>0.42556634304207119</v>
      </c>
      <c r="Q32" s="202">
        <f>IFERROR(VLOOKUP($B32,MMWR_TRAD_AGG_RO_COMP[],Q$1,0),"ERROR")</f>
        <v>3</v>
      </c>
      <c r="R32" s="202">
        <f>IFERROR(VLOOKUP($B32,MMWR_TRAD_AGG_RO_COMP[],R$1,0),"ERROR")</f>
        <v>16</v>
      </c>
      <c r="S32" s="202">
        <f>IFERROR(VLOOKUP($B32,MMWR_APP_RO[],S$1,0),"ERROR")</f>
        <v>1110</v>
      </c>
      <c r="T32" s="25"/>
    </row>
    <row r="33" spans="1:20" x14ac:dyDescent="0.2">
      <c r="A33" s="107"/>
      <c r="B33" s="108" t="s">
        <v>59</v>
      </c>
      <c r="C33" s="210">
        <f>IFERROR(VLOOKUP($B33,MMWR_TRAD_AGG_RO_COMP[],C$1,0),"ERROR")</f>
        <v>8210</v>
      </c>
      <c r="D33" s="199">
        <f>IFERROR(VLOOKUP($B33,MMWR_TRAD_AGG_RO_COMP[],D$1,0),"ERROR")</f>
        <v>338.96540803900001</v>
      </c>
      <c r="E33" s="196">
        <f>IFERROR(VLOOKUP($B33,MMWR_TRAD_AGG_RO_COMP[],E$1,0),"ERROR")</f>
        <v>6156</v>
      </c>
      <c r="F33" s="192">
        <f>IFERROR(VLOOKUP($B33,MMWR_TRAD_AGG_RO_COMP[],F$1,0),"ERROR")</f>
        <v>1178</v>
      </c>
      <c r="G33" s="217">
        <f t="shared" si="0"/>
        <v>0.19135802469135801</v>
      </c>
      <c r="H33" s="191">
        <f>IFERROR(VLOOKUP($B33,MMWR_TRAD_AGG_RO_COMP[],H$1,0),"ERROR")</f>
        <v>9432</v>
      </c>
      <c r="I33" s="192">
        <f>IFERROR(VLOOKUP($B33,MMWR_TRAD_AGG_RO_COMP[],I$1,0),"ERROR")</f>
        <v>6453</v>
      </c>
      <c r="J33" s="217">
        <f t="shared" si="1"/>
        <v>0.68416030534351147</v>
      </c>
      <c r="K33" s="205">
        <f>IFERROR(VLOOKUP($B33,MMWR_TRAD_AGG_RO_COMP[],K$1,0),"ERROR")</f>
        <v>613</v>
      </c>
      <c r="L33" s="206">
        <f>IFERROR(VLOOKUP($B33,MMWR_TRAD_AGG_RO_COMP[],L$1,0),"ERROR")</f>
        <v>399</v>
      </c>
      <c r="M33" s="217">
        <f t="shared" si="2"/>
        <v>0.65089722675367045</v>
      </c>
      <c r="N33" s="205">
        <f>IFERROR(VLOOKUP($B33,MMWR_TRAD_AGG_RO_COMP[],N$1,0),"ERROR")</f>
        <v>569</v>
      </c>
      <c r="O33" s="206">
        <f>IFERROR(VLOOKUP($B33,MMWR_TRAD_AGG_RO_COMP[],O$1,0),"ERROR")</f>
        <v>284</v>
      </c>
      <c r="P33" s="217">
        <f t="shared" si="3"/>
        <v>0.49912126537785589</v>
      </c>
      <c r="Q33" s="202">
        <f>IFERROR(VLOOKUP($B33,MMWR_TRAD_AGG_RO_COMP[],Q$1,0),"ERROR")</f>
        <v>5908</v>
      </c>
      <c r="R33" s="202">
        <f>IFERROR(VLOOKUP($B33,MMWR_TRAD_AGG_RO_COMP[],R$1,0),"ERROR")</f>
        <v>0</v>
      </c>
      <c r="S33" s="202">
        <f>IFERROR(VLOOKUP($B33,MMWR_APP_RO[],S$1,0),"ERROR")</f>
        <v>3315</v>
      </c>
      <c r="T33" s="25"/>
    </row>
    <row r="34" spans="1:20" x14ac:dyDescent="0.2">
      <c r="A34" s="107"/>
      <c r="B34" s="108" t="s">
        <v>77</v>
      </c>
      <c r="C34" s="210">
        <f>IFERROR(VLOOKUP($B34,MMWR_TRAD_AGG_RO_COMP[],C$1,0),"ERROR")</f>
        <v>254</v>
      </c>
      <c r="D34" s="199">
        <f>IFERROR(VLOOKUP($B34,MMWR_TRAD_AGG_RO_COMP[],D$1,0),"ERROR")</f>
        <v>109.3700787402</v>
      </c>
      <c r="E34" s="196">
        <f>IFERROR(VLOOKUP($B34,MMWR_TRAD_AGG_RO_COMP[],E$1,0),"ERROR")</f>
        <v>787</v>
      </c>
      <c r="F34" s="192">
        <f>IFERROR(VLOOKUP($B34,MMWR_TRAD_AGG_RO_COMP[],F$1,0),"ERROR")</f>
        <v>149</v>
      </c>
      <c r="G34" s="217">
        <f t="shared" si="0"/>
        <v>0.18932655654383734</v>
      </c>
      <c r="H34" s="191">
        <f>IFERROR(VLOOKUP($B34,MMWR_TRAD_AGG_RO_COMP[],H$1,0),"ERROR")</f>
        <v>462</v>
      </c>
      <c r="I34" s="192">
        <f>IFERROR(VLOOKUP($B34,MMWR_TRAD_AGG_RO_COMP[],I$1,0),"ERROR")</f>
        <v>129</v>
      </c>
      <c r="J34" s="217">
        <f t="shared" si="1"/>
        <v>0.2792207792207792</v>
      </c>
      <c r="K34" s="205">
        <f>IFERROR(VLOOKUP($B34,MMWR_TRAD_AGG_RO_COMP[],K$1,0),"ERROR")</f>
        <v>342</v>
      </c>
      <c r="L34" s="206">
        <f>IFERROR(VLOOKUP($B34,MMWR_TRAD_AGG_RO_COMP[],L$1,0),"ERROR")</f>
        <v>156</v>
      </c>
      <c r="M34" s="217">
        <f t="shared" si="2"/>
        <v>0.45614035087719296</v>
      </c>
      <c r="N34" s="205">
        <f>IFERROR(VLOOKUP($B34,MMWR_TRAD_AGG_RO_COMP[],N$1,0),"ERROR")</f>
        <v>56</v>
      </c>
      <c r="O34" s="206">
        <f>IFERROR(VLOOKUP($B34,MMWR_TRAD_AGG_RO_COMP[],O$1,0),"ERROR")</f>
        <v>16</v>
      </c>
      <c r="P34" s="217">
        <f t="shared" si="3"/>
        <v>0.2857142857142857</v>
      </c>
      <c r="Q34" s="202">
        <f>IFERROR(VLOOKUP($B34,MMWR_TRAD_AGG_RO_COMP[],Q$1,0),"ERROR")</f>
        <v>0</v>
      </c>
      <c r="R34" s="202">
        <f>IFERROR(VLOOKUP($B34,MMWR_TRAD_AGG_RO_COMP[],R$1,0),"ERROR")</f>
        <v>0</v>
      </c>
      <c r="S34" s="202">
        <f>IFERROR(VLOOKUP($B34,MMWR_APP_RO[],S$1,0),"ERROR")</f>
        <v>235</v>
      </c>
      <c r="T34" s="25"/>
    </row>
    <row r="35" spans="1:20" x14ac:dyDescent="0.2">
      <c r="A35" s="107"/>
      <c r="B35" s="108" t="s">
        <v>78</v>
      </c>
      <c r="C35" s="210">
        <f>IFERROR(VLOOKUP($B35,MMWR_TRAD_AGG_RO_COMP[],C$1,0),"ERROR")</f>
        <v>4678</v>
      </c>
      <c r="D35" s="199">
        <f>IFERROR(VLOOKUP($B35,MMWR_TRAD_AGG_RO_COMP[],D$1,0),"ERROR")</f>
        <v>264.2597263788</v>
      </c>
      <c r="E35" s="196">
        <f>IFERROR(VLOOKUP($B35,MMWR_TRAD_AGG_RO_COMP[],E$1,0),"ERROR")</f>
        <v>6019</v>
      </c>
      <c r="F35" s="192">
        <f>IFERROR(VLOOKUP($B35,MMWR_TRAD_AGG_RO_COMP[],F$1,0),"ERROR")</f>
        <v>1125</v>
      </c>
      <c r="G35" s="217">
        <f t="shared" si="0"/>
        <v>0.18690812427313508</v>
      </c>
      <c r="H35" s="191">
        <f>IFERROR(VLOOKUP($B35,MMWR_TRAD_AGG_RO_COMP[],H$1,0),"ERROR")</f>
        <v>6363</v>
      </c>
      <c r="I35" s="192">
        <f>IFERROR(VLOOKUP($B35,MMWR_TRAD_AGG_RO_COMP[],I$1,0),"ERROR")</f>
        <v>3997</v>
      </c>
      <c r="J35" s="217">
        <f t="shared" si="1"/>
        <v>0.62816281628162818</v>
      </c>
      <c r="K35" s="205">
        <f>IFERROR(VLOOKUP($B35,MMWR_TRAD_AGG_RO_COMP[],K$1,0),"ERROR")</f>
        <v>2434</v>
      </c>
      <c r="L35" s="206">
        <f>IFERROR(VLOOKUP($B35,MMWR_TRAD_AGG_RO_COMP[],L$1,0),"ERROR")</f>
        <v>1929</v>
      </c>
      <c r="M35" s="217">
        <f t="shared" si="2"/>
        <v>0.79252259654889068</v>
      </c>
      <c r="N35" s="205">
        <f>IFERROR(VLOOKUP($B35,MMWR_TRAD_AGG_RO_COMP[],N$1,0),"ERROR")</f>
        <v>5613</v>
      </c>
      <c r="O35" s="206">
        <f>IFERROR(VLOOKUP($B35,MMWR_TRAD_AGG_RO_COMP[],O$1,0),"ERROR")</f>
        <v>4800</v>
      </c>
      <c r="P35" s="217">
        <f t="shared" si="3"/>
        <v>0.85515766969535012</v>
      </c>
      <c r="Q35" s="202">
        <f>IFERROR(VLOOKUP($B35,MMWR_TRAD_AGG_RO_COMP[],Q$1,0),"ERROR")</f>
        <v>0</v>
      </c>
      <c r="R35" s="202">
        <f>IFERROR(VLOOKUP($B35,MMWR_TRAD_AGG_RO_COMP[],R$1,0),"ERROR")</f>
        <v>68</v>
      </c>
      <c r="S35" s="202">
        <f>IFERROR(VLOOKUP($B35,MMWR_APP_RO[],S$1,0),"ERROR")</f>
        <v>6528</v>
      </c>
      <c r="T35" s="25"/>
    </row>
    <row r="36" spans="1:20" x14ac:dyDescent="0.2">
      <c r="A36" s="28"/>
      <c r="B36" s="108" t="s">
        <v>79</v>
      </c>
      <c r="C36" s="220">
        <f>IFERROR(VLOOKUP($B36,MMWR_TRAD_AGG_RO_COMP[],C$1,0),"ERROR")</f>
        <v>7611</v>
      </c>
      <c r="D36" s="221">
        <f>IFERROR(VLOOKUP($B36,MMWR_TRAD_AGG_RO_COMP[],D$1,0),"ERROR")</f>
        <v>386.68322165289999</v>
      </c>
      <c r="E36" s="222">
        <f>IFERROR(VLOOKUP($B36,MMWR_TRAD_AGG_RO_COMP[],E$1,0),"ERROR")</f>
        <v>9010</v>
      </c>
      <c r="F36" s="223">
        <f>IFERROR(VLOOKUP($B36,MMWR_TRAD_AGG_RO_COMP[],F$1,0),"ERROR")</f>
        <v>1716</v>
      </c>
      <c r="G36" s="224">
        <f t="shared" si="0"/>
        <v>0.1904550499445061</v>
      </c>
      <c r="H36" s="225">
        <f>IFERROR(VLOOKUP($B36,MMWR_TRAD_AGG_RO_COMP[],H$1,0),"ERROR")</f>
        <v>16331</v>
      </c>
      <c r="I36" s="223">
        <f>IFERROR(VLOOKUP($B36,MMWR_TRAD_AGG_RO_COMP[],I$1,0),"ERROR")</f>
        <v>8125</v>
      </c>
      <c r="J36" s="224">
        <f t="shared" si="1"/>
        <v>0.49752005388524889</v>
      </c>
      <c r="K36" s="226">
        <f>IFERROR(VLOOKUP($B36,MMWR_TRAD_AGG_RO_COMP[],K$1,0),"ERROR")</f>
        <v>1257</v>
      </c>
      <c r="L36" s="227">
        <f>IFERROR(VLOOKUP($B36,MMWR_TRAD_AGG_RO_COMP[],L$1,0),"ERROR")</f>
        <v>240</v>
      </c>
      <c r="M36" s="224">
        <f t="shared" si="2"/>
        <v>0.1909307875894988</v>
      </c>
      <c r="N36" s="226">
        <f>IFERROR(VLOOKUP($B36,MMWR_TRAD_AGG_RO_COMP[],N$1,0),"ERROR")</f>
        <v>1129</v>
      </c>
      <c r="O36" s="227">
        <f>IFERROR(VLOOKUP($B36,MMWR_TRAD_AGG_RO_COMP[],O$1,0),"ERROR")</f>
        <v>621</v>
      </c>
      <c r="P36" s="224">
        <f t="shared" si="3"/>
        <v>0.55004428697962804</v>
      </c>
      <c r="Q36" s="228">
        <f>IFERROR(VLOOKUP($B36,MMWR_TRAD_AGG_RO_COMP[],Q$1,0),"ERROR")</f>
        <v>31</v>
      </c>
      <c r="R36" s="228">
        <f>IFERROR(VLOOKUP($B36,MMWR_TRAD_AGG_RO_COMP[],R$1,0),"ERROR")</f>
        <v>0</v>
      </c>
      <c r="S36" s="202">
        <f>IFERROR(VLOOKUP($B36,MMWR_APP_RO[],S$1,0),"ERROR")</f>
        <v>1743</v>
      </c>
      <c r="T36" s="28"/>
    </row>
    <row r="37" spans="1:20" x14ac:dyDescent="0.2">
      <c r="A37" s="28"/>
      <c r="B37" s="116" t="s">
        <v>84</v>
      </c>
      <c r="C37" s="229">
        <f>IFERROR(VLOOKUP($B37,MMWR_TRAD_AGG_RO_COMP[],C$1,0),"ERROR")</f>
        <v>1731</v>
      </c>
      <c r="D37" s="230">
        <f>IFERROR(VLOOKUP($B37,MMWR_TRAD_AGG_RO_COMP[],D$1,0),"ERROR")</f>
        <v>182.51761987290001</v>
      </c>
      <c r="E37" s="231">
        <f>IFERROR(VLOOKUP($B37,MMWR_TRAD_AGG_RO_COMP[],E$1,0),"ERROR")</f>
        <v>2670</v>
      </c>
      <c r="F37" s="232">
        <f>IFERROR(VLOOKUP($B37,MMWR_TRAD_AGG_RO_COMP[],F$1,0),"ERROR")</f>
        <v>473</v>
      </c>
      <c r="G37" s="233">
        <f t="shared" si="0"/>
        <v>0.17715355805243446</v>
      </c>
      <c r="H37" s="234">
        <f>IFERROR(VLOOKUP($B37,MMWR_TRAD_AGG_RO_COMP[],H$1,0),"ERROR")</f>
        <v>2453</v>
      </c>
      <c r="I37" s="232">
        <f>IFERROR(VLOOKUP($B37,MMWR_TRAD_AGG_RO_COMP[],I$1,0),"ERROR")</f>
        <v>1226</v>
      </c>
      <c r="J37" s="233">
        <f t="shared" si="1"/>
        <v>0.49979616795760295</v>
      </c>
      <c r="K37" s="235">
        <f>IFERROR(VLOOKUP($B37,MMWR_TRAD_AGG_RO_COMP[],K$1,0),"ERROR")</f>
        <v>1105</v>
      </c>
      <c r="L37" s="236">
        <f>IFERROR(VLOOKUP($B37,MMWR_TRAD_AGG_RO_COMP[],L$1,0),"ERROR")</f>
        <v>452</v>
      </c>
      <c r="M37" s="233">
        <f t="shared" si="2"/>
        <v>0.4090497737556561</v>
      </c>
      <c r="N37" s="235">
        <f>IFERROR(VLOOKUP($B37,MMWR_TRAD_AGG_RO_COMP[],N$1,0),"ERROR")</f>
        <v>285</v>
      </c>
      <c r="O37" s="236">
        <f>IFERROR(VLOOKUP($B37,MMWR_TRAD_AGG_RO_COMP[],O$1,0),"ERROR")</f>
        <v>100</v>
      </c>
      <c r="P37" s="233">
        <f t="shared" si="3"/>
        <v>0.35087719298245612</v>
      </c>
      <c r="Q37" s="237">
        <f>IFERROR(VLOOKUP($B37,MMWR_TRAD_AGG_RO_COMP[],Q$1,0),"ERROR")</f>
        <v>0</v>
      </c>
      <c r="R37" s="237">
        <f>IFERROR(VLOOKUP($B37,MMWR_TRAD_AGG_RO_COMP[],R$1,0),"ERROR")</f>
        <v>10</v>
      </c>
      <c r="S37" s="202">
        <f>IFERROR(VLOOKUP($B37,MMWR_APP_RO[],S$1,0),"ERROR")</f>
        <v>1218</v>
      </c>
      <c r="T37" s="28"/>
    </row>
    <row r="38" spans="1:20" x14ac:dyDescent="0.2">
      <c r="A38" s="28"/>
      <c r="B38" s="101" t="s">
        <v>389</v>
      </c>
      <c r="C38" s="213">
        <f>IFERROR(VLOOKUP($B38,MMWR_TRAD_AGG_DISTRICT_COMP[],C$1,0),"ERROR")</f>
        <v>53620</v>
      </c>
      <c r="D38" s="198">
        <f>IFERROR(VLOOKUP($B38,MMWR_TRAD_AGG_DISTRICT_COMP[],D$1,0),"ERROR")</f>
        <v>357.69252144720002</v>
      </c>
      <c r="E38" s="214">
        <f>IFERROR(VLOOKUP($B38,MMWR_TRAD_AGG_DISTRICT_COMP[],E$1,0),"ERROR")</f>
        <v>63999</v>
      </c>
      <c r="F38" s="219">
        <f>IFERROR(VLOOKUP($B38,MMWR_TRAD_AGG_DISTRICT_COMP[],F$1,0),"ERROR")</f>
        <v>14501</v>
      </c>
      <c r="G38" s="215">
        <f t="shared" si="0"/>
        <v>0.22658166533852092</v>
      </c>
      <c r="H38" s="219">
        <f>IFERROR(VLOOKUP($B38,MMWR_TRAD_AGG_DISTRICT_COMP[],H$1,0),"ERROR")</f>
        <v>84062</v>
      </c>
      <c r="I38" s="219">
        <f>IFERROR(VLOOKUP($B38,MMWR_TRAD_AGG_DISTRICT_COMP[],I$1,0),"ERROR")</f>
        <v>51712</v>
      </c>
      <c r="J38" s="215">
        <f t="shared" si="1"/>
        <v>0.61516499726392426</v>
      </c>
      <c r="K38" s="213">
        <f>IFERROR(VLOOKUP($B38,MMWR_TRAD_AGG_DISTRICT_COMP[],K$1,0),"ERROR")</f>
        <v>21606</v>
      </c>
      <c r="L38" s="213">
        <f>IFERROR(VLOOKUP($B38,MMWR_TRAD_AGG_DISTRICT_COMP[],L$1,0),"ERROR")</f>
        <v>13853</v>
      </c>
      <c r="M38" s="215">
        <f t="shared" si="2"/>
        <v>0.64116449134499676</v>
      </c>
      <c r="N38" s="213">
        <f>IFERROR(VLOOKUP($B38,MMWR_TRAD_AGG_DISTRICT_COMP[],N$1,0),"ERROR")</f>
        <v>16550</v>
      </c>
      <c r="O38" s="213">
        <f>IFERROR(VLOOKUP($B38,MMWR_TRAD_AGG_DISTRICT_COMP[],O$1,0),"ERROR")</f>
        <v>8754</v>
      </c>
      <c r="P38" s="215">
        <f t="shared" si="3"/>
        <v>0.52894259818731115</v>
      </c>
      <c r="Q38" s="213">
        <f>IFERROR(VLOOKUP($B38,MMWR_TRAD_AGG_DISTRICT_COMP[],Q$1,0),"ERROR")</f>
        <v>48</v>
      </c>
      <c r="R38" s="216">
        <f>IFERROR(VLOOKUP($B38,MMWR_TRAD_AGG_DISTRICT_COMP[],R$1,0),"ERROR")</f>
        <v>1115</v>
      </c>
      <c r="S38" s="216">
        <f>IFERROR(VLOOKUP($B38,MMWR_APP_RO[],S$1,0),"ERROR")</f>
        <v>67846</v>
      </c>
      <c r="T38" s="28"/>
    </row>
    <row r="39" spans="1:20" x14ac:dyDescent="0.2">
      <c r="A39" s="28"/>
      <c r="B39" s="108" t="s">
        <v>39</v>
      </c>
      <c r="C39" s="220">
        <f>IFERROR(VLOOKUP($B39,MMWR_TRAD_AGG_RO_COMP[],C$1,0),"ERROR")</f>
        <v>338</v>
      </c>
      <c r="D39" s="221">
        <f>IFERROR(VLOOKUP($B39,MMWR_TRAD_AGG_RO_COMP[],D$1,0),"ERROR")</f>
        <v>282.15680473370003</v>
      </c>
      <c r="E39" s="222">
        <f>IFERROR(VLOOKUP($B39,MMWR_TRAD_AGG_RO_COMP[],E$1,0),"ERROR")</f>
        <v>789</v>
      </c>
      <c r="F39" s="223">
        <f>IFERROR(VLOOKUP($B39,MMWR_TRAD_AGG_RO_COMP[],F$1,0),"ERROR")</f>
        <v>97</v>
      </c>
      <c r="G39" s="224">
        <f t="shared" si="0"/>
        <v>0.12294043092522181</v>
      </c>
      <c r="H39" s="225">
        <f>IFERROR(VLOOKUP($B39,MMWR_TRAD_AGG_RO_COMP[],H$1,0),"ERROR")</f>
        <v>557</v>
      </c>
      <c r="I39" s="223">
        <f>IFERROR(VLOOKUP($B39,MMWR_TRAD_AGG_RO_COMP[],I$1,0),"ERROR")</f>
        <v>302</v>
      </c>
      <c r="J39" s="224">
        <f t="shared" si="1"/>
        <v>0.54219030520646316</v>
      </c>
      <c r="K39" s="226">
        <f>IFERROR(VLOOKUP($B39,MMWR_TRAD_AGG_RO_COMP[],K$1,0),"ERROR")</f>
        <v>148</v>
      </c>
      <c r="L39" s="227">
        <f>IFERROR(VLOOKUP($B39,MMWR_TRAD_AGG_RO_COMP[],L$1,0),"ERROR")</f>
        <v>58</v>
      </c>
      <c r="M39" s="224">
        <f t="shared" si="2"/>
        <v>0.39189189189189189</v>
      </c>
      <c r="N39" s="226">
        <f>IFERROR(VLOOKUP($B39,MMWR_TRAD_AGG_RO_COMP[],N$1,0),"ERROR")</f>
        <v>80</v>
      </c>
      <c r="O39" s="227">
        <f>IFERROR(VLOOKUP($B39,MMWR_TRAD_AGG_RO_COMP[],O$1,0),"ERROR")</f>
        <v>29</v>
      </c>
      <c r="P39" s="224">
        <f t="shared" si="3"/>
        <v>0.36249999999999999</v>
      </c>
      <c r="Q39" s="228">
        <f>IFERROR(VLOOKUP($B39,MMWR_TRAD_AGG_RO_COMP[],Q$1,0),"ERROR")</f>
        <v>3</v>
      </c>
      <c r="R39" s="228">
        <f>IFERROR(VLOOKUP($B39,MMWR_TRAD_AGG_RO_COMP[],R$1,0),"ERROR")</f>
        <v>2</v>
      </c>
      <c r="S39" s="202">
        <f>IFERROR(VLOOKUP($B39,MMWR_APP_RO[],S$1,0),"ERROR")</f>
        <v>288</v>
      </c>
      <c r="T39" s="28"/>
    </row>
    <row r="40" spans="1:20" x14ac:dyDescent="0.2">
      <c r="A40" s="28"/>
      <c r="B40" s="108" t="s">
        <v>43</v>
      </c>
      <c r="C40" s="220">
        <f>IFERROR(VLOOKUP($B40,MMWR_TRAD_AGG_RO_COMP[],C$1,0),"ERROR")</f>
        <v>6379</v>
      </c>
      <c r="D40" s="221">
        <f>IFERROR(VLOOKUP($B40,MMWR_TRAD_AGG_RO_COMP[],D$1,0),"ERROR")</f>
        <v>482.95986831789997</v>
      </c>
      <c r="E40" s="222">
        <f>IFERROR(VLOOKUP($B40,MMWR_TRAD_AGG_RO_COMP[],E$1,0),"ERROR")</f>
        <v>8538</v>
      </c>
      <c r="F40" s="223">
        <f>IFERROR(VLOOKUP($B40,MMWR_TRAD_AGG_RO_COMP[],F$1,0),"ERROR")</f>
        <v>2423</v>
      </c>
      <c r="G40" s="224">
        <f t="shared" si="0"/>
        <v>0.28379011478097915</v>
      </c>
      <c r="H40" s="225">
        <f>IFERROR(VLOOKUP($B40,MMWR_TRAD_AGG_RO_COMP[],H$1,0),"ERROR")</f>
        <v>8790</v>
      </c>
      <c r="I40" s="223">
        <f>IFERROR(VLOOKUP($B40,MMWR_TRAD_AGG_RO_COMP[],I$1,0),"ERROR")</f>
        <v>6224</v>
      </c>
      <c r="J40" s="224">
        <f t="shared" si="1"/>
        <v>0.70807736063708759</v>
      </c>
      <c r="K40" s="226">
        <f>IFERROR(VLOOKUP($B40,MMWR_TRAD_AGG_RO_COMP[],K$1,0),"ERROR")</f>
        <v>3269</v>
      </c>
      <c r="L40" s="227">
        <f>IFERROR(VLOOKUP($B40,MMWR_TRAD_AGG_RO_COMP[],L$1,0),"ERROR")</f>
        <v>2328</v>
      </c>
      <c r="M40" s="224">
        <f t="shared" si="2"/>
        <v>0.71214438666258795</v>
      </c>
      <c r="N40" s="226">
        <f>IFERROR(VLOOKUP($B40,MMWR_TRAD_AGG_RO_COMP[],N$1,0),"ERROR")</f>
        <v>821</v>
      </c>
      <c r="O40" s="227">
        <f>IFERROR(VLOOKUP($B40,MMWR_TRAD_AGG_RO_COMP[],O$1,0),"ERROR")</f>
        <v>390</v>
      </c>
      <c r="P40" s="224">
        <f t="shared" si="3"/>
        <v>0.47503045066991473</v>
      </c>
      <c r="Q40" s="228">
        <f>IFERROR(VLOOKUP($B40,MMWR_TRAD_AGG_RO_COMP[],Q$1,0),"ERROR")</f>
        <v>0</v>
      </c>
      <c r="R40" s="228">
        <f>IFERROR(VLOOKUP($B40,MMWR_TRAD_AGG_RO_COMP[],R$1,0),"ERROR")</f>
        <v>56</v>
      </c>
      <c r="S40" s="202">
        <f>IFERROR(VLOOKUP($B40,MMWR_APP_RO[],S$1,0),"ERROR")</f>
        <v>6322</v>
      </c>
      <c r="T40" s="28"/>
    </row>
    <row r="41" spans="1:20" x14ac:dyDescent="0.2">
      <c r="A41" s="28"/>
      <c r="B41" s="108" t="s">
        <v>184</v>
      </c>
      <c r="C41" s="220">
        <f>IFERROR(VLOOKUP($B41,MMWR_TRAD_AGG_RO_COMP[],C$1,0),"ERROR")</f>
        <v>546</v>
      </c>
      <c r="D41" s="221">
        <f>IFERROR(VLOOKUP($B41,MMWR_TRAD_AGG_RO_COMP[],D$1,0),"ERROR")</f>
        <v>167.8626373626</v>
      </c>
      <c r="E41" s="222">
        <f>IFERROR(VLOOKUP($B41,MMWR_TRAD_AGG_RO_COMP[],E$1,0),"ERROR")</f>
        <v>618</v>
      </c>
      <c r="F41" s="223">
        <f>IFERROR(VLOOKUP($B41,MMWR_TRAD_AGG_RO_COMP[],F$1,0),"ERROR")</f>
        <v>54</v>
      </c>
      <c r="G41" s="224">
        <f t="shared" si="0"/>
        <v>8.7378640776699032E-2</v>
      </c>
      <c r="H41" s="225">
        <f>IFERROR(VLOOKUP($B41,MMWR_TRAD_AGG_RO_COMP[],H$1,0),"ERROR")</f>
        <v>726</v>
      </c>
      <c r="I41" s="223">
        <f>IFERROR(VLOOKUP($B41,MMWR_TRAD_AGG_RO_COMP[],I$1,0),"ERROR")</f>
        <v>278</v>
      </c>
      <c r="J41" s="224">
        <f t="shared" si="1"/>
        <v>0.38292011019283745</v>
      </c>
      <c r="K41" s="226">
        <f>IFERROR(VLOOKUP($B41,MMWR_TRAD_AGG_RO_COMP[],K$1,0),"ERROR")</f>
        <v>466</v>
      </c>
      <c r="L41" s="227">
        <f>IFERROR(VLOOKUP($B41,MMWR_TRAD_AGG_RO_COMP[],L$1,0),"ERROR")</f>
        <v>159</v>
      </c>
      <c r="M41" s="224">
        <f t="shared" si="2"/>
        <v>0.34120171673819744</v>
      </c>
      <c r="N41" s="226">
        <f>IFERROR(VLOOKUP($B41,MMWR_TRAD_AGG_RO_COMP[],N$1,0),"ERROR")</f>
        <v>167</v>
      </c>
      <c r="O41" s="227">
        <f>IFERROR(VLOOKUP($B41,MMWR_TRAD_AGG_RO_COMP[],O$1,0),"ERROR")</f>
        <v>61</v>
      </c>
      <c r="P41" s="224">
        <f t="shared" si="3"/>
        <v>0.3652694610778443</v>
      </c>
      <c r="Q41" s="228">
        <f>IFERROR(VLOOKUP($B41,MMWR_TRAD_AGG_RO_COMP[],Q$1,0),"ERROR")</f>
        <v>0</v>
      </c>
      <c r="R41" s="228">
        <f>IFERROR(VLOOKUP($B41,MMWR_TRAD_AGG_RO_COMP[],R$1,0),"ERROR")</f>
        <v>6</v>
      </c>
      <c r="S41" s="202">
        <f>IFERROR(VLOOKUP($B41,MMWR_APP_RO[],S$1,0),"ERROR")</f>
        <v>349</v>
      </c>
      <c r="T41" s="28"/>
    </row>
    <row r="42" spans="1:20" x14ac:dyDescent="0.2">
      <c r="A42" s="28"/>
      <c r="B42" s="108" t="s">
        <v>49</v>
      </c>
      <c r="C42" s="220">
        <f>IFERROR(VLOOKUP($B42,MMWR_TRAD_AGG_RO_COMP[],C$1,0),"ERROR")</f>
        <v>12968</v>
      </c>
      <c r="D42" s="221">
        <f>IFERROR(VLOOKUP($B42,MMWR_TRAD_AGG_RO_COMP[],D$1,0),"ERROR")</f>
        <v>350.83867982729998</v>
      </c>
      <c r="E42" s="222">
        <f>IFERROR(VLOOKUP($B42,MMWR_TRAD_AGG_RO_COMP[],E$1,0),"ERROR")</f>
        <v>15139</v>
      </c>
      <c r="F42" s="223">
        <f>IFERROR(VLOOKUP($B42,MMWR_TRAD_AGG_RO_COMP[],F$1,0),"ERROR")</f>
        <v>3915</v>
      </c>
      <c r="G42" s="224">
        <f t="shared" si="0"/>
        <v>0.25860360657903431</v>
      </c>
      <c r="H42" s="225">
        <f>IFERROR(VLOOKUP($B42,MMWR_TRAD_AGG_RO_COMP[],H$1,0),"ERROR")</f>
        <v>16921</v>
      </c>
      <c r="I42" s="223">
        <f>IFERROR(VLOOKUP($B42,MMWR_TRAD_AGG_RO_COMP[],I$1,0),"ERROR")</f>
        <v>11733</v>
      </c>
      <c r="J42" s="224">
        <f t="shared" si="1"/>
        <v>0.69339873529933216</v>
      </c>
      <c r="K42" s="226">
        <f>IFERROR(VLOOKUP($B42,MMWR_TRAD_AGG_RO_COMP[],K$1,0),"ERROR")</f>
        <v>3195</v>
      </c>
      <c r="L42" s="227">
        <f>IFERROR(VLOOKUP($B42,MMWR_TRAD_AGG_RO_COMP[],L$1,0),"ERROR")</f>
        <v>1857</v>
      </c>
      <c r="M42" s="224">
        <f t="shared" si="2"/>
        <v>0.58122065727699534</v>
      </c>
      <c r="N42" s="226">
        <f>IFERROR(VLOOKUP($B42,MMWR_TRAD_AGG_RO_COMP[],N$1,0),"ERROR")</f>
        <v>3366</v>
      </c>
      <c r="O42" s="227">
        <f>IFERROR(VLOOKUP($B42,MMWR_TRAD_AGG_RO_COMP[],O$1,0),"ERROR")</f>
        <v>2453</v>
      </c>
      <c r="P42" s="224">
        <f t="shared" si="3"/>
        <v>0.72875816993464049</v>
      </c>
      <c r="Q42" s="228">
        <f>IFERROR(VLOOKUP($B42,MMWR_TRAD_AGG_RO_COMP[],Q$1,0),"ERROR")</f>
        <v>1</v>
      </c>
      <c r="R42" s="228">
        <f>IFERROR(VLOOKUP($B42,MMWR_TRAD_AGG_RO_COMP[],R$1,0),"ERROR")</f>
        <v>225</v>
      </c>
      <c r="S42" s="202">
        <f>IFERROR(VLOOKUP($B42,MMWR_APP_RO[],S$1,0),"ERROR")</f>
        <v>20379</v>
      </c>
      <c r="T42" s="28"/>
    </row>
    <row r="43" spans="1:20" x14ac:dyDescent="0.2">
      <c r="A43" s="28"/>
      <c r="B43" s="108" t="s">
        <v>52</v>
      </c>
      <c r="C43" s="220">
        <f>IFERROR(VLOOKUP($B43,MMWR_TRAD_AGG_RO_COMP[],C$1,0),"ERROR")</f>
        <v>4096</v>
      </c>
      <c r="D43" s="221">
        <f>IFERROR(VLOOKUP($B43,MMWR_TRAD_AGG_RO_COMP[],D$1,0),"ERROR")</f>
        <v>411.44775390630002</v>
      </c>
      <c r="E43" s="222">
        <f>IFERROR(VLOOKUP($B43,MMWR_TRAD_AGG_RO_COMP[],E$1,0),"ERROR")</f>
        <v>3968</v>
      </c>
      <c r="F43" s="223">
        <f>IFERROR(VLOOKUP($B43,MMWR_TRAD_AGG_RO_COMP[],F$1,0),"ERROR")</f>
        <v>1239</v>
      </c>
      <c r="G43" s="224">
        <f t="shared" si="0"/>
        <v>0.31224798387096775</v>
      </c>
      <c r="H43" s="225">
        <f>IFERROR(VLOOKUP($B43,MMWR_TRAD_AGG_RO_COMP[],H$1,0),"ERROR")</f>
        <v>6264</v>
      </c>
      <c r="I43" s="223">
        <f>IFERROR(VLOOKUP($B43,MMWR_TRAD_AGG_RO_COMP[],I$1,0),"ERROR")</f>
        <v>4451</v>
      </c>
      <c r="J43" s="224">
        <f t="shared" si="1"/>
        <v>0.71056832694763727</v>
      </c>
      <c r="K43" s="226">
        <f>IFERROR(VLOOKUP($B43,MMWR_TRAD_AGG_RO_COMP[],K$1,0),"ERROR")</f>
        <v>2058</v>
      </c>
      <c r="L43" s="227">
        <f>IFERROR(VLOOKUP($B43,MMWR_TRAD_AGG_RO_COMP[],L$1,0),"ERROR")</f>
        <v>1617</v>
      </c>
      <c r="M43" s="224">
        <f t="shared" si="2"/>
        <v>0.7857142857142857</v>
      </c>
      <c r="N43" s="226">
        <f>IFERROR(VLOOKUP($B43,MMWR_TRAD_AGG_RO_COMP[],N$1,0),"ERROR")</f>
        <v>2258</v>
      </c>
      <c r="O43" s="227">
        <f>IFERROR(VLOOKUP($B43,MMWR_TRAD_AGG_RO_COMP[],O$1,0),"ERROR")</f>
        <v>1849</v>
      </c>
      <c r="P43" s="224">
        <f t="shared" si="3"/>
        <v>0.81886625332152352</v>
      </c>
      <c r="Q43" s="228">
        <f>IFERROR(VLOOKUP($B43,MMWR_TRAD_AGG_RO_COMP[],Q$1,0),"ERROR")</f>
        <v>40</v>
      </c>
      <c r="R43" s="228">
        <f>IFERROR(VLOOKUP($B43,MMWR_TRAD_AGG_RO_COMP[],R$1,0),"ERROR")</f>
        <v>183</v>
      </c>
      <c r="S43" s="202">
        <f>IFERROR(VLOOKUP($B43,MMWR_APP_RO[],S$1,0),"ERROR")</f>
        <v>4691</v>
      </c>
      <c r="T43" s="28"/>
    </row>
    <row r="44" spans="1:20" x14ac:dyDescent="0.2">
      <c r="A44" s="28"/>
      <c r="B44" s="108" t="s">
        <v>54</v>
      </c>
      <c r="C44" s="220">
        <f>IFERROR(VLOOKUP($B44,MMWR_TRAD_AGG_RO_COMP[],C$1,0),"ERROR")</f>
        <v>4553</v>
      </c>
      <c r="D44" s="221">
        <f>IFERROR(VLOOKUP($B44,MMWR_TRAD_AGG_RO_COMP[],D$1,0),"ERROR")</f>
        <v>385.49857236989999</v>
      </c>
      <c r="E44" s="222">
        <f>IFERROR(VLOOKUP($B44,MMWR_TRAD_AGG_RO_COMP[],E$1,0),"ERROR")</f>
        <v>3366</v>
      </c>
      <c r="F44" s="223">
        <f>IFERROR(VLOOKUP($B44,MMWR_TRAD_AGG_RO_COMP[],F$1,0),"ERROR")</f>
        <v>603</v>
      </c>
      <c r="G44" s="224">
        <f t="shared" si="0"/>
        <v>0.17914438502673796</v>
      </c>
      <c r="H44" s="225">
        <f>IFERROR(VLOOKUP($B44,MMWR_TRAD_AGG_RO_COMP[],H$1,0),"ERROR")</f>
        <v>8287</v>
      </c>
      <c r="I44" s="223">
        <f>IFERROR(VLOOKUP($B44,MMWR_TRAD_AGG_RO_COMP[],I$1,0),"ERROR")</f>
        <v>4517</v>
      </c>
      <c r="J44" s="224">
        <f t="shared" si="1"/>
        <v>0.54507059249426815</v>
      </c>
      <c r="K44" s="226">
        <f>IFERROR(VLOOKUP($B44,MMWR_TRAD_AGG_RO_COMP[],K$1,0),"ERROR")</f>
        <v>4150</v>
      </c>
      <c r="L44" s="227">
        <f>IFERROR(VLOOKUP($B44,MMWR_TRAD_AGG_RO_COMP[],L$1,0),"ERROR")</f>
        <v>3549</v>
      </c>
      <c r="M44" s="224">
        <f t="shared" si="2"/>
        <v>0.85518072289156621</v>
      </c>
      <c r="N44" s="226">
        <f>IFERROR(VLOOKUP($B44,MMWR_TRAD_AGG_RO_COMP[],N$1,0),"ERROR")</f>
        <v>1360</v>
      </c>
      <c r="O44" s="227">
        <f>IFERROR(VLOOKUP($B44,MMWR_TRAD_AGG_RO_COMP[],O$1,0),"ERROR")</f>
        <v>700</v>
      </c>
      <c r="P44" s="224">
        <f t="shared" si="3"/>
        <v>0.51470588235294112</v>
      </c>
      <c r="Q44" s="228">
        <f>IFERROR(VLOOKUP($B44,MMWR_TRAD_AGG_RO_COMP[],Q$1,0),"ERROR")</f>
        <v>1</v>
      </c>
      <c r="R44" s="228">
        <f>IFERROR(VLOOKUP($B44,MMWR_TRAD_AGG_RO_COMP[],R$1,0),"ERROR")</f>
        <v>118</v>
      </c>
      <c r="S44" s="202">
        <f>IFERROR(VLOOKUP($B44,MMWR_APP_RO[],S$1,0),"ERROR")</f>
        <v>5304</v>
      </c>
      <c r="T44" s="28"/>
    </row>
    <row r="45" spans="1:20" x14ac:dyDescent="0.2">
      <c r="A45" s="28"/>
      <c r="B45" s="108" t="s">
        <v>27</v>
      </c>
      <c r="C45" s="220">
        <f>IFERROR(VLOOKUP($B45,MMWR_TRAD_AGG_RO_COMP[],C$1,0),"ERROR")</f>
        <v>1187</v>
      </c>
      <c r="D45" s="221">
        <f>IFERROR(VLOOKUP($B45,MMWR_TRAD_AGG_RO_COMP[],D$1,0),"ERROR")</f>
        <v>97.529064869400003</v>
      </c>
      <c r="E45" s="222">
        <f>IFERROR(VLOOKUP($B45,MMWR_TRAD_AGG_RO_COMP[],E$1,0),"ERROR")</f>
        <v>5917</v>
      </c>
      <c r="F45" s="223">
        <f>IFERROR(VLOOKUP($B45,MMWR_TRAD_AGG_RO_COMP[],F$1,0),"ERROR")</f>
        <v>861</v>
      </c>
      <c r="G45" s="224">
        <f t="shared" si="0"/>
        <v>0.14551292884907893</v>
      </c>
      <c r="H45" s="225">
        <f>IFERROR(VLOOKUP($B45,MMWR_TRAD_AGG_RO_COMP[],H$1,0),"ERROR")</f>
        <v>7408</v>
      </c>
      <c r="I45" s="223">
        <f>IFERROR(VLOOKUP($B45,MMWR_TRAD_AGG_RO_COMP[],I$1,0),"ERROR")</f>
        <v>2918</v>
      </c>
      <c r="J45" s="224">
        <f t="shared" si="1"/>
        <v>0.3938984881209503</v>
      </c>
      <c r="K45" s="226">
        <f>IFERROR(VLOOKUP($B45,MMWR_TRAD_AGG_RO_COMP[],K$1,0),"ERROR")</f>
        <v>1546</v>
      </c>
      <c r="L45" s="227">
        <f>IFERROR(VLOOKUP($B45,MMWR_TRAD_AGG_RO_COMP[],L$1,0),"ERROR")</f>
        <v>612</v>
      </c>
      <c r="M45" s="224">
        <f t="shared" si="2"/>
        <v>0.39586028460543338</v>
      </c>
      <c r="N45" s="226">
        <f>IFERROR(VLOOKUP($B45,MMWR_TRAD_AGG_RO_COMP[],N$1,0),"ERROR")</f>
        <v>1397</v>
      </c>
      <c r="O45" s="227">
        <f>IFERROR(VLOOKUP($B45,MMWR_TRAD_AGG_RO_COMP[],O$1,0),"ERROR")</f>
        <v>576</v>
      </c>
      <c r="P45" s="224">
        <f t="shared" si="3"/>
        <v>0.41231209735146745</v>
      </c>
      <c r="Q45" s="228">
        <f>IFERROR(VLOOKUP($B45,MMWR_TRAD_AGG_RO_COMP[],Q$1,0),"ERROR")</f>
        <v>0</v>
      </c>
      <c r="R45" s="228">
        <f>IFERROR(VLOOKUP($B45,MMWR_TRAD_AGG_RO_COMP[],R$1,0),"ERROR")</f>
        <v>67</v>
      </c>
      <c r="S45" s="202">
        <f>IFERROR(VLOOKUP($B45,MMWR_APP_RO[],S$1,0),"ERROR")</f>
        <v>4525</v>
      </c>
      <c r="T45" s="28"/>
    </row>
    <row r="46" spans="1:20" x14ac:dyDescent="0.2">
      <c r="A46" s="28"/>
      <c r="B46" s="108" t="s">
        <v>62</v>
      </c>
      <c r="C46" s="220">
        <f>IFERROR(VLOOKUP($B46,MMWR_TRAD_AGG_RO_COMP[],C$1,0),"ERROR")</f>
        <v>4561</v>
      </c>
      <c r="D46" s="221">
        <f>IFERROR(VLOOKUP($B46,MMWR_TRAD_AGG_RO_COMP[],D$1,0),"ERROR")</f>
        <v>444.88642841479998</v>
      </c>
      <c r="E46" s="222">
        <f>IFERROR(VLOOKUP($B46,MMWR_TRAD_AGG_RO_COMP[],E$1,0),"ERROR")</f>
        <v>5811</v>
      </c>
      <c r="F46" s="223">
        <f>IFERROR(VLOOKUP($B46,MMWR_TRAD_AGG_RO_COMP[],F$1,0),"ERROR")</f>
        <v>1326</v>
      </c>
      <c r="G46" s="224">
        <f t="shared" si="0"/>
        <v>0.22818791946308725</v>
      </c>
      <c r="H46" s="225">
        <f>IFERROR(VLOOKUP($B46,MMWR_TRAD_AGG_RO_COMP[],H$1,0),"ERROR")</f>
        <v>5725</v>
      </c>
      <c r="I46" s="223">
        <f>IFERROR(VLOOKUP($B46,MMWR_TRAD_AGG_RO_COMP[],I$1,0),"ERROR")</f>
        <v>4114</v>
      </c>
      <c r="J46" s="224">
        <f t="shared" si="1"/>
        <v>0.71860262008733622</v>
      </c>
      <c r="K46" s="226">
        <f>IFERROR(VLOOKUP($B46,MMWR_TRAD_AGG_RO_COMP[],K$1,0),"ERROR")</f>
        <v>1026</v>
      </c>
      <c r="L46" s="227">
        <f>IFERROR(VLOOKUP($B46,MMWR_TRAD_AGG_RO_COMP[],L$1,0),"ERROR")</f>
        <v>646</v>
      </c>
      <c r="M46" s="224">
        <f t="shared" si="2"/>
        <v>0.62962962962962965</v>
      </c>
      <c r="N46" s="226">
        <f>IFERROR(VLOOKUP($B46,MMWR_TRAD_AGG_RO_COMP[],N$1,0),"ERROR")</f>
        <v>1309</v>
      </c>
      <c r="O46" s="227">
        <f>IFERROR(VLOOKUP($B46,MMWR_TRAD_AGG_RO_COMP[],O$1,0),"ERROR")</f>
        <v>795</v>
      </c>
      <c r="P46" s="224">
        <f t="shared" si="3"/>
        <v>0.60733384262796031</v>
      </c>
      <c r="Q46" s="228">
        <f>IFERROR(VLOOKUP($B46,MMWR_TRAD_AGG_RO_COMP[],Q$1,0),"ERROR")</f>
        <v>1</v>
      </c>
      <c r="R46" s="228">
        <f>IFERROR(VLOOKUP($B46,MMWR_TRAD_AGG_RO_COMP[],R$1,0),"ERROR")</f>
        <v>251</v>
      </c>
      <c r="S46" s="202">
        <f>IFERROR(VLOOKUP($B46,MMWR_APP_RO[],S$1,0),"ERROR")</f>
        <v>5743</v>
      </c>
      <c r="T46" s="28"/>
    </row>
    <row r="47" spans="1:20" x14ac:dyDescent="0.2">
      <c r="A47" s="28"/>
      <c r="B47" s="108" t="s">
        <v>73</v>
      </c>
      <c r="C47" s="220">
        <f>IFERROR(VLOOKUP($B47,MMWR_TRAD_AGG_RO_COMP[],C$1,0),"ERROR")</f>
        <v>7191</v>
      </c>
      <c r="D47" s="221">
        <f>IFERROR(VLOOKUP($B47,MMWR_TRAD_AGG_RO_COMP[],D$1,0),"ERROR")</f>
        <v>250.69851202890001</v>
      </c>
      <c r="E47" s="222">
        <f>IFERROR(VLOOKUP($B47,MMWR_TRAD_AGG_RO_COMP[],E$1,0),"ERROR")</f>
        <v>2214</v>
      </c>
      <c r="F47" s="223">
        <f>IFERROR(VLOOKUP($B47,MMWR_TRAD_AGG_RO_COMP[],F$1,0),"ERROR")</f>
        <v>535</v>
      </c>
      <c r="G47" s="224">
        <f t="shared" si="0"/>
        <v>0.24164408310749774</v>
      </c>
      <c r="H47" s="225">
        <f>IFERROR(VLOOKUP($B47,MMWR_TRAD_AGG_RO_COMP[],H$1,0),"ERROR")</f>
        <v>15235</v>
      </c>
      <c r="I47" s="223">
        <f>IFERROR(VLOOKUP($B47,MMWR_TRAD_AGG_RO_COMP[],I$1,0),"ERROR")</f>
        <v>8310</v>
      </c>
      <c r="J47" s="224">
        <f t="shared" si="1"/>
        <v>0.54545454545454541</v>
      </c>
      <c r="K47" s="226">
        <f>IFERROR(VLOOKUP($B47,MMWR_TRAD_AGG_RO_COMP[],K$1,0),"ERROR")</f>
        <v>1711</v>
      </c>
      <c r="L47" s="227">
        <f>IFERROR(VLOOKUP($B47,MMWR_TRAD_AGG_RO_COMP[],L$1,0),"ERROR")</f>
        <v>665</v>
      </c>
      <c r="M47" s="224">
        <f t="shared" si="2"/>
        <v>0.38866160140268846</v>
      </c>
      <c r="N47" s="226">
        <f>IFERROR(VLOOKUP($B47,MMWR_TRAD_AGG_RO_COMP[],N$1,0),"ERROR")</f>
        <v>388</v>
      </c>
      <c r="O47" s="227">
        <f>IFERROR(VLOOKUP($B47,MMWR_TRAD_AGG_RO_COMP[],O$1,0),"ERROR")</f>
        <v>122</v>
      </c>
      <c r="P47" s="224">
        <f t="shared" si="3"/>
        <v>0.31443298969072164</v>
      </c>
      <c r="Q47" s="228">
        <f>IFERROR(VLOOKUP($B47,MMWR_TRAD_AGG_RO_COMP[],Q$1,0),"ERROR")</f>
        <v>0</v>
      </c>
      <c r="R47" s="228">
        <f>IFERROR(VLOOKUP($B47,MMWR_TRAD_AGG_RO_COMP[],R$1,0),"ERROR")</f>
        <v>1</v>
      </c>
      <c r="S47" s="202">
        <f>IFERROR(VLOOKUP($B47,MMWR_APP_RO[],S$1,0),"ERROR")</f>
        <v>892</v>
      </c>
      <c r="T47" s="28"/>
    </row>
    <row r="48" spans="1:20" x14ac:dyDescent="0.2">
      <c r="A48" s="28"/>
      <c r="B48" s="116" t="s">
        <v>82</v>
      </c>
      <c r="C48" s="229">
        <f>IFERROR(VLOOKUP($B48,MMWR_TRAD_AGG_RO_COMP[],C$1,0),"ERROR")</f>
        <v>11801</v>
      </c>
      <c r="D48" s="230">
        <f>IFERROR(VLOOKUP($B48,MMWR_TRAD_AGG_RO_COMP[],D$1,0),"ERROR")</f>
        <v>336.73773409030002</v>
      </c>
      <c r="E48" s="231">
        <f>IFERROR(VLOOKUP($B48,MMWR_TRAD_AGG_RO_COMP[],E$1,0),"ERROR")</f>
        <v>17639</v>
      </c>
      <c r="F48" s="232">
        <f>IFERROR(VLOOKUP($B48,MMWR_TRAD_AGG_RO_COMP[],F$1,0),"ERROR")</f>
        <v>3448</v>
      </c>
      <c r="G48" s="233">
        <f t="shared" si="0"/>
        <v>0.19547593400986452</v>
      </c>
      <c r="H48" s="234">
        <f>IFERROR(VLOOKUP($B48,MMWR_TRAD_AGG_RO_COMP[],H$1,0),"ERROR")</f>
        <v>14149</v>
      </c>
      <c r="I48" s="232">
        <f>IFERROR(VLOOKUP($B48,MMWR_TRAD_AGG_RO_COMP[],I$1,0),"ERROR")</f>
        <v>8865</v>
      </c>
      <c r="J48" s="233">
        <f t="shared" si="1"/>
        <v>0.62654604565693683</v>
      </c>
      <c r="K48" s="235">
        <f>IFERROR(VLOOKUP($B48,MMWR_TRAD_AGG_RO_COMP[],K$1,0),"ERROR")</f>
        <v>4037</v>
      </c>
      <c r="L48" s="236">
        <f>IFERROR(VLOOKUP($B48,MMWR_TRAD_AGG_RO_COMP[],L$1,0),"ERROR")</f>
        <v>2362</v>
      </c>
      <c r="M48" s="233">
        <f t="shared" si="2"/>
        <v>0.58508793658657421</v>
      </c>
      <c r="N48" s="235">
        <f>IFERROR(VLOOKUP($B48,MMWR_TRAD_AGG_RO_COMP[],N$1,0),"ERROR")</f>
        <v>5404</v>
      </c>
      <c r="O48" s="236">
        <f>IFERROR(VLOOKUP($B48,MMWR_TRAD_AGG_RO_COMP[],O$1,0),"ERROR")</f>
        <v>1779</v>
      </c>
      <c r="P48" s="233">
        <f t="shared" si="3"/>
        <v>0.32920059215396003</v>
      </c>
      <c r="Q48" s="237">
        <f>IFERROR(VLOOKUP($B48,MMWR_TRAD_AGG_RO_COMP[],Q$1,0),"ERROR")</f>
        <v>2</v>
      </c>
      <c r="R48" s="237">
        <f>IFERROR(VLOOKUP($B48,MMWR_TRAD_AGG_RO_COMP[],R$1,0),"ERROR")</f>
        <v>206</v>
      </c>
      <c r="S48" s="202">
        <f>IFERROR(VLOOKUP($B48,MMWR_APP_RO[],S$1,0),"ERROR")</f>
        <v>19353</v>
      </c>
      <c r="T48" s="28"/>
    </row>
    <row r="49" spans="1:20" x14ac:dyDescent="0.2">
      <c r="A49" s="28"/>
      <c r="B49" s="101" t="s">
        <v>408</v>
      </c>
      <c r="C49" s="213">
        <f>IFERROR(VLOOKUP($B49,MMWR_TRAD_AGG_DISTRICT_COMP[],C$1,0),"ERROR")</f>
        <v>56060</v>
      </c>
      <c r="D49" s="198">
        <f>IFERROR(VLOOKUP($B49,MMWR_TRAD_AGG_DISTRICT_COMP[],D$1,0),"ERROR")</f>
        <v>378.17265429899999</v>
      </c>
      <c r="E49" s="214">
        <f>IFERROR(VLOOKUP($B49,MMWR_TRAD_AGG_DISTRICT_COMP[],E$1,0),"ERROR")</f>
        <v>59579</v>
      </c>
      <c r="F49" s="219">
        <f>IFERROR(VLOOKUP($B49,MMWR_TRAD_AGG_DISTRICT_COMP[],F$1,0),"ERROR")</f>
        <v>12870</v>
      </c>
      <c r="G49" s="215">
        <f t="shared" si="0"/>
        <v>0.21601571023347152</v>
      </c>
      <c r="H49" s="219">
        <f>IFERROR(VLOOKUP($B49,MMWR_TRAD_AGG_DISTRICT_COMP[],H$1,0),"ERROR")</f>
        <v>80643</v>
      </c>
      <c r="I49" s="219">
        <f>IFERROR(VLOOKUP($B49,MMWR_TRAD_AGG_DISTRICT_COMP[],I$1,0),"ERROR")</f>
        <v>53901</v>
      </c>
      <c r="J49" s="215">
        <f t="shared" si="1"/>
        <v>0.66839031286038464</v>
      </c>
      <c r="K49" s="213">
        <f>IFERROR(VLOOKUP($B49,MMWR_TRAD_AGG_DISTRICT_COMP[],K$1,0),"ERROR")</f>
        <v>23121</v>
      </c>
      <c r="L49" s="213">
        <f>IFERROR(VLOOKUP($B49,MMWR_TRAD_AGG_DISTRICT_COMP[],L$1,0),"ERROR")</f>
        <v>16525</v>
      </c>
      <c r="M49" s="215">
        <f t="shared" si="2"/>
        <v>0.71471822153021058</v>
      </c>
      <c r="N49" s="213">
        <f>IFERROR(VLOOKUP($B49,MMWR_TRAD_AGG_DISTRICT_COMP[],N$1,0),"ERROR")</f>
        <v>21209</v>
      </c>
      <c r="O49" s="213">
        <f>IFERROR(VLOOKUP($B49,MMWR_TRAD_AGG_DISTRICT_COMP[],O$1,0),"ERROR")</f>
        <v>15612</v>
      </c>
      <c r="P49" s="215">
        <f t="shared" si="3"/>
        <v>0.73610259795369892</v>
      </c>
      <c r="Q49" s="213">
        <f>IFERROR(VLOOKUP($B49,MMWR_TRAD_AGG_DISTRICT_COMP[],Q$1,0),"ERROR")</f>
        <v>393</v>
      </c>
      <c r="R49" s="216">
        <f>IFERROR(VLOOKUP($B49,MMWR_TRAD_AGG_DISTRICT_COMP[],R$1,0),"ERROR")</f>
        <v>678</v>
      </c>
      <c r="S49" s="216">
        <f>IFERROR(VLOOKUP($B49,MMWR_APP_RO[],S$1,0),"ERROR")</f>
        <v>44065</v>
      </c>
      <c r="T49" s="28"/>
    </row>
    <row r="50" spans="1:20" x14ac:dyDescent="0.2">
      <c r="A50" s="28"/>
      <c r="B50" s="108" t="s">
        <v>34</v>
      </c>
      <c r="C50" s="220">
        <f>IFERROR(VLOOKUP($B50,MMWR_TRAD_AGG_RO_COMP[],C$1,0),"ERROR")</f>
        <v>1051</v>
      </c>
      <c r="D50" s="221">
        <f>IFERROR(VLOOKUP($B50,MMWR_TRAD_AGG_RO_COMP[],D$1,0),"ERROR")</f>
        <v>131.10180780210001</v>
      </c>
      <c r="E50" s="222">
        <f>IFERROR(VLOOKUP($B50,MMWR_TRAD_AGG_RO_COMP[],E$1,0),"ERROR")</f>
        <v>3010</v>
      </c>
      <c r="F50" s="223">
        <f>IFERROR(VLOOKUP($B50,MMWR_TRAD_AGG_RO_COMP[],F$1,0),"ERROR")</f>
        <v>557</v>
      </c>
      <c r="G50" s="224">
        <f t="shared" si="0"/>
        <v>0.18504983388704319</v>
      </c>
      <c r="H50" s="225">
        <f>IFERROR(VLOOKUP($B50,MMWR_TRAD_AGG_RO_COMP[],H$1,0),"ERROR")</f>
        <v>1465</v>
      </c>
      <c r="I50" s="223">
        <f>IFERROR(VLOOKUP($B50,MMWR_TRAD_AGG_RO_COMP[],I$1,0),"ERROR")</f>
        <v>451</v>
      </c>
      <c r="J50" s="224">
        <f t="shared" si="1"/>
        <v>0.30784982935153582</v>
      </c>
      <c r="K50" s="226">
        <f>IFERROR(VLOOKUP($B50,MMWR_TRAD_AGG_RO_COMP[],K$1,0),"ERROR")</f>
        <v>309</v>
      </c>
      <c r="L50" s="227">
        <f>IFERROR(VLOOKUP($B50,MMWR_TRAD_AGG_RO_COMP[],L$1,0),"ERROR")</f>
        <v>95</v>
      </c>
      <c r="M50" s="224">
        <f t="shared" si="2"/>
        <v>0.30744336569579289</v>
      </c>
      <c r="N50" s="226">
        <f>IFERROR(VLOOKUP($B50,MMWR_TRAD_AGG_RO_COMP[],N$1,0),"ERROR")</f>
        <v>394</v>
      </c>
      <c r="O50" s="227">
        <f>IFERROR(VLOOKUP($B50,MMWR_TRAD_AGG_RO_COMP[],O$1,0),"ERROR")</f>
        <v>224</v>
      </c>
      <c r="P50" s="224">
        <f t="shared" si="3"/>
        <v>0.56852791878172593</v>
      </c>
      <c r="Q50" s="228">
        <f>IFERROR(VLOOKUP($B50,MMWR_TRAD_AGG_RO_COMP[],Q$1,0),"ERROR")</f>
        <v>0</v>
      </c>
      <c r="R50" s="228">
        <f>IFERROR(VLOOKUP($B50,MMWR_TRAD_AGG_RO_COMP[],R$1,0),"ERROR")</f>
        <v>7</v>
      </c>
      <c r="S50" s="202">
        <f>IFERROR(VLOOKUP($B50,MMWR_APP_RO[],S$1,0),"ERROR")</f>
        <v>1758</v>
      </c>
      <c r="T50" s="28"/>
    </row>
    <row r="51" spans="1:20" x14ac:dyDescent="0.2">
      <c r="A51" s="28"/>
      <c r="B51" s="108" t="s">
        <v>35</v>
      </c>
      <c r="C51" s="220">
        <f>IFERROR(VLOOKUP($B51,MMWR_TRAD_AGG_RO_COMP[],C$1,0),"ERROR")</f>
        <v>2007</v>
      </c>
      <c r="D51" s="221">
        <f>IFERROR(VLOOKUP($B51,MMWR_TRAD_AGG_RO_COMP[],D$1,0),"ERROR")</f>
        <v>454.47633283509998</v>
      </c>
      <c r="E51" s="222">
        <f>IFERROR(VLOOKUP($B51,MMWR_TRAD_AGG_RO_COMP[],E$1,0),"ERROR")</f>
        <v>1185</v>
      </c>
      <c r="F51" s="223">
        <f>IFERROR(VLOOKUP($B51,MMWR_TRAD_AGG_RO_COMP[],F$1,0),"ERROR")</f>
        <v>311</v>
      </c>
      <c r="G51" s="224">
        <f t="shared" si="0"/>
        <v>0.26244725738396624</v>
      </c>
      <c r="H51" s="225">
        <f>IFERROR(VLOOKUP($B51,MMWR_TRAD_AGG_RO_COMP[],H$1,0),"ERROR")</f>
        <v>2733</v>
      </c>
      <c r="I51" s="223">
        <f>IFERROR(VLOOKUP($B51,MMWR_TRAD_AGG_RO_COMP[],I$1,0),"ERROR")</f>
        <v>1975</v>
      </c>
      <c r="J51" s="224">
        <f t="shared" si="1"/>
        <v>0.7226491035492133</v>
      </c>
      <c r="K51" s="226">
        <f>IFERROR(VLOOKUP($B51,MMWR_TRAD_AGG_RO_COMP[],K$1,0),"ERROR")</f>
        <v>2145</v>
      </c>
      <c r="L51" s="227">
        <f>IFERROR(VLOOKUP($B51,MMWR_TRAD_AGG_RO_COMP[],L$1,0),"ERROR")</f>
        <v>1843</v>
      </c>
      <c r="M51" s="224">
        <f t="shared" si="2"/>
        <v>0.85920745920745922</v>
      </c>
      <c r="N51" s="226">
        <f>IFERROR(VLOOKUP($B51,MMWR_TRAD_AGG_RO_COMP[],N$1,0),"ERROR")</f>
        <v>512</v>
      </c>
      <c r="O51" s="227">
        <f>IFERROR(VLOOKUP($B51,MMWR_TRAD_AGG_RO_COMP[],O$1,0),"ERROR")</f>
        <v>232</v>
      </c>
      <c r="P51" s="224">
        <f t="shared" si="3"/>
        <v>0.453125</v>
      </c>
      <c r="Q51" s="228">
        <f>IFERROR(VLOOKUP($B51,MMWR_TRAD_AGG_RO_COMP[],Q$1,0),"ERROR")</f>
        <v>0</v>
      </c>
      <c r="R51" s="228">
        <f>IFERROR(VLOOKUP($B51,MMWR_TRAD_AGG_RO_COMP[],R$1,0),"ERROR")</f>
        <v>2</v>
      </c>
      <c r="S51" s="202">
        <f>IFERROR(VLOOKUP($B51,MMWR_APP_RO[],S$1,0),"ERROR")</f>
        <v>221</v>
      </c>
      <c r="T51" s="28"/>
    </row>
    <row r="52" spans="1:20" x14ac:dyDescent="0.2">
      <c r="A52" s="28"/>
      <c r="B52" s="108" t="s">
        <v>37</v>
      </c>
      <c r="C52" s="220">
        <f>IFERROR(VLOOKUP($B52,MMWR_TRAD_AGG_RO_COMP[],C$1,0),"ERROR")</f>
        <v>180</v>
      </c>
      <c r="D52" s="221">
        <f>IFERROR(VLOOKUP($B52,MMWR_TRAD_AGG_RO_COMP[],D$1,0),"ERROR")</f>
        <v>71.9777777778</v>
      </c>
      <c r="E52" s="222">
        <f>IFERROR(VLOOKUP($B52,MMWR_TRAD_AGG_RO_COMP[],E$1,0),"ERROR")</f>
        <v>1379</v>
      </c>
      <c r="F52" s="223">
        <f>IFERROR(VLOOKUP($B52,MMWR_TRAD_AGG_RO_COMP[],F$1,0),"ERROR")</f>
        <v>280</v>
      </c>
      <c r="G52" s="224">
        <f t="shared" si="0"/>
        <v>0.20304568527918782</v>
      </c>
      <c r="H52" s="225">
        <f>IFERROR(VLOOKUP($B52,MMWR_TRAD_AGG_RO_COMP[],H$1,0),"ERROR")</f>
        <v>367</v>
      </c>
      <c r="I52" s="223">
        <f>IFERROR(VLOOKUP($B52,MMWR_TRAD_AGG_RO_COMP[],I$1,0),"ERROR")</f>
        <v>44</v>
      </c>
      <c r="J52" s="224">
        <f t="shared" si="1"/>
        <v>0.11989100817438691</v>
      </c>
      <c r="K52" s="226">
        <f>IFERROR(VLOOKUP($B52,MMWR_TRAD_AGG_RO_COMP[],K$1,0),"ERROR")</f>
        <v>245</v>
      </c>
      <c r="L52" s="227">
        <f>IFERROR(VLOOKUP($B52,MMWR_TRAD_AGG_RO_COMP[],L$1,0),"ERROR")</f>
        <v>26</v>
      </c>
      <c r="M52" s="224">
        <f t="shared" si="2"/>
        <v>0.10612244897959183</v>
      </c>
      <c r="N52" s="226">
        <f>IFERROR(VLOOKUP($B52,MMWR_TRAD_AGG_RO_COMP[],N$1,0),"ERROR")</f>
        <v>159</v>
      </c>
      <c r="O52" s="227">
        <f>IFERROR(VLOOKUP($B52,MMWR_TRAD_AGG_RO_COMP[],O$1,0),"ERROR")</f>
        <v>49</v>
      </c>
      <c r="P52" s="224">
        <f t="shared" si="3"/>
        <v>0.3081761006289308</v>
      </c>
      <c r="Q52" s="228">
        <f>IFERROR(VLOOKUP($B52,MMWR_TRAD_AGG_RO_COMP[],Q$1,0),"ERROR")</f>
        <v>0</v>
      </c>
      <c r="R52" s="228">
        <f>IFERROR(VLOOKUP($B52,MMWR_TRAD_AGG_RO_COMP[],R$1,0),"ERROR")</f>
        <v>2</v>
      </c>
      <c r="S52" s="202">
        <f>IFERROR(VLOOKUP($B52,MMWR_APP_RO[],S$1,0),"ERROR")</f>
        <v>925</v>
      </c>
      <c r="T52" s="28"/>
    </row>
    <row r="53" spans="1:20" x14ac:dyDescent="0.2">
      <c r="A53" s="28"/>
      <c r="B53" s="108" t="s">
        <v>48</v>
      </c>
      <c r="C53" s="220">
        <f>IFERROR(VLOOKUP($B53,MMWR_TRAD_AGG_RO_COMP[],C$1,0),"ERROR")</f>
        <v>1635</v>
      </c>
      <c r="D53" s="221">
        <f>IFERROR(VLOOKUP($B53,MMWR_TRAD_AGG_RO_COMP[],D$1,0),"ERROR")</f>
        <v>268.4177370031</v>
      </c>
      <c r="E53" s="222">
        <f>IFERROR(VLOOKUP($B53,MMWR_TRAD_AGG_RO_COMP[],E$1,0),"ERROR")</f>
        <v>1959</v>
      </c>
      <c r="F53" s="223">
        <f>IFERROR(VLOOKUP($B53,MMWR_TRAD_AGG_RO_COMP[],F$1,0),"ERROR")</f>
        <v>431</v>
      </c>
      <c r="G53" s="224">
        <f t="shared" si="0"/>
        <v>0.22001020929045431</v>
      </c>
      <c r="H53" s="225">
        <f>IFERROR(VLOOKUP($B53,MMWR_TRAD_AGG_RO_COMP[],H$1,0),"ERROR")</f>
        <v>2060</v>
      </c>
      <c r="I53" s="223">
        <f>IFERROR(VLOOKUP($B53,MMWR_TRAD_AGG_RO_COMP[],I$1,0),"ERROR")</f>
        <v>1413</v>
      </c>
      <c r="J53" s="224">
        <f t="shared" si="1"/>
        <v>0.68592233009708736</v>
      </c>
      <c r="K53" s="226">
        <f>IFERROR(VLOOKUP($B53,MMWR_TRAD_AGG_RO_COMP[],K$1,0),"ERROR")</f>
        <v>1056</v>
      </c>
      <c r="L53" s="227">
        <f>IFERROR(VLOOKUP($B53,MMWR_TRAD_AGG_RO_COMP[],L$1,0),"ERROR")</f>
        <v>588</v>
      </c>
      <c r="M53" s="224">
        <f t="shared" si="2"/>
        <v>0.55681818181818177</v>
      </c>
      <c r="N53" s="226">
        <f>IFERROR(VLOOKUP($B53,MMWR_TRAD_AGG_RO_COMP[],N$1,0),"ERROR")</f>
        <v>186</v>
      </c>
      <c r="O53" s="227">
        <f>IFERROR(VLOOKUP($B53,MMWR_TRAD_AGG_RO_COMP[],O$1,0),"ERROR")</f>
        <v>80</v>
      </c>
      <c r="P53" s="224">
        <f t="shared" si="3"/>
        <v>0.43010752688172044</v>
      </c>
      <c r="Q53" s="228">
        <f>IFERROR(VLOOKUP($B53,MMWR_TRAD_AGG_RO_COMP[],Q$1,0),"ERROR")</f>
        <v>0</v>
      </c>
      <c r="R53" s="228">
        <f>IFERROR(VLOOKUP($B53,MMWR_TRAD_AGG_RO_COMP[],R$1,0),"ERROR")</f>
        <v>0</v>
      </c>
      <c r="S53" s="202">
        <f>IFERROR(VLOOKUP($B53,MMWR_APP_RO[],S$1,0),"ERROR")</f>
        <v>1435</v>
      </c>
      <c r="T53" s="28"/>
    </row>
    <row r="54" spans="1:20" x14ac:dyDescent="0.2">
      <c r="A54" s="28"/>
      <c r="B54" s="108" t="s">
        <v>55</v>
      </c>
      <c r="C54" s="220">
        <f>IFERROR(VLOOKUP($B54,MMWR_TRAD_AGG_RO_COMP[],C$1,0),"ERROR")</f>
        <v>7591</v>
      </c>
      <c r="D54" s="221">
        <f>IFERROR(VLOOKUP($B54,MMWR_TRAD_AGG_RO_COMP[],D$1,0),"ERROR")</f>
        <v>378.57383743909998</v>
      </c>
      <c r="E54" s="222">
        <f>IFERROR(VLOOKUP($B54,MMWR_TRAD_AGG_RO_COMP[],E$1,0),"ERROR")</f>
        <v>8956</v>
      </c>
      <c r="F54" s="223">
        <f>IFERROR(VLOOKUP($B54,MMWR_TRAD_AGG_RO_COMP[],F$1,0),"ERROR")</f>
        <v>1912</v>
      </c>
      <c r="G54" s="224">
        <f t="shared" si="0"/>
        <v>0.21348816435908888</v>
      </c>
      <c r="H54" s="225">
        <f>IFERROR(VLOOKUP($B54,MMWR_TRAD_AGG_RO_COMP[],H$1,0),"ERROR")</f>
        <v>9126</v>
      </c>
      <c r="I54" s="223">
        <f>IFERROR(VLOOKUP($B54,MMWR_TRAD_AGG_RO_COMP[],I$1,0),"ERROR")</f>
        <v>6150</v>
      </c>
      <c r="J54" s="224">
        <f t="shared" si="1"/>
        <v>0.67389875082182771</v>
      </c>
      <c r="K54" s="226">
        <f>IFERROR(VLOOKUP($B54,MMWR_TRAD_AGG_RO_COMP[],K$1,0),"ERROR")</f>
        <v>1034</v>
      </c>
      <c r="L54" s="227">
        <f>IFERROR(VLOOKUP($B54,MMWR_TRAD_AGG_RO_COMP[],L$1,0),"ERROR")</f>
        <v>889</v>
      </c>
      <c r="M54" s="224">
        <f t="shared" si="2"/>
        <v>0.85976789168278533</v>
      </c>
      <c r="N54" s="226">
        <f>IFERROR(VLOOKUP($B54,MMWR_TRAD_AGG_RO_COMP[],N$1,0),"ERROR")</f>
        <v>4094</v>
      </c>
      <c r="O54" s="227">
        <f>IFERROR(VLOOKUP($B54,MMWR_TRAD_AGG_RO_COMP[],O$1,0),"ERROR")</f>
        <v>3449</v>
      </c>
      <c r="P54" s="224">
        <f t="shared" si="3"/>
        <v>0.84245236932095746</v>
      </c>
      <c r="Q54" s="228">
        <f>IFERROR(VLOOKUP($B54,MMWR_TRAD_AGG_RO_COMP[],Q$1,0),"ERROR")</f>
        <v>2</v>
      </c>
      <c r="R54" s="228">
        <f>IFERROR(VLOOKUP($B54,MMWR_TRAD_AGG_RO_COMP[],R$1,0),"ERROR")</f>
        <v>30</v>
      </c>
      <c r="S54" s="202">
        <f>IFERROR(VLOOKUP($B54,MMWR_APP_RO[],S$1,0),"ERROR")</f>
        <v>4790</v>
      </c>
      <c r="T54" s="28"/>
    </row>
    <row r="55" spans="1:20" x14ac:dyDescent="0.2">
      <c r="A55" s="28"/>
      <c r="B55" s="108" t="s">
        <v>58</v>
      </c>
      <c r="C55" s="220">
        <f>IFERROR(VLOOKUP($B55,MMWR_TRAD_AGG_RO_COMP[],C$1,0),"ERROR")</f>
        <v>820</v>
      </c>
      <c r="D55" s="221">
        <f>IFERROR(VLOOKUP($B55,MMWR_TRAD_AGG_RO_COMP[],D$1,0),"ERROR")</f>
        <v>179.7609756098</v>
      </c>
      <c r="E55" s="222">
        <f>IFERROR(VLOOKUP($B55,MMWR_TRAD_AGG_RO_COMP[],E$1,0),"ERROR")</f>
        <v>811</v>
      </c>
      <c r="F55" s="223">
        <f>IFERROR(VLOOKUP($B55,MMWR_TRAD_AGG_RO_COMP[],F$1,0),"ERROR")</f>
        <v>203</v>
      </c>
      <c r="G55" s="224">
        <f t="shared" si="0"/>
        <v>0.25030826140567203</v>
      </c>
      <c r="H55" s="225">
        <f>IFERROR(VLOOKUP($B55,MMWR_TRAD_AGG_RO_COMP[],H$1,0),"ERROR")</f>
        <v>928</v>
      </c>
      <c r="I55" s="223">
        <f>IFERROR(VLOOKUP($B55,MMWR_TRAD_AGG_RO_COMP[],I$1,0),"ERROR")</f>
        <v>541</v>
      </c>
      <c r="J55" s="224">
        <f t="shared" si="1"/>
        <v>0.58297413793103448</v>
      </c>
      <c r="K55" s="226">
        <f>IFERROR(VLOOKUP($B55,MMWR_TRAD_AGG_RO_COMP[],K$1,0),"ERROR")</f>
        <v>262</v>
      </c>
      <c r="L55" s="227">
        <f>IFERROR(VLOOKUP($B55,MMWR_TRAD_AGG_RO_COMP[],L$1,0),"ERROR")</f>
        <v>95</v>
      </c>
      <c r="M55" s="224">
        <f t="shared" si="2"/>
        <v>0.36259541984732824</v>
      </c>
      <c r="N55" s="226">
        <f>IFERROR(VLOOKUP($B55,MMWR_TRAD_AGG_RO_COMP[],N$1,0),"ERROR")</f>
        <v>998</v>
      </c>
      <c r="O55" s="227">
        <f>IFERROR(VLOOKUP($B55,MMWR_TRAD_AGG_RO_COMP[],O$1,0),"ERROR")</f>
        <v>564</v>
      </c>
      <c r="P55" s="224">
        <f t="shared" si="3"/>
        <v>0.56513026052104209</v>
      </c>
      <c r="Q55" s="228">
        <f>IFERROR(VLOOKUP($B55,MMWR_TRAD_AGG_RO_COMP[],Q$1,0),"ERROR")</f>
        <v>388</v>
      </c>
      <c r="R55" s="228">
        <f>IFERROR(VLOOKUP($B55,MMWR_TRAD_AGG_RO_COMP[],R$1,0),"ERROR")</f>
        <v>141</v>
      </c>
      <c r="S55" s="202">
        <f>IFERROR(VLOOKUP($B55,MMWR_APP_RO[],S$1,0),"ERROR")</f>
        <v>973</v>
      </c>
      <c r="T55" s="28"/>
    </row>
    <row r="56" spans="1:20" x14ac:dyDescent="0.2">
      <c r="A56" s="28"/>
      <c r="B56" s="108" t="s">
        <v>65</v>
      </c>
      <c r="C56" s="220">
        <f>IFERROR(VLOOKUP($B56,MMWR_TRAD_AGG_RO_COMP[],C$1,0),"ERROR")</f>
        <v>9320</v>
      </c>
      <c r="D56" s="221">
        <f>IFERROR(VLOOKUP($B56,MMWR_TRAD_AGG_RO_COMP[],D$1,0),"ERROR")</f>
        <v>432.47403433480002</v>
      </c>
      <c r="E56" s="222">
        <f>IFERROR(VLOOKUP($B56,MMWR_TRAD_AGG_RO_COMP[],E$1,0),"ERROR")</f>
        <v>11212</v>
      </c>
      <c r="F56" s="223">
        <f>IFERROR(VLOOKUP($B56,MMWR_TRAD_AGG_RO_COMP[],F$1,0),"ERROR")</f>
        <v>2902</v>
      </c>
      <c r="G56" s="224">
        <f t="shared" si="0"/>
        <v>0.2588298251872993</v>
      </c>
      <c r="H56" s="225">
        <f>IFERROR(VLOOKUP($B56,MMWR_TRAD_AGG_RO_COMP[],H$1,0),"ERROR")</f>
        <v>12264</v>
      </c>
      <c r="I56" s="223">
        <f>IFERROR(VLOOKUP($B56,MMWR_TRAD_AGG_RO_COMP[],I$1,0),"ERROR")</f>
        <v>9511</v>
      </c>
      <c r="J56" s="224">
        <f t="shared" si="1"/>
        <v>0.77552185257664707</v>
      </c>
      <c r="K56" s="226">
        <f>IFERROR(VLOOKUP($B56,MMWR_TRAD_AGG_RO_COMP[],K$1,0),"ERROR")</f>
        <v>3836</v>
      </c>
      <c r="L56" s="227">
        <f>IFERROR(VLOOKUP($B56,MMWR_TRAD_AGG_RO_COMP[],L$1,0),"ERROR")</f>
        <v>3168</v>
      </c>
      <c r="M56" s="224">
        <f t="shared" si="2"/>
        <v>0.82586027111574556</v>
      </c>
      <c r="N56" s="226">
        <f>IFERROR(VLOOKUP($B56,MMWR_TRAD_AGG_RO_COMP[],N$1,0),"ERROR")</f>
        <v>2298</v>
      </c>
      <c r="O56" s="227">
        <f>IFERROR(VLOOKUP($B56,MMWR_TRAD_AGG_RO_COMP[],O$1,0),"ERROR")</f>
        <v>1737</v>
      </c>
      <c r="P56" s="224">
        <f t="shared" si="3"/>
        <v>0.75587467362924277</v>
      </c>
      <c r="Q56" s="228">
        <f>IFERROR(VLOOKUP($B56,MMWR_TRAD_AGG_RO_COMP[],Q$1,0),"ERROR")</f>
        <v>0</v>
      </c>
      <c r="R56" s="228">
        <f>IFERROR(VLOOKUP($B56,MMWR_TRAD_AGG_RO_COMP[],R$1,0),"ERROR")</f>
        <v>31</v>
      </c>
      <c r="S56" s="202">
        <f>IFERROR(VLOOKUP($B56,MMWR_APP_RO[],S$1,0),"ERROR")</f>
        <v>8625</v>
      </c>
      <c r="T56" s="28"/>
    </row>
    <row r="57" spans="1:20" x14ac:dyDescent="0.2">
      <c r="A57" s="28"/>
      <c r="B57" s="108" t="s">
        <v>67</v>
      </c>
      <c r="C57" s="220">
        <f>IFERROR(VLOOKUP($B57,MMWR_TRAD_AGG_RO_COMP[],C$1,0),"ERROR")</f>
        <v>4451</v>
      </c>
      <c r="D57" s="221">
        <f>IFERROR(VLOOKUP($B57,MMWR_TRAD_AGG_RO_COMP[],D$1,0),"ERROR")</f>
        <v>254.39698944060001</v>
      </c>
      <c r="E57" s="222">
        <f>IFERROR(VLOOKUP($B57,MMWR_TRAD_AGG_RO_COMP[],E$1,0),"ERROR")</f>
        <v>4124</v>
      </c>
      <c r="F57" s="223">
        <f>IFERROR(VLOOKUP($B57,MMWR_TRAD_AGG_RO_COMP[],F$1,0),"ERROR")</f>
        <v>1062</v>
      </c>
      <c r="G57" s="224">
        <f t="shared" si="0"/>
        <v>0.25751697381183319</v>
      </c>
      <c r="H57" s="225">
        <f>IFERROR(VLOOKUP($B57,MMWR_TRAD_AGG_RO_COMP[],H$1,0),"ERROR")</f>
        <v>5501</v>
      </c>
      <c r="I57" s="223">
        <f>IFERROR(VLOOKUP($B57,MMWR_TRAD_AGG_RO_COMP[],I$1,0),"ERROR")</f>
        <v>3184</v>
      </c>
      <c r="J57" s="224">
        <f t="shared" si="1"/>
        <v>0.57880385384475552</v>
      </c>
      <c r="K57" s="226">
        <f>IFERROR(VLOOKUP($B57,MMWR_TRAD_AGG_RO_COMP[],K$1,0),"ERROR")</f>
        <v>1091</v>
      </c>
      <c r="L57" s="227">
        <f>IFERROR(VLOOKUP($B57,MMWR_TRAD_AGG_RO_COMP[],L$1,0),"ERROR")</f>
        <v>304</v>
      </c>
      <c r="M57" s="224">
        <f t="shared" si="2"/>
        <v>0.27864344637946836</v>
      </c>
      <c r="N57" s="226">
        <f>IFERROR(VLOOKUP($B57,MMWR_TRAD_AGG_RO_COMP[],N$1,0),"ERROR")</f>
        <v>2640</v>
      </c>
      <c r="O57" s="227">
        <f>IFERROR(VLOOKUP($B57,MMWR_TRAD_AGG_RO_COMP[],O$1,0),"ERROR")</f>
        <v>2048</v>
      </c>
      <c r="P57" s="224">
        <f t="shared" si="3"/>
        <v>0.77575757575757576</v>
      </c>
      <c r="Q57" s="228">
        <f>IFERROR(VLOOKUP($B57,MMWR_TRAD_AGG_RO_COMP[],Q$1,0),"ERROR")</f>
        <v>1</v>
      </c>
      <c r="R57" s="228">
        <f>IFERROR(VLOOKUP($B57,MMWR_TRAD_AGG_RO_COMP[],R$1,0),"ERROR")</f>
        <v>70</v>
      </c>
      <c r="S57" s="202">
        <f>IFERROR(VLOOKUP($B57,MMWR_APP_RO[],S$1,0),"ERROR")</f>
        <v>7210</v>
      </c>
      <c r="T57" s="28"/>
    </row>
    <row r="58" spans="1:20" x14ac:dyDescent="0.2">
      <c r="A58" s="28"/>
      <c r="B58" s="108" t="s">
        <v>69</v>
      </c>
      <c r="C58" s="220">
        <f>IFERROR(VLOOKUP($B58,MMWR_TRAD_AGG_RO_COMP[],C$1,0),"ERROR")</f>
        <v>7009</v>
      </c>
      <c r="D58" s="221">
        <f>IFERROR(VLOOKUP($B58,MMWR_TRAD_AGG_RO_COMP[],D$1,0),"ERROR")</f>
        <v>445.773006135</v>
      </c>
      <c r="E58" s="222">
        <f>IFERROR(VLOOKUP($B58,MMWR_TRAD_AGG_RO_COMP[],E$1,0),"ERROR")</f>
        <v>4327</v>
      </c>
      <c r="F58" s="223">
        <f>IFERROR(VLOOKUP($B58,MMWR_TRAD_AGG_RO_COMP[],F$1,0),"ERROR")</f>
        <v>1133</v>
      </c>
      <c r="G58" s="224">
        <f t="shared" si="0"/>
        <v>0.26184423388028655</v>
      </c>
      <c r="H58" s="225">
        <f>IFERROR(VLOOKUP($B58,MMWR_TRAD_AGG_RO_COMP[],H$1,0),"ERROR")</f>
        <v>8525</v>
      </c>
      <c r="I58" s="223">
        <f>IFERROR(VLOOKUP($B58,MMWR_TRAD_AGG_RO_COMP[],I$1,0),"ERROR")</f>
        <v>6428</v>
      </c>
      <c r="J58" s="224">
        <f t="shared" si="1"/>
        <v>0.7540175953079179</v>
      </c>
      <c r="K58" s="226">
        <f>IFERROR(VLOOKUP($B58,MMWR_TRAD_AGG_RO_COMP[],K$1,0),"ERROR")</f>
        <v>3122</v>
      </c>
      <c r="L58" s="227">
        <f>IFERROR(VLOOKUP($B58,MMWR_TRAD_AGG_RO_COMP[],L$1,0),"ERROR")</f>
        <v>2738</v>
      </c>
      <c r="M58" s="224">
        <f t="shared" si="2"/>
        <v>0.87700192184497117</v>
      </c>
      <c r="N58" s="226">
        <f>IFERROR(VLOOKUP($B58,MMWR_TRAD_AGG_RO_COMP[],N$1,0),"ERROR")</f>
        <v>1902</v>
      </c>
      <c r="O58" s="227">
        <f>IFERROR(VLOOKUP($B58,MMWR_TRAD_AGG_RO_COMP[],O$1,0),"ERROR")</f>
        <v>1142</v>
      </c>
      <c r="P58" s="224">
        <f t="shared" si="3"/>
        <v>0.60042060988433232</v>
      </c>
      <c r="Q58" s="228">
        <f>IFERROR(VLOOKUP($B58,MMWR_TRAD_AGG_RO_COMP[],Q$1,0),"ERROR")</f>
        <v>0</v>
      </c>
      <c r="R58" s="228">
        <f>IFERROR(VLOOKUP($B58,MMWR_TRAD_AGG_RO_COMP[],R$1,0),"ERROR")</f>
        <v>76</v>
      </c>
      <c r="S58" s="202">
        <f>IFERROR(VLOOKUP($B58,MMWR_APP_RO[],S$1,0),"ERROR")</f>
        <v>5500</v>
      </c>
      <c r="T58" s="28"/>
    </row>
    <row r="59" spans="1:20" x14ac:dyDescent="0.2">
      <c r="A59" s="28"/>
      <c r="B59" s="108" t="s">
        <v>71</v>
      </c>
      <c r="C59" s="220">
        <f>IFERROR(VLOOKUP($B59,MMWR_TRAD_AGG_RO_COMP[],C$1,0),"ERROR")</f>
        <v>2963</v>
      </c>
      <c r="D59" s="221">
        <f>IFERROR(VLOOKUP($B59,MMWR_TRAD_AGG_RO_COMP[],D$1,0),"ERROR")</f>
        <v>445.92338845760003</v>
      </c>
      <c r="E59" s="222">
        <f>IFERROR(VLOOKUP($B59,MMWR_TRAD_AGG_RO_COMP[],E$1,0),"ERROR")</f>
        <v>3268</v>
      </c>
      <c r="F59" s="223">
        <f>IFERROR(VLOOKUP($B59,MMWR_TRAD_AGG_RO_COMP[],F$1,0),"ERROR")</f>
        <v>727</v>
      </c>
      <c r="G59" s="224">
        <f t="shared" si="0"/>
        <v>0.22246022031823745</v>
      </c>
      <c r="H59" s="225">
        <f>IFERROR(VLOOKUP($B59,MMWR_TRAD_AGG_RO_COMP[],H$1,0),"ERROR")</f>
        <v>3394</v>
      </c>
      <c r="I59" s="223">
        <f>IFERROR(VLOOKUP($B59,MMWR_TRAD_AGG_RO_COMP[],I$1,0),"ERROR")</f>
        <v>2465</v>
      </c>
      <c r="J59" s="224">
        <f t="shared" si="1"/>
        <v>0.72628167354154394</v>
      </c>
      <c r="K59" s="226">
        <f>IFERROR(VLOOKUP($B59,MMWR_TRAD_AGG_RO_COMP[],K$1,0),"ERROR")</f>
        <v>548</v>
      </c>
      <c r="L59" s="227">
        <f>IFERROR(VLOOKUP($B59,MMWR_TRAD_AGG_RO_COMP[],L$1,0),"ERROR")</f>
        <v>396</v>
      </c>
      <c r="M59" s="224">
        <f t="shared" si="2"/>
        <v>0.72262773722627738</v>
      </c>
      <c r="N59" s="226">
        <f>IFERROR(VLOOKUP($B59,MMWR_TRAD_AGG_RO_COMP[],N$1,0),"ERROR")</f>
        <v>1107</v>
      </c>
      <c r="O59" s="227">
        <f>IFERROR(VLOOKUP($B59,MMWR_TRAD_AGG_RO_COMP[],O$1,0),"ERROR")</f>
        <v>818</v>
      </c>
      <c r="P59" s="224">
        <f t="shared" si="3"/>
        <v>0.73893405600722672</v>
      </c>
      <c r="Q59" s="228">
        <f>IFERROR(VLOOKUP($B59,MMWR_TRAD_AGG_RO_COMP[],Q$1,0),"ERROR")</f>
        <v>0</v>
      </c>
      <c r="R59" s="228">
        <f>IFERROR(VLOOKUP($B59,MMWR_TRAD_AGG_RO_COMP[],R$1,0),"ERROR")</f>
        <v>116</v>
      </c>
      <c r="S59" s="202">
        <f>IFERROR(VLOOKUP($B59,MMWR_APP_RO[],S$1,0),"ERROR")</f>
        <v>3033</v>
      </c>
      <c r="T59" s="28"/>
    </row>
    <row r="60" spans="1:20" x14ac:dyDescent="0.2">
      <c r="A60" s="28"/>
      <c r="B60" s="108" t="s">
        <v>74</v>
      </c>
      <c r="C60" s="220">
        <f>IFERROR(VLOOKUP($B60,MMWR_TRAD_AGG_RO_COMP[],C$1,0),"ERROR")</f>
        <v>7187</v>
      </c>
      <c r="D60" s="221">
        <f>IFERROR(VLOOKUP($B60,MMWR_TRAD_AGG_RO_COMP[],D$1,0),"ERROR")</f>
        <v>345.35313760960003</v>
      </c>
      <c r="E60" s="222">
        <f>IFERROR(VLOOKUP($B60,MMWR_TRAD_AGG_RO_COMP[],E$1,0),"ERROR")</f>
        <v>11892</v>
      </c>
      <c r="F60" s="223">
        <f>IFERROR(VLOOKUP($B60,MMWR_TRAD_AGG_RO_COMP[],F$1,0),"ERROR")</f>
        <v>2142</v>
      </c>
      <c r="G60" s="224">
        <f t="shared" si="0"/>
        <v>0.18012108980827446</v>
      </c>
      <c r="H60" s="225">
        <f>IFERROR(VLOOKUP($B60,MMWR_TRAD_AGG_RO_COMP[],H$1,0),"ERROR")</f>
        <v>17501</v>
      </c>
      <c r="I60" s="223">
        <f>IFERROR(VLOOKUP($B60,MMWR_TRAD_AGG_RO_COMP[],I$1,0),"ERROR")</f>
        <v>9686</v>
      </c>
      <c r="J60" s="224">
        <f t="shared" si="1"/>
        <v>0.55345408833780929</v>
      </c>
      <c r="K60" s="226">
        <f>IFERROR(VLOOKUP($B60,MMWR_TRAD_AGG_RO_COMP[],K$1,0),"ERROR")</f>
        <v>4332</v>
      </c>
      <c r="L60" s="227">
        <f>IFERROR(VLOOKUP($B60,MMWR_TRAD_AGG_RO_COMP[],L$1,0),"ERROR")</f>
        <v>2439</v>
      </c>
      <c r="M60" s="224">
        <f t="shared" si="2"/>
        <v>0.56301939058171746</v>
      </c>
      <c r="N60" s="226">
        <f>IFERROR(VLOOKUP($B60,MMWR_TRAD_AGG_RO_COMP[],N$1,0),"ERROR")</f>
        <v>2632</v>
      </c>
      <c r="O60" s="227">
        <f>IFERROR(VLOOKUP($B60,MMWR_TRAD_AGG_RO_COMP[],O$1,0),"ERROR")</f>
        <v>1654</v>
      </c>
      <c r="P60" s="224">
        <f t="shared" si="3"/>
        <v>0.62841945288753798</v>
      </c>
      <c r="Q60" s="228">
        <f>IFERROR(VLOOKUP($B60,MMWR_TRAD_AGG_RO_COMP[],Q$1,0),"ERROR")</f>
        <v>0</v>
      </c>
      <c r="R60" s="228">
        <f>IFERROR(VLOOKUP($B60,MMWR_TRAD_AGG_RO_COMP[],R$1,0),"ERROR")</f>
        <v>58</v>
      </c>
      <c r="S60" s="202">
        <f>IFERROR(VLOOKUP($B60,MMWR_APP_RO[],S$1,0),"ERROR")</f>
        <v>4372</v>
      </c>
      <c r="T60" s="28"/>
    </row>
    <row r="61" spans="1:20" x14ac:dyDescent="0.2">
      <c r="A61" s="28"/>
      <c r="B61" s="116" t="s">
        <v>76</v>
      </c>
      <c r="C61" s="229">
        <f>IFERROR(VLOOKUP($B61,MMWR_TRAD_AGG_RO_COMP[],C$1,0),"ERROR")</f>
        <v>11846</v>
      </c>
      <c r="D61" s="230">
        <f>IFERROR(VLOOKUP($B61,MMWR_TRAD_AGG_RO_COMP[],D$1,0),"ERROR")</f>
        <v>387.19685969950001</v>
      </c>
      <c r="E61" s="231">
        <f>IFERROR(VLOOKUP($B61,MMWR_TRAD_AGG_RO_COMP[],E$1,0),"ERROR")</f>
        <v>7456</v>
      </c>
      <c r="F61" s="232">
        <f>IFERROR(VLOOKUP($B61,MMWR_TRAD_AGG_RO_COMP[],F$1,0),"ERROR")</f>
        <v>1210</v>
      </c>
      <c r="G61" s="233">
        <f t="shared" si="0"/>
        <v>0.16228540772532188</v>
      </c>
      <c r="H61" s="234">
        <f>IFERROR(VLOOKUP($B61,MMWR_TRAD_AGG_RO_COMP[],H$1,0),"ERROR")</f>
        <v>16779</v>
      </c>
      <c r="I61" s="232">
        <f>IFERROR(VLOOKUP($B61,MMWR_TRAD_AGG_RO_COMP[],I$1,0),"ERROR")</f>
        <v>12053</v>
      </c>
      <c r="J61" s="233">
        <f t="shared" si="1"/>
        <v>0.71833839918946307</v>
      </c>
      <c r="K61" s="235">
        <f>IFERROR(VLOOKUP($B61,MMWR_TRAD_AGG_RO_COMP[],K$1,0),"ERROR")</f>
        <v>5141</v>
      </c>
      <c r="L61" s="236">
        <f>IFERROR(VLOOKUP($B61,MMWR_TRAD_AGG_RO_COMP[],L$1,0),"ERROR")</f>
        <v>3944</v>
      </c>
      <c r="M61" s="233">
        <f t="shared" si="2"/>
        <v>0.76716592102703751</v>
      </c>
      <c r="N61" s="235">
        <f>IFERROR(VLOOKUP($B61,MMWR_TRAD_AGG_RO_COMP[],N$1,0),"ERROR")</f>
        <v>4287</v>
      </c>
      <c r="O61" s="236">
        <f>IFERROR(VLOOKUP($B61,MMWR_TRAD_AGG_RO_COMP[],O$1,0),"ERROR")</f>
        <v>3615</v>
      </c>
      <c r="P61" s="233">
        <f t="shared" si="3"/>
        <v>0.84324702589223233</v>
      </c>
      <c r="Q61" s="237">
        <f>IFERROR(VLOOKUP($B61,MMWR_TRAD_AGG_RO_COMP[],Q$1,0),"ERROR")</f>
        <v>2</v>
      </c>
      <c r="R61" s="237">
        <f>IFERROR(VLOOKUP($B61,MMWR_TRAD_AGG_RO_COMP[],R$1,0),"ERROR")</f>
        <v>145</v>
      </c>
      <c r="S61" s="202">
        <f>IFERROR(VLOOKUP($B61,MMWR_APP_RO[],S$1,0),"ERROR")</f>
        <v>5223</v>
      </c>
      <c r="T61" s="28"/>
    </row>
    <row r="62" spans="1:20" x14ac:dyDescent="0.2">
      <c r="A62" s="28"/>
      <c r="B62" s="101" t="s">
        <v>384</v>
      </c>
      <c r="C62" s="213">
        <f>IFERROR(VLOOKUP($B62,MMWR_TRAD_AGG_DISTRICT_COMP[],C$1,0),"ERROR")</f>
        <v>65649</v>
      </c>
      <c r="D62" s="198">
        <f>IFERROR(VLOOKUP($B62,MMWR_TRAD_AGG_DISTRICT_COMP[],D$1,0),"ERROR")</f>
        <v>341.36222943230001</v>
      </c>
      <c r="E62" s="214">
        <f>IFERROR(VLOOKUP($B62,MMWR_TRAD_AGG_DISTRICT_COMP[],E$1,0),"ERROR")</f>
        <v>70847</v>
      </c>
      <c r="F62" s="219">
        <f>IFERROR(VLOOKUP($B62,MMWR_TRAD_AGG_DISTRICT_COMP[],F$1,0),"ERROR")</f>
        <v>18255</v>
      </c>
      <c r="G62" s="215">
        <f t="shared" si="0"/>
        <v>0.25766793230482588</v>
      </c>
      <c r="H62" s="219">
        <f>IFERROR(VLOOKUP($B62,MMWR_TRAD_AGG_DISTRICT_COMP[],H$1,0),"ERROR")</f>
        <v>92292</v>
      </c>
      <c r="I62" s="219">
        <f>IFERROR(VLOOKUP($B62,MMWR_TRAD_AGG_DISTRICT_COMP[],I$1,0),"ERROR")</f>
        <v>61677</v>
      </c>
      <c r="J62" s="215">
        <f t="shared" si="1"/>
        <v>0.66828110778832406</v>
      </c>
      <c r="K62" s="213">
        <f>IFERROR(VLOOKUP($B62,MMWR_TRAD_AGG_DISTRICT_COMP[],K$1,0),"ERROR")</f>
        <v>27062</v>
      </c>
      <c r="L62" s="213">
        <f>IFERROR(VLOOKUP($B62,MMWR_TRAD_AGG_DISTRICT_COMP[],L$1,0),"ERROR")</f>
        <v>18553</v>
      </c>
      <c r="M62" s="215">
        <f t="shared" si="2"/>
        <v>0.68557386741556425</v>
      </c>
      <c r="N62" s="213">
        <f>IFERROR(VLOOKUP($B62,MMWR_TRAD_AGG_DISTRICT_COMP[],N$1,0),"ERROR")</f>
        <v>29853</v>
      </c>
      <c r="O62" s="213">
        <f>IFERROR(VLOOKUP($B62,MMWR_TRAD_AGG_DISTRICT_COMP[],O$1,0),"ERROR")</f>
        <v>20803</v>
      </c>
      <c r="P62" s="215">
        <f t="shared" si="3"/>
        <v>0.69684788798445718</v>
      </c>
      <c r="Q62" s="213">
        <f>IFERROR(VLOOKUP($B62,MMWR_TRAD_AGG_DISTRICT_COMP[],Q$1,0),"ERROR")</f>
        <v>188</v>
      </c>
      <c r="R62" s="216">
        <f>IFERROR(VLOOKUP($B62,MMWR_TRAD_AGG_DISTRICT_COMP[],R$1,0),"ERROR")</f>
        <v>1206</v>
      </c>
      <c r="S62" s="216">
        <f>IFERROR(VLOOKUP($B62,MMWR_APP_RO[],S$1,0),"ERROR")</f>
        <v>88266</v>
      </c>
      <c r="T62" s="28"/>
    </row>
    <row r="63" spans="1:20" x14ac:dyDescent="0.2">
      <c r="A63" s="28"/>
      <c r="B63" s="108" t="s">
        <v>25</v>
      </c>
      <c r="C63" s="220">
        <f>IFERROR(VLOOKUP($B63,MMWR_TRAD_AGG_RO_COMP[],C$1,0),"ERROR")</f>
        <v>12980</v>
      </c>
      <c r="D63" s="221">
        <f>IFERROR(VLOOKUP($B63,MMWR_TRAD_AGG_RO_COMP[],D$1,0),"ERROR")</f>
        <v>346.69853620959998</v>
      </c>
      <c r="E63" s="222">
        <f>IFERROR(VLOOKUP($B63,MMWR_TRAD_AGG_RO_COMP[],E$1,0),"ERROR")</f>
        <v>16695</v>
      </c>
      <c r="F63" s="223">
        <f>IFERROR(VLOOKUP($B63,MMWR_TRAD_AGG_RO_COMP[],F$1,0),"ERROR")</f>
        <v>4298</v>
      </c>
      <c r="G63" s="224">
        <f t="shared" si="0"/>
        <v>0.25744234800838572</v>
      </c>
      <c r="H63" s="225">
        <f>IFERROR(VLOOKUP($B63,MMWR_TRAD_AGG_RO_COMP[],H$1,0),"ERROR")</f>
        <v>18572</v>
      </c>
      <c r="I63" s="223">
        <f>IFERROR(VLOOKUP($B63,MMWR_TRAD_AGG_RO_COMP[],I$1,0),"ERROR")</f>
        <v>13291</v>
      </c>
      <c r="J63" s="224">
        <f t="shared" si="1"/>
        <v>0.71564721085505056</v>
      </c>
      <c r="K63" s="226">
        <f>IFERROR(VLOOKUP($B63,MMWR_TRAD_AGG_RO_COMP[],K$1,0),"ERROR")</f>
        <v>7430</v>
      </c>
      <c r="L63" s="227">
        <f>IFERROR(VLOOKUP($B63,MMWR_TRAD_AGG_RO_COMP[],L$1,0),"ERROR")</f>
        <v>5007</v>
      </c>
      <c r="M63" s="224">
        <f t="shared" si="2"/>
        <v>0.67388963660834456</v>
      </c>
      <c r="N63" s="226">
        <f>IFERROR(VLOOKUP($B63,MMWR_TRAD_AGG_RO_COMP[],N$1,0),"ERROR")</f>
        <v>10965</v>
      </c>
      <c r="O63" s="227">
        <f>IFERROR(VLOOKUP($B63,MMWR_TRAD_AGG_RO_COMP[],O$1,0),"ERROR")</f>
        <v>9177</v>
      </c>
      <c r="P63" s="224">
        <f t="shared" si="3"/>
        <v>0.83693570451436383</v>
      </c>
      <c r="Q63" s="228">
        <f>IFERROR(VLOOKUP($B63,MMWR_TRAD_AGG_RO_COMP[],Q$1,0),"ERROR")</f>
        <v>64</v>
      </c>
      <c r="R63" s="228">
        <f>IFERROR(VLOOKUP($B63,MMWR_TRAD_AGG_RO_COMP[],R$1,0),"ERROR")</f>
        <v>6</v>
      </c>
      <c r="S63" s="202">
        <f>IFERROR(VLOOKUP($B63,MMWR_APP_RO[],S$1,0),"ERROR")</f>
        <v>17262</v>
      </c>
      <c r="T63" s="28"/>
    </row>
    <row r="64" spans="1:20" x14ac:dyDescent="0.2">
      <c r="A64" s="28"/>
      <c r="B64" s="108" t="s">
        <v>42</v>
      </c>
      <c r="C64" s="220">
        <f>IFERROR(VLOOKUP($B64,MMWR_TRAD_AGG_RO_COMP[],C$1,0),"ERROR")</f>
        <v>10434</v>
      </c>
      <c r="D64" s="221">
        <f>IFERROR(VLOOKUP($B64,MMWR_TRAD_AGG_RO_COMP[],D$1,0),"ERROR")</f>
        <v>287.06200881730001</v>
      </c>
      <c r="E64" s="222">
        <f>IFERROR(VLOOKUP($B64,MMWR_TRAD_AGG_RO_COMP[],E$1,0),"ERROR")</f>
        <v>8633</v>
      </c>
      <c r="F64" s="223">
        <f>IFERROR(VLOOKUP($B64,MMWR_TRAD_AGG_RO_COMP[],F$1,0),"ERROR")</f>
        <v>2560</v>
      </c>
      <c r="G64" s="224">
        <f t="shared" si="0"/>
        <v>0.29653654581257965</v>
      </c>
      <c r="H64" s="225">
        <f>IFERROR(VLOOKUP($B64,MMWR_TRAD_AGG_RO_COMP[],H$1,0),"ERROR")</f>
        <v>18180</v>
      </c>
      <c r="I64" s="223">
        <f>IFERROR(VLOOKUP($B64,MMWR_TRAD_AGG_RO_COMP[],I$1,0),"ERROR")</f>
        <v>12099</v>
      </c>
      <c r="J64" s="224">
        <f t="shared" si="1"/>
        <v>0.66551155115511551</v>
      </c>
      <c r="K64" s="226">
        <f>IFERROR(VLOOKUP($B64,MMWR_TRAD_AGG_RO_COMP[],K$1,0),"ERROR")</f>
        <v>3053</v>
      </c>
      <c r="L64" s="227">
        <f>IFERROR(VLOOKUP($B64,MMWR_TRAD_AGG_RO_COMP[],L$1,0),"ERROR")</f>
        <v>2052</v>
      </c>
      <c r="M64" s="224">
        <f t="shared" si="2"/>
        <v>0.67212577792335404</v>
      </c>
      <c r="N64" s="226">
        <f>IFERROR(VLOOKUP($B64,MMWR_TRAD_AGG_RO_COMP[],N$1,0),"ERROR")</f>
        <v>1273</v>
      </c>
      <c r="O64" s="227">
        <f>IFERROR(VLOOKUP($B64,MMWR_TRAD_AGG_RO_COMP[],O$1,0),"ERROR")</f>
        <v>483</v>
      </c>
      <c r="P64" s="224">
        <f t="shared" si="3"/>
        <v>0.37941869599371564</v>
      </c>
      <c r="Q64" s="228">
        <f>IFERROR(VLOOKUP($B64,MMWR_TRAD_AGG_RO_COMP[],Q$1,0),"ERROR")</f>
        <v>0</v>
      </c>
      <c r="R64" s="228">
        <f>IFERROR(VLOOKUP($B64,MMWR_TRAD_AGG_RO_COMP[],R$1,0),"ERROR")</f>
        <v>52</v>
      </c>
      <c r="S64" s="202">
        <f>IFERROR(VLOOKUP($B64,MMWR_APP_RO[],S$1,0),"ERROR")</f>
        <v>12887</v>
      </c>
      <c r="T64" s="28"/>
    </row>
    <row r="65" spans="1:20" x14ac:dyDescent="0.2">
      <c r="A65" s="28"/>
      <c r="B65" s="108" t="s">
        <v>56</v>
      </c>
      <c r="C65" s="220">
        <f>IFERROR(VLOOKUP($B65,MMWR_TRAD_AGG_RO_COMP[],C$1,0),"ERROR")</f>
        <v>7580</v>
      </c>
      <c r="D65" s="221">
        <f>IFERROR(VLOOKUP($B65,MMWR_TRAD_AGG_RO_COMP[],D$1,0),"ERROR")</f>
        <v>497.50171503960001</v>
      </c>
      <c r="E65" s="222">
        <f>IFERROR(VLOOKUP($B65,MMWR_TRAD_AGG_RO_COMP[],E$1,0),"ERROR")</f>
        <v>3984</v>
      </c>
      <c r="F65" s="223">
        <f>IFERROR(VLOOKUP($B65,MMWR_TRAD_AGG_RO_COMP[],F$1,0),"ERROR")</f>
        <v>1032</v>
      </c>
      <c r="G65" s="224">
        <f t="shared" si="0"/>
        <v>0.25903614457831325</v>
      </c>
      <c r="H65" s="225">
        <f>IFERROR(VLOOKUP($B65,MMWR_TRAD_AGG_RO_COMP[],H$1,0),"ERROR")</f>
        <v>11786</v>
      </c>
      <c r="I65" s="223">
        <f>IFERROR(VLOOKUP($B65,MMWR_TRAD_AGG_RO_COMP[],I$1,0),"ERROR")</f>
        <v>7927</v>
      </c>
      <c r="J65" s="224">
        <f t="shared" si="1"/>
        <v>0.67257763448158836</v>
      </c>
      <c r="K65" s="226">
        <f>IFERROR(VLOOKUP($B65,MMWR_TRAD_AGG_RO_COMP[],K$1,0),"ERROR")</f>
        <v>3461</v>
      </c>
      <c r="L65" s="227">
        <f>IFERROR(VLOOKUP($B65,MMWR_TRAD_AGG_RO_COMP[],L$1,0),"ERROR")</f>
        <v>2976</v>
      </c>
      <c r="M65" s="224">
        <f t="shared" si="2"/>
        <v>0.85986709043629006</v>
      </c>
      <c r="N65" s="226">
        <f>IFERROR(VLOOKUP($B65,MMWR_TRAD_AGG_RO_COMP[],N$1,0),"ERROR")</f>
        <v>1077</v>
      </c>
      <c r="O65" s="227">
        <f>IFERROR(VLOOKUP($B65,MMWR_TRAD_AGG_RO_COMP[],O$1,0),"ERROR")</f>
        <v>452</v>
      </c>
      <c r="P65" s="224">
        <f t="shared" si="3"/>
        <v>0.41968430826369546</v>
      </c>
      <c r="Q65" s="228">
        <f>IFERROR(VLOOKUP($B65,MMWR_TRAD_AGG_RO_COMP[],Q$1,0),"ERROR")</f>
        <v>111</v>
      </c>
      <c r="R65" s="228">
        <f>IFERROR(VLOOKUP($B65,MMWR_TRAD_AGG_RO_COMP[],R$1,0),"ERROR")</f>
        <v>261</v>
      </c>
      <c r="S65" s="202">
        <f>IFERROR(VLOOKUP($B65,MMWR_APP_RO[],S$1,0),"ERROR")</f>
        <v>4872</v>
      </c>
      <c r="T65" s="28"/>
    </row>
    <row r="66" spans="1:20" x14ac:dyDescent="0.2">
      <c r="A66" s="28"/>
      <c r="B66" s="108" t="s">
        <v>60</v>
      </c>
      <c r="C66" s="220">
        <f>IFERROR(VLOOKUP($B66,MMWR_TRAD_AGG_RO_COMP[],C$1,0),"ERROR")</f>
        <v>12217</v>
      </c>
      <c r="D66" s="221">
        <f>IFERROR(VLOOKUP($B66,MMWR_TRAD_AGG_RO_COMP[],D$1,0),"ERROR")</f>
        <v>378.7526397643</v>
      </c>
      <c r="E66" s="222">
        <f>IFERROR(VLOOKUP($B66,MMWR_TRAD_AGG_RO_COMP[],E$1,0),"ERROR")</f>
        <v>7255</v>
      </c>
      <c r="F66" s="223">
        <f>IFERROR(VLOOKUP($B66,MMWR_TRAD_AGG_RO_COMP[],F$1,0),"ERROR")</f>
        <v>1488</v>
      </c>
      <c r="G66" s="224">
        <f t="shared" si="0"/>
        <v>0.20509993108201241</v>
      </c>
      <c r="H66" s="225">
        <f>IFERROR(VLOOKUP($B66,MMWR_TRAD_AGG_RO_COMP[],H$1,0),"ERROR")</f>
        <v>13590</v>
      </c>
      <c r="I66" s="223">
        <f>IFERROR(VLOOKUP($B66,MMWR_TRAD_AGG_RO_COMP[],I$1,0),"ERROR")</f>
        <v>9945</v>
      </c>
      <c r="J66" s="224">
        <f t="shared" si="1"/>
        <v>0.73178807947019864</v>
      </c>
      <c r="K66" s="226">
        <f>IFERROR(VLOOKUP($B66,MMWR_TRAD_AGG_RO_COMP[],K$1,0),"ERROR")</f>
        <v>4626</v>
      </c>
      <c r="L66" s="227">
        <f>IFERROR(VLOOKUP($B66,MMWR_TRAD_AGG_RO_COMP[],L$1,0),"ERROR")</f>
        <v>3719</v>
      </c>
      <c r="M66" s="224">
        <f t="shared" si="2"/>
        <v>0.80393428447903159</v>
      </c>
      <c r="N66" s="226">
        <f>IFERROR(VLOOKUP($B66,MMWR_TRAD_AGG_RO_COMP[],N$1,0),"ERROR")</f>
        <v>1785</v>
      </c>
      <c r="O66" s="227">
        <f>IFERROR(VLOOKUP($B66,MMWR_TRAD_AGG_RO_COMP[],O$1,0),"ERROR")</f>
        <v>1244</v>
      </c>
      <c r="P66" s="224">
        <f t="shared" si="3"/>
        <v>0.69691876750700277</v>
      </c>
      <c r="Q66" s="228">
        <f>IFERROR(VLOOKUP($B66,MMWR_TRAD_AGG_RO_COMP[],Q$1,0),"ERROR")</f>
        <v>0</v>
      </c>
      <c r="R66" s="228">
        <f>IFERROR(VLOOKUP($B66,MMWR_TRAD_AGG_RO_COMP[],R$1,0),"ERROR")</f>
        <v>375</v>
      </c>
      <c r="S66" s="202">
        <f>IFERROR(VLOOKUP($B66,MMWR_APP_RO[],S$1,0),"ERROR")</f>
        <v>10312</v>
      </c>
      <c r="T66" s="28"/>
    </row>
    <row r="67" spans="1:20" x14ac:dyDescent="0.2">
      <c r="A67" s="28"/>
      <c r="B67" s="108" t="s">
        <v>61</v>
      </c>
      <c r="C67" s="220">
        <f>IFERROR(VLOOKUP($B67,MMWR_TRAD_AGG_RO_COMP[],C$1,0),"ERROR")</f>
        <v>4791</v>
      </c>
      <c r="D67" s="221">
        <f>IFERROR(VLOOKUP($B67,MMWR_TRAD_AGG_RO_COMP[],D$1,0),"ERROR")</f>
        <v>239.60217073679999</v>
      </c>
      <c r="E67" s="222">
        <f>IFERROR(VLOOKUP($B67,MMWR_TRAD_AGG_RO_COMP[],E$1,0),"ERROR")</f>
        <v>10280</v>
      </c>
      <c r="F67" s="223">
        <f>IFERROR(VLOOKUP($B67,MMWR_TRAD_AGG_RO_COMP[],F$1,0),"ERROR")</f>
        <v>2519</v>
      </c>
      <c r="G67" s="224">
        <f t="shared" si="0"/>
        <v>0.24503891050583657</v>
      </c>
      <c r="H67" s="225">
        <f>IFERROR(VLOOKUP($B67,MMWR_TRAD_AGG_RO_COMP[],H$1,0),"ERROR")</f>
        <v>8073</v>
      </c>
      <c r="I67" s="223">
        <f>IFERROR(VLOOKUP($B67,MMWR_TRAD_AGG_RO_COMP[],I$1,0),"ERROR")</f>
        <v>3973</v>
      </c>
      <c r="J67" s="224">
        <f t="shared" si="1"/>
        <v>0.49213427474297039</v>
      </c>
      <c r="K67" s="226">
        <f>IFERROR(VLOOKUP($B67,MMWR_TRAD_AGG_RO_COMP[],K$1,0),"ERROR")</f>
        <v>3137</v>
      </c>
      <c r="L67" s="227">
        <f>IFERROR(VLOOKUP($B67,MMWR_TRAD_AGG_RO_COMP[],L$1,0),"ERROR")</f>
        <v>1874</v>
      </c>
      <c r="M67" s="224">
        <f t="shared" si="2"/>
        <v>0.59738603761555631</v>
      </c>
      <c r="N67" s="226">
        <f>IFERROR(VLOOKUP($B67,MMWR_TRAD_AGG_RO_COMP[],N$1,0),"ERROR")</f>
        <v>1714</v>
      </c>
      <c r="O67" s="227">
        <f>IFERROR(VLOOKUP($B67,MMWR_TRAD_AGG_RO_COMP[],O$1,0),"ERROR")</f>
        <v>1099</v>
      </c>
      <c r="P67" s="224">
        <f t="shared" si="3"/>
        <v>0.64119019836639435</v>
      </c>
      <c r="Q67" s="228">
        <f>IFERROR(VLOOKUP($B67,MMWR_TRAD_AGG_RO_COMP[],Q$1,0),"ERROR")</f>
        <v>1</v>
      </c>
      <c r="R67" s="228">
        <f>IFERROR(VLOOKUP($B67,MMWR_TRAD_AGG_RO_COMP[],R$1,0),"ERROR")</f>
        <v>254</v>
      </c>
      <c r="S67" s="202">
        <f>IFERROR(VLOOKUP($B67,MMWR_APP_RO[],S$1,0),"ERROR")</f>
        <v>6542</v>
      </c>
      <c r="T67" s="28"/>
    </row>
    <row r="68" spans="1:20" x14ac:dyDescent="0.2">
      <c r="A68" s="28"/>
      <c r="B68" s="108" t="s">
        <v>75</v>
      </c>
      <c r="C68" s="220">
        <f>IFERROR(VLOOKUP($B68,MMWR_TRAD_AGG_RO_COMP[],C$1,0),"ERROR")</f>
        <v>1739</v>
      </c>
      <c r="D68" s="221">
        <f>IFERROR(VLOOKUP($B68,MMWR_TRAD_AGG_RO_COMP[],D$1,0),"ERROR")</f>
        <v>311.07935595169999</v>
      </c>
      <c r="E68" s="222">
        <f>IFERROR(VLOOKUP($B68,MMWR_TRAD_AGG_RO_COMP[],E$1,0),"ERROR")</f>
        <v>3298</v>
      </c>
      <c r="F68" s="223">
        <f>IFERROR(VLOOKUP($B68,MMWR_TRAD_AGG_RO_COMP[],F$1,0),"ERROR")</f>
        <v>957</v>
      </c>
      <c r="G68" s="224">
        <f t="shared" si="0"/>
        <v>0.29017586416009705</v>
      </c>
      <c r="H68" s="225">
        <f>IFERROR(VLOOKUP($B68,MMWR_TRAD_AGG_RO_COMP[],H$1,0),"ERROR")</f>
        <v>2829</v>
      </c>
      <c r="I68" s="223">
        <f>IFERROR(VLOOKUP($B68,MMWR_TRAD_AGG_RO_COMP[],I$1,0),"ERROR")</f>
        <v>2145</v>
      </c>
      <c r="J68" s="224">
        <f t="shared" si="1"/>
        <v>0.7582184517497349</v>
      </c>
      <c r="K68" s="226">
        <f>IFERROR(VLOOKUP($B68,MMWR_TRAD_AGG_RO_COMP[],K$1,0),"ERROR")</f>
        <v>840</v>
      </c>
      <c r="L68" s="227">
        <f>IFERROR(VLOOKUP($B68,MMWR_TRAD_AGG_RO_COMP[],L$1,0),"ERROR")</f>
        <v>609</v>
      </c>
      <c r="M68" s="224">
        <f t="shared" si="2"/>
        <v>0.72499999999999998</v>
      </c>
      <c r="N68" s="226">
        <f>IFERROR(VLOOKUP($B68,MMWR_TRAD_AGG_RO_COMP[],N$1,0),"ERROR")</f>
        <v>1035</v>
      </c>
      <c r="O68" s="227">
        <f>IFERROR(VLOOKUP($B68,MMWR_TRAD_AGG_RO_COMP[],O$1,0),"ERROR")</f>
        <v>775</v>
      </c>
      <c r="P68" s="224">
        <f t="shared" si="3"/>
        <v>0.74879227053140096</v>
      </c>
      <c r="Q68" s="228">
        <f>IFERROR(VLOOKUP($B68,MMWR_TRAD_AGG_RO_COMP[],Q$1,0),"ERROR")</f>
        <v>0</v>
      </c>
      <c r="R68" s="228">
        <f>IFERROR(VLOOKUP($B68,MMWR_TRAD_AGG_RO_COMP[],R$1,0),"ERROR")</f>
        <v>2</v>
      </c>
      <c r="S68" s="202">
        <f>IFERROR(VLOOKUP($B68,MMWR_APP_RO[],S$1,0),"ERROR")</f>
        <v>6064</v>
      </c>
      <c r="T68" s="28"/>
    </row>
    <row r="69" spans="1:20" x14ac:dyDescent="0.2">
      <c r="A69" s="28"/>
      <c r="B69" s="116" t="s">
        <v>80</v>
      </c>
      <c r="C69" s="229">
        <f>IFERROR(VLOOKUP($B69,MMWR_TRAD_AGG_RO_COMP[],C$1,0),"ERROR")</f>
        <v>15908</v>
      </c>
      <c r="D69" s="230">
        <f>IFERROR(VLOOKUP($B69,MMWR_TRAD_AGG_RO_COMP[],D$1,0),"ERROR")</f>
        <v>303.46693487549999</v>
      </c>
      <c r="E69" s="231">
        <f>IFERROR(VLOOKUP($B69,MMWR_TRAD_AGG_RO_COMP[],E$1,0),"ERROR")</f>
        <v>20702</v>
      </c>
      <c r="F69" s="232">
        <f>IFERROR(VLOOKUP($B69,MMWR_TRAD_AGG_RO_COMP[],F$1,0),"ERROR")</f>
        <v>5401</v>
      </c>
      <c r="G69" s="233">
        <f t="shared" si="0"/>
        <v>0.26089266737513284</v>
      </c>
      <c r="H69" s="234">
        <f>IFERROR(VLOOKUP($B69,MMWR_TRAD_AGG_RO_COMP[],H$1,0),"ERROR")</f>
        <v>19262</v>
      </c>
      <c r="I69" s="232">
        <f>IFERROR(VLOOKUP($B69,MMWR_TRAD_AGG_RO_COMP[],I$1,0),"ERROR")</f>
        <v>12297</v>
      </c>
      <c r="J69" s="233">
        <f t="shared" si="1"/>
        <v>0.63840722666389782</v>
      </c>
      <c r="K69" s="235">
        <f>IFERROR(VLOOKUP($B69,MMWR_TRAD_AGG_RO_COMP[],K$1,0),"ERROR")</f>
        <v>4515</v>
      </c>
      <c r="L69" s="236">
        <f>IFERROR(VLOOKUP($B69,MMWR_TRAD_AGG_RO_COMP[],L$1,0),"ERROR")</f>
        <v>2316</v>
      </c>
      <c r="M69" s="233">
        <f t="shared" si="2"/>
        <v>0.51295681063122922</v>
      </c>
      <c r="N69" s="235">
        <f>IFERROR(VLOOKUP($B69,MMWR_TRAD_AGG_RO_COMP[],N$1,0),"ERROR")</f>
        <v>12004</v>
      </c>
      <c r="O69" s="236">
        <f>IFERROR(VLOOKUP($B69,MMWR_TRAD_AGG_RO_COMP[],O$1,0),"ERROR")</f>
        <v>7573</v>
      </c>
      <c r="P69" s="233">
        <f t="shared" si="3"/>
        <v>0.63087304231922692</v>
      </c>
      <c r="Q69" s="237">
        <f>IFERROR(VLOOKUP($B69,MMWR_TRAD_AGG_RO_COMP[],Q$1,0),"ERROR")</f>
        <v>12</v>
      </c>
      <c r="R69" s="237">
        <f>IFERROR(VLOOKUP($B69,MMWR_TRAD_AGG_RO_COMP[],R$1,0),"ERROR")</f>
        <v>256</v>
      </c>
      <c r="S69" s="202">
        <f>IFERROR(VLOOKUP($B69,MMWR_APP_RO[],S$1,0),"ERROR")</f>
        <v>30327</v>
      </c>
      <c r="T69" s="28"/>
    </row>
    <row r="70" spans="1:20" x14ac:dyDescent="0.2">
      <c r="A70" s="28"/>
      <c r="B70" s="101" t="s">
        <v>8</v>
      </c>
      <c r="C70" s="213">
        <f>IFERROR(VLOOKUP($B70,MMWR_TRAD_AGG_RO_COMP[],C$1,0),"ERROR")</f>
        <v>61</v>
      </c>
      <c r="D70" s="198">
        <f>IFERROR(VLOOKUP($B70,MMWR_TRAD_AGG_RO_COMP[],D$1,0),"ERROR")</f>
        <v>746.5573770492</v>
      </c>
      <c r="E70" s="214">
        <f>IFERROR(VLOOKUP($B70,MMWR_TRAD_AGG_RO_COMP[],E$1,0),"ERROR")</f>
        <v>38</v>
      </c>
      <c r="F70" s="219">
        <f>IFERROR(VLOOKUP($B70,MMWR_TRAD_AGG_RO_COMP[],F$1,0),"ERROR")</f>
        <v>1</v>
      </c>
      <c r="G70" s="215">
        <f>IFERROR(F70/E70,"0%")</f>
        <v>2.6315789473684209E-2</v>
      </c>
      <c r="H70" s="219">
        <f>IFERROR(VLOOKUP($B70,MMWR_TRAD_AGG_RO_COMP[],H$1,0),"ERROR")</f>
        <v>64</v>
      </c>
      <c r="I70" s="219">
        <f>IFERROR(VLOOKUP($B70,MMWR_TRAD_AGG_RO_COMP[],I$1,0),"ERROR")</f>
        <v>49</v>
      </c>
      <c r="J70" s="215">
        <f>IFERROR(I70/H70,"0%")</f>
        <v>0.765625</v>
      </c>
      <c r="K70" s="213">
        <f>IFERROR(VLOOKUP($B70,MMWR_TRAD_AGG_RO_COMP[],K$1,0),"ERROR")</f>
        <v>11</v>
      </c>
      <c r="L70" s="213">
        <f>IFERROR(VLOOKUP($B70,MMWR_TRAD_AGG_RO_COMP[],L$1,0),"ERROR")</f>
        <v>8</v>
      </c>
      <c r="M70" s="215">
        <f>IFERROR(L70/K70,"0%")</f>
        <v>0.72727272727272729</v>
      </c>
      <c r="N70" s="213">
        <f>IFERROR(VLOOKUP($B70,MMWR_TRAD_AGG_RO_COMP[],N$1,0),"ERROR")</f>
        <v>49103</v>
      </c>
      <c r="O70" s="213">
        <f>IFERROR(VLOOKUP($B70,MMWR_TRAD_AGG_RO_COMP[],O$1,0),"ERROR")</f>
        <v>25418</v>
      </c>
      <c r="P70" s="215">
        <f>IFERROR(O70/N70,"0%")</f>
        <v>0.51764657963871863</v>
      </c>
      <c r="Q70" s="213">
        <f>IFERROR(VLOOKUP($B70,MMWR_TRAD_AGG_RO_COMP[],Q$1,0),"ERROR")</f>
        <v>0</v>
      </c>
      <c r="R70" s="216">
        <f>IFERROR(VLOOKUP($B70,MMWR_TRAD_AGG_RO_COMP[],R$1,0),"ERROR")</f>
        <v>1</v>
      </c>
      <c r="S70" s="216">
        <f>IFERROR(VLOOKUP($B70,MMWR_APP_RO[],S$1,0),"ERROR")</f>
        <v>10781</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491</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228</v>
      </c>
      <c r="D73" s="458"/>
      <c r="E73" s="459" t="s">
        <v>208</v>
      </c>
      <c r="F73" s="460"/>
      <c r="G73" s="461"/>
      <c r="H73" s="459" t="s">
        <v>7</v>
      </c>
      <c r="I73" s="460"/>
      <c r="J73" s="461"/>
      <c r="K73" s="459" t="s">
        <v>33</v>
      </c>
      <c r="L73" s="460"/>
      <c r="M73" s="461"/>
      <c r="N73" s="459" t="s">
        <v>8</v>
      </c>
      <c r="O73" s="460"/>
      <c r="P73" s="461"/>
      <c r="Q73" s="81" t="s">
        <v>9</v>
      </c>
      <c r="R73" s="82" t="s">
        <v>10</v>
      </c>
      <c r="S73" s="82" t="s">
        <v>11</v>
      </c>
      <c r="T73" s="28"/>
    </row>
    <row r="74" spans="1:20" ht="38.25" x14ac:dyDescent="0.2">
      <c r="A74" s="91"/>
      <c r="B74" s="118"/>
      <c r="C74" s="84" t="s">
        <v>12</v>
      </c>
      <c r="D74" s="85" t="s">
        <v>137</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492</v>
      </c>
      <c r="T74" s="28"/>
    </row>
    <row r="75" spans="1:20" x14ac:dyDescent="0.2">
      <c r="A75" s="25"/>
      <c r="B75" s="101" t="s">
        <v>466</v>
      </c>
      <c r="C75" s="238">
        <f>IFERROR(VLOOKUP($B75,MMWR_TRAD_AGG_RO_PEN[],C$1,0),"ERROR")</f>
        <v>20546</v>
      </c>
      <c r="D75" s="239">
        <f>IFERROR(VLOOKUP($B75,MMWR_TRAD_AGG_RO_PEN[],D$1,0),"ERROR")</f>
        <v>79.392923196699996</v>
      </c>
      <c r="E75" s="238">
        <f>IFERROR(VLOOKUP($B75,MMWR_TRAD_AGG_RO_PEN[],E$1,0),"ERROR")</f>
        <v>32918</v>
      </c>
      <c r="F75" s="238">
        <f>IFERROR(VLOOKUP($B75,MMWR_TRAD_AGG_RO_PEN[],F$1,0),"ERROR")</f>
        <v>5383</v>
      </c>
      <c r="G75" s="240">
        <f>IFERROR(F75/E75,"0%")</f>
        <v>0.16352755331429614</v>
      </c>
      <c r="H75" s="238">
        <f>IFERROR(VLOOKUP($B75,MMWR_TRAD_AGG_RO_PEN[],H$1,0),"ERROR")</f>
        <v>28809</v>
      </c>
      <c r="I75" s="238">
        <f>IFERROR(VLOOKUP($B75,MMWR_TRAD_AGG_RO_PEN[],I$1,0),"ERROR")</f>
        <v>7024</v>
      </c>
      <c r="J75" s="240">
        <f>IFERROR(I75/H75,"0%")</f>
        <v>0.24381269742094486</v>
      </c>
      <c r="K75" s="238">
        <f>IFERROR(VLOOKUP($B75,MMWR_TRAD_AGG_RO_PEN[],K$1,0),"ERROR")</f>
        <v>456</v>
      </c>
      <c r="L75" s="238">
        <f>IFERROR(VLOOKUP($B75,MMWR_TRAD_AGG_RO_PEN[],L$1,0),"ERROR")</f>
        <v>433</v>
      </c>
      <c r="M75" s="240">
        <f>IFERROR(L75/K75,"0%")</f>
        <v>0.94956140350877194</v>
      </c>
      <c r="N75" s="238">
        <f>IFERROR(VLOOKUP($B75,MMWR_TRAD_AGG_RO_PEN[],N$1,0),"ERROR")</f>
        <v>1593</v>
      </c>
      <c r="O75" s="238">
        <f>IFERROR(VLOOKUP($B75,MMWR_TRAD_AGG_RO_PEN[],O$1,0),"ERROR")</f>
        <v>561</v>
      </c>
      <c r="P75" s="240">
        <f>IFERROR(O75/N75,"0%")</f>
        <v>0.35216572504708099</v>
      </c>
      <c r="Q75" s="238">
        <f>IFERROR(VLOOKUP($B75,MMWR_TRAD_AGG_RO_PEN[],Q$1,0),"ERROR")</f>
        <v>9527</v>
      </c>
      <c r="R75" s="241">
        <f>IFERROR(VLOOKUP($B75,MMWR_TRAD_AGG_RO_PEN[],R$1,0),"ERROR")</f>
        <v>5948</v>
      </c>
      <c r="S75" s="241">
        <f>IFERROR(VLOOKUP($B75,MMWR_APP_RO[],S$1,0),"ERROR")</f>
        <v>7371</v>
      </c>
      <c r="T75" s="28"/>
    </row>
    <row r="76" spans="1:20" x14ac:dyDescent="0.2">
      <c r="A76" s="107"/>
      <c r="B76" s="122" t="s">
        <v>213</v>
      </c>
      <c r="C76" s="242">
        <f>IFERROR(VLOOKUP($B76,MMWR_TRAD_AGG_RO_PEN[],C$1,0),"ERROR")</f>
        <v>13961</v>
      </c>
      <c r="D76" s="243">
        <f>IFERROR(VLOOKUP($B76,MMWR_TRAD_AGG_RO_PEN[],D$1,0),"ERROR")</f>
        <v>96.236659265100002</v>
      </c>
      <c r="E76" s="242">
        <f>IFERROR(VLOOKUP($B76,MMWR_TRAD_AGG_RO_PEN[],E$1,0),"ERROR")</f>
        <v>18369</v>
      </c>
      <c r="F76" s="242">
        <f>IFERROR(VLOOKUP($B76,MMWR_TRAD_AGG_RO_PEN[],F$1,0),"ERROR")</f>
        <v>4118</v>
      </c>
      <c r="G76" s="224">
        <f>IFERROR(F76/E76,"0%")</f>
        <v>0.22418204583809678</v>
      </c>
      <c r="H76" s="242">
        <f>IFERROR(VLOOKUP($B76,MMWR_TRAD_AGG_RO_PEN[],H$1,0),"ERROR")</f>
        <v>18650</v>
      </c>
      <c r="I76" s="242">
        <f>IFERROR(VLOOKUP($B76,MMWR_TRAD_AGG_RO_PEN[],I$1,0),"ERROR")</f>
        <v>6450</v>
      </c>
      <c r="J76" s="224">
        <f>IFERROR(I76/H76,"0%")</f>
        <v>0.34584450402144773</v>
      </c>
      <c r="K76" s="242">
        <f>IFERROR(VLOOKUP($B76,MMWR_TRAD_AGG_RO_PEN[],K$1,0),"ERROR")</f>
        <v>200</v>
      </c>
      <c r="L76" s="242">
        <f>IFERROR(VLOOKUP($B76,MMWR_TRAD_AGG_RO_PEN[],L$1,0),"ERROR")</f>
        <v>197</v>
      </c>
      <c r="M76" s="224">
        <f>IFERROR(L76/K76,"0%")</f>
        <v>0.98499999999999999</v>
      </c>
      <c r="N76" s="242">
        <f>IFERROR(VLOOKUP($B76,MMWR_TRAD_AGG_RO_PEN[],N$1,0),"ERROR")</f>
        <v>810</v>
      </c>
      <c r="O76" s="242">
        <f>IFERROR(VLOOKUP($B76,MMWR_TRAD_AGG_RO_PEN[],O$1,0),"ERROR")</f>
        <v>274</v>
      </c>
      <c r="P76" s="224">
        <f>IFERROR(O76/N76,"0%")</f>
        <v>0.33827160493827163</v>
      </c>
      <c r="Q76" s="242">
        <f>IFERROR(VLOOKUP($B76,MMWR_TRAD_AGG_RO_PEN[],Q$1,0),"ERROR")</f>
        <v>2182</v>
      </c>
      <c r="R76" s="242">
        <f>IFERROR(VLOOKUP($B76,MMWR_TRAD_AGG_RO_PEN[],R$1,0),"ERROR")</f>
        <v>4375</v>
      </c>
      <c r="S76" s="244">
        <f>IFERROR(VLOOKUP($B76,MMWR_APP_RO[],S$1,0),"ERROR")</f>
        <v>2777</v>
      </c>
      <c r="T76" s="28"/>
    </row>
    <row r="77" spans="1:20" x14ac:dyDescent="0.2">
      <c r="A77" s="107"/>
      <c r="B77" s="122" t="s">
        <v>212</v>
      </c>
      <c r="C77" s="242">
        <f>IFERROR(VLOOKUP($B77,MMWR_TRAD_AGG_RO_PEN[],C$1,0),"ERROR")</f>
        <v>3385</v>
      </c>
      <c r="D77" s="243">
        <f>IFERROR(VLOOKUP($B77,MMWR_TRAD_AGG_RO_PEN[],D$1,0),"ERROR")</f>
        <v>45.4880354505</v>
      </c>
      <c r="E77" s="242">
        <f>IFERROR(VLOOKUP($B77,MMWR_TRAD_AGG_RO_PEN[],E$1,0),"ERROR")</f>
        <v>8035</v>
      </c>
      <c r="F77" s="242">
        <f>IFERROR(VLOOKUP($B77,MMWR_TRAD_AGG_RO_PEN[],F$1,0),"ERROR")</f>
        <v>845</v>
      </c>
      <c r="G77" s="224">
        <f>IFERROR(F77/E77,"0%")</f>
        <v>0.10516490354698195</v>
      </c>
      <c r="H77" s="242">
        <f>IFERROR(VLOOKUP($B77,MMWR_TRAD_AGG_RO_PEN[],H$1,0),"ERROR")</f>
        <v>5280</v>
      </c>
      <c r="I77" s="242">
        <f>IFERROR(VLOOKUP($B77,MMWR_TRAD_AGG_RO_PEN[],I$1,0),"ERROR")</f>
        <v>204</v>
      </c>
      <c r="J77" s="224">
        <f>IFERROR(I77/H77,"0%")</f>
        <v>3.8636363636363635E-2</v>
      </c>
      <c r="K77" s="242">
        <f>IFERROR(VLOOKUP($B77,MMWR_TRAD_AGG_RO_PEN[],K$1,0),"ERROR")</f>
        <v>3</v>
      </c>
      <c r="L77" s="242">
        <f>IFERROR(VLOOKUP($B77,MMWR_TRAD_AGG_RO_PEN[],L$1,0),"ERROR")</f>
        <v>3</v>
      </c>
      <c r="M77" s="224">
        <f>IFERROR(L77/K77,"0%")</f>
        <v>1</v>
      </c>
      <c r="N77" s="242">
        <f>IFERROR(VLOOKUP($B77,MMWR_TRAD_AGG_RO_PEN[],N$1,0),"ERROR")</f>
        <v>409</v>
      </c>
      <c r="O77" s="242">
        <f>IFERROR(VLOOKUP($B77,MMWR_TRAD_AGG_RO_PEN[],O$1,0),"ERROR")</f>
        <v>69</v>
      </c>
      <c r="P77" s="224">
        <f>IFERROR(O77/N77,"0%")</f>
        <v>0.1687041564792176</v>
      </c>
      <c r="Q77" s="242">
        <f>IFERROR(VLOOKUP($B77,MMWR_TRAD_AGG_RO_PEN[],Q$1,0),"ERROR")</f>
        <v>998</v>
      </c>
      <c r="R77" s="242">
        <f>IFERROR(VLOOKUP($B77,MMWR_TRAD_AGG_RO_PEN[],R$1,0),"ERROR")</f>
        <v>747</v>
      </c>
      <c r="S77" s="244">
        <f>IFERROR(VLOOKUP($B77,MMWR_APP_RO[],S$1,0),"ERROR")</f>
        <v>2698</v>
      </c>
      <c r="T77" s="28"/>
    </row>
    <row r="78" spans="1:20" x14ac:dyDescent="0.2">
      <c r="A78" s="107"/>
      <c r="B78" s="122" t="s">
        <v>215</v>
      </c>
      <c r="C78" s="242">
        <f>IFERROR(VLOOKUP($B78,MMWR_TRAD_AGG_RO_PEN[],C$1,0),"ERROR")</f>
        <v>3200</v>
      </c>
      <c r="D78" s="243">
        <f>IFERROR(VLOOKUP($B78,MMWR_TRAD_AGG_RO_PEN[],D$1,0),"ERROR")</f>
        <v>41.771875000000001</v>
      </c>
      <c r="E78" s="242">
        <f>IFERROR(VLOOKUP($B78,MMWR_TRAD_AGG_RO_PEN[],E$1,0),"ERROR")</f>
        <v>6231</v>
      </c>
      <c r="F78" s="242">
        <f>IFERROR(VLOOKUP($B78,MMWR_TRAD_AGG_RO_PEN[],F$1,0),"ERROR")</f>
        <v>298</v>
      </c>
      <c r="G78" s="224">
        <f>IFERROR(F78/E78,"0%")</f>
        <v>4.7825389183116677E-2</v>
      </c>
      <c r="H78" s="242">
        <f>IFERROR(VLOOKUP($B78,MMWR_TRAD_AGG_RO_PEN[],H$1,0),"ERROR")</f>
        <v>4409</v>
      </c>
      <c r="I78" s="242">
        <f>IFERROR(VLOOKUP($B78,MMWR_TRAD_AGG_RO_PEN[],I$1,0),"ERROR")</f>
        <v>37</v>
      </c>
      <c r="J78" s="224">
        <f>IFERROR(I78/H78,"0%")</f>
        <v>8.3919256067135403E-3</v>
      </c>
      <c r="K78" s="242">
        <f>IFERROR(VLOOKUP($B78,MMWR_TRAD_AGG_RO_PEN[],K$1,0),"ERROR")</f>
        <v>29</v>
      </c>
      <c r="L78" s="242">
        <f>IFERROR(VLOOKUP($B78,MMWR_TRAD_AGG_RO_PEN[],L$1,0),"ERROR")</f>
        <v>13</v>
      </c>
      <c r="M78" s="224">
        <f>IFERROR(L78/K78,"0%")</f>
        <v>0.44827586206896552</v>
      </c>
      <c r="N78" s="242">
        <f>IFERROR(VLOOKUP($B78,MMWR_TRAD_AGG_RO_PEN[],N$1,0),"ERROR")</f>
        <v>173</v>
      </c>
      <c r="O78" s="242">
        <f>IFERROR(VLOOKUP($B78,MMWR_TRAD_AGG_RO_PEN[],O$1,0),"ERROR")</f>
        <v>56</v>
      </c>
      <c r="P78" s="224">
        <f>IFERROR(O78/N78,"0%")</f>
        <v>0.32369942196531792</v>
      </c>
      <c r="Q78" s="242">
        <f>IFERROR(VLOOKUP($B78,MMWR_TRAD_AGG_RO_PEN[],Q$1,0),"ERROR")</f>
        <v>6334</v>
      </c>
      <c r="R78" s="242">
        <f>IFERROR(VLOOKUP($B78,MMWR_TRAD_AGG_RO_PEN[],R$1,0),"ERROR")</f>
        <v>826</v>
      </c>
      <c r="S78" s="244">
        <f>IFERROR(VLOOKUP($B78,MMWR_APP_RO[],S$1,0),"ERROR")</f>
        <v>1896</v>
      </c>
      <c r="T78" s="28"/>
    </row>
    <row r="79" spans="1:20" x14ac:dyDescent="0.2">
      <c r="A79" s="92"/>
      <c r="B79" s="101" t="s">
        <v>227</v>
      </c>
      <c r="C79" s="219">
        <f>IFERROR(VLOOKUP($B79,MMWR_TRAD_AGG_RO_PEN[],C$1,0),"ERROR")</f>
        <v>0</v>
      </c>
      <c r="D79" s="190">
        <f>IFERROR(VLOOKUP($B79,MMWR_TRAD_AGG_RO_PEN[],D$1,0),"ERROR")</f>
        <v>0</v>
      </c>
      <c r="E79" s="219">
        <f>IFERROR(VLOOKUP($B79,MMWR_TRAD_AGG_RO_PEN[],E$1,0),"ERROR")</f>
        <v>283</v>
      </c>
      <c r="F79" s="219">
        <f>IFERROR(VLOOKUP($B79,MMWR_TRAD_AGG_RO_PEN[],F$1,0),"ERROR")</f>
        <v>122</v>
      </c>
      <c r="G79" s="215">
        <f>IFERROR(F79/E79,"0%")</f>
        <v>0.43109540636042404</v>
      </c>
      <c r="H79" s="219">
        <f>IFERROR(VLOOKUP($B79,MMWR_TRAD_AGG_RO_PEN[],H$1,0),"ERROR")</f>
        <v>470</v>
      </c>
      <c r="I79" s="219">
        <f>IFERROR(VLOOKUP($B79,MMWR_TRAD_AGG_RO_PEN[],I$1,0),"ERROR")</f>
        <v>333</v>
      </c>
      <c r="J79" s="215">
        <f>IFERROR(I79/H79,"0%")</f>
        <v>0.70851063829787231</v>
      </c>
      <c r="K79" s="219">
        <f>IFERROR(VLOOKUP($B79,MMWR_TRAD_AGG_RO_PEN[],K$1,0),"ERROR")</f>
        <v>224</v>
      </c>
      <c r="L79" s="219">
        <f>IFERROR(VLOOKUP($B79,MMWR_TRAD_AGG_RO_PEN[],L$1,0),"ERROR")</f>
        <v>220</v>
      </c>
      <c r="M79" s="215">
        <f>IFERROR(L79/K79,"0%")</f>
        <v>0.9821428571428571</v>
      </c>
      <c r="N79" s="219">
        <f>IFERROR(VLOOKUP($B79,MMWR_TRAD_AGG_RO_PEN[],N$1,0),"ERROR")</f>
        <v>201</v>
      </c>
      <c r="O79" s="219">
        <f>IFERROR(VLOOKUP($B79,MMWR_TRAD_AGG_RO_PEN[],O$1,0),"ERROR")</f>
        <v>162</v>
      </c>
      <c r="P79" s="215">
        <f>IFERROR(O79/N79,"0%")</f>
        <v>0.80597014925373134</v>
      </c>
      <c r="Q79" s="219">
        <f>IFERROR(VLOOKUP($B79,MMWR_TRAD_AGG_RO_PEN[],Q$1,0),"ERROR")</f>
        <v>13</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2:S2"/>
    <mergeCell ref="C3:D3"/>
    <mergeCell ref="E3:G3"/>
    <mergeCell ref="H3:J3"/>
    <mergeCell ref="K3:M3"/>
    <mergeCell ref="N3:P3"/>
    <mergeCell ref="C5:S5"/>
    <mergeCell ref="C72:S72"/>
    <mergeCell ref="C73:D73"/>
    <mergeCell ref="E73:G73"/>
    <mergeCell ref="H73:J73"/>
    <mergeCell ref="K73:M73"/>
    <mergeCell ref="N73:P7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JANUARY 23,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228</v>
      </c>
      <c r="D3" s="462"/>
      <c r="E3" s="459" t="s">
        <v>208</v>
      </c>
      <c r="F3" s="460"/>
      <c r="G3" s="461"/>
      <c r="H3" s="459" t="s">
        <v>7</v>
      </c>
      <c r="I3" s="460"/>
      <c r="J3" s="461"/>
      <c r="K3" s="459" t="s">
        <v>33</v>
      </c>
      <c r="L3" s="460"/>
      <c r="M3" s="461"/>
      <c r="N3" s="459" t="s">
        <v>8</v>
      </c>
      <c r="O3" s="460"/>
      <c r="P3" s="461"/>
      <c r="Q3" s="81" t="s">
        <v>9</v>
      </c>
      <c r="R3" s="82" t="s">
        <v>10</v>
      </c>
      <c r="S3" s="82" t="s">
        <v>11</v>
      </c>
      <c r="T3" s="28"/>
    </row>
    <row r="4" spans="1:20" s="123" customFormat="1" ht="38.25" x14ac:dyDescent="0.2">
      <c r="A4" s="83"/>
      <c r="B4" s="54"/>
      <c r="C4" s="84" t="s">
        <v>12</v>
      </c>
      <c r="D4" s="85" t="s">
        <v>137</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492</v>
      </c>
      <c r="T4" s="28"/>
    </row>
    <row r="5" spans="1:20" s="123" customFormat="1" ht="26.25" x14ac:dyDescent="0.4">
      <c r="A5" s="25"/>
      <c r="B5" s="124"/>
      <c r="C5" s="454" t="s">
        <v>490</v>
      </c>
      <c r="D5" s="455"/>
      <c r="E5" s="455"/>
      <c r="F5" s="455"/>
      <c r="G5" s="455"/>
      <c r="H5" s="455"/>
      <c r="I5" s="455"/>
      <c r="J5" s="455"/>
      <c r="K5" s="455"/>
      <c r="L5" s="455"/>
      <c r="M5" s="455"/>
      <c r="N5" s="455"/>
      <c r="O5" s="455"/>
      <c r="P5" s="455"/>
      <c r="Q5" s="455"/>
      <c r="R5" s="455"/>
      <c r="S5" s="456"/>
      <c r="T5" s="28"/>
    </row>
    <row r="6" spans="1:20" s="123" customFormat="1" x14ac:dyDescent="0.2">
      <c r="A6" s="92"/>
      <c r="B6" s="125" t="s">
        <v>465</v>
      </c>
      <c r="C6" s="94">
        <f>IFERROR(VLOOKUP($B6,MMWR_TRAD_AGG_ST_DISTRICT_COMP[],C$1,0),"ERROR")</f>
        <v>317076</v>
      </c>
      <c r="D6" s="95">
        <f>IFERROR(VLOOKUP($B6,MMWR_TRAD_AGG_ST_DISTRICT_COMP[],D$1,0),"ERROR")</f>
        <v>392.05580365589998</v>
      </c>
      <c r="E6" s="96">
        <f>IFERROR(VLOOKUP($B6,MMWR_TRAD_AGG_ST_DISTRICT_COMP[],E$1,0),"ERROR")</f>
        <v>326484</v>
      </c>
      <c r="F6" s="97">
        <f>IFERROR(VLOOKUP($B6,MMWR_TRAD_AGG_ST_DISTRICT_COMP[],F$1,0),"ERROR")</f>
        <v>77245</v>
      </c>
      <c r="G6" s="98">
        <f t="shared" ref="G6:G37" si="0">IFERROR(F6/E6,"0%")</f>
        <v>0.23659658666274611</v>
      </c>
      <c r="H6" s="96">
        <f>IFERROR(VLOOKUP($B6,MMWR_TRAD_AGG_ST_DISTRICT_COMP[],H$1,0),"ERROR")</f>
        <v>458815</v>
      </c>
      <c r="I6" s="97">
        <f>IFERROR(VLOOKUP($B6,MMWR_TRAD_AGG_ST_DISTRICT_COMP[],I$1,0),"ERROR")</f>
        <v>305311</v>
      </c>
      <c r="J6" s="99">
        <f t="shared" ref="J6:J37" si="1">IFERROR(I6/H6,"0%")</f>
        <v>0.66543378049976565</v>
      </c>
      <c r="K6" s="96">
        <f>IFERROR(VLOOKUP($B6,MMWR_TRAD_AGG_ST_DISTRICT_COMP[],K$1,0),"ERROR")</f>
        <v>123625</v>
      </c>
      <c r="L6" s="97">
        <f>IFERROR(VLOOKUP($B6,MMWR_TRAD_AGG_ST_DISTRICT_COMP[],L$1,0),"ERROR")</f>
        <v>83705</v>
      </c>
      <c r="M6" s="99">
        <f t="shared" ref="M6:M37" si="2">IFERROR(L6/K6,"0%")</f>
        <v>0.67708796764408496</v>
      </c>
      <c r="N6" s="96">
        <f>IFERROR(VLOOKUP($B6,MMWR_TRAD_AGG_ST_DISTRICT_COMP[],N$1,0),"ERROR")</f>
        <v>165952</v>
      </c>
      <c r="O6" s="97">
        <f>IFERROR(VLOOKUP($B6,MMWR_TRAD_AGG_ST_DISTRICT_COMP[],O$1,0),"ERROR")</f>
        <v>103260</v>
      </c>
      <c r="P6" s="99">
        <f t="shared" ref="P6:P37" si="3">IFERROR(O6/N6,"0%")</f>
        <v>0.62222811415349022</v>
      </c>
      <c r="Q6" s="100">
        <f>IFERROR(VLOOKUP($B6,MMWR_TRAD_AGG_ST_DISTRICT_COMP[],Q$1,0),"ERROR")</f>
        <v>19166</v>
      </c>
      <c r="R6" s="100">
        <f>IFERROR(VLOOKUP($B6,MMWR_TRAD_AGG_ST_DISTRICT_COMP[],R$1,0),"ERROR")</f>
        <v>4092</v>
      </c>
      <c r="S6" s="100">
        <f>S7+S23+S36+S46+S56+S64</f>
        <v>314346</v>
      </c>
      <c r="T6" s="28"/>
    </row>
    <row r="7" spans="1:20" s="123" customFormat="1" x14ac:dyDescent="0.2">
      <c r="A7" s="92"/>
      <c r="B7" s="126" t="s">
        <v>373</v>
      </c>
      <c r="C7" s="102">
        <f>IF(SUM(C8:C22)&lt;&gt;VLOOKUP($B7,MMWR_TRAD_AGG_ST_DISTRICT_COMP[],C$1,0),"ERROR",
VLOOKUP($B7,MMWR_TRAD_AGG_ST_DISTRICT_COMP[],C$1,0))</f>
        <v>71896</v>
      </c>
      <c r="D7" s="103">
        <f>IFERROR(VLOOKUP($B7,MMWR_TRAD_AGG_ST_DISTRICT_COMP[],D$1,0),"ERROR")</f>
        <v>418.61652943140001</v>
      </c>
      <c r="E7" s="102">
        <f>IF(SUM(E8:E22)&lt;&gt;VLOOKUP($B7,MMWR_TRAD_AGG_ST_DISTRICT_COMP[],E$1,0),"ERROR",
VLOOKUP($B7,MMWR_TRAD_AGG_ST_DISTRICT_COMP[],E$1,0))</f>
        <v>70259</v>
      </c>
      <c r="F7" s="102">
        <f>IFERROR(VLOOKUP($B7,MMWR_TRAD_AGG_ST_DISTRICT_COMP[],F$1,0),"ERROR")</f>
        <v>17592</v>
      </c>
      <c r="G7" s="104">
        <f t="shared" si="0"/>
        <v>0.25038785066681851</v>
      </c>
      <c r="H7" s="102">
        <f>IF(SUM(H8:H22)&lt;&gt;VLOOKUP($B7,MMWR_TRAD_AGG_ST_DISTRICT_COMP[],H$1,0),"ERROR",
VLOOKUP($B7,MMWR_TRAD_AGG_ST_DISTRICT_COMP[],H$1,0))</f>
        <v>102597</v>
      </c>
      <c r="I7" s="102">
        <f>IF(SUM(I8:I22)&lt;&gt;VLOOKUP($B7,MMWR_TRAD_AGG_ST_DISTRICT_COMP[],I$1,0),"ERROR",
VLOOKUP($B7,MMWR_TRAD_AGG_ST_DISTRICT_COMP[],I$1,0))</f>
        <v>70636</v>
      </c>
      <c r="J7" s="105">
        <f t="shared" si="1"/>
        <v>0.68848016998547712</v>
      </c>
      <c r="K7" s="102">
        <f>IF(SUM(K8:K22)&lt;&gt;VLOOKUP($B7,MMWR_TRAD_AGG_ST_DISTRICT_COMP[],K$1,0),"ERROR",
VLOOKUP($B7,MMWR_TRAD_AGG_ST_DISTRICT_COMP[],K$1,0))</f>
        <v>34723</v>
      </c>
      <c r="L7" s="102">
        <f>IF(SUM(L8:L22)&lt;&gt;VLOOKUP($B7,MMWR_TRAD_AGG_ST_DISTRICT_COMP[],L$1,0),"ERROR",
VLOOKUP($B7,MMWR_TRAD_AGG_ST_DISTRICT_COMP[],L$1,0))</f>
        <v>24630</v>
      </c>
      <c r="M7" s="105">
        <f t="shared" si="2"/>
        <v>0.70932811105031246</v>
      </c>
      <c r="N7" s="102">
        <f>IF(SUM(N8:N22)&lt;&gt;VLOOKUP($B7,MMWR_TRAD_AGG_ST_DISTRICT_COMP[],N$1,0),"ERROR",
VLOOKUP($B7,MMWR_TRAD_AGG_ST_DISTRICT_COMP[],N$1,0))</f>
        <v>35953</v>
      </c>
      <c r="O7" s="102">
        <f>IF(SUM(O8:O22)&lt;&gt;VLOOKUP($B7,MMWR_TRAD_AGG_ST_DISTRICT_COMP[],O$1,0),"ERROR",
VLOOKUP($B7,MMWR_TRAD_AGG_ST_DISTRICT_COMP[],O$1,0))</f>
        <v>23981</v>
      </c>
      <c r="P7" s="105">
        <f t="shared" si="3"/>
        <v>0.66700970711762575</v>
      </c>
      <c r="Q7" s="102">
        <f>IF(SUM(Q8:Q22)&lt;&gt;VLOOKUP($B7,MMWR_TRAD_AGG_ST_DISTRICT_COMP[],Q$1,0),"ERROR",
VLOOKUP($B7,MMWR_TRAD_AGG_ST_DISTRICT_COMP[],Q$1,0))</f>
        <v>8473</v>
      </c>
      <c r="R7" s="106">
        <f>IFERROR(VLOOKUP($B7,MMWR_TRAD_AGG_ST_DISTRICT_COMP[],R$1,0),"ERROR")</f>
        <v>135</v>
      </c>
      <c r="S7" s="106">
        <f>SUM(S8:S22)</f>
        <v>57053</v>
      </c>
      <c r="T7" s="28"/>
    </row>
    <row r="8" spans="1:20" s="123" customFormat="1" x14ac:dyDescent="0.2">
      <c r="A8" s="107"/>
      <c r="B8" s="127" t="s">
        <v>377</v>
      </c>
      <c r="C8" s="109">
        <f>IFERROR(VLOOKUP($B8,MMWR_TRAD_AGG_STATE_COMP[],C$1,0),"ERROR")</f>
        <v>1456</v>
      </c>
      <c r="D8" s="110">
        <f>IFERROR(VLOOKUP($B8,MMWR_TRAD_AGG_STATE_COMP[],D$1,0),"ERROR")</f>
        <v>318.98351648350001</v>
      </c>
      <c r="E8" s="111">
        <f>IFERROR(VLOOKUP($B8,MMWR_TRAD_AGG_STATE_COMP[],E$1,0),"ERROR")</f>
        <v>2017</v>
      </c>
      <c r="F8" s="112">
        <f>IFERROR(VLOOKUP($B8,MMWR_TRAD_AGG_STATE_COMP[],F$1,0),"ERROR")</f>
        <v>424</v>
      </c>
      <c r="G8" s="113">
        <f t="shared" si="0"/>
        <v>0.21021318790282598</v>
      </c>
      <c r="H8" s="111">
        <f>IFERROR(VLOOKUP($B8,MMWR_TRAD_AGG_STATE_COMP[],H$1,0),"ERROR")</f>
        <v>3082</v>
      </c>
      <c r="I8" s="112">
        <f>IFERROR(VLOOKUP($B8,MMWR_TRAD_AGG_STATE_COMP[],I$1,0),"ERROR")</f>
        <v>2100</v>
      </c>
      <c r="J8" s="114">
        <f t="shared" si="1"/>
        <v>0.68137573004542507</v>
      </c>
      <c r="K8" s="111">
        <f>IFERROR(VLOOKUP($B8,MMWR_TRAD_AGG_STATE_COMP[],K$1,0),"ERROR")</f>
        <v>618</v>
      </c>
      <c r="L8" s="112">
        <f>IFERROR(VLOOKUP($B8,MMWR_TRAD_AGG_STATE_COMP[],L$1,0),"ERROR")</f>
        <v>375</v>
      </c>
      <c r="M8" s="114">
        <f t="shared" si="2"/>
        <v>0.60679611650485432</v>
      </c>
      <c r="N8" s="111">
        <f>IFERROR(VLOOKUP($B8,MMWR_TRAD_AGG_STATE_COMP[],N$1,0),"ERROR")</f>
        <v>1029</v>
      </c>
      <c r="O8" s="112">
        <f>IFERROR(VLOOKUP($B8,MMWR_TRAD_AGG_STATE_COMP[],O$1,0),"ERROR")</f>
        <v>711</v>
      </c>
      <c r="P8" s="114">
        <f t="shared" si="3"/>
        <v>0.69096209912536444</v>
      </c>
      <c r="Q8" s="115">
        <f>IFERROR(VLOOKUP($B8,MMWR_TRAD_AGG_STATE_COMP[],Q$1,0),"ERROR")</f>
        <v>308</v>
      </c>
      <c r="R8" s="115">
        <f>IFERROR(VLOOKUP($B8,MMWR_TRAD_AGG_STATE_COMP[],R$1,0),"ERROR")</f>
        <v>5</v>
      </c>
      <c r="S8" s="115">
        <f>IFERROR(VLOOKUP($B8,MMWR_APP_STATE_COMP[],S$1,0),"ERROR")</f>
        <v>1111</v>
      </c>
      <c r="T8" s="28"/>
    </row>
    <row r="9" spans="1:20" s="123" customFormat="1" x14ac:dyDescent="0.2">
      <c r="A9" s="107"/>
      <c r="B9" s="127" t="s">
        <v>427</v>
      </c>
      <c r="C9" s="109">
        <f>IFERROR(VLOOKUP($B9,MMWR_TRAD_AGG_STATE_COMP[],C$1,0),"ERROR")</f>
        <v>851</v>
      </c>
      <c r="D9" s="110">
        <f>IFERROR(VLOOKUP($B9,MMWR_TRAD_AGG_STATE_COMP[],D$1,0),"ERROR")</f>
        <v>401.77085781429997</v>
      </c>
      <c r="E9" s="111">
        <f>IFERROR(VLOOKUP($B9,MMWR_TRAD_AGG_STATE_COMP[],E$1,0),"ERROR")</f>
        <v>878</v>
      </c>
      <c r="F9" s="112">
        <f>IFERROR(VLOOKUP($B9,MMWR_TRAD_AGG_STATE_COMP[],F$1,0),"ERROR")</f>
        <v>253</v>
      </c>
      <c r="G9" s="113">
        <f t="shared" si="0"/>
        <v>0.28815489749430523</v>
      </c>
      <c r="H9" s="111">
        <f>IFERROR(VLOOKUP($B9,MMWR_TRAD_AGG_STATE_COMP[],H$1,0),"ERROR")</f>
        <v>1147</v>
      </c>
      <c r="I9" s="112">
        <f>IFERROR(VLOOKUP($B9,MMWR_TRAD_AGG_STATE_COMP[],I$1,0),"ERROR")</f>
        <v>799</v>
      </c>
      <c r="J9" s="114">
        <f t="shared" si="1"/>
        <v>0.69659982563208367</v>
      </c>
      <c r="K9" s="111">
        <f>IFERROR(VLOOKUP($B9,MMWR_TRAD_AGG_STATE_COMP[],K$1,0),"ERROR")</f>
        <v>244</v>
      </c>
      <c r="L9" s="112">
        <f>IFERROR(VLOOKUP($B9,MMWR_TRAD_AGG_STATE_COMP[],L$1,0),"ERROR")</f>
        <v>153</v>
      </c>
      <c r="M9" s="114">
        <f t="shared" si="2"/>
        <v>0.62704918032786883</v>
      </c>
      <c r="N9" s="111">
        <f>IFERROR(VLOOKUP($B9,MMWR_TRAD_AGG_STATE_COMP[],N$1,0),"ERROR")</f>
        <v>346</v>
      </c>
      <c r="O9" s="112">
        <f>IFERROR(VLOOKUP($B9,MMWR_TRAD_AGG_STATE_COMP[],O$1,0),"ERROR")</f>
        <v>207</v>
      </c>
      <c r="P9" s="114">
        <f t="shared" si="3"/>
        <v>0.59826589595375723</v>
      </c>
      <c r="Q9" s="115">
        <f>IFERROR(VLOOKUP($B9,MMWR_TRAD_AGG_STATE_COMP[],Q$1,0),"ERROR")</f>
        <v>69</v>
      </c>
      <c r="R9" s="115">
        <f>IFERROR(VLOOKUP($B9,MMWR_TRAD_AGG_STATE_COMP[],R$1,0),"ERROR")</f>
        <v>1</v>
      </c>
      <c r="S9" s="115">
        <f>IFERROR(VLOOKUP($B9,MMWR_APP_STATE_COMP[],S$1,0),"ERROR")</f>
        <v>614</v>
      </c>
      <c r="T9" s="28"/>
    </row>
    <row r="10" spans="1:20" s="123" customFormat="1" x14ac:dyDescent="0.2">
      <c r="A10" s="107"/>
      <c r="B10" s="127" t="s">
        <v>418</v>
      </c>
      <c r="C10" s="109">
        <f>IFERROR(VLOOKUP($B10,MMWR_TRAD_AGG_STATE_COMP[],C$1,0),"ERROR")</f>
        <v>470</v>
      </c>
      <c r="D10" s="110">
        <f>IFERROR(VLOOKUP($B10,MMWR_TRAD_AGG_STATE_COMP[],D$1,0),"ERROR")</f>
        <v>537.31489361700005</v>
      </c>
      <c r="E10" s="111">
        <f>IFERROR(VLOOKUP($B10,MMWR_TRAD_AGG_STATE_COMP[],E$1,0),"ERROR")</f>
        <v>440</v>
      </c>
      <c r="F10" s="112">
        <f>IFERROR(VLOOKUP($B10,MMWR_TRAD_AGG_STATE_COMP[],F$1,0),"ERROR")</f>
        <v>109</v>
      </c>
      <c r="G10" s="113">
        <f t="shared" si="0"/>
        <v>0.24772727272727274</v>
      </c>
      <c r="H10" s="111">
        <f>IFERROR(VLOOKUP($B10,MMWR_TRAD_AGG_STATE_COMP[],H$1,0),"ERROR")</f>
        <v>659</v>
      </c>
      <c r="I10" s="112">
        <f>IFERROR(VLOOKUP($B10,MMWR_TRAD_AGG_STATE_COMP[],I$1,0),"ERROR")</f>
        <v>483</v>
      </c>
      <c r="J10" s="114">
        <f t="shared" si="1"/>
        <v>0.73292867981790588</v>
      </c>
      <c r="K10" s="111">
        <f>IFERROR(VLOOKUP($B10,MMWR_TRAD_AGG_STATE_COMP[],K$1,0),"ERROR")</f>
        <v>214</v>
      </c>
      <c r="L10" s="112">
        <f>IFERROR(VLOOKUP($B10,MMWR_TRAD_AGG_STATE_COMP[],L$1,0),"ERROR")</f>
        <v>165</v>
      </c>
      <c r="M10" s="114">
        <f t="shared" si="2"/>
        <v>0.7710280373831776</v>
      </c>
      <c r="N10" s="111">
        <f>IFERROR(VLOOKUP($B10,MMWR_TRAD_AGG_STATE_COMP[],N$1,0),"ERROR")</f>
        <v>362</v>
      </c>
      <c r="O10" s="112">
        <f>IFERROR(VLOOKUP($B10,MMWR_TRAD_AGG_STATE_COMP[],O$1,0),"ERROR")</f>
        <v>264</v>
      </c>
      <c r="P10" s="114">
        <f t="shared" si="3"/>
        <v>0.72928176795580113</v>
      </c>
      <c r="Q10" s="115">
        <f>IFERROR(VLOOKUP($B10,MMWR_TRAD_AGG_STATE_COMP[],Q$1,0),"ERROR")</f>
        <v>24</v>
      </c>
      <c r="R10" s="115">
        <f>IFERROR(VLOOKUP($B10,MMWR_TRAD_AGG_STATE_COMP[],R$1,0),"ERROR")</f>
        <v>0</v>
      </c>
      <c r="S10" s="115">
        <f>IFERROR(VLOOKUP($B10,MMWR_APP_STATE_COMP[],S$1,0),"ERROR")</f>
        <v>599</v>
      </c>
      <c r="T10" s="28"/>
    </row>
    <row r="11" spans="1:20" s="123" customFormat="1" x14ac:dyDescent="0.2">
      <c r="A11" s="107"/>
      <c r="B11" s="127" t="s">
        <v>420</v>
      </c>
      <c r="C11" s="109">
        <f>IFERROR(VLOOKUP($B11,MMWR_TRAD_AGG_STATE_COMP[],C$1,0),"ERROR")</f>
        <v>1460</v>
      </c>
      <c r="D11" s="110">
        <f>IFERROR(VLOOKUP($B11,MMWR_TRAD_AGG_STATE_COMP[],D$1,0),"ERROR")</f>
        <v>298.93493150680001</v>
      </c>
      <c r="E11" s="111">
        <f>IFERROR(VLOOKUP($B11,MMWR_TRAD_AGG_STATE_COMP[],E$1,0),"ERROR")</f>
        <v>1308</v>
      </c>
      <c r="F11" s="112">
        <f>IFERROR(VLOOKUP($B11,MMWR_TRAD_AGG_STATE_COMP[],F$1,0),"ERROR")</f>
        <v>180</v>
      </c>
      <c r="G11" s="113">
        <f t="shared" si="0"/>
        <v>0.13761467889908258</v>
      </c>
      <c r="H11" s="111">
        <f>IFERROR(VLOOKUP($B11,MMWR_TRAD_AGG_STATE_COMP[],H$1,0),"ERROR")</f>
        <v>2032</v>
      </c>
      <c r="I11" s="112">
        <f>IFERROR(VLOOKUP($B11,MMWR_TRAD_AGG_STATE_COMP[],I$1,0),"ERROR")</f>
        <v>1301</v>
      </c>
      <c r="J11" s="114">
        <f t="shared" si="1"/>
        <v>0.640255905511811</v>
      </c>
      <c r="K11" s="111">
        <f>IFERROR(VLOOKUP($B11,MMWR_TRAD_AGG_STATE_COMP[],K$1,0),"ERROR")</f>
        <v>1078</v>
      </c>
      <c r="L11" s="112">
        <f>IFERROR(VLOOKUP($B11,MMWR_TRAD_AGG_STATE_COMP[],L$1,0),"ERROR")</f>
        <v>838</v>
      </c>
      <c r="M11" s="114">
        <f t="shared" si="2"/>
        <v>0.77736549165120594</v>
      </c>
      <c r="N11" s="111">
        <f>IFERROR(VLOOKUP($B11,MMWR_TRAD_AGG_STATE_COMP[],N$1,0),"ERROR")</f>
        <v>379</v>
      </c>
      <c r="O11" s="112">
        <f>IFERROR(VLOOKUP($B11,MMWR_TRAD_AGG_STATE_COMP[],O$1,0),"ERROR")</f>
        <v>227</v>
      </c>
      <c r="P11" s="114">
        <f t="shared" si="3"/>
        <v>0.59894459102902375</v>
      </c>
      <c r="Q11" s="115">
        <f>IFERROR(VLOOKUP($B11,MMWR_TRAD_AGG_STATE_COMP[],Q$1,0),"ERROR")</f>
        <v>363</v>
      </c>
      <c r="R11" s="115">
        <f>IFERROR(VLOOKUP($B11,MMWR_TRAD_AGG_STATE_COMP[],R$1,0),"ERROR")</f>
        <v>3</v>
      </c>
      <c r="S11" s="115">
        <f>IFERROR(VLOOKUP($B11,MMWR_APP_STATE_COMP[],S$1,0),"ERROR")</f>
        <v>455</v>
      </c>
      <c r="T11" s="28"/>
    </row>
    <row r="12" spans="1:20" s="123" customFormat="1" x14ac:dyDescent="0.2">
      <c r="A12" s="107"/>
      <c r="B12" s="127" t="s">
        <v>380</v>
      </c>
      <c r="C12" s="109">
        <f>IFERROR(VLOOKUP($B12,MMWR_TRAD_AGG_STATE_COMP[],C$1,0),"ERROR")</f>
        <v>8447</v>
      </c>
      <c r="D12" s="110">
        <f>IFERROR(VLOOKUP($B12,MMWR_TRAD_AGG_STATE_COMP[],D$1,0),"ERROR")</f>
        <v>634.76512371260003</v>
      </c>
      <c r="E12" s="111">
        <f>IFERROR(VLOOKUP($B12,MMWR_TRAD_AGG_STATE_COMP[],E$1,0),"ERROR")</f>
        <v>5779</v>
      </c>
      <c r="F12" s="112">
        <f>IFERROR(VLOOKUP($B12,MMWR_TRAD_AGG_STATE_COMP[],F$1,0),"ERROR")</f>
        <v>1296</v>
      </c>
      <c r="G12" s="113">
        <f t="shared" si="0"/>
        <v>0.22426025263886484</v>
      </c>
      <c r="H12" s="111">
        <f>IFERROR(VLOOKUP($B12,MMWR_TRAD_AGG_STATE_COMP[],H$1,0),"ERROR")</f>
        <v>11586</v>
      </c>
      <c r="I12" s="112">
        <f>IFERROR(VLOOKUP($B12,MMWR_TRAD_AGG_STATE_COMP[],I$1,0),"ERROR")</f>
        <v>8376</v>
      </c>
      <c r="J12" s="114">
        <f t="shared" si="1"/>
        <v>0.7229414810978767</v>
      </c>
      <c r="K12" s="111">
        <f>IFERROR(VLOOKUP($B12,MMWR_TRAD_AGG_STATE_COMP[],K$1,0),"ERROR")</f>
        <v>3115</v>
      </c>
      <c r="L12" s="112">
        <f>IFERROR(VLOOKUP($B12,MMWR_TRAD_AGG_STATE_COMP[],L$1,0),"ERROR")</f>
        <v>2345</v>
      </c>
      <c r="M12" s="114">
        <f t="shared" si="2"/>
        <v>0.7528089887640449</v>
      </c>
      <c r="N12" s="111">
        <f>IFERROR(VLOOKUP($B12,MMWR_TRAD_AGG_STATE_COMP[],N$1,0),"ERROR")</f>
        <v>4032</v>
      </c>
      <c r="O12" s="112">
        <f>IFERROR(VLOOKUP($B12,MMWR_TRAD_AGG_STATE_COMP[],O$1,0),"ERROR")</f>
        <v>2877</v>
      </c>
      <c r="P12" s="114">
        <f t="shared" si="3"/>
        <v>0.71354166666666663</v>
      </c>
      <c r="Q12" s="115">
        <f>IFERROR(VLOOKUP($B12,MMWR_TRAD_AGG_STATE_COMP[],Q$1,0),"ERROR")</f>
        <v>420</v>
      </c>
      <c r="R12" s="115">
        <f>IFERROR(VLOOKUP($B12,MMWR_TRAD_AGG_STATE_COMP[],R$1,0),"ERROR")</f>
        <v>5</v>
      </c>
      <c r="S12" s="115">
        <f>IFERROR(VLOOKUP($B12,MMWR_APP_STATE_COMP[],S$1,0),"ERROR")</f>
        <v>5617</v>
      </c>
      <c r="T12" s="28"/>
    </row>
    <row r="13" spans="1:20" s="123" customFormat="1" x14ac:dyDescent="0.2">
      <c r="A13" s="107"/>
      <c r="B13" s="127" t="s">
        <v>375</v>
      </c>
      <c r="C13" s="109">
        <f>IFERROR(VLOOKUP($B13,MMWR_TRAD_AGG_STATE_COMP[],C$1,0),"ERROR")</f>
        <v>4745</v>
      </c>
      <c r="D13" s="110">
        <f>IFERROR(VLOOKUP($B13,MMWR_TRAD_AGG_STATE_COMP[],D$1,0),"ERROR")</f>
        <v>552.48809272920005</v>
      </c>
      <c r="E13" s="111">
        <f>IFERROR(VLOOKUP($B13,MMWR_TRAD_AGG_STATE_COMP[],E$1,0),"ERROR")</f>
        <v>4436</v>
      </c>
      <c r="F13" s="112">
        <f>IFERROR(VLOOKUP($B13,MMWR_TRAD_AGG_STATE_COMP[],F$1,0),"ERROR")</f>
        <v>1140</v>
      </c>
      <c r="G13" s="113">
        <f t="shared" si="0"/>
        <v>0.25698827772768262</v>
      </c>
      <c r="H13" s="111">
        <f>IFERROR(VLOOKUP($B13,MMWR_TRAD_AGG_STATE_COMP[],H$1,0),"ERROR")</f>
        <v>6878</v>
      </c>
      <c r="I13" s="112">
        <f>IFERROR(VLOOKUP($B13,MMWR_TRAD_AGG_STATE_COMP[],I$1,0),"ERROR")</f>
        <v>5260</v>
      </c>
      <c r="J13" s="114">
        <f t="shared" si="1"/>
        <v>0.76475719685955224</v>
      </c>
      <c r="K13" s="111">
        <f>IFERROR(VLOOKUP($B13,MMWR_TRAD_AGG_STATE_COMP[],K$1,0),"ERROR")</f>
        <v>3076</v>
      </c>
      <c r="L13" s="112">
        <f>IFERROR(VLOOKUP($B13,MMWR_TRAD_AGG_STATE_COMP[],L$1,0),"ERROR")</f>
        <v>2438</v>
      </c>
      <c r="M13" s="114">
        <f t="shared" si="2"/>
        <v>0.7925877763328999</v>
      </c>
      <c r="N13" s="111">
        <f>IFERROR(VLOOKUP($B13,MMWR_TRAD_AGG_STATE_COMP[],N$1,0),"ERROR")</f>
        <v>1506</v>
      </c>
      <c r="O13" s="112">
        <f>IFERROR(VLOOKUP($B13,MMWR_TRAD_AGG_STATE_COMP[],O$1,0),"ERROR")</f>
        <v>1069</v>
      </c>
      <c r="P13" s="114">
        <f t="shared" si="3"/>
        <v>0.70982735723771584</v>
      </c>
      <c r="Q13" s="115">
        <f>IFERROR(VLOOKUP($B13,MMWR_TRAD_AGG_STATE_COMP[],Q$1,0),"ERROR")</f>
        <v>783</v>
      </c>
      <c r="R13" s="115">
        <f>IFERROR(VLOOKUP($B13,MMWR_TRAD_AGG_STATE_COMP[],R$1,0),"ERROR")</f>
        <v>12</v>
      </c>
      <c r="S13" s="115">
        <f>IFERROR(VLOOKUP($B13,MMWR_APP_STATE_COMP[],S$1,0),"ERROR")</f>
        <v>3419</v>
      </c>
      <c r="T13" s="28"/>
    </row>
    <row r="14" spans="1:20" s="123" customFormat="1" x14ac:dyDescent="0.2">
      <c r="A14" s="107"/>
      <c r="B14" s="127" t="s">
        <v>419</v>
      </c>
      <c r="C14" s="109">
        <f>IFERROR(VLOOKUP($B14,MMWR_TRAD_AGG_STATE_COMP[],C$1,0),"ERROR")</f>
        <v>1533</v>
      </c>
      <c r="D14" s="110">
        <f>IFERROR(VLOOKUP($B14,MMWR_TRAD_AGG_STATE_COMP[],D$1,0),"ERROR")</f>
        <v>389.3242009132</v>
      </c>
      <c r="E14" s="111">
        <f>IFERROR(VLOOKUP($B14,MMWR_TRAD_AGG_STATE_COMP[],E$1,0),"ERROR")</f>
        <v>1181</v>
      </c>
      <c r="F14" s="112">
        <f>IFERROR(VLOOKUP($B14,MMWR_TRAD_AGG_STATE_COMP[],F$1,0),"ERROR")</f>
        <v>306</v>
      </c>
      <c r="G14" s="113">
        <f t="shared" si="0"/>
        <v>0.25910245554614736</v>
      </c>
      <c r="H14" s="111">
        <f>IFERROR(VLOOKUP($B14,MMWR_TRAD_AGG_STATE_COMP[],H$1,0),"ERROR")</f>
        <v>2216</v>
      </c>
      <c r="I14" s="112">
        <f>IFERROR(VLOOKUP($B14,MMWR_TRAD_AGG_STATE_COMP[],I$1,0),"ERROR")</f>
        <v>1465</v>
      </c>
      <c r="J14" s="114">
        <f t="shared" si="1"/>
        <v>0.66110108303249093</v>
      </c>
      <c r="K14" s="111">
        <f>IFERROR(VLOOKUP($B14,MMWR_TRAD_AGG_STATE_COMP[],K$1,0),"ERROR")</f>
        <v>493</v>
      </c>
      <c r="L14" s="112">
        <f>IFERROR(VLOOKUP($B14,MMWR_TRAD_AGG_STATE_COMP[],L$1,0),"ERROR")</f>
        <v>435</v>
      </c>
      <c r="M14" s="114">
        <f t="shared" si="2"/>
        <v>0.88235294117647056</v>
      </c>
      <c r="N14" s="111">
        <f>IFERROR(VLOOKUP($B14,MMWR_TRAD_AGG_STATE_COMP[],N$1,0),"ERROR")</f>
        <v>243</v>
      </c>
      <c r="O14" s="112">
        <f>IFERROR(VLOOKUP($B14,MMWR_TRAD_AGG_STATE_COMP[],O$1,0),"ERROR")</f>
        <v>124</v>
      </c>
      <c r="P14" s="114">
        <f t="shared" si="3"/>
        <v>0.51028806584362141</v>
      </c>
      <c r="Q14" s="115">
        <f>IFERROR(VLOOKUP($B14,MMWR_TRAD_AGG_STATE_COMP[],Q$1,0),"ERROR")</f>
        <v>157</v>
      </c>
      <c r="R14" s="115">
        <f>IFERROR(VLOOKUP($B14,MMWR_TRAD_AGG_STATE_COMP[],R$1,0),"ERROR")</f>
        <v>4</v>
      </c>
      <c r="S14" s="115">
        <f>IFERROR(VLOOKUP($B14,MMWR_APP_STATE_COMP[],S$1,0),"ERROR")</f>
        <v>656</v>
      </c>
      <c r="T14" s="28"/>
    </row>
    <row r="15" spans="1:20" s="123" customFormat="1" x14ac:dyDescent="0.2">
      <c r="A15" s="107"/>
      <c r="B15" s="127" t="s">
        <v>378</v>
      </c>
      <c r="C15" s="109">
        <f>IFERROR(VLOOKUP($B15,MMWR_TRAD_AGG_STATE_COMP[],C$1,0),"ERROR")</f>
        <v>2513</v>
      </c>
      <c r="D15" s="110">
        <f>IFERROR(VLOOKUP($B15,MMWR_TRAD_AGG_STATE_COMP[],D$1,0),"ERROR")</f>
        <v>316.99721448470001</v>
      </c>
      <c r="E15" s="111">
        <f>IFERROR(VLOOKUP($B15,MMWR_TRAD_AGG_STATE_COMP[],E$1,0),"ERROR")</f>
        <v>3987</v>
      </c>
      <c r="F15" s="112">
        <f>IFERROR(VLOOKUP($B15,MMWR_TRAD_AGG_STATE_COMP[],F$1,0),"ERROR")</f>
        <v>989</v>
      </c>
      <c r="G15" s="113">
        <f t="shared" si="0"/>
        <v>0.24805618259342865</v>
      </c>
      <c r="H15" s="111">
        <f>IFERROR(VLOOKUP($B15,MMWR_TRAD_AGG_STATE_COMP[],H$1,0),"ERROR")</f>
        <v>4023</v>
      </c>
      <c r="I15" s="112">
        <f>IFERROR(VLOOKUP($B15,MMWR_TRAD_AGG_STATE_COMP[],I$1,0),"ERROR")</f>
        <v>2554</v>
      </c>
      <c r="J15" s="114">
        <f t="shared" si="1"/>
        <v>0.63484961471538648</v>
      </c>
      <c r="K15" s="111">
        <f>IFERROR(VLOOKUP($B15,MMWR_TRAD_AGG_STATE_COMP[],K$1,0),"ERROR")</f>
        <v>1352</v>
      </c>
      <c r="L15" s="112">
        <f>IFERROR(VLOOKUP($B15,MMWR_TRAD_AGG_STATE_COMP[],L$1,0),"ERROR")</f>
        <v>918</v>
      </c>
      <c r="M15" s="114">
        <f t="shared" si="2"/>
        <v>0.67899408284023666</v>
      </c>
      <c r="N15" s="111">
        <f>IFERROR(VLOOKUP($B15,MMWR_TRAD_AGG_STATE_COMP[],N$1,0),"ERROR")</f>
        <v>2280</v>
      </c>
      <c r="O15" s="112">
        <f>IFERROR(VLOOKUP($B15,MMWR_TRAD_AGG_STATE_COMP[],O$1,0),"ERROR")</f>
        <v>1508</v>
      </c>
      <c r="P15" s="114">
        <f t="shared" si="3"/>
        <v>0.66140350877192977</v>
      </c>
      <c r="Q15" s="115">
        <f>IFERROR(VLOOKUP($B15,MMWR_TRAD_AGG_STATE_COMP[],Q$1,0),"ERROR")</f>
        <v>706</v>
      </c>
      <c r="R15" s="115">
        <f>IFERROR(VLOOKUP($B15,MMWR_TRAD_AGG_STATE_COMP[],R$1,0),"ERROR")</f>
        <v>5</v>
      </c>
      <c r="S15" s="115">
        <f>IFERROR(VLOOKUP($B15,MMWR_APP_STATE_COMP[],S$1,0),"ERROR")</f>
        <v>4183</v>
      </c>
      <c r="T15" s="28"/>
    </row>
    <row r="16" spans="1:20" s="123" customFormat="1" x14ac:dyDescent="0.2">
      <c r="A16" s="107"/>
      <c r="B16" s="127" t="s">
        <v>63</v>
      </c>
      <c r="C16" s="109">
        <f>IFERROR(VLOOKUP($B16,MMWR_TRAD_AGG_STATE_COMP[],C$1,0),"ERROR")</f>
        <v>6354</v>
      </c>
      <c r="D16" s="110">
        <f>IFERROR(VLOOKUP($B16,MMWR_TRAD_AGG_STATE_COMP[],D$1,0),"ERROR")</f>
        <v>296.64447592070002</v>
      </c>
      <c r="E16" s="111">
        <f>IFERROR(VLOOKUP($B16,MMWR_TRAD_AGG_STATE_COMP[],E$1,0),"ERROR")</f>
        <v>8868</v>
      </c>
      <c r="F16" s="112">
        <f>IFERROR(VLOOKUP($B16,MMWR_TRAD_AGG_STATE_COMP[],F$1,0),"ERROR")</f>
        <v>1962</v>
      </c>
      <c r="G16" s="113">
        <f t="shared" si="0"/>
        <v>0.22124492557510148</v>
      </c>
      <c r="H16" s="111">
        <f>IFERROR(VLOOKUP($B16,MMWR_TRAD_AGG_STATE_COMP[],H$1,0),"ERROR")</f>
        <v>9754</v>
      </c>
      <c r="I16" s="112">
        <f>IFERROR(VLOOKUP($B16,MMWR_TRAD_AGG_STATE_COMP[],I$1,0),"ERROR")</f>
        <v>5917</v>
      </c>
      <c r="J16" s="114">
        <f t="shared" si="1"/>
        <v>0.6066229239286447</v>
      </c>
      <c r="K16" s="111">
        <f>IFERROR(VLOOKUP($B16,MMWR_TRAD_AGG_STATE_COMP[],K$1,0),"ERROR")</f>
        <v>4282</v>
      </c>
      <c r="L16" s="112">
        <f>IFERROR(VLOOKUP($B16,MMWR_TRAD_AGG_STATE_COMP[],L$1,0),"ERROR")</f>
        <v>3141</v>
      </c>
      <c r="M16" s="114">
        <f t="shared" si="2"/>
        <v>0.73353573096683788</v>
      </c>
      <c r="N16" s="111">
        <f>IFERROR(VLOOKUP($B16,MMWR_TRAD_AGG_STATE_COMP[],N$1,0),"ERROR")</f>
        <v>3762</v>
      </c>
      <c r="O16" s="112">
        <f>IFERROR(VLOOKUP($B16,MMWR_TRAD_AGG_STATE_COMP[],O$1,0),"ERROR")</f>
        <v>1535</v>
      </c>
      <c r="P16" s="114">
        <f t="shared" si="3"/>
        <v>0.40802764486975013</v>
      </c>
      <c r="Q16" s="115">
        <f>IFERROR(VLOOKUP($B16,MMWR_TRAD_AGG_STATE_COMP[],Q$1,0),"ERROR")</f>
        <v>1546</v>
      </c>
      <c r="R16" s="115">
        <f>IFERROR(VLOOKUP($B16,MMWR_TRAD_AGG_STATE_COMP[],R$1,0),"ERROR")</f>
        <v>10</v>
      </c>
      <c r="S16" s="115">
        <f>IFERROR(VLOOKUP($B16,MMWR_APP_STATE_COMP[],S$1,0),"ERROR")</f>
        <v>5417</v>
      </c>
      <c r="T16" s="28"/>
    </row>
    <row r="17" spans="1:20" s="123" customFormat="1" x14ac:dyDescent="0.2">
      <c r="A17" s="107"/>
      <c r="B17" s="127" t="s">
        <v>386</v>
      </c>
      <c r="C17" s="109">
        <f>IFERROR(VLOOKUP($B17,MMWR_TRAD_AGG_STATE_COMP[],C$1,0),"ERROR")</f>
        <v>16091</v>
      </c>
      <c r="D17" s="110">
        <f>IFERROR(VLOOKUP($B17,MMWR_TRAD_AGG_STATE_COMP[],D$1,0),"ERROR")</f>
        <v>324.15990305140002</v>
      </c>
      <c r="E17" s="111">
        <f>IFERROR(VLOOKUP($B17,MMWR_TRAD_AGG_STATE_COMP[],E$1,0),"ERROR")</f>
        <v>16642</v>
      </c>
      <c r="F17" s="112">
        <f>IFERROR(VLOOKUP($B17,MMWR_TRAD_AGG_STATE_COMP[],F$1,0),"ERROR")</f>
        <v>4751</v>
      </c>
      <c r="G17" s="113">
        <f t="shared" si="0"/>
        <v>0.28548251412089892</v>
      </c>
      <c r="H17" s="111">
        <f>IFERROR(VLOOKUP($B17,MMWR_TRAD_AGG_STATE_COMP[],H$1,0),"ERROR")</f>
        <v>22175</v>
      </c>
      <c r="I17" s="112">
        <f>IFERROR(VLOOKUP($B17,MMWR_TRAD_AGG_STATE_COMP[],I$1,0),"ERROR")</f>
        <v>15144</v>
      </c>
      <c r="J17" s="114">
        <f t="shared" si="1"/>
        <v>0.68293122886133029</v>
      </c>
      <c r="K17" s="111">
        <f>IFERROR(VLOOKUP($B17,MMWR_TRAD_AGG_STATE_COMP[],K$1,0),"ERROR")</f>
        <v>8964</v>
      </c>
      <c r="L17" s="112">
        <f>IFERROR(VLOOKUP($B17,MMWR_TRAD_AGG_STATE_COMP[],L$1,0),"ERROR")</f>
        <v>5891</v>
      </c>
      <c r="M17" s="114">
        <f t="shared" si="2"/>
        <v>0.65718429272646139</v>
      </c>
      <c r="N17" s="111">
        <f>IFERROR(VLOOKUP($B17,MMWR_TRAD_AGG_STATE_COMP[],N$1,0),"ERROR")</f>
        <v>6772</v>
      </c>
      <c r="O17" s="112">
        <f>IFERROR(VLOOKUP($B17,MMWR_TRAD_AGG_STATE_COMP[],O$1,0),"ERROR")</f>
        <v>4137</v>
      </c>
      <c r="P17" s="114">
        <f t="shared" si="3"/>
        <v>0.61089781453041936</v>
      </c>
      <c r="Q17" s="115">
        <f>IFERROR(VLOOKUP($B17,MMWR_TRAD_AGG_STATE_COMP[],Q$1,0),"ERROR")</f>
        <v>1142</v>
      </c>
      <c r="R17" s="115">
        <f>IFERROR(VLOOKUP($B17,MMWR_TRAD_AGG_STATE_COMP[],R$1,0),"ERROR")</f>
        <v>46</v>
      </c>
      <c r="S17" s="115">
        <f>IFERROR(VLOOKUP($B17,MMWR_APP_STATE_COMP[],S$1,0),"ERROR")</f>
        <v>10019</v>
      </c>
      <c r="T17" s="28"/>
    </row>
    <row r="18" spans="1:20" s="123" customFormat="1" x14ac:dyDescent="0.2">
      <c r="A18" s="107"/>
      <c r="B18" s="127" t="s">
        <v>379</v>
      </c>
      <c r="C18" s="109">
        <f>IFERROR(VLOOKUP($B18,MMWR_TRAD_AGG_STATE_COMP[],C$1,0),"ERROR")</f>
        <v>8003</v>
      </c>
      <c r="D18" s="110">
        <f>IFERROR(VLOOKUP($B18,MMWR_TRAD_AGG_STATE_COMP[],D$1,0),"ERROR")</f>
        <v>443.19067849560003</v>
      </c>
      <c r="E18" s="111">
        <f>IFERROR(VLOOKUP($B18,MMWR_TRAD_AGG_STATE_COMP[],E$1,0),"ERROR")</f>
        <v>8833</v>
      </c>
      <c r="F18" s="112">
        <f>IFERROR(VLOOKUP($B18,MMWR_TRAD_AGG_STATE_COMP[],F$1,0),"ERROR")</f>
        <v>2468</v>
      </c>
      <c r="G18" s="113">
        <f t="shared" si="0"/>
        <v>0.27940677006679498</v>
      </c>
      <c r="H18" s="111">
        <f>IFERROR(VLOOKUP($B18,MMWR_TRAD_AGG_STATE_COMP[],H$1,0),"ERROR")</f>
        <v>12167</v>
      </c>
      <c r="I18" s="112">
        <f>IFERROR(VLOOKUP($B18,MMWR_TRAD_AGG_STATE_COMP[],I$1,0),"ERROR")</f>
        <v>8812</v>
      </c>
      <c r="J18" s="114">
        <f t="shared" si="1"/>
        <v>0.72425413002383499</v>
      </c>
      <c r="K18" s="111">
        <f>IFERROR(VLOOKUP($B18,MMWR_TRAD_AGG_STATE_COMP[],K$1,0),"ERROR")</f>
        <v>2069</v>
      </c>
      <c r="L18" s="112">
        <f>IFERROR(VLOOKUP($B18,MMWR_TRAD_AGG_STATE_COMP[],L$1,0),"ERROR")</f>
        <v>1307</v>
      </c>
      <c r="M18" s="114">
        <f t="shared" si="2"/>
        <v>0.6317061382310295</v>
      </c>
      <c r="N18" s="111">
        <f>IFERROR(VLOOKUP($B18,MMWR_TRAD_AGG_STATE_COMP[],N$1,0),"ERROR")</f>
        <v>6542</v>
      </c>
      <c r="O18" s="112">
        <f>IFERROR(VLOOKUP($B18,MMWR_TRAD_AGG_STATE_COMP[],O$1,0),"ERROR")</f>
        <v>5109</v>
      </c>
      <c r="P18" s="114">
        <f t="shared" si="3"/>
        <v>0.78095383674717211</v>
      </c>
      <c r="Q18" s="115">
        <f>IFERROR(VLOOKUP($B18,MMWR_TRAD_AGG_STATE_COMP[],Q$1,0),"ERROR")</f>
        <v>1418</v>
      </c>
      <c r="R18" s="115">
        <f>IFERROR(VLOOKUP($B18,MMWR_TRAD_AGG_STATE_COMP[],R$1,0),"ERROR")</f>
        <v>12</v>
      </c>
      <c r="S18" s="115">
        <f>IFERROR(VLOOKUP($B18,MMWR_APP_STATE_COMP[],S$1,0),"ERROR")</f>
        <v>7126</v>
      </c>
      <c r="T18" s="28"/>
    </row>
    <row r="19" spans="1:20" s="123" customFormat="1" x14ac:dyDescent="0.2">
      <c r="A19" s="107"/>
      <c r="B19" s="127" t="s">
        <v>376</v>
      </c>
      <c r="C19" s="109">
        <f>IFERROR(VLOOKUP($B19,MMWR_TRAD_AGG_STATE_COMP[],C$1,0),"ERROR")</f>
        <v>357</v>
      </c>
      <c r="D19" s="110">
        <f>IFERROR(VLOOKUP($B19,MMWR_TRAD_AGG_STATE_COMP[],D$1,0),"ERROR")</f>
        <v>259</v>
      </c>
      <c r="E19" s="111">
        <f>IFERROR(VLOOKUP($B19,MMWR_TRAD_AGG_STATE_COMP[],E$1,0),"ERROR")</f>
        <v>876</v>
      </c>
      <c r="F19" s="112">
        <f>IFERROR(VLOOKUP($B19,MMWR_TRAD_AGG_STATE_COMP[],F$1,0),"ERROR")</f>
        <v>204</v>
      </c>
      <c r="G19" s="113">
        <f t="shared" si="0"/>
        <v>0.23287671232876711</v>
      </c>
      <c r="H19" s="111">
        <f>IFERROR(VLOOKUP($B19,MMWR_TRAD_AGG_STATE_COMP[],H$1,0),"ERROR")</f>
        <v>684</v>
      </c>
      <c r="I19" s="112">
        <f>IFERROR(VLOOKUP($B19,MMWR_TRAD_AGG_STATE_COMP[],I$1,0),"ERROR")</f>
        <v>367</v>
      </c>
      <c r="J19" s="114">
        <f t="shared" si="1"/>
        <v>0.53654970760233922</v>
      </c>
      <c r="K19" s="111">
        <f>IFERROR(VLOOKUP($B19,MMWR_TRAD_AGG_STATE_COMP[],K$1,0),"ERROR")</f>
        <v>290</v>
      </c>
      <c r="L19" s="112">
        <f>IFERROR(VLOOKUP($B19,MMWR_TRAD_AGG_STATE_COMP[],L$1,0),"ERROR")</f>
        <v>201</v>
      </c>
      <c r="M19" s="114">
        <f t="shared" si="2"/>
        <v>0.69310344827586212</v>
      </c>
      <c r="N19" s="111">
        <f>IFERROR(VLOOKUP($B19,MMWR_TRAD_AGG_STATE_COMP[],N$1,0),"ERROR")</f>
        <v>198</v>
      </c>
      <c r="O19" s="112">
        <f>IFERROR(VLOOKUP($B19,MMWR_TRAD_AGG_STATE_COMP[],O$1,0),"ERROR")</f>
        <v>109</v>
      </c>
      <c r="P19" s="114">
        <f t="shared" si="3"/>
        <v>0.5505050505050505</v>
      </c>
      <c r="Q19" s="115">
        <f>IFERROR(VLOOKUP($B19,MMWR_TRAD_AGG_STATE_COMP[],Q$1,0),"ERROR")</f>
        <v>212</v>
      </c>
      <c r="R19" s="115">
        <f>IFERROR(VLOOKUP($B19,MMWR_TRAD_AGG_STATE_COMP[],R$1,0),"ERROR")</f>
        <v>3</v>
      </c>
      <c r="S19" s="115">
        <f>IFERROR(VLOOKUP($B19,MMWR_APP_STATE_COMP[],S$1,0),"ERROR")</f>
        <v>333</v>
      </c>
      <c r="T19" s="28"/>
    </row>
    <row r="20" spans="1:20" s="123" customFormat="1" x14ac:dyDescent="0.2">
      <c r="A20" s="107"/>
      <c r="B20" s="127" t="s">
        <v>421</v>
      </c>
      <c r="C20" s="109">
        <f>IFERROR(VLOOKUP($B20,MMWR_TRAD_AGG_STATE_COMP[],C$1,0),"ERROR")</f>
        <v>442</v>
      </c>
      <c r="D20" s="110">
        <f>IFERROR(VLOOKUP($B20,MMWR_TRAD_AGG_STATE_COMP[],D$1,0),"ERROR")</f>
        <v>362.57013574659999</v>
      </c>
      <c r="E20" s="111">
        <f>IFERROR(VLOOKUP($B20,MMWR_TRAD_AGG_STATE_COMP[],E$1,0),"ERROR")</f>
        <v>489</v>
      </c>
      <c r="F20" s="112">
        <f>IFERROR(VLOOKUP($B20,MMWR_TRAD_AGG_STATE_COMP[],F$1,0),"ERROR")</f>
        <v>112</v>
      </c>
      <c r="G20" s="113">
        <f t="shared" si="0"/>
        <v>0.22903885480572597</v>
      </c>
      <c r="H20" s="111">
        <f>IFERROR(VLOOKUP($B20,MMWR_TRAD_AGG_STATE_COMP[],H$1,0),"ERROR")</f>
        <v>939</v>
      </c>
      <c r="I20" s="112">
        <f>IFERROR(VLOOKUP($B20,MMWR_TRAD_AGG_STATE_COMP[],I$1,0),"ERROR")</f>
        <v>489</v>
      </c>
      <c r="J20" s="114">
        <f t="shared" si="1"/>
        <v>0.52076677316293929</v>
      </c>
      <c r="K20" s="111">
        <f>IFERROR(VLOOKUP($B20,MMWR_TRAD_AGG_STATE_COMP[],K$1,0),"ERROR")</f>
        <v>215</v>
      </c>
      <c r="L20" s="112">
        <f>IFERROR(VLOOKUP($B20,MMWR_TRAD_AGG_STATE_COMP[],L$1,0),"ERROR")</f>
        <v>144</v>
      </c>
      <c r="M20" s="114">
        <f t="shared" si="2"/>
        <v>0.66976744186046511</v>
      </c>
      <c r="N20" s="111">
        <f>IFERROR(VLOOKUP($B20,MMWR_TRAD_AGG_STATE_COMP[],N$1,0),"ERROR")</f>
        <v>123</v>
      </c>
      <c r="O20" s="112">
        <f>IFERROR(VLOOKUP($B20,MMWR_TRAD_AGG_STATE_COMP[],O$1,0),"ERROR")</f>
        <v>82</v>
      </c>
      <c r="P20" s="114">
        <f t="shared" si="3"/>
        <v>0.66666666666666663</v>
      </c>
      <c r="Q20" s="115">
        <f>IFERROR(VLOOKUP($B20,MMWR_TRAD_AGG_STATE_COMP[],Q$1,0),"ERROR")</f>
        <v>87</v>
      </c>
      <c r="R20" s="115">
        <f>IFERROR(VLOOKUP($B20,MMWR_TRAD_AGG_STATE_COMP[],R$1,0),"ERROR")</f>
        <v>1</v>
      </c>
      <c r="S20" s="115">
        <f>IFERROR(VLOOKUP($B20,MMWR_APP_STATE_COMP[],S$1,0),"ERROR")</f>
        <v>124</v>
      </c>
      <c r="T20" s="28"/>
    </row>
    <row r="21" spans="1:20" s="123" customFormat="1" x14ac:dyDescent="0.2">
      <c r="A21" s="107"/>
      <c r="B21" s="127" t="s">
        <v>382</v>
      </c>
      <c r="C21" s="109">
        <f>IFERROR(VLOOKUP($B21,MMWR_TRAD_AGG_STATE_COMP[],C$1,0),"ERROR")</f>
        <v>16981</v>
      </c>
      <c r="D21" s="110">
        <f>IFERROR(VLOOKUP($B21,MMWR_TRAD_AGG_STATE_COMP[],D$1,0),"ERROR")</f>
        <v>455.31482244860001</v>
      </c>
      <c r="E21" s="111">
        <f>IFERROR(VLOOKUP($B21,MMWR_TRAD_AGG_STATE_COMP[],E$1,0),"ERROR")</f>
        <v>12049</v>
      </c>
      <c r="F21" s="112">
        <f>IFERROR(VLOOKUP($B21,MMWR_TRAD_AGG_STATE_COMP[],F$1,0),"ERROR")</f>
        <v>2896</v>
      </c>
      <c r="G21" s="113">
        <f t="shared" si="0"/>
        <v>0.24035189642293966</v>
      </c>
      <c r="H21" s="111">
        <f>IFERROR(VLOOKUP($B21,MMWR_TRAD_AGG_STATE_COMP[],H$1,0),"ERROR")</f>
        <v>21636</v>
      </c>
      <c r="I21" s="112">
        <f>IFERROR(VLOOKUP($B21,MMWR_TRAD_AGG_STATE_COMP[],I$1,0),"ERROR")</f>
        <v>15294</v>
      </c>
      <c r="J21" s="114">
        <f t="shared" si="1"/>
        <v>0.70687742651136998</v>
      </c>
      <c r="K21" s="111">
        <f>IFERROR(VLOOKUP($B21,MMWR_TRAD_AGG_STATE_COMP[],K$1,0),"ERROR")</f>
        <v>8246</v>
      </c>
      <c r="L21" s="112">
        <f>IFERROR(VLOOKUP($B21,MMWR_TRAD_AGG_STATE_COMP[],L$1,0),"ERROR")</f>
        <v>6061</v>
      </c>
      <c r="M21" s="114">
        <f t="shared" si="2"/>
        <v>0.73502304147465436</v>
      </c>
      <c r="N21" s="111">
        <f>IFERROR(VLOOKUP($B21,MMWR_TRAD_AGG_STATE_COMP[],N$1,0),"ERROR")</f>
        <v>7022</v>
      </c>
      <c r="O21" s="112">
        <f>IFERROR(VLOOKUP($B21,MMWR_TRAD_AGG_STATE_COMP[],O$1,0),"ERROR")</f>
        <v>5021</v>
      </c>
      <c r="P21" s="114">
        <f t="shared" si="3"/>
        <v>0.71503845058387927</v>
      </c>
      <c r="Q21" s="115">
        <f>IFERROR(VLOOKUP($B21,MMWR_TRAD_AGG_STATE_COMP[],Q$1,0),"ERROR")</f>
        <v>867</v>
      </c>
      <c r="R21" s="115">
        <f>IFERROR(VLOOKUP($B21,MMWR_TRAD_AGG_STATE_COMP[],R$1,0),"ERROR")</f>
        <v>15</v>
      </c>
      <c r="S21" s="115">
        <f>IFERROR(VLOOKUP($B21,MMWR_APP_STATE_COMP[],S$1,0),"ERROR")</f>
        <v>15069</v>
      </c>
      <c r="T21" s="28"/>
    </row>
    <row r="22" spans="1:20" s="123" customFormat="1" x14ac:dyDescent="0.2">
      <c r="A22" s="107"/>
      <c r="B22" s="127" t="s">
        <v>383</v>
      </c>
      <c r="C22" s="109">
        <f>IFERROR(VLOOKUP($B22,MMWR_TRAD_AGG_STATE_COMP[],C$1,0),"ERROR")</f>
        <v>2193</v>
      </c>
      <c r="D22" s="110">
        <f>IFERROR(VLOOKUP($B22,MMWR_TRAD_AGG_STATE_COMP[],D$1,0),"ERROR")</f>
        <v>270.15412676699998</v>
      </c>
      <c r="E22" s="111">
        <f>IFERROR(VLOOKUP($B22,MMWR_TRAD_AGG_STATE_COMP[],E$1,0),"ERROR")</f>
        <v>2476</v>
      </c>
      <c r="F22" s="112">
        <f>IFERROR(VLOOKUP($B22,MMWR_TRAD_AGG_STATE_COMP[],F$1,0),"ERROR")</f>
        <v>502</v>
      </c>
      <c r="G22" s="113">
        <f t="shared" si="0"/>
        <v>0.20274636510500807</v>
      </c>
      <c r="H22" s="111">
        <f>IFERROR(VLOOKUP($B22,MMWR_TRAD_AGG_STATE_COMP[],H$1,0),"ERROR")</f>
        <v>3619</v>
      </c>
      <c r="I22" s="112">
        <f>IFERROR(VLOOKUP($B22,MMWR_TRAD_AGG_STATE_COMP[],I$1,0),"ERROR")</f>
        <v>2275</v>
      </c>
      <c r="J22" s="114">
        <f t="shared" si="1"/>
        <v>0.62862669245647973</v>
      </c>
      <c r="K22" s="111">
        <f>IFERROR(VLOOKUP($B22,MMWR_TRAD_AGG_STATE_COMP[],K$1,0),"ERROR")</f>
        <v>467</v>
      </c>
      <c r="L22" s="112">
        <f>IFERROR(VLOOKUP($B22,MMWR_TRAD_AGG_STATE_COMP[],L$1,0),"ERROR")</f>
        <v>218</v>
      </c>
      <c r="M22" s="114">
        <f t="shared" si="2"/>
        <v>0.46680942184154178</v>
      </c>
      <c r="N22" s="111">
        <f>IFERROR(VLOOKUP($B22,MMWR_TRAD_AGG_STATE_COMP[],N$1,0),"ERROR")</f>
        <v>1357</v>
      </c>
      <c r="O22" s="112">
        <f>IFERROR(VLOOKUP($B22,MMWR_TRAD_AGG_STATE_COMP[],O$1,0),"ERROR")</f>
        <v>1001</v>
      </c>
      <c r="P22" s="114">
        <f t="shared" si="3"/>
        <v>0.73765659543109796</v>
      </c>
      <c r="Q22" s="115">
        <f>IFERROR(VLOOKUP($B22,MMWR_TRAD_AGG_STATE_COMP[],Q$1,0),"ERROR")</f>
        <v>371</v>
      </c>
      <c r="R22" s="115">
        <f>IFERROR(VLOOKUP($B22,MMWR_TRAD_AGG_STATE_COMP[],R$1,0),"ERROR")</f>
        <v>13</v>
      </c>
      <c r="S22" s="115">
        <f>IFERROR(VLOOKUP($B22,MMWR_APP_STATE_COMP[],S$1,0),"ERROR")</f>
        <v>2311</v>
      </c>
      <c r="T22" s="28"/>
    </row>
    <row r="23" spans="1:20" s="123" customFormat="1" x14ac:dyDescent="0.2">
      <c r="A23" s="107"/>
      <c r="B23" s="126" t="s">
        <v>394</v>
      </c>
      <c r="C23" s="102">
        <f>IF(SUM(C24:C35)&lt;&gt;VLOOKUP($B23,MMWR_TRAD_AGG_ST_DISTRICT_COMP[],C$1,0),"ERROR",
VLOOKUP($B23,MMWR_TRAD_AGG_ST_DISTRICT_COMP[],C$1,0))</f>
        <v>41412</v>
      </c>
      <c r="D23" s="103">
        <f>IFERROR(VLOOKUP($B23,MMWR_TRAD_AGG_ST_DISTRICT_COMP[],D$1,0),"ERROR")</f>
        <v>388.154568724</v>
      </c>
      <c r="E23" s="102">
        <f>IF(SUM(E24:E35)&lt;&gt;VLOOKUP($B23,MMWR_TRAD_AGG_ST_DISTRICT_COMP[],E$1,0),"ERROR",
VLOOKUP($B23,MMWR_TRAD_AGG_ST_DISTRICT_COMP[],E$1,0))</f>
        <v>51788</v>
      </c>
      <c r="F23" s="102">
        <f>IF(SUM(F24:F35)&lt;&gt;VLOOKUP($B23,MMWR_TRAD_AGG_ST_DISTRICT_COMP[],F$1,0),"ERROR",
VLOOKUP($B23,MMWR_TRAD_AGG_ST_DISTRICT_COMP[],F$1,0))</f>
        <v>11530</v>
      </c>
      <c r="G23" s="104">
        <f t="shared" si="0"/>
        <v>0.22263844906155866</v>
      </c>
      <c r="H23" s="102">
        <f>IF(SUM(H24:H35)&lt;&gt;VLOOKUP($B23,MMWR_TRAD_AGG_ST_DISTRICT_COMP[],H$1,0),"ERROR",
VLOOKUP($B23,MMWR_TRAD_AGG_ST_DISTRICT_COMP[],H$1,0))</f>
        <v>64898</v>
      </c>
      <c r="I23" s="102">
        <f>IF(SUM(I24:I35)&lt;&gt;VLOOKUP($B23,MMWR_TRAD_AGG_ST_DISTRICT_COMP[],I$1,0),"ERROR",
VLOOKUP($B23,MMWR_TRAD_AGG_ST_DISTRICT_COMP[],I$1,0))</f>
        <v>39543</v>
      </c>
      <c r="J23" s="105">
        <f t="shared" si="1"/>
        <v>0.60930999414465781</v>
      </c>
      <c r="K23" s="102">
        <f>IF(SUM(K24:K35)&lt;&gt;VLOOKUP($B23,MMWR_TRAD_AGG_ST_DISTRICT_COMP[],K$1,0),"ERROR",
VLOOKUP($B23,MMWR_TRAD_AGG_ST_DISTRICT_COMP[],K$1,0))</f>
        <v>13956</v>
      </c>
      <c r="L23" s="102">
        <f>IF(SUM(L24:L35)&lt;&gt;VLOOKUP($B23,MMWR_TRAD_AGG_ST_DISTRICT_COMP[],L$1,0),"ERROR",
VLOOKUP($B23,MMWR_TRAD_AGG_ST_DISTRICT_COMP[],L$1,0))</f>
        <v>9362</v>
      </c>
      <c r="M23" s="105">
        <f t="shared" si="2"/>
        <v>0.67082258526798511</v>
      </c>
      <c r="N23" s="102">
        <f>IF(SUM(N24:N35)&lt;&gt;VLOOKUP($B23,MMWR_TRAD_AGG_ST_DISTRICT_COMP[],N$1,0),"ERROR",
VLOOKUP($B23,MMWR_TRAD_AGG_ST_DISTRICT_COMP[],N$1,0))</f>
        <v>28460</v>
      </c>
      <c r="O23" s="102">
        <f>IF(SUM(O24:O35)&lt;&gt;VLOOKUP($B23,MMWR_TRAD_AGG_ST_DISTRICT_COMP[],O$1,0),"ERROR",
VLOOKUP($B23,MMWR_TRAD_AGG_ST_DISTRICT_COMP[],O$1,0))</f>
        <v>15683</v>
      </c>
      <c r="P23" s="105">
        <f t="shared" si="3"/>
        <v>0.55105411103302882</v>
      </c>
      <c r="Q23" s="102">
        <f>IF(SUM(Q24:Q35)&lt;&gt;VLOOKUP($B23,MMWR_TRAD_AGG_ST_DISTRICT_COMP[],Q$1,0),"ERROR",
VLOOKUP($B23,MMWR_TRAD_AGG_ST_DISTRICT_COMP[],Q$1,0))</f>
        <v>3691</v>
      </c>
      <c r="R23" s="102">
        <f>IF(SUM(R24:R35)&lt;&gt;VLOOKUP($B23,MMWR_TRAD_AGG_ST_DISTRICT_COMP[],R$1,0),"ERROR",
VLOOKUP($B23,MMWR_TRAD_AGG_ST_DISTRICT_COMP[],R$1,0))</f>
        <v>1062</v>
      </c>
      <c r="S23" s="106">
        <f>SUM(S24:S35)</f>
        <v>53197</v>
      </c>
      <c r="T23" s="28"/>
    </row>
    <row r="24" spans="1:20" s="123" customFormat="1" x14ac:dyDescent="0.2">
      <c r="A24" s="92"/>
      <c r="B24" s="127" t="s">
        <v>398</v>
      </c>
      <c r="C24" s="109">
        <f>IFERROR(VLOOKUP($B24,MMWR_TRAD_AGG_STATE_COMP[],C$1,0),"ERROR")</f>
        <v>7025</v>
      </c>
      <c r="D24" s="110">
        <f>IFERROR(VLOOKUP($B24,MMWR_TRAD_AGG_STATE_COMP[],D$1,0),"ERROR")</f>
        <v>482.28113879</v>
      </c>
      <c r="E24" s="111">
        <f>IFERROR(VLOOKUP($B24,MMWR_TRAD_AGG_STATE_COMP[],E$1,0),"ERROR")</f>
        <v>7444</v>
      </c>
      <c r="F24" s="112">
        <f>IFERROR(VLOOKUP($B24,MMWR_TRAD_AGG_STATE_COMP[],F$1,0),"ERROR")</f>
        <v>1979</v>
      </c>
      <c r="G24" s="113">
        <f t="shared" si="0"/>
        <v>0.26585169263836644</v>
      </c>
      <c r="H24" s="111">
        <f>IFERROR(VLOOKUP($B24,MMWR_TRAD_AGG_STATE_COMP[],H$1,0),"ERROR")</f>
        <v>9852</v>
      </c>
      <c r="I24" s="112">
        <f>IFERROR(VLOOKUP($B24,MMWR_TRAD_AGG_STATE_COMP[],I$1,0),"ERROR")</f>
        <v>6972</v>
      </c>
      <c r="J24" s="114">
        <f t="shared" si="1"/>
        <v>0.70767356881851395</v>
      </c>
      <c r="K24" s="111">
        <f>IFERROR(VLOOKUP($B24,MMWR_TRAD_AGG_STATE_COMP[],K$1,0),"ERROR")</f>
        <v>2132</v>
      </c>
      <c r="L24" s="112">
        <f>IFERROR(VLOOKUP($B24,MMWR_TRAD_AGG_STATE_COMP[],L$1,0),"ERROR")</f>
        <v>1653</v>
      </c>
      <c r="M24" s="114">
        <f t="shared" si="2"/>
        <v>0.77532833020637903</v>
      </c>
      <c r="N24" s="111">
        <f>IFERROR(VLOOKUP($B24,MMWR_TRAD_AGG_STATE_COMP[],N$1,0),"ERROR")</f>
        <v>2914</v>
      </c>
      <c r="O24" s="112">
        <f>IFERROR(VLOOKUP($B24,MMWR_TRAD_AGG_STATE_COMP[],O$1,0),"ERROR")</f>
        <v>1506</v>
      </c>
      <c r="P24" s="114">
        <f t="shared" si="3"/>
        <v>0.51681537405627997</v>
      </c>
      <c r="Q24" s="115">
        <f>IFERROR(VLOOKUP($B24,MMWR_TRAD_AGG_STATE_COMP[],Q$1,0),"ERROR")</f>
        <v>660</v>
      </c>
      <c r="R24" s="115">
        <f>IFERROR(VLOOKUP($B24,MMWR_TRAD_AGG_STATE_COMP[],R$1,0),"ERROR")</f>
        <v>211</v>
      </c>
      <c r="S24" s="115">
        <f>IFERROR(VLOOKUP($B24,MMWR_APP_STATE_COMP[],S$1,0),"ERROR")</f>
        <v>8428</v>
      </c>
      <c r="T24" s="28"/>
    </row>
    <row r="25" spans="1:20" s="123" customFormat="1" x14ac:dyDescent="0.2">
      <c r="A25" s="107"/>
      <c r="B25" s="127" t="s">
        <v>396</v>
      </c>
      <c r="C25" s="109">
        <f>IFERROR(VLOOKUP($B25,MMWR_TRAD_AGG_STATE_COMP[],C$1,0),"ERROR")</f>
        <v>7029</v>
      </c>
      <c r="D25" s="110">
        <f>IFERROR(VLOOKUP($B25,MMWR_TRAD_AGG_STATE_COMP[],D$1,0),"ERROR")</f>
        <v>618.69255939679999</v>
      </c>
      <c r="E25" s="111">
        <f>IFERROR(VLOOKUP($B25,MMWR_TRAD_AGG_STATE_COMP[],E$1,0),"ERROR")</f>
        <v>5125</v>
      </c>
      <c r="F25" s="112">
        <f>IFERROR(VLOOKUP($B25,MMWR_TRAD_AGG_STATE_COMP[],F$1,0),"ERROR")</f>
        <v>1067</v>
      </c>
      <c r="G25" s="113">
        <f t="shared" si="0"/>
        <v>0.2081951219512195</v>
      </c>
      <c r="H25" s="111">
        <f>IFERROR(VLOOKUP($B25,MMWR_TRAD_AGG_STATE_COMP[],H$1,0),"ERROR")</f>
        <v>10688</v>
      </c>
      <c r="I25" s="112">
        <f>IFERROR(VLOOKUP($B25,MMWR_TRAD_AGG_STATE_COMP[],I$1,0),"ERROR")</f>
        <v>7575</v>
      </c>
      <c r="J25" s="114">
        <f t="shared" si="1"/>
        <v>0.70873877245508987</v>
      </c>
      <c r="K25" s="111">
        <f>IFERROR(VLOOKUP($B25,MMWR_TRAD_AGG_STATE_COMP[],K$1,0),"ERROR")</f>
        <v>2120</v>
      </c>
      <c r="L25" s="112">
        <f>IFERROR(VLOOKUP($B25,MMWR_TRAD_AGG_STATE_COMP[],L$1,0),"ERROR")</f>
        <v>1541</v>
      </c>
      <c r="M25" s="114">
        <f t="shared" si="2"/>
        <v>0.72688679245283017</v>
      </c>
      <c r="N25" s="111">
        <f>IFERROR(VLOOKUP($B25,MMWR_TRAD_AGG_STATE_COMP[],N$1,0),"ERROR")</f>
        <v>2950</v>
      </c>
      <c r="O25" s="112">
        <f>IFERROR(VLOOKUP($B25,MMWR_TRAD_AGG_STATE_COMP[],O$1,0),"ERROR")</f>
        <v>1961</v>
      </c>
      <c r="P25" s="114">
        <f t="shared" si="3"/>
        <v>0.66474576271186436</v>
      </c>
      <c r="Q25" s="115">
        <f>IFERROR(VLOOKUP($B25,MMWR_TRAD_AGG_STATE_COMP[],Q$1,0),"ERROR")</f>
        <v>487</v>
      </c>
      <c r="R25" s="115">
        <f>IFERROR(VLOOKUP($B25,MMWR_TRAD_AGG_STATE_COMP[],R$1,0),"ERROR")</f>
        <v>194</v>
      </c>
      <c r="S25" s="115">
        <f>IFERROR(VLOOKUP($B25,MMWR_APP_STATE_COMP[],S$1,0),"ERROR")</f>
        <v>8226</v>
      </c>
      <c r="T25" s="28"/>
    </row>
    <row r="26" spans="1:20" s="123" customFormat="1" x14ac:dyDescent="0.2">
      <c r="A26" s="107"/>
      <c r="B26" s="127" t="s">
        <v>403</v>
      </c>
      <c r="C26" s="109">
        <f>IFERROR(VLOOKUP($B26,MMWR_TRAD_AGG_STATE_COMP[],C$1,0),"ERROR")</f>
        <v>1420</v>
      </c>
      <c r="D26" s="110">
        <f>IFERROR(VLOOKUP($B26,MMWR_TRAD_AGG_STATE_COMP[],D$1,0),"ERROR")</f>
        <v>200.32183098589999</v>
      </c>
      <c r="E26" s="111">
        <f>IFERROR(VLOOKUP($B26,MMWR_TRAD_AGG_STATE_COMP[],E$1,0),"ERROR")</f>
        <v>2458</v>
      </c>
      <c r="F26" s="112">
        <f>IFERROR(VLOOKUP($B26,MMWR_TRAD_AGG_STATE_COMP[],F$1,0),"ERROR")</f>
        <v>440</v>
      </c>
      <c r="G26" s="113">
        <f t="shared" si="0"/>
        <v>0.1790073230268511</v>
      </c>
      <c r="H26" s="111">
        <f>IFERROR(VLOOKUP($B26,MMWR_TRAD_AGG_STATE_COMP[],H$1,0),"ERROR")</f>
        <v>2214</v>
      </c>
      <c r="I26" s="112">
        <f>IFERROR(VLOOKUP($B26,MMWR_TRAD_AGG_STATE_COMP[],I$1,0),"ERROR")</f>
        <v>1118</v>
      </c>
      <c r="J26" s="114">
        <f t="shared" si="1"/>
        <v>0.50496838301716351</v>
      </c>
      <c r="K26" s="111">
        <f>IFERROR(VLOOKUP($B26,MMWR_TRAD_AGG_STATE_COMP[],K$1,0),"ERROR")</f>
        <v>401</v>
      </c>
      <c r="L26" s="112">
        <f>IFERROR(VLOOKUP($B26,MMWR_TRAD_AGG_STATE_COMP[],L$1,0),"ERROR")</f>
        <v>199</v>
      </c>
      <c r="M26" s="114">
        <f t="shared" si="2"/>
        <v>0.49625935162094764</v>
      </c>
      <c r="N26" s="111">
        <f>IFERROR(VLOOKUP($B26,MMWR_TRAD_AGG_STATE_COMP[],N$1,0),"ERROR")</f>
        <v>583</v>
      </c>
      <c r="O26" s="112">
        <f>IFERROR(VLOOKUP($B26,MMWR_TRAD_AGG_STATE_COMP[],O$1,0),"ERROR")</f>
        <v>359</v>
      </c>
      <c r="P26" s="114">
        <f t="shared" si="3"/>
        <v>0.61578044596912518</v>
      </c>
      <c r="Q26" s="115">
        <f>IFERROR(VLOOKUP($B26,MMWR_TRAD_AGG_STATE_COMP[],Q$1,0),"ERROR")</f>
        <v>1</v>
      </c>
      <c r="R26" s="115">
        <f>IFERROR(VLOOKUP($B26,MMWR_TRAD_AGG_STATE_COMP[],R$1,0),"ERROR")</f>
        <v>8</v>
      </c>
      <c r="S26" s="115">
        <f>IFERROR(VLOOKUP($B26,MMWR_APP_STATE_COMP[],S$1,0),"ERROR")</f>
        <v>1362</v>
      </c>
      <c r="T26" s="28"/>
    </row>
    <row r="27" spans="1:20" s="123" customFormat="1" x14ac:dyDescent="0.2">
      <c r="A27" s="107"/>
      <c r="B27" s="127" t="s">
        <v>426</v>
      </c>
      <c r="C27" s="109">
        <f>IFERROR(VLOOKUP($B27,MMWR_TRAD_AGG_STATE_COMP[],C$1,0),"ERROR")</f>
        <v>2115</v>
      </c>
      <c r="D27" s="110">
        <f>IFERROR(VLOOKUP($B27,MMWR_TRAD_AGG_STATE_COMP[],D$1,0),"ERROR")</f>
        <v>241.25106382979999</v>
      </c>
      <c r="E27" s="111">
        <f>IFERROR(VLOOKUP($B27,MMWR_TRAD_AGG_STATE_COMP[],E$1,0),"ERROR")</f>
        <v>2551</v>
      </c>
      <c r="F27" s="112">
        <f>IFERROR(VLOOKUP($B27,MMWR_TRAD_AGG_STATE_COMP[],F$1,0),"ERROR")</f>
        <v>476</v>
      </c>
      <c r="G27" s="113">
        <f t="shared" si="0"/>
        <v>0.18659349274794199</v>
      </c>
      <c r="H27" s="111">
        <f>IFERROR(VLOOKUP($B27,MMWR_TRAD_AGG_STATE_COMP[],H$1,0),"ERROR")</f>
        <v>3169</v>
      </c>
      <c r="I27" s="112">
        <f>IFERROR(VLOOKUP($B27,MMWR_TRAD_AGG_STATE_COMP[],I$1,0),"ERROR")</f>
        <v>1765</v>
      </c>
      <c r="J27" s="114">
        <f t="shared" si="1"/>
        <v>0.55695803092458185</v>
      </c>
      <c r="K27" s="111">
        <f>IFERROR(VLOOKUP($B27,MMWR_TRAD_AGG_STATE_COMP[],K$1,0),"ERROR")</f>
        <v>1130</v>
      </c>
      <c r="L27" s="112">
        <f>IFERROR(VLOOKUP($B27,MMWR_TRAD_AGG_STATE_COMP[],L$1,0),"ERROR")</f>
        <v>482</v>
      </c>
      <c r="M27" s="114">
        <f t="shared" si="2"/>
        <v>0.42654867256637169</v>
      </c>
      <c r="N27" s="111">
        <f>IFERROR(VLOOKUP($B27,MMWR_TRAD_AGG_STATE_COMP[],N$1,0),"ERROR")</f>
        <v>683</v>
      </c>
      <c r="O27" s="112">
        <f>IFERROR(VLOOKUP($B27,MMWR_TRAD_AGG_STATE_COMP[],O$1,0),"ERROR")</f>
        <v>340</v>
      </c>
      <c r="P27" s="114">
        <f t="shared" si="3"/>
        <v>0.49780380673499269</v>
      </c>
      <c r="Q27" s="115">
        <f>IFERROR(VLOOKUP($B27,MMWR_TRAD_AGG_STATE_COMP[],Q$1,0),"ERROR")</f>
        <v>12</v>
      </c>
      <c r="R27" s="115">
        <f>IFERROR(VLOOKUP($B27,MMWR_TRAD_AGG_STATE_COMP[],R$1,0),"ERROR")</f>
        <v>16</v>
      </c>
      <c r="S27" s="115">
        <f>IFERROR(VLOOKUP($B27,MMWR_APP_STATE_COMP[],S$1,0),"ERROR")</f>
        <v>1347</v>
      </c>
      <c r="T27" s="28"/>
    </row>
    <row r="28" spans="1:20" s="123" customFormat="1" x14ac:dyDescent="0.2">
      <c r="A28" s="107"/>
      <c r="B28" s="127" t="s">
        <v>399</v>
      </c>
      <c r="C28" s="109">
        <f>IFERROR(VLOOKUP($B28,MMWR_TRAD_AGG_STATE_COMP[],C$1,0),"ERROR")</f>
        <v>3932</v>
      </c>
      <c r="D28" s="110">
        <f>IFERROR(VLOOKUP($B28,MMWR_TRAD_AGG_STATE_COMP[],D$1,0),"ERROR")</f>
        <v>300.80061037640002</v>
      </c>
      <c r="E28" s="111">
        <f>IFERROR(VLOOKUP($B28,MMWR_TRAD_AGG_STATE_COMP[],E$1,0),"ERROR")</f>
        <v>7257</v>
      </c>
      <c r="F28" s="112">
        <f>IFERROR(VLOOKUP($B28,MMWR_TRAD_AGG_STATE_COMP[],F$1,0),"ERROR")</f>
        <v>1812</v>
      </c>
      <c r="G28" s="113">
        <f t="shared" si="0"/>
        <v>0.2496899545266639</v>
      </c>
      <c r="H28" s="111">
        <f>IFERROR(VLOOKUP($B28,MMWR_TRAD_AGG_STATE_COMP[],H$1,0),"ERROR")</f>
        <v>7020</v>
      </c>
      <c r="I28" s="112">
        <f>IFERROR(VLOOKUP($B28,MMWR_TRAD_AGG_STATE_COMP[],I$1,0),"ERROR")</f>
        <v>4514</v>
      </c>
      <c r="J28" s="114">
        <f t="shared" si="1"/>
        <v>0.64301994301994303</v>
      </c>
      <c r="K28" s="111">
        <f>IFERROR(VLOOKUP($B28,MMWR_TRAD_AGG_STATE_COMP[],K$1,0),"ERROR")</f>
        <v>1435</v>
      </c>
      <c r="L28" s="112">
        <f>IFERROR(VLOOKUP($B28,MMWR_TRAD_AGG_STATE_COMP[],L$1,0),"ERROR")</f>
        <v>1019</v>
      </c>
      <c r="M28" s="114">
        <f t="shared" si="2"/>
        <v>0.71010452961672477</v>
      </c>
      <c r="N28" s="111">
        <f>IFERROR(VLOOKUP($B28,MMWR_TRAD_AGG_STATE_COMP[],N$1,0),"ERROR")</f>
        <v>5643</v>
      </c>
      <c r="O28" s="112">
        <f>IFERROR(VLOOKUP($B28,MMWR_TRAD_AGG_STATE_COMP[],O$1,0),"ERROR")</f>
        <v>1110</v>
      </c>
      <c r="P28" s="114">
        <f t="shared" si="3"/>
        <v>0.19670388091440724</v>
      </c>
      <c r="Q28" s="115">
        <f>IFERROR(VLOOKUP($B28,MMWR_TRAD_AGG_STATE_COMP[],Q$1,0),"ERROR")</f>
        <v>733</v>
      </c>
      <c r="R28" s="115">
        <f>IFERROR(VLOOKUP($B28,MMWR_TRAD_AGG_STATE_COMP[],R$1,0),"ERROR")</f>
        <v>199</v>
      </c>
      <c r="S28" s="115">
        <f>IFERROR(VLOOKUP($B28,MMWR_APP_STATE_COMP[],S$1,0),"ERROR")</f>
        <v>5831</v>
      </c>
      <c r="T28" s="28"/>
    </row>
    <row r="29" spans="1:20" s="123" customFormat="1" x14ac:dyDescent="0.2">
      <c r="A29" s="107"/>
      <c r="B29" s="127" t="s">
        <v>405</v>
      </c>
      <c r="C29" s="109">
        <f>IFERROR(VLOOKUP($B29,MMWR_TRAD_AGG_STATE_COMP[],C$1,0),"ERROR")</f>
        <v>1535</v>
      </c>
      <c r="D29" s="110">
        <f>IFERROR(VLOOKUP($B29,MMWR_TRAD_AGG_STATE_COMP[],D$1,0),"ERROR")</f>
        <v>190.25211726379999</v>
      </c>
      <c r="E29" s="111">
        <f>IFERROR(VLOOKUP($B29,MMWR_TRAD_AGG_STATE_COMP[],E$1,0),"ERROR")</f>
        <v>4497</v>
      </c>
      <c r="F29" s="112">
        <f>IFERROR(VLOOKUP($B29,MMWR_TRAD_AGG_STATE_COMP[],F$1,0),"ERROR")</f>
        <v>911</v>
      </c>
      <c r="G29" s="113">
        <f t="shared" si="0"/>
        <v>0.20257949744273959</v>
      </c>
      <c r="H29" s="111">
        <f>IFERROR(VLOOKUP($B29,MMWR_TRAD_AGG_STATE_COMP[],H$1,0),"ERROR")</f>
        <v>2984</v>
      </c>
      <c r="I29" s="112">
        <f>IFERROR(VLOOKUP($B29,MMWR_TRAD_AGG_STATE_COMP[],I$1,0),"ERROR")</f>
        <v>1343</v>
      </c>
      <c r="J29" s="114">
        <f t="shared" si="1"/>
        <v>0.45006702412868632</v>
      </c>
      <c r="K29" s="111">
        <f>IFERROR(VLOOKUP($B29,MMWR_TRAD_AGG_STATE_COMP[],K$1,0),"ERROR")</f>
        <v>522</v>
      </c>
      <c r="L29" s="112">
        <f>IFERROR(VLOOKUP($B29,MMWR_TRAD_AGG_STATE_COMP[],L$1,0),"ERROR")</f>
        <v>235</v>
      </c>
      <c r="M29" s="114">
        <f t="shared" si="2"/>
        <v>0.45019157088122608</v>
      </c>
      <c r="N29" s="111">
        <f>IFERROR(VLOOKUP($B29,MMWR_TRAD_AGG_STATE_COMP[],N$1,0),"ERROR")</f>
        <v>1111</v>
      </c>
      <c r="O29" s="112">
        <f>IFERROR(VLOOKUP($B29,MMWR_TRAD_AGG_STATE_COMP[],O$1,0),"ERROR")</f>
        <v>700</v>
      </c>
      <c r="P29" s="114">
        <f t="shared" si="3"/>
        <v>0.63006300630063006</v>
      </c>
      <c r="Q29" s="115">
        <f>IFERROR(VLOOKUP($B29,MMWR_TRAD_AGG_STATE_COMP[],Q$1,0),"ERROR")</f>
        <v>2</v>
      </c>
      <c r="R29" s="115">
        <f>IFERROR(VLOOKUP($B29,MMWR_TRAD_AGG_STATE_COMP[],R$1,0),"ERROR")</f>
        <v>5</v>
      </c>
      <c r="S29" s="115">
        <f>IFERROR(VLOOKUP($B29,MMWR_APP_STATE_COMP[],S$1,0),"ERROR")</f>
        <v>2183</v>
      </c>
      <c r="T29" s="28"/>
    </row>
    <row r="30" spans="1:20" s="123" customFormat="1" x14ac:dyDescent="0.2">
      <c r="A30" s="107"/>
      <c r="B30" s="127" t="s">
        <v>401</v>
      </c>
      <c r="C30" s="109">
        <f>IFERROR(VLOOKUP($B30,MMWR_TRAD_AGG_STATE_COMP[],C$1,0),"ERROR")</f>
        <v>5510</v>
      </c>
      <c r="D30" s="110">
        <f>IFERROR(VLOOKUP($B30,MMWR_TRAD_AGG_STATE_COMP[],D$1,0),"ERROR")</f>
        <v>287.56987295829998</v>
      </c>
      <c r="E30" s="111">
        <f>IFERROR(VLOOKUP($B30,MMWR_TRAD_AGG_STATE_COMP[],E$1,0),"ERROR")</f>
        <v>6273</v>
      </c>
      <c r="F30" s="112">
        <f>IFERROR(VLOOKUP($B30,MMWR_TRAD_AGG_STATE_COMP[],F$1,0),"ERROR")</f>
        <v>1189</v>
      </c>
      <c r="G30" s="113">
        <f t="shared" si="0"/>
        <v>0.18954248366013071</v>
      </c>
      <c r="H30" s="111">
        <f>IFERROR(VLOOKUP($B30,MMWR_TRAD_AGG_STATE_COMP[],H$1,0),"ERROR")</f>
        <v>7911</v>
      </c>
      <c r="I30" s="112">
        <f>IFERROR(VLOOKUP($B30,MMWR_TRAD_AGG_STATE_COMP[],I$1,0),"ERROR")</f>
        <v>4684</v>
      </c>
      <c r="J30" s="114">
        <f t="shared" si="1"/>
        <v>0.59208696751358869</v>
      </c>
      <c r="K30" s="111">
        <f>IFERROR(VLOOKUP($B30,MMWR_TRAD_AGG_STATE_COMP[],K$1,0),"ERROR")</f>
        <v>2458</v>
      </c>
      <c r="L30" s="112">
        <f>IFERROR(VLOOKUP($B30,MMWR_TRAD_AGG_STATE_COMP[],L$1,0),"ERROR")</f>
        <v>1873</v>
      </c>
      <c r="M30" s="114">
        <f t="shared" si="2"/>
        <v>0.76200162733930021</v>
      </c>
      <c r="N30" s="111">
        <f>IFERROR(VLOOKUP($B30,MMWR_TRAD_AGG_STATE_COMP[],N$1,0),"ERROR")</f>
        <v>8379</v>
      </c>
      <c r="O30" s="112">
        <f>IFERROR(VLOOKUP($B30,MMWR_TRAD_AGG_STATE_COMP[],O$1,0),"ERROR")</f>
        <v>5996</v>
      </c>
      <c r="P30" s="114">
        <f t="shared" si="3"/>
        <v>0.7155985201097983</v>
      </c>
      <c r="Q30" s="115">
        <f>IFERROR(VLOOKUP($B30,MMWR_TRAD_AGG_STATE_COMP[],Q$1,0),"ERROR")</f>
        <v>635</v>
      </c>
      <c r="R30" s="115">
        <f>IFERROR(VLOOKUP($B30,MMWR_TRAD_AGG_STATE_COMP[],R$1,0),"ERROR")</f>
        <v>85</v>
      </c>
      <c r="S30" s="115">
        <f>IFERROR(VLOOKUP($B30,MMWR_APP_STATE_COMP[],S$1,0),"ERROR")</f>
        <v>6892</v>
      </c>
      <c r="T30" s="28"/>
    </row>
    <row r="31" spans="1:20" s="123" customFormat="1" x14ac:dyDescent="0.2">
      <c r="A31" s="107"/>
      <c r="B31" s="127" t="s">
        <v>404</v>
      </c>
      <c r="C31" s="109">
        <f>IFERROR(VLOOKUP($B31,MMWR_TRAD_AGG_STATE_COMP[],C$1,0),"ERROR")</f>
        <v>1384</v>
      </c>
      <c r="D31" s="110">
        <f>IFERROR(VLOOKUP($B31,MMWR_TRAD_AGG_STATE_COMP[],D$1,0),"ERROR")</f>
        <v>225.83670520230001</v>
      </c>
      <c r="E31" s="111">
        <f>IFERROR(VLOOKUP($B31,MMWR_TRAD_AGG_STATE_COMP[],E$1,0),"ERROR")</f>
        <v>2224</v>
      </c>
      <c r="F31" s="112">
        <f>IFERROR(VLOOKUP($B31,MMWR_TRAD_AGG_STATE_COMP[],F$1,0),"ERROR")</f>
        <v>279</v>
      </c>
      <c r="G31" s="113">
        <f t="shared" si="0"/>
        <v>0.12544964028776978</v>
      </c>
      <c r="H31" s="111">
        <f>IFERROR(VLOOKUP($B31,MMWR_TRAD_AGG_STATE_COMP[],H$1,0),"ERROR")</f>
        <v>2205</v>
      </c>
      <c r="I31" s="112">
        <f>IFERROR(VLOOKUP($B31,MMWR_TRAD_AGG_STATE_COMP[],I$1,0),"ERROR")</f>
        <v>1158</v>
      </c>
      <c r="J31" s="114">
        <f t="shared" si="1"/>
        <v>0.52517006802721089</v>
      </c>
      <c r="K31" s="111">
        <f>IFERROR(VLOOKUP($B31,MMWR_TRAD_AGG_STATE_COMP[],K$1,0),"ERROR")</f>
        <v>756</v>
      </c>
      <c r="L31" s="112">
        <f>IFERROR(VLOOKUP($B31,MMWR_TRAD_AGG_STATE_COMP[],L$1,0),"ERROR")</f>
        <v>569</v>
      </c>
      <c r="M31" s="114">
        <f t="shared" si="2"/>
        <v>0.75264550264550267</v>
      </c>
      <c r="N31" s="111">
        <f>IFERROR(VLOOKUP($B31,MMWR_TRAD_AGG_STATE_COMP[],N$1,0),"ERROR")</f>
        <v>596</v>
      </c>
      <c r="O31" s="112">
        <f>IFERROR(VLOOKUP($B31,MMWR_TRAD_AGG_STATE_COMP[],O$1,0),"ERROR")</f>
        <v>318</v>
      </c>
      <c r="P31" s="114">
        <f t="shared" si="3"/>
        <v>0.53355704697986572</v>
      </c>
      <c r="Q31" s="115">
        <f>IFERROR(VLOOKUP($B31,MMWR_TRAD_AGG_STATE_COMP[],Q$1,0),"ERROR")</f>
        <v>2</v>
      </c>
      <c r="R31" s="115">
        <f>IFERROR(VLOOKUP($B31,MMWR_TRAD_AGG_STATE_COMP[],R$1,0),"ERROR")</f>
        <v>13</v>
      </c>
      <c r="S31" s="115">
        <f>IFERROR(VLOOKUP($B31,MMWR_APP_STATE_COMP[],S$1,0),"ERROR")</f>
        <v>1251</v>
      </c>
      <c r="T31" s="28"/>
    </row>
    <row r="32" spans="1:20" s="123" customFormat="1" x14ac:dyDescent="0.2">
      <c r="A32" s="107"/>
      <c r="B32" s="127" t="s">
        <v>423</v>
      </c>
      <c r="C32" s="109">
        <f>IFERROR(VLOOKUP($B32,MMWR_TRAD_AGG_STATE_COMP[],C$1,0),"ERROR")</f>
        <v>172</v>
      </c>
      <c r="D32" s="110">
        <f>IFERROR(VLOOKUP($B32,MMWR_TRAD_AGG_STATE_COMP[],D$1,0),"ERROR")</f>
        <v>303.97093023259998</v>
      </c>
      <c r="E32" s="111">
        <f>IFERROR(VLOOKUP($B32,MMWR_TRAD_AGG_STATE_COMP[],E$1,0),"ERROR")</f>
        <v>650</v>
      </c>
      <c r="F32" s="112">
        <f>IFERROR(VLOOKUP($B32,MMWR_TRAD_AGG_STATE_COMP[],F$1,0),"ERROR")</f>
        <v>113</v>
      </c>
      <c r="G32" s="113">
        <f t="shared" si="0"/>
        <v>0.17384615384615384</v>
      </c>
      <c r="H32" s="111">
        <f>IFERROR(VLOOKUP($B32,MMWR_TRAD_AGG_STATE_COMP[],H$1,0),"ERROR")</f>
        <v>327</v>
      </c>
      <c r="I32" s="112">
        <f>IFERROR(VLOOKUP($B32,MMWR_TRAD_AGG_STATE_COMP[],I$1,0),"ERROR")</f>
        <v>147</v>
      </c>
      <c r="J32" s="114">
        <f t="shared" si="1"/>
        <v>0.44954128440366975</v>
      </c>
      <c r="K32" s="111">
        <f>IFERROR(VLOOKUP($B32,MMWR_TRAD_AGG_STATE_COMP[],K$1,0),"ERROR")</f>
        <v>119</v>
      </c>
      <c r="L32" s="112">
        <f>IFERROR(VLOOKUP($B32,MMWR_TRAD_AGG_STATE_COMP[],L$1,0),"ERROR")</f>
        <v>58</v>
      </c>
      <c r="M32" s="114">
        <f t="shared" si="2"/>
        <v>0.48739495798319327</v>
      </c>
      <c r="N32" s="111">
        <f>IFERROR(VLOOKUP($B32,MMWR_TRAD_AGG_STATE_COMP[],N$1,0),"ERROR")</f>
        <v>148</v>
      </c>
      <c r="O32" s="112">
        <f>IFERROR(VLOOKUP($B32,MMWR_TRAD_AGG_STATE_COMP[],O$1,0),"ERROR")</f>
        <v>75</v>
      </c>
      <c r="P32" s="114">
        <f t="shared" si="3"/>
        <v>0.5067567567567568</v>
      </c>
      <c r="Q32" s="115">
        <f>IFERROR(VLOOKUP($B32,MMWR_TRAD_AGG_STATE_COMP[],Q$1,0),"ERROR")</f>
        <v>0</v>
      </c>
      <c r="R32" s="115">
        <f>IFERROR(VLOOKUP($B32,MMWR_TRAD_AGG_STATE_COMP[],R$1,0),"ERROR")</f>
        <v>0</v>
      </c>
      <c r="S32" s="115">
        <f>IFERROR(VLOOKUP($B32,MMWR_APP_STATE_COMP[],S$1,0),"ERROR")</f>
        <v>474</v>
      </c>
      <c r="T32" s="28"/>
    </row>
    <row r="33" spans="1:20" s="123" customFormat="1" x14ac:dyDescent="0.2">
      <c r="A33" s="107"/>
      <c r="B33" s="127" t="s">
        <v>395</v>
      </c>
      <c r="C33" s="109">
        <f>IFERROR(VLOOKUP($B33,MMWR_TRAD_AGG_STATE_COMP[],C$1,0),"ERROR")</f>
        <v>6716</v>
      </c>
      <c r="D33" s="110">
        <f>IFERROR(VLOOKUP($B33,MMWR_TRAD_AGG_STATE_COMP[],D$1,0),"ERROR")</f>
        <v>416.24017272190002</v>
      </c>
      <c r="E33" s="111">
        <f>IFERROR(VLOOKUP($B33,MMWR_TRAD_AGG_STATE_COMP[],E$1,0),"ERROR")</f>
        <v>8709</v>
      </c>
      <c r="F33" s="112">
        <f>IFERROR(VLOOKUP($B33,MMWR_TRAD_AGG_STATE_COMP[],F$1,0),"ERROR")</f>
        <v>2347</v>
      </c>
      <c r="G33" s="113">
        <f t="shared" si="0"/>
        <v>0.26949133080721094</v>
      </c>
      <c r="H33" s="111">
        <f>IFERROR(VLOOKUP($B33,MMWR_TRAD_AGG_STATE_COMP[],H$1,0),"ERROR")</f>
        <v>11565</v>
      </c>
      <c r="I33" s="112">
        <f>IFERROR(VLOOKUP($B33,MMWR_TRAD_AGG_STATE_COMP[],I$1,0),"ERROR")</f>
        <v>6579</v>
      </c>
      <c r="J33" s="114">
        <f t="shared" si="1"/>
        <v>0.56887159533073928</v>
      </c>
      <c r="K33" s="111">
        <f>IFERROR(VLOOKUP($B33,MMWR_TRAD_AGG_STATE_COMP[],K$1,0),"ERROR")</f>
        <v>1875</v>
      </c>
      <c r="L33" s="112">
        <f>IFERROR(VLOOKUP($B33,MMWR_TRAD_AGG_STATE_COMP[],L$1,0),"ERROR")</f>
        <v>1117</v>
      </c>
      <c r="M33" s="114">
        <f t="shared" si="2"/>
        <v>0.59573333333333334</v>
      </c>
      <c r="N33" s="111">
        <f>IFERROR(VLOOKUP($B33,MMWR_TRAD_AGG_STATE_COMP[],N$1,0),"ERROR")</f>
        <v>4403</v>
      </c>
      <c r="O33" s="112">
        <f>IFERROR(VLOOKUP($B33,MMWR_TRAD_AGG_STATE_COMP[],O$1,0),"ERROR")</f>
        <v>2722</v>
      </c>
      <c r="P33" s="114">
        <f t="shared" si="3"/>
        <v>0.61821485350897121</v>
      </c>
      <c r="Q33" s="115">
        <f>IFERROR(VLOOKUP($B33,MMWR_TRAD_AGG_STATE_COMP[],Q$1,0),"ERROR")</f>
        <v>735</v>
      </c>
      <c r="R33" s="115">
        <f>IFERROR(VLOOKUP($B33,MMWR_TRAD_AGG_STATE_COMP[],R$1,0),"ERROR")</f>
        <v>324</v>
      </c>
      <c r="S33" s="115">
        <f>IFERROR(VLOOKUP($B33,MMWR_APP_STATE_COMP[],S$1,0),"ERROR")</f>
        <v>13606</v>
      </c>
      <c r="T33" s="28"/>
    </row>
    <row r="34" spans="1:20" s="123" customFormat="1" x14ac:dyDescent="0.2">
      <c r="A34" s="107"/>
      <c r="B34" s="127" t="s">
        <v>424</v>
      </c>
      <c r="C34" s="109">
        <f>IFERROR(VLOOKUP($B34,MMWR_TRAD_AGG_STATE_COMP[],C$1,0),"ERROR")</f>
        <v>388</v>
      </c>
      <c r="D34" s="110">
        <f>IFERROR(VLOOKUP($B34,MMWR_TRAD_AGG_STATE_COMP[],D$1,0),"ERROR")</f>
        <v>274.16237113400001</v>
      </c>
      <c r="E34" s="111">
        <f>IFERROR(VLOOKUP($B34,MMWR_TRAD_AGG_STATE_COMP[],E$1,0),"ERROR")</f>
        <v>845</v>
      </c>
      <c r="F34" s="112">
        <f>IFERROR(VLOOKUP($B34,MMWR_TRAD_AGG_STATE_COMP[],F$1,0),"ERROR")</f>
        <v>159</v>
      </c>
      <c r="G34" s="113">
        <f t="shared" si="0"/>
        <v>0.18816568047337279</v>
      </c>
      <c r="H34" s="111">
        <f>IFERROR(VLOOKUP($B34,MMWR_TRAD_AGG_STATE_COMP[],H$1,0),"ERROR")</f>
        <v>749</v>
      </c>
      <c r="I34" s="112">
        <f>IFERROR(VLOOKUP($B34,MMWR_TRAD_AGG_STATE_COMP[],I$1,0),"ERROR")</f>
        <v>392</v>
      </c>
      <c r="J34" s="114">
        <f t="shared" si="1"/>
        <v>0.52336448598130836</v>
      </c>
      <c r="K34" s="111">
        <f>IFERROR(VLOOKUP($B34,MMWR_TRAD_AGG_STATE_COMP[],K$1,0),"ERROR")</f>
        <v>319</v>
      </c>
      <c r="L34" s="112">
        <f>IFERROR(VLOOKUP($B34,MMWR_TRAD_AGG_STATE_COMP[],L$1,0),"ERROR")</f>
        <v>149</v>
      </c>
      <c r="M34" s="114">
        <f t="shared" si="2"/>
        <v>0.4670846394984326</v>
      </c>
      <c r="N34" s="111">
        <f>IFERROR(VLOOKUP($B34,MMWR_TRAD_AGG_STATE_COMP[],N$1,0),"ERROR")</f>
        <v>140</v>
      </c>
      <c r="O34" s="112">
        <f>IFERROR(VLOOKUP($B34,MMWR_TRAD_AGG_STATE_COMP[],O$1,0),"ERROR")</f>
        <v>80</v>
      </c>
      <c r="P34" s="114">
        <f t="shared" si="3"/>
        <v>0.5714285714285714</v>
      </c>
      <c r="Q34" s="115">
        <f>IFERROR(VLOOKUP($B34,MMWR_TRAD_AGG_STATE_COMP[],Q$1,0),"ERROR")</f>
        <v>1</v>
      </c>
      <c r="R34" s="115">
        <f>IFERROR(VLOOKUP($B34,MMWR_TRAD_AGG_STATE_COMP[],R$1,0),"ERROR")</f>
        <v>1</v>
      </c>
      <c r="S34" s="115">
        <f>IFERROR(VLOOKUP($B34,MMWR_APP_STATE_COMP[],S$1,0),"ERROR")</f>
        <v>200</v>
      </c>
      <c r="T34" s="28"/>
    </row>
    <row r="35" spans="1:20" s="123" customFormat="1" x14ac:dyDescent="0.2">
      <c r="A35" s="107"/>
      <c r="B35" s="127" t="s">
        <v>400</v>
      </c>
      <c r="C35" s="109">
        <f>IFERROR(VLOOKUP($B35,MMWR_TRAD_AGG_STATE_COMP[],C$1,0),"ERROR")</f>
        <v>4186</v>
      </c>
      <c r="D35" s="110">
        <f>IFERROR(VLOOKUP($B35,MMWR_TRAD_AGG_STATE_COMP[],D$1,0),"ERROR")</f>
        <v>290.67343526040003</v>
      </c>
      <c r="E35" s="111">
        <f>IFERROR(VLOOKUP($B35,MMWR_TRAD_AGG_STATE_COMP[],E$1,0),"ERROR")</f>
        <v>3755</v>
      </c>
      <c r="F35" s="112">
        <f>IFERROR(VLOOKUP($B35,MMWR_TRAD_AGG_STATE_COMP[],F$1,0),"ERROR")</f>
        <v>758</v>
      </c>
      <c r="G35" s="113">
        <f t="shared" si="0"/>
        <v>0.20186418109187751</v>
      </c>
      <c r="H35" s="111">
        <f>IFERROR(VLOOKUP($B35,MMWR_TRAD_AGG_STATE_COMP[],H$1,0),"ERROR")</f>
        <v>6214</v>
      </c>
      <c r="I35" s="112">
        <f>IFERROR(VLOOKUP($B35,MMWR_TRAD_AGG_STATE_COMP[],I$1,0),"ERROR")</f>
        <v>3296</v>
      </c>
      <c r="J35" s="114">
        <f t="shared" si="1"/>
        <v>0.5304151915030576</v>
      </c>
      <c r="K35" s="111">
        <f>IFERROR(VLOOKUP($B35,MMWR_TRAD_AGG_STATE_COMP[],K$1,0),"ERROR")</f>
        <v>689</v>
      </c>
      <c r="L35" s="112">
        <f>IFERROR(VLOOKUP($B35,MMWR_TRAD_AGG_STATE_COMP[],L$1,0),"ERROR")</f>
        <v>467</v>
      </c>
      <c r="M35" s="114">
        <f t="shared" si="2"/>
        <v>0.67779390420899854</v>
      </c>
      <c r="N35" s="111">
        <f>IFERROR(VLOOKUP($B35,MMWR_TRAD_AGG_STATE_COMP[],N$1,0),"ERROR")</f>
        <v>910</v>
      </c>
      <c r="O35" s="112">
        <f>IFERROR(VLOOKUP($B35,MMWR_TRAD_AGG_STATE_COMP[],O$1,0),"ERROR")</f>
        <v>516</v>
      </c>
      <c r="P35" s="114">
        <f t="shared" si="3"/>
        <v>0.56703296703296702</v>
      </c>
      <c r="Q35" s="115">
        <f>IFERROR(VLOOKUP($B35,MMWR_TRAD_AGG_STATE_COMP[],Q$1,0),"ERROR")</f>
        <v>423</v>
      </c>
      <c r="R35" s="115">
        <f>IFERROR(VLOOKUP($B35,MMWR_TRAD_AGG_STATE_COMP[],R$1,0),"ERROR")</f>
        <v>6</v>
      </c>
      <c r="S35" s="115">
        <f>IFERROR(VLOOKUP($B35,MMWR_APP_STATE_COMP[],S$1,0),"ERROR")</f>
        <v>3397</v>
      </c>
      <c r="T35" s="28"/>
    </row>
    <row r="36" spans="1:20" s="123" customFormat="1" x14ac:dyDescent="0.2">
      <c r="A36" s="28"/>
      <c r="B36" s="126" t="s">
        <v>389</v>
      </c>
      <c r="C36" s="102">
        <f>IF(SUM(C37:C45)&lt;&gt;VLOOKUP($B36,MMWR_TRAD_AGG_ST_DISTRICT_COMP[],C$1,0),"ERROR",
VLOOKUP($B36,MMWR_TRAD_AGG_ST_DISTRICT_COMP[],C$1,0))</f>
        <v>58717</v>
      </c>
      <c r="D36" s="103">
        <f>IFERROR(VLOOKUP($B36,MMWR_TRAD_AGG_ST_DISTRICT_COMP[],D$1,0),"ERROR")</f>
        <v>380.72047277619998</v>
      </c>
      <c r="E36" s="102">
        <f>IFERROR(VLOOKUP($B36,MMWR_TRAD_AGG_ST_DISTRICT_COMP[],E$1,0),"ERROR")</f>
        <v>66466</v>
      </c>
      <c r="F36" s="102">
        <f>IFERROR(VLOOKUP($B36,MMWR_TRAD_AGG_ST_DISTRICT_COMP[],F$1,0),"ERROR")</f>
        <v>14566</v>
      </c>
      <c r="G36" s="104">
        <f t="shared" si="0"/>
        <v>0.21914964041765714</v>
      </c>
      <c r="H36" s="102">
        <f>IFERROR(VLOOKUP($B36,MMWR_TRAD_AGG_ST_DISTRICT_COMP[],H$1,0),"ERROR")</f>
        <v>82163</v>
      </c>
      <c r="I36" s="102">
        <f>IFERROR(VLOOKUP($B36,MMWR_TRAD_AGG_ST_DISTRICT_COMP[],I$1,0),"ERROR")</f>
        <v>53690</v>
      </c>
      <c r="J36" s="105">
        <f t="shared" si="1"/>
        <v>0.65345715224614487</v>
      </c>
      <c r="K36" s="102">
        <f>IFERROR(VLOOKUP($B36,MMWR_TRAD_AGG_ST_DISTRICT_COMP[],K$1,0),"ERROR")</f>
        <v>20134</v>
      </c>
      <c r="L36" s="102">
        <f>IFERROR(VLOOKUP($B36,MMWR_TRAD_AGG_ST_DISTRICT_COMP[],L$1,0),"ERROR")</f>
        <v>12552</v>
      </c>
      <c r="M36" s="105">
        <f t="shared" si="2"/>
        <v>0.62342306546140858</v>
      </c>
      <c r="N36" s="102">
        <f>IFERROR(VLOOKUP($B36,MMWR_TRAD_AGG_ST_DISTRICT_COMP[],N$1,0),"ERROR")</f>
        <v>25936</v>
      </c>
      <c r="O36" s="102">
        <f>IFERROR(VLOOKUP($B36,MMWR_TRAD_AGG_ST_DISTRICT_COMP[],O$1,0),"ERROR")</f>
        <v>14459</v>
      </c>
      <c r="P36" s="105">
        <f t="shared" si="3"/>
        <v>0.55748766193707588</v>
      </c>
      <c r="Q36" s="102">
        <f>IFERROR(VLOOKUP($B36,MMWR_TRAD_AGG_ST_DISTRICT_COMP[],Q$1,0),"ERROR")</f>
        <v>913</v>
      </c>
      <c r="R36" s="106">
        <f>IFERROR(VLOOKUP($B36,MMWR_TRAD_AGG_ST_DISTRICT_COMP[],R$1,0),"ERROR")</f>
        <v>1061</v>
      </c>
      <c r="S36" s="106">
        <f>SUM(S37:S45)</f>
        <v>69772</v>
      </c>
      <c r="T36" s="28"/>
    </row>
    <row r="37" spans="1:20" s="123" customFormat="1" x14ac:dyDescent="0.2">
      <c r="A37" s="28"/>
      <c r="B37" s="127" t="s">
        <v>415</v>
      </c>
      <c r="C37" s="109">
        <f>IFERROR(VLOOKUP($B37,MMWR_TRAD_AGG_STATE_COMP[],C$1,0),"ERROR")</f>
        <v>4893</v>
      </c>
      <c r="D37" s="110">
        <f>IFERROR(VLOOKUP($B37,MMWR_TRAD_AGG_STATE_COMP[],D$1,0),"ERROR")</f>
        <v>389.1307991008</v>
      </c>
      <c r="E37" s="111">
        <f>IFERROR(VLOOKUP($B37,MMWR_TRAD_AGG_STATE_COMP[],E$1,0),"ERROR")</f>
        <v>3716</v>
      </c>
      <c r="F37" s="112">
        <f>IFERROR(VLOOKUP($B37,MMWR_TRAD_AGG_STATE_COMP[],F$1,0),"ERROR")</f>
        <v>685</v>
      </c>
      <c r="G37" s="113">
        <f t="shared" si="0"/>
        <v>0.18433799784714747</v>
      </c>
      <c r="H37" s="111">
        <f>IFERROR(VLOOKUP($B37,MMWR_TRAD_AGG_STATE_COMP[],H$1,0),"ERROR")</f>
        <v>6464</v>
      </c>
      <c r="I37" s="112">
        <f>IFERROR(VLOOKUP($B37,MMWR_TRAD_AGG_STATE_COMP[],I$1,0),"ERROR")</f>
        <v>4616</v>
      </c>
      <c r="J37" s="114">
        <f t="shared" si="1"/>
        <v>0.71410891089108908</v>
      </c>
      <c r="K37" s="111">
        <f>IFERROR(VLOOKUP($B37,MMWR_TRAD_AGG_STATE_COMP[],K$1,0),"ERROR")</f>
        <v>1961</v>
      </c>
      <c r="L37" s="112">
        <f>IFERROR(VLOOKUP($B37,MMWR_TRAD_AGG_STATE_COMP[],L$1,0),"ERROR")</f>
        <v>1497</v>
      </c>
      <c r="M37" s="114">
        <f t="shared" si="2"/>
        <v>0.76338602753697093</v>
      </c>
      <c r="N37" s="111">
        <f>IFERROR(VLOOKUP($B37,MMWR_TRAD_AGG_STATE_COMP[],N$1,0),"ERROR")</f>
        <v>2139</v>
      </c>
      <c r="O37" s="112">
        <f>IFERROR(VLOOKUP($B37,MMWR_TRAD_AGG_STATE_COMP[],O$1,0),"ERROR")</f>
        <v>1200</v>
      </c>
      <c r="P37" s="114">
        <f t="shared" si="3"/>
        <v>0.56100981767180924</v>
      </c>
      <c r="Q37" s="115">
        <f>IFERROR(VLOOKUP($B37,MMWR_TRAD_AGG_STATE_COMP[],Q$1,0),"ERROR")</f>
        <v>299</v>
      </c>
      <c r="R37" s="115">
        <f>IFERROR(VLOOKUP($B37,MMWR_TRAD_AGG_STATE_COMP[],R$1,0),"ERROR")</f>
        <v>118</v>
      </c>
      <c r="S37" s="115">
        <f>IFERROR(VLOOKUP($B37,MMWR_APP_STATE_COMP[],S$1,0),"ERROR")</f>
        <v>5350</v>
      </c>
      <c r="T37" s="28"/>
    </row>
    <row r="38" spans="1:20" s="123" customFormat="1" x14ac:dyDescent="0.2">
      <c r="A38" s="28"/>
      <c r="B38" s="127" t="s">
        <v>407</v>
      </c>
      <c r="C38" s="109">
        <f>IFERROR(VLOOKUP($B38,MMWR_TRAD_AGG_STATE_COMP[],C$1,0),"ERROR")</f>
        <v>7146</v>
      </c>
      <c r="D38" s="110">
        <f>IFERROR(VLOOKUP($B38,MMWR_TRAD_AGG_STATE_COMP[],D$1,0),"ERROR")</f>
        <v>442.05205709490002</v>
      </c>
      <c r="E38" s="111">
        <f>IFERROR(VLOOKUP($B38,MMWR_TRAD_AGG_STATE_COMP[],E$1,0),"ERROR")</f>
        <v>7467</v>
      </c>
      <c r="F38" s="112">
        <f>IFERROR(VLOOKUP($B38,MMWR_TRAD_AGG_STATE_COMP[],F$1,0),"ERROR")</f>
        <v>1682</v>
      </c>
      <c r="G38" s="113">
        <f t="shared" ref="G38:G64" si="4">IFERROR(F38/E38,"0%")</f>
        <v>0.22525780099102719</v>
      </c>
      <c r="H38" s="111">
        <f>IFERROR(VLOOKUP($B38,MMWR_TRAD_AGG_STATE_COMP[],H$1,0),"ERROR")</f>
        <v>10564</v>
      </c>
      <c r="I38" s="112">
        <f>IFERROR(VLOOKUP($B38,MMWR_TRAD_AGG_STATE_COMP[],I$1,0),"ERROR")</f>
        <v>6917</v>
      </c>
      <c r="J38" s="114">
        <f t="shared" ref="J38:J64" si="5">IFERROR(I38/H38,"0%")</f>
        <v>0.65477092010602045</v>
      </c>
      <c r="K38" s="111">
        <f>IFERROR(VLOOKUP($B38,MMWR_TRAD_AGG_STATE_COMP[],K$1,0),"ERROR")</f>
        <v>3292</v>
      </c>
      <c r="L38" s="112">
        <f>IFERROR(VLOOKUP($B38,MMWR_TRAD_AGG_STATE_COMP[],L$1,0),"ERROR")</f>
        <v>2280</v>
      </c>
      <c r="M38" s="114">
        <f t="shared" ref="M38:M64" si="6">IFERROR(L38/K38,"0%")</f>
        <v>0.69258809234507901</v>
      </c>
      <c r="N38" s="111">
        <f>IFERROR(VLOOKUP($B38,MMWR_TRAD_AGG_STATE_COMP[],N$1,0),"ERROR")</f>
        <v>1628</v>
      </c>
      <c r="O38" s="112">
        <f>IFERROR(VLOOKUP($B38,MMWR_TRAD_AGG_STATE_COMP[],O$1,0),"ERROR")</f>
        <v>914</v>
      </c>
      <c r="P38" s="114">
        <f t="shared" ref="P38:P64" si="7">IFERROR(O38/N38,"0%")</f>
        <v>0.56142506142506143</v>
      </c>
      <c r="Q38" s="115">
        <f>IFERROR(VLOOKUP($B38,MMWR_TRAD_AGG_STATE_COMP[],Q$1,0),"ERROR")</f>
        <v>16</v>
      </c>
      <c r="R38" s="115">
        <f>IFERROR(VLOOKUP($B38,MMWR_TRAD_AGG_STATE_COMP[],R$1,0),"ERROR")</f>
        <v>59</v>
      </c>
      <c r="S38" s="115">
        <f>IFERROR(VLOOKUP($B38,MMWR_APP_STATE_COMP[],S$1,0),"ERROR")</f>
        <v>6441</v>
      </c>
      <c r="T38" s="28"/>
    </row>
    <row r="39" spans="1:20" s="123" customFormat="1" x14ac:dyDescent="0.2">
      <c r="A39" s="28"/>
      <c r="B39" s="127" t="s">
        <v>391</v>
      </c>
      <c r="C39" s="109">
        <f>IFERROR(VLOOKUP($B39,MMWR_TRAD_AGG_STATE_COMP[],C$1,0),"ERROR")</f>
        <v>5487</v>
      </c>
      <c r="D39" s="110">
        <f>IFERROR(VLOOKUP($B39,MMWR_TRAD_AGG_STATE_COMP[],D$1,0),"ERROR")</f>
        <v>445.31601968289999</v>
      </c>
      <c r="E39" s="111">
        <f>IFERROR(VLOOKUP($B39,MMWR_TRAD_AGG_STATE_COMP[],E$1,0),"ERROR")</f>
        <v>5955</v>
      </c>
      <c r="F39" s="112">
        <f>IFERROR(VLOOKUP($B39,MMWR_TRAD_AGG_STATE_COMP[],F$1,0),"ERROR")</f>
        <v>1394</v>
      </c>
      <c r="G39" s="113">
        <f t="shared" si="4"/>
        <v>0.23408900083963055</v>
      </c>
      <c r="H39" s="111">
        <f>IFERROR(VLOOKUP($B39,MMWR_TRAD_AGG_STATE_COMP[],H$1,0),"ERROR")</f>
        <v>7904</v>
      </c>
      <c r="I39" s="112">
        <f>IFERROR(VLOOKUP($B39,MMWR_TRAD_AGG_STATE_COMP[],I$1,0),"ERROR")</f>
        <v>5343</v>
      </c>
      <c r="J39" s="114">
        <f t="shared" si="5"/>
        <v>0.67598684210526316</v>
      </c>
      <c r="K39" s="111">
        <f>IFERROR(VLOOKUP($B39,MMWR_TRAD_AGG_STATE_COMP[],K$1,0),"ERROR")</f>
        <v>1818</v>
      </c>
      <c r="L39" s="112">
        <f>IFERROR(VLOOKUP($B39,MMWR_TRAD_AGG_STATE_COMP[],L$1,0),"ERROR")</f>
        <v>1259</v>
      </c>
      <c r="M39" s="114">
        <f t="shared" si="6"/>
        <v>0.69251925192519248</v>
      </c>
      <c r="N39" s="111">
        <f>IFERROR(VLOOKUP($B39,MMWR_TRAD_AGG_STATE_COMP[],N$1,0),"ERROR")</f>
        <v>2180</v>
      </c>
      <c r="O39" s="112">
        <f>IFERROR(VLOOKUP($B39,MMWR_TRAD_AGG_STATE_COMP[],O$1,0),"ERROR")</f>
        <v>1324</v>
      </c>
      <c r="P39" s="114">
        <f t="shared" si="7"/>
        <v>0.60733944954128438</v>
      </c>
      <c r="Q39" s="115">
        <f>IFERROR(VLOOKUP($B39,MMWR_TRAD_AGG_STATE_COMP[],Q$1,0),"ERROR")</f>
        <v>262</v>
      </c>
      <c r="R39" s="115">
        <f>IFERROR(VLOOKUP($B39,MMWR_TRAD_AGG_STATE_COMP[],R$1,0),"ERROR")</f>
        <v>246</v>
      </c>
      <c r="S39" s="115">
        <f>IFERROR(VLOOKUP($B39,MMWR_APP_STATE_COMP[],S$1,0),"ERROR")</f>
        <v>5902</v>
      </c>
      <c r="T39" s="28"/>
    </row>
    <row r="40" spans="1:20" s="123" customFormat="1" x14ac:dyDescent="0.2">
      <c r="A40" s="28"/>
      <c r="B40" s="127" t="s">
        <v>393</v>
      </c>
      <c r="C40" s="109">
        <f>IFERROR(VLOOKUP($B40,MMWR_TRAD_AGG_STATE_COMP[],C$1,0),"ERROR")</f>
        <v>4857</v>
      </c>
      <c r="D40" s="110">
        <f>IFERROR(VLOOKUP($B40,MMWR_TRAD_AGG_STATE_COMP[],D$1,0),"ERROR")</f>
        <v>410.91126209589999</v>
      </c>
      <c r="E40" s="111">
        <f>IFERROR(VLOOKUP($B40,MMWR_TRAD_AGG_STATE_COMP[],E$1,0),"ERROR")</f>
        <v>4321</v>
      </c>
      <c r="F40" s="112">
        <f>IFERROR(VLOOKUP($B40,MMWR_TRAD_AGG_STATE_COMP[],F$1,0),"ERROR")</f>
        <v>1299</v>
      </c>
      <c r="G40" s="113">
        <f t="shared" si="4"/>
        <v>0.30062485535755612</v>
      </c>
      <c r="H40" s="111">
        <f>IFERROR(VLOOKUP($B40,MMWR_TRAD_AGG_STATE_COMP[],H$1,0),"ERROR")</f>
        <v>7152</v>
      </c>
      <c r="I40" s="112">
        <f>IFERROR(VLOOKUP($B40,MMWR_TRAD_AGG_STATE_COMP[],I$1,0),"ERROR")</f>
        <v>5074</v>
      </c>
      <c r="J40" s="114">
        <f t="shared" si="5"/>
        <v>0.70945190156599558</v>
      </c>
      <c r="K40" s="111">
        <f>IFERROR(VLOOKUP($B40,MMWR_TRAD_AGG_STATE_COMP[],K$1,0),"ERROR")</f>
        <v>1406</v>
      </c>
      <c r="L40" s="112">
        <f>IFERROR(VLOOKUP($B40,MMWR_TRAD_AGG_STATE_COMP[],L$1,0),"ERROR")</f>
        <v>997</v>
      </c>
      <c r="M40" s="114">
        <f t="shared" si="6"/>
        <v>0.70910384068278809</v>
      </c>
      <c r="N40" s="111">
        <f>IFERROR(VLOOKUP($B40,MMWR_TRAD_AGG_STATE_COMP[],N$1,0),"ERROR")</f>
        <v>2817</v>
      </c>
      <c r="O40" s="112">
        <f>IFERROR(VLOOKUP($B40,MMWR_TRAD_AGG_STATE_COMP[],O$1,0),"ERROR")</f>
        <v>2090</v>
      </c>
      <c r="P40" s="114">
        <f t="shared" si="7"/>
        <v>0.74192403265885698</v>
      </c>
      <c r="Q40" s="115">
        <f>IFERROR(VLOOKUP($B40,MMWR_TRAD_AGG_STATE_COMP[],Q$1,0),"ERROR")</f>
        <v>293</v>
      </c>
      <c r="R40" s="115">
        <f>IFERROR(VLOOKUP($B40,MMWR_TRAD_AGG_STATE_COMP[],R$1,0),"ERROR")</f>
        <v>152</v>
      </c>
      <c r="S40" s="115">
        <f>IFERROR(VLOOKUP($B40,MMWR_APP_STATE_COMP[],S$1,0),"ERROR")</f>
        <v>4909</v>
      </c>
      <c r="T40" s="28"/>
    </row>
    <row r="41" spans="1:20" s="123" customFormat="1" x14ac:dyDescent="0.2">
      <c r="A41" s="28"/>
      <c r="B41" s="127" t="s">
        <v>422</v>
      </c>
      <c r="C41" s="109">
        <f>IFERROR(VLOOKUP($B41,MMWR_TRAD_AGG_STATE_COMP[],C$1,0),"ERROR")</f>
        <v>857</v>
      </c>
      <c r="D41" s="110">
        <f>IFERROR(VLOOKUP($B41,MMWR_TRAD_AGG_STATE_COMP[],D$1,0),"ERROR")</f>
        <v>269.79463243869998</v>
      </c>
      <c r="E41" s="111">
        <f>IFERROR(VLOOKUP($B41,MMWR_TRAD_AGG_STATE_COMP[],E$1,0),"ERROR")</f>
        <v>724</v>
      </c>
      <c r="F41" s="112">
        <f>IFERROR(VLOOKUP($B41,MMWR_TRAD_AGG_STATE_COMP[],F$1,0),"ERROR")</f>
        <v>72</v>
      </c>
      <c r="G41" s="113">
        <f t="shared" si="4"/>
        <v>9.9447513812154692E-2</v>
      </c>
      <c r="H41" s="111">
        <f>IFERROR(VLOOKUP($B41,MMWR_TRAD_AGG_STATE_COMP[],H$1,0),"ERROR")</f>
        <v>1312</v>
      </c>
      <c r="I41" s="112">
        <f>IFERROR(VLOOKUP($B41,MMWR_TRAD_AGG_STATE_COMP[],I$1,0),"ERROR")</f>
        <v>678</v>
      </c>
      <c r="J41" s="114">
        <f t="shared" si="5"/>
        <v>0.51676829268292679</v>
      </c>
      <c r="K41" s="111">
        <f>IFERROR(VLOOKUP($B41,MMWR_TRAD_AGG_STATE_COMP[],K$1,0),"ERROR")</f>
        <v>473</v>
      </c>
      <c r="L41" s="112">
        <f>IFERROR(VLOOKUP($B41,MMWR_TRAD_AGG_STATE_COMP[],L$1,0),"ERROR")</f>
        <v>223</v>
      </c>
      <c r="M41" s="114">
        <f t="shared" si="6"/>
        <v>0.47145877378435519</v>
      </c>
      <c r="N41" s="111">
        <f>IFERROR(VLOOKUP($B41,MMWR_TRAD_AGG_STATE_COMP[],N$1,0),"ERROR")</f>
        <v>327</v>
      </c>
      <c r="O41" s="112">
        <f>IFERROR(VLOOKUP($B41,MMWR_TRAD_AGG_STATE_COMP[],O$1,0),"ERROR")</f>
        <v>155</v>
      </c>
      <c r="P41" s="114">
        <f t="shared" si="7"/>
        <v>0.47400611620795108</v>
      </c>
      <c r="Q41" s="115">
        <f>IFERROR(VLOOKUP($B41,MMWR_TRAD_AGG_STATE_COMP[],Q$1,0),"ERROR")</f>
        <v>2</v>
      </c>
      <c r="R41" s="115">
        <f>IFERROR(VLOOKUP($B41,MMWR_TRAD_AGG_STATE_COMP[],R$1,0),"ERROR")</f>
        <v>7</v>
      </c>
      <c r="S41" s="115">
        <f>IFERROR(VLOOKUP($B41,MMWR_APP_STATE_COMP[],S$1,0),"ERROR")</f>
        <v>425</v>
      </c>
      <c r="T41" s="28"/>
    </row>
    <row r="42" spans="1:20" s="123" customFormat="1" x14ac:dyDescent="0.2">
      <c r="A42" s="28"/>
      <c r="B42" s="127" t="s">
        <v>416</v>
      </c>
      <c r="C42" s="109">
        <f>IFERROR(VLOOKUP($B42,MMWR_TRAD_AGG_STATE_COMP[],C$1,0),"ERROR")</f>
        <v>2971</v>
      </c>
      <c r="D42" s="110">
        <f>IFERROR(VLOOKUP($B42,MMWR_TRAD_AGG_STATE_COMP[],D$1,0),"ERROR")</f>
        <v>349.73207674179997</v>
      </c>
      <c r="E42" s="111">
        <f>IFERROR(VLOOKUP($B42,MMWR_TRAD_AGG_STATE_COMP[],E$1,0),"ERROR")</f>
        <v>6235</v>
      </c>
      <c r="F42" s="112">
        <f>IFERROR(VLOOKUP($B42,MMWR_TRAD_AGG_STATE_COMP[],F$1,0),"ERROR")</f>
        <v>924</v>
      </c>
      <c r="G42" s="113">
        <f t="shared" si="4"/>
        <v>0.14819566960705693</v>
      </c>
      <c r="H42" s="111">
        <f>IFERROR(VLOOKUP($B42,MMWR_TRAD_AGG_STATE_COMP[],H$1,0),"ERROR")</f>
        <v>4447</v>
      </c>
      <c r="I42" s="112">
        <f>IFERROR(VLOOKUP($B42,MMWR_TRAD_AGG_STATE_COMP[],I$1,0),"ERROR")</f>
        <v>2372</v>
      </c>
      <c r="J42" s="114">
        <f t="shared" si="5"/>
        <v>0.53339329885315945</v>
      </c>
      <c r="K42" s="111">
        <f>IFERROR(VLOOKUP($B42,MMWR_TRAD_AGG_STATE_COMP[],K$1,0),"ERROR")</f>
        <v>1459</v>
      </c>
      <c r="L42" s="112">
        <f>IFERROR(VLOOKUP($B42,MMWR_TRAD_AGG_STATE_COMP[],L$1,0),"ERROR")</f>
        <v>671</v>
      </c>
      <c r="M42" s="114">
        <f t="shared" si="6"/>
        <v>0.45990404386566142</v>
      </c>
      <c r="N42" s="111">
        <f>IFERROR(VLOOKUP($B42,MMWR_TRAD_AGG_STATE_COMP[],N$1,0),"ERROR")</f>
        <v>2481</v>
      </c>
      <c r="O42" s="112">
        <f>IFERROR(VLOOKUP($B42,MMWR_TRAD_AGG_STATE_COMP[],O$1,0),"ERROR")</f>
        <v>1189</v>
      </c>
      <c r="P42" s="114">
        <f t="shared" si="7"/>
        <v>0.47924224103184199</v>
      </c>
      <c r="Q42" s="115">
        <f>IFERROR(VLOOKUP($B42,MMWR_TRAD_AGG_STATE_COMP[],Q$1,0),"ERROR")</f>
        <v>7</v>
      </c>
      <c r="R42" s="115">
        <f>IFERROR(VLOOKUP($B42,MMWR_TRAD_AGG_STATE_COMP[],R$1,0),"ERROR")</f>
        <v>67</v>
      </c>
      <c r="S42" s="115">
        <f>IFERROR(VLOOKUP($B42,MMWR_APP_STATE_COMP[],S$1,0),"ERROR")</f>
        <v>4844</v>
      </c>
      <c r="T42" s="28"/>
    </row>
    <row r="43" spans="1:20" s="123" customFormat="1" x14ac:dyDescent="0.2">
      <c r="A43" s="28"/>
      <c r="B43" s="127" t="s">
        <v>414</v>
      </c>
      <c r="C43" s="109">
        <f>IFERROR(VLOOKUP($B43,MMWR_TRAD_AGG_STATE_COMP[],C$1,0),"ERROR")</f>
        <v>30033</v>
      </c>
      <c r="D43" s="110">
        <f>IFERROR(VLOOKUP($B43,MMWR_TRAD_AGG_STATE_COMP[],D$1,0),"ERROR")</f>
        <v>360.382679053</v>
      </c>
      <c r="E43" s="111">
        <f>IFERROR(VLOOKUP($B43,MMWR_TRAD_AGG_STATE_COMP[],E$1,0),"ERROR")</f>
        <v>35046</v>
      </c>
      <c r="F43" s="112">
        <f>IFERROR(VLOOKUP($B43,MMWR_TRAD_AGG_STATE_COMP[],F$1,0),"ERROR")</f>
        <v>7852</v>
      </c>
      <c r="G43" s="113">
        <f t="shared" si="4"/>
        <v>0.22404839353991896</v>
      </c>
      <c r="H43" s="111">
        <f>IFERROR(VLOOKUP($B43,MMWR_TRAD_AGG_STATE_COMP[],H$1,0),"ERROR")</f>
        <v>40837</v>
      </c>
      <c r="I43" s="112">
        <f>IFERROR(VLOOKUP($B43,MMWR_TRAD_AGG_STATE_COMP[],I$1,0),"ERROR")</f>
        <v>26584</v>
      </c>
      <c r="J43" s="114">
        <f t="shared" si="5"/>
        <v>0.6509782795014325</v>
      </c>
      <c r="K43" s="111">
        <f>IFERROR(VLOOKUP($B43,MMWR_TRAD_AGG_STATE_COMP[],K$1,0),"ERROR")</f>
        <v>8895</v>
      </c>
      <c r="L43" s="112">
        <f>IFERROR(VLOOKUP($B43,MMWR_TRAD_AGG_STATE_COMP[],L$1,0),"ERROR")</f>
        <v>5190</v>
      </c>
      <c r="M43" s="114">
        <f t="shared" si="6"/>
        <v>0.58347386172006743</v>
      </c>
      <c r="N43" s="111">
        <f>IFERROR(VLOOKUP($B43,MMWR_TRAD_AGG_STATE_COMP[],N$1,0),"ERROR")</f>
        <v>13801</v>
      </c>
      <c r="O43" s="112">
        <f>IFERROR(VLOOKUP($B43,MMWR_TRAD_AGG_STATE_COMP[],O$1,0),"ERROR")</f>
        <v>7320</v>
      </c>
      <c r="P43" s="114">
        <f t="shared" si="7"/>
        <v>0.53039634809071812</v>
      </c>
      <c r="Q43" s="115">
        <f>IFERROR(VLOOKUP($B43,MMWR_TRAD_AGG_STATE_COMP[],Q$1,0),"ERROR")</f>
        <v>31</v>
      </c>
      <c r="R43" s="115">
        <f>IFERROR(VLOOKUP($B43,MMWR_TRAD_AGG_STATE_COMP[],R$1,0),"ERROR")</f>
        <v>409</v>
      </c>
      <c r="S43" s="115">
        <f>IFERROR(VLOOKUP($B43,MMWR_APP_STATE_COMP[],S$1,0),"ERROR")</f>
        <v>41033</v>
      </c>
      <c r="T43" s="28"/>
    </row>
    <row r="44" spans="1:20" s="123" customFormat="1" x14ac:dyDescent="0.2">
      <c r="A44" s="28"/>
      <c r="B44" s="127" t="s">
        <v>410</v>
      </c>
      <c r="C44" s="109">
        <f>IFERROR(VLOOKUP($B44,MMWR_TRAD_AGG_STATE_COMP[],C$1,0),"ERROR")</f>
        <v>2022</v>
      </c>
      <c r="D44" s="110">
        <f>IFERROR(VLOOKUP($B44,MMWR_TRAD_AGG_STATE_COMP[],D$1,0),"ERROR")</f>
        <v>301.34322453020002</v>
      </c>
      <c r="E44" s="111">
        <f>IFERROR(VLOOKUP($B44,MMWR_TRAD_AGG_STATE_COMP[],E$1,0),"ERROR")</f>
        <v>2149</v>
      </c>
      <c r="F44" s="112">
        <f>IFERROR(VLOOKUP($B44,MMWR_TRAD_AGG_STATE_COMP[],F$1,0),"ERROR")</f>
        <v>546</v>
      </c>
      <c r="G44" s="113">
        <f t="shared" si="4"/>
        <v>0.25407166123778502</v>
      </c>
      <c r="H44" s="111">
        <f>IFERROR(VLOOKUP($B44,MMWR_TRAD_AGG_STATE_COMP[],H$1,0),"ERROR")</f>
        <v>2680</v>
      </c>
      <c r="I44" s="112">
        <f>IFERROR(VLOOKUP($B44,MMWR_TRAD_AGG_STATE_COMP[],I$1,0),"ERROR")</f>
        <v>1659</v>
      </c>
      <c r="J44" s="114">
        <f t="shared" si="5"/>
        <v>0.61902985074626871</v>
      </c>
      <c r="K44" s="111">
        <f>IFERROR(VLOOKUP($B44,MMWR_TRAD_AGG_STATE_COMP[],K$1,0),"ERROR")</f>
        <v>655</v>
      </c>
      <c r="L44" s="112">
        <f>IFERROR(VLOOKUP($B44,MMWR_TRAD_AGG_STATE_COMP[],L$1,0),"ERROR")</f>
        <v>341</v>
      </c>
      <c r="M44" s="114">
        <f t="shared" si="6"/>
        <v>0.52061068702290081</v>
      </c>
      <c r="N44" s="111">
        <f>IFERROR(VLOOKUP($B44,MMWR_TRAD_AGG_STATE_COMP[],N$1,0),"ERROR")</f>
        <v>398</v>
      </c>
      <c r="O44" s="112">
        <f>IFERROR(VLOOKUP($B44,MMWR_TRAD_AGG_STATE_COMP[],O$1,0),"ERROR")</f>
        <v>181</v>
      </c>
      <c r="P44" s="114">
        <f t="shared" si="7"/>
        <v>0.45477386934673369</v>
      </c>
      <c r="Q44" s="115">
        <f>IFERROR(VLOOKUP($B44,MMWR_TRAD_AGG_STATE_COMP[],Q$1,0),"ERROR")</f>
        <v>0</v>
      </c>
      <c r="R44" s="115">
        <f>IFERROR(VLOOKUP($B44,MMWR_TRAD_AGG_STATE_COMP[],R$1,0),"ERROR")</f>
        <v>1</v>
      </c>
      <c r="S44" s="115">
        <f>IFERROR(VLOOKUP($B44,MMWR_APP_STATE_COMP[],S$1,0),"ERROR")</f>
        <v>534</v>
      </c>
      <c r="T44" s="28"/>
    </row>
    <row r="45" spans="1:20" s="123" customFormat="1" x14ac:dyDescent="0.2">
      <c r="A45" s="28"/>
      <c r="B45" s="127" t="s">
        <v>425</v>
      </c>
      <c r="C45" s="109">
        <f>IFERROR(VLOOKUP($B45,MMWR_TRAD_AGG_STATE_COMP[],C$1,0),"ERROR")</f>
        <v>451</v>
      </c>
      <c r="D45" s="110">
        <f>IFERROR(VLOOKUP($B45,MMWR_TRAD_AGG_STATE_COMP[],D$1,0),"ERROR")</f>
        <v>331.79822616410002</v>
      </c>
      <c r="E45" s="111">
        <f>IFERROR(VLOOKUP($B45,MMWR_TRAD_AGG_STATE_COMP[],E$1,0),"ERROR")</f>
        <v>853</v>
      </c>
      <c r="F45" s="112">
        <f>IFERROR(VLOOKUP($B45,MMWR_TRAD_AGG_STATE_COMP[],F$1,0),"ERROR")</f>
        <v>112</v>
      </c>
      <c r="G45" s="113">
        <f t="shared" si="4"/>
        <v>0.13130128956623682</v>
      </c>
      <c r="H45" s="111">
        <f>IFERROR(VLOOKUP($B45,MMWR_TRAD_AGG_STATE_COMP[],H$1,0),"ERROR")</f>
        <v>803</v>
      </c>
      <c r="I45" s="112">
        <f>IFERROR(VLOOKUP($B45,MMWR_TRAD_AGG_STATE_COMP[],I$1,0),"ERROR")</f>
        <v>447</v>
      </c>
      <c r="J45" s="114">
        <f t="shared" si="5"/>
        <v>0.55666251556662516</v>
      </c>
      <c r="K45" s="111">
        <f>IFERROR(VLOOKUP($B45,MMWR_TRAD_AGG_STATE_COMP[],K$1,0),"ERROR")</f>
        <v>175</v>
      </c>
      <c r="L45" s="112">
        <f>IFERROR(VLOOKUP($B45,MMWR_TRAD_AGG_STATE_COMP[],L$1,0),"ERROR")</f>
        <v>94</v>
      </c>
      <c r="M45" s="114">
        <f t="shared" si="6"/>
        <v>0.53714285714285714</v>
      </c>
      <c r="N45" s="111">
        <f>IFERROR(VLOOKUP($B45,MMWR_TRAD_AGG_STATE_COMP[],N$1,0),"ERROR")</f>
        <v>165</v>
      </c>
      <c r="O45" s="112">
        <f>IFERROR(VLOOKUP($B45,MMWR_TRAD_AGG_STATE_COMP[],O$1,0),"ERROR")</f>
        <v>86</v>
      </c>
      <c r="P45" s="114">
        <f t="shared" si="7"/>
        <v>0.52121212121212124</v>
      </c>
      <c r="Q45" s="115">
        <f>IFERROR(VLOOKUP($B45,MMWR_TRAD_AGG_STATE_COMP[],Q$1,0),"ERROR")</f>
        <v>3</v>
      </c>
      <c r="R45" s="115">
        <f>IFERROR(VLOOKUP($B45,MMWR_TRAD_AGG_STATE_COMP[],R$1,0),"ERROR")</f>
        <v>2</v>
      </c>
      <c r="S45" s="115">
        <f>IFERROR(VLOOKUP($B45,MMWR_APP_STATE_COMP[],S$1,0),"ERROR")</f>
        <v>334</v>
      </c>
      <c r="T45" s="28"/>
    </row>
    <row r="46" spans="1:20" s="123" customFormat="1" x14ac:dyDescent="0.2">
      <c r="A46" s="28"/>
      <c r="B46" s="126" t="s">
        <v>408</v>
      </c>
      <c r="C46" s="102">
        <f>IFERROR(VLOOKUP($B46,MMWR_TRAD_AGG_ST_DISTRICT_COMP[],C$1,0),"ERROR")</f>
        <v>64521</v>
      </c>
      <c r="D46" s="103">
        <f>IFERROR(VLOOKUP($B46,MMWR_TRAD_AGG_ST_DISTRICT_COMP[],D$1,0),"ERROR")</f>
        <v>407.78904542710001</v>
      </c>
      <c r="E46" s="102">
        <f>IFERROR(VLOOKUP($B46,MMWR_TRAD_AGG_ST_DISTRICT_COMP[],E$1,0),"ERROR")</f>
        <v>58954</v>
      </c>
      <c r="F46" s="102">
        <f>IFERROR(VLOOKUP($B46,MMWR_TRAD_AGG_ST_DISTRICT_COMP[],F$1,0),"ERROR")</f>
        <v>12862</v>
      </c>
      <c r="G46" s="104">
        <f t="shared" si="4"/>
        <v>0.21817009872103674</v>
      </c>
      <c r="H46" s="102">
        <f>IFERROR(VLOOKUP($B46,MMWR_TRAD_AGG_ST_DISTRICT_COMP[],H$1,0),"ERROR")</f>
        <v>92811</v>
      </c>
      <c r="I46" s="102">
        <f>IFERROR(VLOOKUP($B46,MMWR_TRAD_AGG_ST_DISTRICT_COMP[],I$1,0),"ERROR")</f>
        <v>64231</v>
      </c>
      <c r="J46" s="105">
        <f t="shared" si="5"/>
        <v>0.69206236329745396</v>
      </c>
      <c r="K46" s="102">
        <f>IFERROR(VLOOKUP($B46,MMWR_TRAD_AGG_ST_DISTRICT_COMP[],K$1,0),"ERROR")</f>
        <v>22974</v>
      </c>
      <c r="L46" s="102">
        <f>IFERROR(VLOOKUP($B46,MMWR_TRAD_AGG_ST_DISTRICT_COMP[],L$1,0),"ERROR")</f>
        <v>15971</v>
      </c>
      <c r="M46" s="105">
        <f t="shared" si="6"/>
        <v>0.69517715678593195</v>
      </c>
      <c r="N46" s="102">
        <f>IFERROR(VLOOKUP($B46,MMWR_TRAD_AGG_ST_DISTRICT_COMP[],N$1,0),"ERROR")</f>
        <v>31755</v>
      </c>
      <c r="O46" s="102">
        <f>IFERROR(VLOOKUP($B46,MMWR_TRAD_AGG_ST_DISTRICT_COMP[],O$1,0),"ERROR")</f>
        <v>20335</v>
      </c>
      <c r="P46" s="105">
        <f t="shared" si="7"/>
        <v>0.64037159502440566</v>
      </c>
      <c r="Q46" s="102">
        <f>IFERROR(VLOOKUP($B46,MMWR_TRAD_AGG_ST_DISTRICT_COMP[],Q$1,0),"ERROR")</f>
        <v>102</v>
      </c>
      <c r="R46" s="106">
        <f>IFERROR(VLOOKUP($B46,MMWR_TRAD_AGG_ST_DISTRICT_COMP[],R$1,0),"ERROR")</f>
        <v>565</v>
      </c>
      <c r="S46" s="106">
        <f>SUM(S47:S55)</f>
        <v>44349</v>
      </c>
      <c r="T46" s="28"/>
    </row>
    <row r="47" spans="1:20" s="123" customFormat="1" x14ac:dyDescent="0.2">
      <c r="A47" s="28"/>
      <c r="B47" s="127" t="s">
        <v>428</v>
      </c>
      <c r="C47" s="109">
        <f>IFERROR(VLOOKUP($B47,MMWR_TRAD_AGG_STATE_COMP[],C$1,0),"ERROR")</f>
        <v>1972</v>
      </c>
      <c r="D47" s="110">
        <f>IFERROR(VLOOKUP($B47,MMWR_TRAD_AGG_STATE_COMP[],D$1,0),"ERROR")</f>
        <v>448.14046653140002</v>
      </c>
      <c r="E47" s="111">
        <f>IFERROR(VLOOKUP($B47,MMWR_TRAD_AGG_STATE_COMP[],E$1,0),"ERROR")</f>
        <v>1219</v>
      </c>
      <c r="F47" s="112">
        <f>IFERROR(VLOOKUP($B47,MMWR_TRAD_AGG_STATE_COMP[],F$1,0),"ERROR")</f>
        <v>295</v>
      </c>
      <c r="G47" s="113">
        <f t="shared" si="4"/>
        <v>0.24200164068908941</v>
      </c>
      <c r="H47" s="111">
        <f>IFERROR(VLOOKUP($B47,MMWR_TRAD_AGG_STATE_COMP[],H$1,0),"ERROR")</f>
        <v>2871</v>
      </c>
      <c r="I47" s="112">
        <f>IFERROR(VLOOKUP($B47,MMWR_TRAD_AGG_STATE_COMP[],I$1,0),"ERROR")</f>
        <v>2008</v>
      </c>
      <c r="J47" s="114">
        <f t="shared" si="5"/>
        <v>0.69940787182166497</v>
      </c>
      <c r="K47" s="111">
        <f>IFERROR(VLOOKUP($B47,MMWR_TRAD_AGG_STATE_COMP[],K$1,0),"ERROR")</f>
        <v>1895</v>
      </c>
      <c r="L47" s="112">
        <f>IFERROR(VLOOKUP($B47,MMWR_TRAD_AGG_STATE_COMP[],L$1,0),"ERROR")</f>
        <v>1557</v>
      </c>
      <c r="M47" s="114">
        <f t="shared" si="6"/>
        <v>0.82163588390501319</v>
      </c>
      <c r="N47" s="111">
        <f>IFERROR(VLOOKUP($B47,MMWR_TRAD_AGG_STATE_COMP[],N$1,0),"ERROR")</f>
        <v>646</v>
      </c>
      <c r="O47" s="112">
        <f>IFERROR(VLOOKUP($B47,MMWR_TRAD_AGG_STATE_COMP[],O$1,0),"ERROR")</f>
        <v>341</v>
      </c>
      <c r="P47" s="114">
        <f t="shared" si="7"/>
        <v>0.52786377708978327</v>
      </c>
      <c r="Q47" s="115">
        <f>IFERROR(VLOOKUP($B47,MMWR_TRAD_AGG_STATE_COMP[],Q$1,0),"ERROR")</f>
        <v>2</v>
      </c>
      <c r="R47" s="115">
        <f>IFERROR(VLOOKUP($B47,MMWR_TRAD_AGG_STATE_COMP[],R$1,0),"ERROR")</f>
        <v>2</v>
      </c>
      <c r="S47" s="115">
        <f>IFERROR(VLOOKUP($B47,MMWR_APP_STATE_COMP[],S$1,0),"ERROR")</f>
        <v>298</v>
      </c>
      <c r="T47" s="28"/>
    </row>
    <row r="48" spans="1:20" s="123" customFormat="1" x14ac:dyDescent="0.2">
      <c r="A48" s="28"/>
      <c r="B48" s="127" t="s">
        <v>430</v>
      </c>
      <c r="C48" s="109">
        <f>IFERROR(VLOOKUP($B48,MMWR_TRAD_AGG_STATE_COMP[],C$1,0),"ERROR")</f>
        <v>6246</v>
      </c>
      <c r="D48" s="110">
        <f>IFERROR(VLOOKUP($B48,MMWR_TRAD_AGG_STATE_COMP[],D$1,0),"ERROR")</f>
        <v>414.8142811399</v>
      </c>
      <c r="E48" s="111">
        <f>IFERROR(VLOOKUP($B48,MMWR_TRAD_AGG_STATE_COMP[],E$1,0),"ERROR")</f>
        <v>5991</v>
      </c>
      <c r="F48" s="112">
        <f>IFERROR(VLOOKUP($B48,MMWR_TRAD_AGG_STATE_COMP[],F$1,0),"ERROR")</f>
        <v>1368</v>
      </c>
      <c r="G48" s="113">
        <f t="shared" si="4"/>
        <v>0.22834251377065598</v>
      </c>
      <c r="H48" s="111">
        <f>IFERROR(VLOOKUP($B48,MMWR_TRAD_AGG_STATE_COMP[],H$1,0),"ERROR")</f>
        <v>8647</v>
      </c>
      <c r="I48" s="112">
        <f>IFERROR(VLOOKUP($B48,MMWR_TRAD_AGG_STATE_COMP[],I$1,0),"ERROR")</f>
        <v>5471</v>
      </c>
      <c r="J48" s="114">
        <f t="shared" si="5"/>
        <v>0.63270498438764888</v>
      </c>
      <c r="K48" s="111">
        <f>IFERROR(VLOOKUP($B48,MMWR_TRAD_AGG_STATE_COMP[],K$1,0),"ERROR")</f>
        <v>1506</v>
      </c>
      <c r="L48" s="112">
        <f>IFERROR(VLOOKUP($B48,MMWR_TRAD_AGG_STATE_COMP[],L$1,0),"ERROR")</f>
        <v>730</v>
      </c>
      <c r="M48" s="114">
        <f t="shared" si="6"/>
        <v>0.48472775564409032</v>
      </c>
      <c r="N48" s="111">
        <f>IFERROR(VLOOKUP($B48,MMWR_TRAD_AGG_STATE_COMP[],N$1,0),"ERROR")</f>
        <v>3707</v>
      </c>
      <c r="O48" s="112">
        <f>IFERROR(VLOOKUP($B48,MMWR_TRAD_AGG_STATE_COMP[],O$1,0),"ERROR")</f>
        <v>2740</v>
      </c>
      <c r="P48" s="114">
        <f t="shared" si="7"/>
        <v>0.73914216347450767</v>
      </c>
      <c r="Q48" s="115">
        <f>IFERROR(VLOOKUP($B48,MMWR_TRAD_AGG_STATE_COMP[],Q$1,0),"ERROR")</f>
        <v>5</v>
      </c>
      <c r="R48" s="115">
        <f>IFERROR(VLOOKUP($B48,MMWR_TRAD_AGG_STATE_COMP[],R$1,0),"ERROR")</f>
        <v>77</v>
      </c>
      <c r="S48" s="115">
        <f>IFERROR(VLOOKUP($B48,MMWR_APP_STATE_COMP[],S$1,0),"ERROR")</f>
        <v>7329</v>
      </c>
      <c r="T48" s="28"/>
    </row>
    <row r="49" spans="1:20" s="123" customFormat="1" x14ac:dyDescent="0.2">
      <c r="A49" s="28"/>
      <c r="B49" s="127" t="s">
        <v>411</v>
      </c>
      <c r="C49" s="109">
        <f>IFERROR(VLOOKUP($B49,MMWR_TRAD_AGG_STATE_COMP[],C$1,0),"ERROR")</f>
        <v>28658</v>
      </c>
      <c r="D49" s="110">
        <f>IFERROR(VLOOKUP($B49,MMWR_TRAD_AGG_STATE_COMP[],D$1,0),"ERROR")</f>
        <v>415.1258287389</v>
      </c>
      <c r="E49" s="111">
        <f>IFERROR(VLOOKUP($B49,MMWR_TRAD_AGG_STATE_COMP[],E$1,0),"ERROR")</f>
        <v>31042</v>
      </c>
      <c r="F49" s="112">
        <f>IFERROR(VLOOKUP($B49,MMWR_TRAD_AGG_STATE_COMP[],F$1,0),"ERROR")</f>
        <v>6770</v>
      </c>
      <c r="G49" s="113">
        <f t="shared" si="4"/>
        <v>0.21809161780813091</v>
      </c>
      <c r="H49" s="111">
        <f>IFERROR(VLOOKUP($B49,MMWR_TRAD_AGG_STATE_COMP[],H$1,0),"ERROR")</f>
        <v>41899</v>
      </c>
      <c r="I49" s="112">
        <f>IFERROR(VLOOKUP($B49,MMWR_TRAD_AGG_STATE_COMP[],I$1,0),"ERROR")</f>
        <v>29067</v>
      </c>
      <c r="J49" s="114">
        <f t="shared" si="5"/>
        <v>0.69373970739158453</v>
      </c>
      <c r="K49" s="111">
        <f>IFERROR(VLOOKUP($B49,MMWR_TRAD_AGG_STATE_COMP[],K$1,0),"ERROR")</f>
        <v>8990</v>
      </c>
      <c r="L49" s="112">
        <f>IFERROR(VLOOKUP($B49,MMWR_TRAD_AGG_STATE_COMP[],L$1,0),"ERROR")</f>
        <v>6265</v>
      </c>
      <c r="M49" s="114">
        <f t="shared" si="6"/>
        <v>0.6968854282536151</v>
      </c>
      <c r="N49" s="111">
        <f>IFERROR(VLOOKUP($B49,MMWR_TRAD_AGG_STATE_COMP[],N$1,0),"ERROR")</f>
        <v>15135</v>
      </c>
      <c r="O49" s="112">
        <f>IFERROR(VLOOKUP($B49,MMWR_TRAD_AGG_STATE_COMP[],O$1,0),"ERROR")</f>
        <v>9519</v>
      </c>
      <c r="P49" s="114">
        <f t="shared" si="7"/>
        <v>0.6289395441030724</v>
      </c>
      <c r="Q49" s="115">
        <f>IFERROR(VLOOKUP($B49,MMWR_TRAD_AGG_STATE_COMP[],Q$1,0),"ERROR")</f>
        <v>58</v>
      </c>
      <c r="R49" s="115">
        <f>IFERROR(VLOOKUP($B49,MMWR_TRAD_AGG_STATE_COMP[],R$1,0),"ERROR")</f>
        <v>137</v>
      </c>
      <c r="S49" s="115">
        <f>IFERROR(VLOOKUP($B49,MMWR_APP_STATE_COMP[],S$1,0),"ERROR")</f>
        <v>18529</v>
      </c>
      <c r="T49" s="28"/>
    </row>
    <row r="50" spans="1:20" s="123" customFormat="1" x14ac:dyDescent="0.2">
      <c r="A50" s="28"/>
      <c r="B50" s="127" t="s">
        <v>432</v>
      </c>
      <c r="C50" s="109">
        <f>IFERROR(VLOOKUP($B50,MMWR_TRAD_AGG_STATE_COMP[],C$1,0),"ERROR")</f>
        <v>1683</v>
      </c>
      <c r="D50" s="110">
        <f>IFERROR(VLOOKUP($B50,MMWR_TRAD_AGG_STATE_COMP[],D$1,0),"ERROR")</f>
        <v>309.76827094470002</v>
      </c>
      <c r="E50" s="111">
        <f>IFERROR(VLOOKUP($B50,MMWR_TRAD_AGG_STATE_COMP[],E$1,0),"ERROR")</f>
        <v>1895</v>
      </c>
      <c r="F50" s="112">
        <f>IFERROR(VLOOKUP($B50,MMWR_TRAD_AGG_STATE_COMP[],F$1,0),"ERROR")</f>
        <v>316</v>
      </c>
      <c r="G50" s="113">
        <f t="shared" si="4"/>
        <v>0.16675461741424802</v>
      </c>
      <c r="H50" s="111">
        <f>IFERROR(VLOOKUP($B50,MMWR_TRAD_AGG_STATE_COMP[],H$1,0),"ERROR")</f>
        <v>2360</v>
      </c>
      <c r="I50" s="112">
        <f>IFERROR(VLOOKUP($B50,MMWR_TRAD_AGG_STATE_COMP[],I$1,0),"ERROR")</f>
        <v>1564</v>
      </c>
      <c r="J50" s="114">
        <f t="shared" si="5"/>
        <v>0.66271186440677965</v>
      </c>
      <c r="K50" s="111">
        <f>IFERROR(VLOOKUP($B50,MMWR_TRAD_AGG_STATE_COMP[],K$1,0),"ERROR")</f>
        <v>1028</v>
      </c>
      <c r="L50" s="112">
        <f>IFERROR(VLOOKUP($B50,MMWR_TRAD_AGG_STATE_COMP[],L$1,0),"ERROR")</f>
        <v>533</v>
      </c>
      <c r="M50" s="114">
        <f t="shared" si="6"/>
        <v>0.51848249027237359</v>
      </c>
      <c r="N50" s="111">
        <f>IFERROR(VLOOKUP($B50,MMWR_TRAD_AGG_STATE_COMP[],N$1,0),"ERROR")</f>
        <v>514</v>
      </c>
      <c r="O50" s="112">
        <f>IFERROR(VLOOKUP($B50,MMWR_TRAD_AGG_STATE_COMP[],O$1,0),"ERROR")</f>
        <v>274</v>
      </c>
      <c r="P50" s="114">
        <f t="shared" si="7"/>
        <v>0.53307392996108949</v>
      </c>
      <c r="Q50" s="115">
        <f>IFERROR(VLOOKUP($B50,MMWR_TRAD_AGG_STATE_COMP[],Q$1,0),"ERROR")</f>
        <v>4</v>
      </c>
      <c r="R50" s="115">
        <f>IFERROR(VLOOKUP($B50,MMWR_TRAD_AGG_STATE_COMP[],R$1,0),"ERROR")</f>
        <v>4</v>
      </c>
      <c r="S50" s="115">
        <f>IFERROR(VLOOKUP($B50,MMWR_APP_STATE_COMP[],S$1,0),"ERROR")</f>
        <v>1180</v>
      </c>
      <c r="T50" s="28"/>
    </row>
    <row r="51" spans="1:20" s="123" customFormat="1" x14ac:dyDescent="0.2">
      <c r="A51" s="28"/>
      <c r="B51" s="127" t="s">
        <v>412</v>
      </c>
      <c r="C51" s="109">
        <f>IFERROR(VLOOKUP($B51,MMWR_TRAD_AGG_STATE_COMP[],C$1,0),"ERROR")</f>
        <v>706</v>
      </c>
      <c r="D51" s="110">
        <f>IFERROR(VLOOKUP($B51,MMWR_TRAD_AGG_STATE_COMP[],D$1,0),"ERROR")</f>
        <v>318.60764872520002</v>
      </c>
      <c r="E51" s="111">
        <f>IFERROR(VLOOKUP($B51,MMWR_TRAD_AGG_STATE_COMP[],E$1,0),"ERROR")</f>
        <v>1525</v>
      </c>
      <c r="F51" s="112">
        <f>IFERROR(VLOOKUP($B51,MMWR_TRAD_AGG_STATE_COMP[],F$1,0),"ERROR")</f>
        <v>320</v>
      </c>
      <c r="G51" s="113">
        <f t="shared" si="4"/>
        <v>0.20983606557377049</v>
      </c>
      <c r="H51" s="111">
        <f>IFERROR(VLOOKUP($B51,MMWR_TRAD_AGG_STATE_COMP[],H$1,0),"ERROR")</f>
        <v>1109</v>
      </c>
      <c r="I51" s="112">
        <f>IFERROR(VLOOKUP($B51,MMWR_TRAD_AGG_STATE_COMP[],I$1,0),"ERROR")</f>
        <v>621</v>
      </c>
      <c r="J51" s="114">
        <f t="shared" si="5"/>
        <v>0.55996393146979262</v>
      </c>
      <c r="K51" s="111">
        <f>IFERROR(VLOOKUP($B51,MMWR_TRAD_AGG_STATE_COMP[],K$1,0),"ERROR")</f>
        <v>379</v>
      </c>
      <c r="L51" s="112">
        <f>IFERROR(VLOOKUP($B51,MMWR_TRAD_AGG_STATE_COMP[],L$1,0),"ERROR")</f>
        <v>161</v>
      </c>
      <c r="M51" s="114">
        <f t="shared" si="6"/>
        <v>0.42480211081794195</v>
      </c>
      <c r="N51" s="111">
        <f>IFERROR(VLOOKUP($B51,MMWR_TRAD_AGG_STATE_COMP[],N$1,0),"ERROR")</f>
        <v>396</v>
      </c>
      <c r="O51" s="112">
        <f>IFERROR(VLOOKUP($B51,MMWR_TRAD_AGG_STATE_COMP[],O$1,0),"ERROR")</f>
        <v>230</v>
      </c>
      <c r="P51" s="114">
        <f t="shared" si="7"/>
        <v>0.58080808080808077</v>
      </c>
      <c r="Q51" s="115">
        <f>IFERROR(VLOOKUP($B51,MMWR_TRAD_AGG_STATE_COMP[],Q$1,0),"ERROR")</f>
        <v>1</v>
      </c>
      <c r="R51" s="115">
        <f>IFERROR(VLOOKUP($B51,MMWR_TRAD_AGG_STATE_COMP[],R$1,0),"ERROR")</f>
        <v>3</v>
      </c>
      <c r="S51" s="115">
        <f>IFERROR(VLOOKUP($B51,MMWR_APP_STATE_COMP[],S$1,0),"ERROR")</f>
        <v>1002</v>
      </c>
      <c r="T51" s="28"/>
    </row>
    <row r="52" spans="1:20" s="123" customFormat="1" x14ac:dyDescent="0.2">
      <c r="A52" s="28"/>
      <c r="B52" s="127" t="s">
        <v>417</v>
      </c>
      <c r="C52" s="109">
        <f>IFERROR(VLOOKUP($B52,MMWR_TRAD_AGG_STATE_COMP[],C$1,0),"ERROR")</f>
        <v>3678</v>
      </c>
      <c r="D52" s="110">
        <f>IFERROR(VLOOKUP($B52,MMWR_TRAD_AGG_STATE_COMP[],D$1,0),"ERROR")</f>
        <v>428.24986405660002</v>
      </c>
      <c r="E52" s="111">
        <f>IFERROR(VLOOKUP($B52,MMWR_TRAD_AGG_STATE_COMP[],E$1,0),"ERROR")</f>
        <v>3568</v>
      </c>
      <c r="F52" s="112">
        <f>IFERROR(VLOOKUP($B52,MMWR_TRAD_AGG_STATE_COMP[],F$1,0),"ERROR")</f>
        <v>815</v>
      </c>
      <c r="G52" s="113">
        <f t="shared" si="4"/>
        <v>0.22841928251121077</v>
      </c>
      <c r="H52" s="111">
        <f>IFERROR(VLOOKUP($B52,MMWR_TRAD_AGG_STATE_COMP[],H$1,0),"ERROR")</f>
        <v>4970</v>
      </c>
      <c r="I52" s="112">
        <f>IFERROR(VLOOKUP($B52,MMWR_TRAD_AGG_STATE_COMP[],I$1,0),"ERROR")</f>
        <v>3321</v>
      </c>
      <c r="J52" s="114">
        <f t="shared" si="5"/>
        <v>0.66820925553319921</v>
      </c>
      <c r="K52" s="111">
        <f>IFERROR(VLOOKUP($B52,MMWR_TRAD_AGG_STATE_COMP[],K$1,0),"ERROR")</f>
        <v>994</v>
      </c>
      <c r="L52" s="112">
        <f>IFERROR(VLOOKUP($B52,MMWR_TRAD_AGG_STATE_COMP[],L$1,0),"ERROR")</f>
        <v>586</v>
      </c>
      <c r="M52" s="114">
        <f t="shared" si="6"/>
        <v>0.58953722334004022</v>
      </c>
      <c r="N52" s="111">
        <f>IFERROR(VLOOKUP($B52,MMWR_TRAD_AGG_STATE_COMP[],N$1,0),"ERROR")</f>
        <v>1888</v>
      </c>
      <c r="O52" s="112">
        <f>IFERROR(VLOOKUP($B52,MMWR_TRAD_AGG_STATE_COMP[],O$1,0),"ERROR")</f>
        <v>1247</v>
      </c>
      <c r="P52" s="114">
        <f t="shared" si="7"/>
        <v>0.66048728813559321</v>
      </c>
      <c r="Q52" s="115">
        <f>IFERROR(VLOOKUP($B52,MMWR_TRAD_AGG_STATE_COMP[],Q$1,0),"ERROR")</f>
        <v>8</v>
      </c>
      <c r="R52" s="115">
        <f>IFERROR(VLOOKUP($B52,MMWR_TRAD_AGG_STATE_COMP[],R$1,0),"ERROR")</f>
        <v>114</v>
      </c>
      <c r="S52" s="115">
        <f>IFERROR(VLOOKUP($B52,MMWR_APP_STATE_COMP[],S$1,0),"ERROR")</f>
        <v>3112</v>
      </c>
      <c r="T52" s="28"/>
    </row>
    <row r="53" spans="1:20" s="123" customFormat="1" x14ac:dyDescent="0.2">
      <c r="A53" s="28"/>
      <c r="B53" s="127" t="s">
        <v>409</v>
      </c>
      <c r="C53" s="109">
        <f>IFERROR(VLOOKUP($B53,MMWR_TRAD_AGG_STATE_COMP[],C$1,0),"ERROR")</f>
        <v>1550</v>
      </c>
      <c r="D53" s="110">
        <f>IFERROR(VLOOKUP($B53,MMWR_TRAD_AGG_STATE_COMP[],D$1,0),"ERROR")</f>
        <v>230.72967741939999</v>
      </c>
      <c r="E53" s="111">
        <f>IFERROR(VLOOKUP($B53,MMWR_TRAD_AGG_STATE_COMP[],E$1,0),"ERROR")</f>
        <v>2779</v>
      </c>
      <c r="F53" s="112">
        <f>IFERROR(VLOOKUP($B53,MMWR_TRAD_AGG_STATE_COMP[],F$1,0),"ERROR")</f>
        <v>584</v>
      </c>
      <c r="G53" s="113">
        <f t="shared" si="4"/>
        <v>0.2101475350845628</v>
      </c>
      <c r="H53" s="111">
        <f>IFERROR(VLOOKUP($B53,MMWR_TRAD_AGG_STATE_COMP[],H$1,0),"ERROR")</f>
        <v>2352</v>
      </c>
      <c r="I53" s="112">
        <f>IFERROR(VLOOKUP($B53,MMWR_TRAD_AGG_STATE_COMP[],I$1,0),"ERROR")</f>
        <v>1050</v>
      </c>
      <c r="J53" s="114">
        <f t="shared" si="5"/>
        <v>0.44642857142857145</v>
      </c>
      <c r="K53" s="111">
        <f>IFERROR(VLOOKUP($B53,MMWR_TRAD_AGG_STATE_COMP[],K$1,0),"ERROR")</f>
        <v>528</v>
      </c>
      <c r="L53" s="112">
        <f>IFERROR(VLOOKUP($B53,MMWR_TRAD_AGG_STATE_COMP[],L$1,0),"ERROR")</f>
        <v>250</v>
      </c>
      <c r="M53" s="114">
        <f t="shared" si="6"/>
        <v>0.47348484848484851</v>
      </c>
      <c r="N53" s="111">
        <f>IFERROR(VLOOKUP($B53,MMWR_TRAD_AGG_STATE_COMP[],N$1,0),"ERROR")</f>
        <v>813</v>
      </c>
      <c r="O53" s="112">
        <f>IFERROR(VLOOKUP($B53,MMWR_TRAD_AGG_STATE_COMP[],O$1,0),"ERROR")</f>
        <v>476</v>
      </c>
      <c r="P53" s="114">
        <f t="shared" si="7"/>
        <v>0.58548585485854854</v>
      </c>
      <c r="Q53" s="115">
        <f>IFERROR(VLOOKUP($B53,MMWR_TRAD_AGG_STATE_COMP[],Q$1,0),"ERROR")</f>
        <v>5</v>
      </c>
      <c r="R53" s="115">
        <f>IFERROR(VLOOKUP($B53,MMWR_TRAD_AGG_STATE_COMP[],R$1,0),"ERROR")</f>
        <v>10</v>
      </c>
      <c r="S53" s="115">
        <f>IFERROR(VLOOKUP($B53,MMWR_APP_STATE_COMP[],S$1,0),"ERROR")</f>
        <v>1943</v>
      </c>
      <c r="T53" s="28"/>
    </row>
    <row r="54" spans="1:20" s="123" customFormat="1" x14ac:dyDescent="0.2">
      <c r="A54" s="28"/>
      <c r="B54" s="127" t="s">
        <v>413</v>
      </c>
      <c r="C54" s="109">
        <f>IFERROR(VLOOKUP($B54,MMWR_TRAD_AGG_STATE_COMP[],C$1,0),"ERROR")</f>
        <v>7803</v>
      </c>
      <c r="D54" s="110">
        <f>IFERROR(VLOOKUP($B54,MMWR_TRAD_AGG_STATE_COMP[],D$1,0),"ERROR")</f>
        <v>441.477124183</v>
      </c>
      <c r="E54" s="111">
        <f>IFERROR(VLOOKUP($B54,MMWR_TRAD_AGG_STATE_COMP[],E$1,0),"ERROR")</f>
        <v>4658</v>
      </c>
      <c r="F54" s="112">
        <f>IFERROR(VLOOKUP($B54,MMWR_TRAD_AGG_STATE_COMP[],F$1,0),"ERROR")</f>
        <v>1206</v>
      </c>
      <c r="G54" s="113">
        <f t="shared" si="4"/>
        <v>0.2589094031773293</v>
      </c>
      <c r="H54" s="111">
        <f>IFERROR(VLOOKUP($B54,MMWR_TRAD_AGG_STATE_COMP[],H$1,0),"ERROR")</f>
        <v>10455</v>
      </c>
      <c r="I54" s="112">
        <f>IFERROR(VLOOKUP($B54,MMWR_TRAD_AGG_STATE_COMP[],I$1,0),"ERROR")</f>
        <v>7834</v>
      </c>
      <c r="J54" s="114">
        <f t="shared" si="5"/>
        <v>0.74930655188904827</v>
      </c>
      <c r="K54" s="111">
        <f>IFERROR(VLOOKUP($B54,MMWR_TRAD_AGG_STATE_COMP[],K$1,0),"ERROR")</f>
        <v>3140</v>
      </c>
      <c r="L54" s="112">
        <f>IFERROR(VLOOKUP($B54,MMWR_TRAD_AGG_STATE_COMP[],L$1,0),"ERROR")</f>
        <v>2625</v>
      </c>
      <c r="M54" s="114">
        <f t="shared" si="6"/>
        <v>0.8359872611464968</v>
      </c>
      <c r="N54" s="111">
        <f>IFERROR(VLOOKUP($B54,MMWR_TRAD_AGG_STATE_COMP[],N$1,0),"ERROR")</f>
        <v>2688</v>
      </c>
      <c r="O54" s="112">
        <f>IFERROR(VLOOKUP($B54,MMWR_TRAD_AGG_STATE_COMP[],O$1,0),"ERROR")</f>
        <v>1469</v>
      </c>
      <c r="P54" s="114">
        <f t="shared" si="7"/>
        <v>0.54650297619047616</v>
      </c>
      <c r="Q54" s="115">
        <f>IFERROR(VLOOKUP($B54,MMWR_TRAD_AGG_STATE_COMP[],Q$1,0),"ERROR")</f>
        <v>8</v>
      </c>
      <c r="R54" s="115">
        <f>IFERROR(VLOOKUP($B54,MMWR_TRAD_AGG_STATE_COMP[],R$1,0),"ERROR")</f>
        <v>78</v>
      </c>
      <c r="S54" s="115">
        <f>IFERROR(VLOOKUP($B54,MMWR_APP_STATE_COMP[],S$1,0),"ERROR")</f>
        <v>5539</v>
      </c>
      <c r="T54" s="28"/>
    </row>
    <row r="55" spans="1:20" s="123" customFormat="1" x14ac:dyDescent="0.2">
      <c r="A55" s="28"/>
      <c r="B55" s="127" t="s">
        <v>83</v>
      </c>
      <c r="C55" s="109">
        <f>IFERROR(VLOOKUP($B55,MMWR_TRAD_AGG_STATE_COMP[],C$1,0),"ERROR")</f>
        <v>12225</v>
      </c>
      <c r="D55" s="110">
        <f>IFERROR(VLOOKUP($B55,MMWR_TRAD_AGG_STATE_COMP[],D$1,0),"ERROR")</f>
        <v>393.92728016360002</v>
      </c>
      <c r="E55" s="111">
        <f>IFERROR(VLOOKUP($B55,MMWR_TRAD_AGG_STATE_COMP[],E$1,0),"ERROR")</f>
        <v>6277</v>
      </c>
      <c r="F55" s="112">
        <f>IFERROR(VLOOKUP($B55,MMWR_TRAD_AGG_STATE_COMP[],F$1,0),"ERROR")</f>
        <v>1188</v>
      </c>
      <c r="G55" s="113">
        <f t="shared" si="4"/>
        <v>0.18926238649036164</v>
      </c>
      <c r="H55" s="111">
        <f>IFERROR(VLOOKUP($B55,MMWR_TRAD_AGG_STATE_COMP[],H$1,0),"ERROR")</f>
        <v>18148</v>
      </c>
      <c r="I55" s="112">
        <f>IFERROR(VLOOKUP($B55,MMWR_TRAD_AGG_STATE_COMP[],I$1,0),"ERROR")</f>
        <v>13295</v>
      </c>
      <c r="J55" s="114">
        <f t="shared" si="5"/>
        <v>0.73258761296010577</v>
      </c>
      <c r="K55" s="111">
        <f>IFERROR(VLOOKUP($B55,MMWR_TRAD_AGG_STATE_COMP[],K$1,0),"ERROR")</f>
        <v>4514</v>
      </c>
      <c r="L55" s="112">
        <f>IFERROR(VLOOKUP($B55,MMWR_TRAD_AGG_STATE_COMP[],L$1,0),"ERROR")</f>
        <v>3264</v>
      </c>
      <c r="M55" s="114">
        <f t="shared" si="6"/>
        <v>0.72308373947718207</v>
      </c>
      <c r="N55" s="111">
        <f>IFERROR(VLOOKUP($B55,MMWR_TRAD_AGG_STATE_COMP[],N$1,0),"ERROR")</f>
        <v>5968</v>
      </c>
      <c r="O55" s="112">
        <f>IFERROR(VLOOKUP($B55,MMWR_TRAD_AGG_STATE_COMP[],O$1,0),"ERROR")</f>
        <v>4039</v>
      </c>
      <c r="P55" s="114">
        <f t="shared" si="7"/>
        <v>0.67677613941018766</v>
      </c>
      <c r="Q55" s="115">
        <f>IFERROR(VLOOKUP($B55,MMWR_TRAD_AGG_STATE_COMP[],Q$1,0),"ERROR")</f>
        <v>11</v>
      </c>
      <c r="R55" s="115">
        <f>IFERROR(VLOOKUP($B55,MMWR_TRAD_AGG_STATE_COMP[],R$1,0),"ERROR")</f>
        <v>140</v>
      </c>
      <c r="S55" s="115">
        <f>IFERROR(VLOOKUP($B55,MMWR_APP_STATE_COMP[],S$1,0),"ERROR")</f>
        <v>5417</v>
      </c>
      <c r="T55" s="28"/>
    </row>
    <row r="56" spans="1:20" s="123" customFormat="1" x14ac:dyDescent="0.2">
      <c r="A56" s="28"/>
      <c r="B56" s="126" t="s">
        <v>384</v>
      </c>
      <c r="C56" s="102">
        <f>IFERROR(VLOOKUP($B56,MMWR_TRAD_AGG_ST_DISTRICT_COMP[],C$1,0),"ERROR")</f>
        <v>76321</v>
      </c>
      <c r="D56" s="103">
        <f>IFERROR(VLOOKUP($B56,MMWR_TRAD_AGG_ST_DISTRICT_COMP[],D$1,0),"ERROR")</f>
        <v>364.95157296159999</v>
      </c>
      <c r="E56" s="102">
        <f>IFERROR(VLOOKUP($B56,MMWR_TRAD_AGG_ST_DISTRICT_COMP[],E$1,0),"ERROR")</f>
        <v>74893</v>
      </c>
      <c r="F56" s="102">
        <f>IFERROR(VLOOKUP($B56,MMWR_TRAD_AGG_ST_DISTRICT_COMP[],F$1,0),"ERROR")</f>
        <v>18981</v>
      </c>
      <c r="G56" s="104">
        <f t="shared" si="4"/>
        <v>0.25344157664935307</v>
      </c>
      <c r="H56" s="102">
        <f>IFERROR(VLOOKUP($B56,MMWR_TRAD_AGG_ST_DISTRICT_COMP[],H$1,0),"ERROR")</f>
        <v>110538</v>
      </c>
      <c r="I56" s="102">
        <f>IFERROR(VLOOKUP($B56,MMWR_TRAD_AGG_ST_DISTRICT_COMP[],I$1,0),"ERROR")</f>
        <v>73200</v>
      </c>
      <c r="J56" s="105">
        <f t="shared" si="5"/>
        <v>0.66221570862508816</v>
      </c>
      <c r="K56" s="102">
        <f>IFERROR(VLOOKUP($B56,MMWR_TRAD_AGG_ST_DISTRICT_COMP[],K$1,0),"ERROR")</f>
        <v>30365</v>
      </c>
      <c r="L56" s="102">
        <f>IFERROR(VLOOKUP($B56,MMWR_TRAD_AGG_ST_DISTRICT_COMP[],L$1,0),"ERROR")</f>
        <v>20368</v>
      </c>
      <c r="M56" s="105">
        <f t="shared" si="6"/>
        <v>0.67077227070640544</v>
      </c>
      <c r="N56" s="102">
        <f>IFERROR(VLOOKUP($B56,MMWR_TRAD_AGG_ST_DISTRICT_COMP[],N$1,0),"ERROR")</f>
        <v>41974</v>
      </c>
      <c r="O56" s="102">
        <f>IFERROR(VLOOKUP($B56,MMWR_TRAD_AGG_ST_DISTRICT_COMP[],O$1,0),"ERROR")</f>
        <v>27664</v>
      </c>
      <c r="P56" s="105">
        <f t="shared" si="7"/>
        <v>0.65907466526897607</v>
      </c>
      <c r="Q56" s="102">
        <f>IFERROR(VLOOKUP($B56,MMWR_TRAD_AGG_ST_DISTRICT_COMP[],Q$1,0),"ERROR")</f>
        <v>5540</v>
      </c>
      <c r="R56" s="106">
        <f>IFERROR(VLOOKUP($B56,MMWR_TRAD_AGG_ST_DISTRICT_COMP[],R$1,0),"ERROR")</f>
        <v>1132</v>
      </c>
      <c r="S56" s="106">
        <f>SUM(S57:S63)</f>
        <v>89552</v>
      </c>
      <c r="T56" s="28"/>
    </row>
    <row r="57" spans="1:20" s="123" customFormat="1" x14ac:dyDescent="0.2">
      <c r="A57" s="28"/>
      <c r="B57" s="127" t="s">
        <v>392</v>
      </c>
      <c r="C57" s="109">
        <f>IFERROR(VLOOKUP($B57,MMWR_TRAD_AGG_STATE_COMP[],C$1,0),"ERROR")</f>
        <v>13416</v>
      </c>
      <c r="D57" s="110">
        <f>IFERROR(VLOOKUP($B57,MMWR_TRAD_AGG_STATE_COMP[],D$1,0),"ERROR")</f>
        <v>394.51662194390002</v>
      </c>
      <c r="E57" s="111">
        <f>IFERROR(VLOOKUP($B57,MMWR_TRAD_AGG_STATE_COMP[],E$1,0),"ERROR")</f>
        <v>7565</v>
      </c>
      <c r="F57" s="112">
        <f>IFERROR(VLOOKUP($B57,MMWR_TRAD_AGG_STATE_COMP[],F$1,0),"ERROR")</f>
        <v>1680</v>
      </c>
      <c r="G57" s="113">
        <f t="shared" si="4"/>
        <v>0.22207534699272968</v>
      </c>
      <c r="H57" s="111">
        <f>IFERROR(VLOOKUP($B57,MMWR_TRAD_AGG_STATE_COMP[],H$1,0),"ERROR")</f>
        <v>17226</v>
      </c>
      <c r="I57" s="112">
        <f>IFERROR(VLOOKUP($B57,MMWR_TRAD_AGG_STATE_COMP[],I$1,0),"ERROR")</f>
        <v>11722</v>
      </c>
      <c r="J57" s="114">
        <f t="shared" si="5"/>
        <v>0.68048299082781838</v>
      </c>
      <c r="K57" s="111">
        <f>IFERROR(VLOOKUP($B57,MMWR_TRAD_AGG_STATE_COMP[],K$1,0),"ERROR")</f>
        <v>5127</v>
      </c>
      <c r="L57" s="112">
        <f>IFERROR(VLOOKUP($B57,MMWR_TRAD_AGG_STATE_COMP[],L$1,0),"ERROR")</f>
        <v>3891</v>
      </c>
      <c r="M57" s="114">
        <f t="shared" si="6"/>
        <v>0.75892334698654185</v>
      </c>
      <c r="N57" s="111">
        <f>IFERROR(VLOOKUP($B57,MMWR_TRAD_AGG_STATE_COMP[],N$1,0),"ERROR")</f>
        <v>3493</v>
      </c>
      <c r="O57" s="112">
        <f>IFERROR(VLOOKUP($B57,MMWR_TRAD_AGG_STATE_COMP[],O$1,0),"ERROR")</f>
        <v>2169</v>
      </c>
      <c r="P57" s="114">
        <f t="shared" si="7"/>
        <v>0.62095619811050673</v>
      </c>
      <c r="Q57" s="115">
        <f>IFERROR(VLOOKUP($B57,MMWR_TRAD_AGG_STATE_COMP[],Q$1,0),"ERROR")</f>
        <v>396</v>
      </c>
      <c r="R57" s="115">
        <f>IFERROR(VLOOKUP($B57,MMWR_TRAD_AGG_STATE_COMP[],R$1,0),"ERROR")</f>
        <v>377</v>
      </c>
      <c r="S57" s="115">
        <f>IFERROR(VLOOKUP($B57,MMWR_APP_STATE_COMP[],S$1,0),"ERROR")</f>
        <v>10731</v>
      </c>
      <c r="T57" s="28"/>
    </row>
    <row r="58" spans="1:20" s="123" customFormat="1" x14ac:dyDescent="0.2">
      <c r="A58" s="28"/>
      <c r="B58" s="127" t="s">
        <v>429</v>
      </c>
      <c r="C58" s="109">
        <f>IFERROR(VLOOKUP($B58,MMWR_TRAD_AGG_STATE_COMP[],C$1,0),"ERROR")</f>
        <v>21082</v>
      </c>
      <c r="D58" s="110">
        <f>IFERROR(VLOOKUP($B58,MMWR_TRAD_AGG_STATE_COMP[],D$1,0),"ERROR")</f>
        <v>329.60188786639998</v>
      </c>
      <c r="E58" s="111">
        <f>IFERROR(VLOOKUP($B58,MMWR_TRAD_AGG_STATE_COMP[],E$1,0),"ERROR")</f>
        <v>22944</v>
      </c>
      <c r="F58" s="112">
        <f>IFERROR(VLOOKUP($B58,MMWR_TRAD_AGG_STATE_COMP[],F$1,0),"ERROR")</f>
        <v>5913</v>
      </c>
      <c r="G58" s="113">
        <f t="shared" si="4"/>
        <v>0.25771443514644349</v>
      </c>
      <c r="H58" s="111">
        <f>IFERROR(VLOOKUP($B58,MMWR_TRAD_AGG_STATE_COMP[],H$1,0),"ERROR")</f>
        <v>29258</v>
      </c>
      <c r="I58" s="112">
        <f>IFERROR(VLOOKUP($B58,MMWR_TRAD_AGG_STATE_COMP[],I$1,0),"ERROR")</f>
        <v>19036</v>
      </c>
      <c r="J58" s="114">
        <f t="shared" si="5"/>
        <v>0.65062546995693482</v>
      </c>
      <c r="K58" s="111">
        <f>IFERROR(VLOOKUP($B58,MMWR_TRAD_AGG_STATE_COMP[],K$1,0),"ERROR")</f>
        <v>6957</v>
      </c>
      <c r="L58" s="112">
        <f>IFERROR(VLOOKUP($B58,MMWR_TRAD_AGG_STATE_COMP[],L$1,0),"ERROR")</f>
        <v>3869</v>
      </c>
      <c r="M58" s="114">
        <f t="shared" si="6"/>
        <v>0.55613051602702313</v>
      </c>
      <c r="N58" s="111">
        <f>IFERROR(VLOOKUP($B58,MMWR_TRAD_AGG_STATE_COMP[],N$1,0),"ERROR")</f>
        <v>16414</v>
      </c>
      <c r="O58" s="112">
        <f>IFERROR(VLOOKUP($B58,MMWR_TRAD_AGG_STATE_COMP[],O$1,0),"ERROR")</f>
        <v>10154</v>
      </c>
      <c r="P58" s="114">
        <f t="shared" si="7"/>
        <v>0.61861825271110027</v>
      </c>
      <c r="Q58" s="115">
        <f>IFERROR(VLOOKUP($B58,MMWR_TRAD_AGG_STATE_COMP[],Q$1,0),"ERROR")</f>
        <v>2067</v>
      </c>
      <c r="R58" s="115">
        <f>IFERROR(VLOOKUP($B58,MMWR_TRAD_AGG_STATE_COMP[],R$1,0),"ERROR")</f>
        <v>273</v>
      </c>
      <c r="S58" s="115">
        <f>IFERROR(VLOOKUP($B58,MMWR_APP_STATE_COMP[],S$1,0),"ERROR")</f>
        <v>31144</v>
      </c>
      <c r="T58" s="28"/>
    </row>
    <row r="59" spans="1:20" s="123" customFormat="1" x14ac:dyDescent="0.2">
      <c r="A59" s="28"/>
      <c r="B59" s="127" t="s">
        <v>385</v>
      </c>
      <c r="C59" s="109">
        <f>IFERROR(VLOOKUP($B59,MMWR_TRAD_AGG_STATE_COMP[],C$1,0),"ERROR")</f>
        <v>16281</v>
      </c>
      <c r="D59" s="110">
        <f>IFERROR(VLOOKUP($B59,MMWR_TRAD_AGG_STATE_COMP[],D$1,0),"ERROR")</f>
        <v>355.50261040480001</v>
      </c>
      <c r="E59" s="111">
        <f>IFERROR(VLOOKUP($B59,MMWR_TRAD_AGG_STATE_COMP[],E$1,0),"ERROR")</f>
        <v>18235</v>
      </c>
      <c r="F59" s="112">
        <f>IFERROR(VLOOKUP($B59,MMWR_TRAD_AGG_STATE_COMP[],F$1,0),"ERROR")</f>
        <v>4494</v>
      </c>
      <c r="G59" s="113">
        <f t="shared" si="4"/>
        <v>0.24644913627639156</v>
      </c>
      <c r="H59" s="111">
        <f>IFERROR(VLOOKUP($B59,MMWR_TRAD_AGG_STATE_COMP[],H$1,0),"ERROR")</f>
        <v>23984</v>
      </c>
      <c r="I59" s="112">
        <f>IFERROR(VLOOKUP($B59,MMWR_TRAD_AGG_STATE_COMP[],I$1,0),"ERROR")</f>
        <v>16818</v>
      </c>
      <c r="J59" s="114">
        <f t="shared" si="5"/>
        <v>0.70121747831887926</v>
      </c>
      <c r="K59" s="111">
        <f>IFERROR(VLOOKUP($B59,MMWR_TRAD_AGG_STATE_COMP[],K$1,0),"ERROR")</f>
        <v>8217</v>
      </c>
      <c r="L59" s="112">
        <f>IFERROR(VLOOKUP($B59,MMWR_TRAD_AGG_STATE_COMP[],L$1,0),"ERROR")</f>
        <v>5563</v>
      </c>
      <c r="M59" s="114">
        <f t="shared" si="6"/>
        <v>0.67701107460143606</v>
      </c>
      <c r="N59" s="111">
        <f>IFERROR(VLOOKUP($B59,MMWR_TRAD_AGG_STATE_COMP[],N$1,0),"ERROR")</f>
        <v>13322</v>
      </c>
      <c r="O59" s="112">
        <f>IFERROR(VLOOKUP($B59,MMWR_TRAD_AGG_STATE_COMP[],O$1,0),"ERROR")</f>
        <v>10222</v>
      </c>
      <c r="P59" s="114">
        <f t="shared" si="7"/>
        <v>0.76730220687584449</v>
      </c>
      <c r="Q59" s="115">
        <f>IFERROR(VLOOKUP($B59,MMWR_TRAD_AGG_STATE_COMP[],Q$1,0),"ERROR")</f>
        <v>1048</v>
      </c>
      <c r="R59" s="115">
        <f>IFERROR(VLOOKUP($B59,MMWR_TRAD_AGG_STATE_COMP[],R$1,0),"ERROR")</f>
        <v>21</v>
      </c>
      <c r="S59" s="115">
        <f>IFERROR(VLOOKUP($B59,MMWR_APP_STATE_COMP[],S$1,0),"ERROR")</f>
        <v>17915</v>
      </c>
      <c r="T59" s="28"/>
    </row>
    <row r="60" spans="1:20" s="123" customFormat="1" x14ac:dyDescent="0.2">
      <c r="A60" s="28"/>
      <c r="B60" s="127" t="s">
        <v>397</v>
      </c>
      <c r="C60" s="109">
        <f>IFERROR(VLOOKUP($B60,MMWR_TRAD_AGG_STATE_COMP[],C$1,0),"ERROR")</f>
        <v>6649</v>
      </c>
      <c r="D60" s="110">
        <f>IFERROR(VLOOKUP($B60,MMWR_TRAD_AGG_STATE_COMP[],D$1,0),"ERROR")</f>
        <v>542.60655737699994</v>
      </c>
      <c r="E60" s="111">
        <f>IFERROR(VLOOKUP($B60,MMWR_TRAD_AGG_STATE_COMP[],E$1,0),"ERROR")</f>
        <v>3860</v>
      </c>
      <c r="F60" s="112">
        <f>IFERROR(VLOOKUP($B60,MMWR_TRAD_AGG_STATE_COMP[],F$1,0),"ERROR")</f>
        <v>795</v>
      </c>
      <c r="G60" s="113">
        <f t="shared" si="4"/>
        <v>0.20595854922279794</v>
      </c>
      <c r="H60" s="111">
        <f>IFERROR(VLOOKUP($B60,MMWR_TRAD_AGG_STATE_COMP[],H$1,0),"ERROR")</f>
        <v>9932</v>
      </c>
      <c r="I60" s="112">
        <f>IFERROR(VLOOKUP($B60,MMWR_TRAD_AGG_STATE_COMP[],I$1,0),"ERROR")</f>
        <v>6648</v>
      </c>
      <c r="J60" s="114">
        <f t="shared" si="5"/>
        <v>0.66935159081755935</v>
      </c>
      <c r="K60" s="111">
        <f>IFERROR(VLOOKUP($B60,MMWR_TRAD_AGG_STATE_COMP[],K$1,0),"ERROR")</f>
        <v>2712</v>
      </c>
      <c r="L60" s="112">
        <f>IFERROR(VLOOKUP($B60,MMWR_TRAD_AGG_STATE_COMP[],L$1,0),"ERROR")</f>
        <v>2154</v>
      </c>
      <c r="M60" s="114">
        <f t="shared" si="6"/>
        <v>0.79424778761061943</v>
      </c>
      <c r="N60" s="111">
        <f>IFERROR(VLOOKUP($B60,MMWR_TRAD_AGG_STATE_COMP[],N$1,0),"ERROR")</f>
        <v>1490</v>
      </c>
      <c r="O60" s="112">
        <f>IFERROR(VLOOKUP($B60,MMWR_TRAD_AGG_STATE_COMP[],O$1,0),"ERROR")</f>
        <v>755</v>
      </c>
      <c r="P60" s="114">
        <f t="shared" si="7"/>
        <v>0.50671140939597314</v>
      </c>
      <c r="Q60" s="115">
        <f>IFERROR(VLOOKUP($B60,MMWR_TRAD_AGG_STATE_COMP[],Q$1,0),"ERROR")</f>
        <v>517</v>
      </c>
      <c r="R60" s="115">
        <f>IFERROR(VLOOKUP($B60,MMWR_TRAD_AGG_STATE_COMP[],R$1,0),"ERROR")</f>
        <v>144</v>
      </c>
      <c r="S60" s="115">
        <f>IFERROR(VLOOKUP($B60,MMWR_APP_STATE_COMP[],S$1,0),"ERROR")</f>
        <v>3375</v>
      </c>
      <c r="T60" s="28"/>
    </row>
    <row r="61" spans="1:20" s="123" customFormat="1" x14ac:dyDescent="0.2">
      <c r="A61" s="28"/>
      <c r="B61" s="127" t="s">
        <v>431</v>
      </c>
      <c r="C61" s="109">
        <f>IFERROR(VLOOKUP($B61,MMWR_TRAD_AGG_STATE_COMP[],C$1,0),"ERROR")</f>
        <v>2014</v>
      </c>
      <c r="D61" s="110">
        <f>IFERROR(VLOOKUP($B61,MMWR_TRAD_AGG_STATE_COMP[],D$1,0),"ERROR")</f>
        <v>308.73833167830003</v>
      </c>
      <c r="E61" s="111">
        <f>IFERROR(VLOOKUP($B61,MMWR_TRAD_AGG_STATE_COMP[],E$1,0),"ERROR")</f>
        <v>3336</v>
      </c>
      <c r="F61" s="112">
        <f>IFERROR(VLOOKUP($B61,MMWR_TRAD_AGG_STATE_COMP[],F$1,0),"ERROR")</f>
        <v>963</v>
      </c>
      <c r="G61" s="113">
        <f t="shared" si="4"/>
        <v>0.28866906474820142</v>
      </c>
      <c r="H61" s="111">
        <f>IFERROR(VLOOKUP($B61,MMWR_TRAD_AGG_STATE_COMP[],H$1,0),"ERROR")</f>
        <v>4888</v>
      </c>
      <c r="I61" s="112">
        <f>IFERROR(VLOOKUP($B61,MMWR_TRAD_AGG_STATE_COMP[],I$1,0),"ERROR")</f>
        <v>2634</v>
      </c>
      <c r="J61" s="114">
        <f t="shared" si="5"/>
        <v>0.53887070376432078</v>
      </c>
      <c r="K61" s="111">
        <f>IFERROR(VLOOKUP($B61,MMWR_TRAD_AGG_STATE_COMP[],K$1,0),"ERROR")</f>
        <v>930</v>
      </c>
      <c r="L61" s="112">
        <f>IFERROR(VLOOKUP($B61,MMWR_TRAD_AGG_STATE_COMP[],L$1,0),"ERROR")</f>
        <v>680</v>
      </c>
      <c r="M61" s="114">
        <f t="shared" si="6"/>
        <v>0.73118279569892475</v>
      </c>
      <c r="N61" s="111">
        <f>IFERROR(VLOOKUP($B61,MMWR_TRAD_AGG_STATE_COMP[],N$1,0),"ERROR")</f>
        <v>1549</v>
      </c>
      <c r="O61" s="112">
        <f>IFERROR(VLOOKUP($B61,MMWR_TRAD_AGG_STATE_COMP[],O$1,0),"ERROR")</f>
        <v>1091</v>
      </c>
      <c r="P61" s="114">
        <f t="shared" si="7"/>
        <v>0.70432537120723049</v>
      </c>
      <c r="Q61" s="115">
        <f>IFERROR(VLOOKUP($B61,MMWR_TRAD_AGG_STATE_COMP[],Q$1,0),"ERROR")</f>
        <v>351</v>
      </c>
      <c r="R61" s="115">
        <f>IFERROR(VLOOKUP($B61,MMWR_TRAD_AGG_STATE_COMP[],R$1,0),"ERROR")</f>
        <v>2</v>
      </c>
      <c r="S61" s="115">
        <f>IFERROR(VLOOKUP($B61,MMWR_APP_STATE_COMP[],S$1,0),"ERROR")</f>
        <v>6149</v>
      </c>
      <c r="T61" s="28"/>
    </row>
    <row r="62" spans="1:20" s="123" customFormat="1" x14ac:dyDescent="0.2">
      <c r="A62" s="28"/>
      <c r="B62" s="127" t="s">
        <v>387</v>
      </c>
      <c r="C62" s="109">
        <f>IFERROR(VLOOKUP($B62,MMWR_TRAD_AGG_STATE_COMP[],C$1,0),"ERROR")</f>
        <v>10409</v>
      </c>
      <c r="D62" s="110">
        <f>IFERROR(VLOOKUP($B62,MMWR_TRAD_AGG_STATE_COMP[],D$1,0),"ERROR")</f>
        <v>350.3804400038</v>
      </c>
      <c r="E62" s="111">
        <f>IFERROR(VLOOKUP($B62,MMWR_TRAD_AGG_STATE_COMP[],E$1,0),"ERROR")</f>
        <v>9228</v>
      </c>
      <c r="F62" s="112">
        <f>IFERROR(VLOOKUP($B62,MMWR_TRAD_AGG_STATE_COMP[],F$1,0),"ERROR")</f>
        <v>2786</v>
      </c>
      <c r="G62" s="113">
        <f t="shared" si="4"/>
        <v>0.30190723883831816</v>
      </c>
      <c r="H62" s="111">
        <f>IFERROR(VLOOKUP($B62,MMWR_TRAD_AGG_STATE_COMP[],H$1,0),"ERROR")</f>
        <v>14330</v>
      </c>
      <c r="I62" s="112">
        <f>IFERROR(VLOOKUP($B62,MMWR_TRAD_AGG_STATE_COMP[],I$1,0),"ERROR")</f>
        <v>10578</v>
      </c>
      <c r="J62" s="114">
        <f t="shared" si="5"/>
        <v>0.73817166782972787</v>
      </c>
      <c r="K62" s="111">
        <f>IFERROR(VLOOKUP($B62,MMWR_TRAD_AGG_STATE_COMP[],K$1,0),"ERROR")</f>
        <v>2897</v>
      </c>
      <c r="L62" s="112">
        <f>IFERROR(VLOOKUP($B62,MMWR_TRAD_AGG_STATE_COMP[],L$1,0),"ERROR")</f>
        <v>1805</v>
      </c>
      <c r="M62" s="114">
        <f t="shared" si="6"/>
        <v>0.62305833620987228</v>
      </c>
      <c r="N62" s="111">
        <f>IFERROR(VLOOKUP($B62,MMWR_TRAD_AGG_STATE_COMP[],N$1,0),"ERROR")</f>
        <v>3175</v>
      </c>
      <c r="O62" s="112">
        <f>IFERROR(VLOOKUP($B62,MMWR_TRAD_AGG_STATE_COMP[],O$1,0),"ERROR")</f>
        <v>1724</v>
      </c>
      <c r="P62" s="114">
        <f t="shared" si="7"/>
        <v>0.54299212598425195</v>
      </c>
      <c r="Q62" s="115">
        <f>IFERROR(VLOOKUP($B62,MMWR_TRAD_AGG_STATE_COMP[],Q$1,0),"ERROR")</f>
        <v>595</v>
      </c>
      <c r="R62" s="115">
        <f>IFERROR(VLOOKUP($B62,MMWR_TRAD_AGG_STATE_COMP[],R$1,0),"ERROR")</f>
        <v>59</v>
      </c>
      <c r="S62" s="115">
        <f>IFERROR(VLOOKUP($B62,MMWR_APP_STATE_COMP[],S$1,0),"ERROR")</f>
        <v>13133</v>
      </c>
      <c r="T62" s="28"/>
    </row>
    <row r="63" spans="1:20" s="123" customFormat="1" x14ac:dyDescent="0.2">
      <c r="A63" s="28"/>
      <c r="B63" s="127" t="s">
        <v>388</v>
      </c>
      <c r="C63" s="109">
        <f>IFERROR(VLOOKUP($B63,MMWR_TRAD_AGG_STATE_COMP[],C$1,0),"ERROR")</f>
        <v>6470</v>
      </c>
      <c r="D63" s="110">
        <f>IFERROR(VLOOKUP($B63,MMWR_TRAD_AGG_STATE_COMP[],D$1,0),"ERROR")</f>
        <v>300.97820710970001</v>
      </c>
      <c r="E63" s="111">
        <f>IFERROR(VLOOKUP($B63,MMWR_TRAD_AGG_STATE_COMP[],E$1,0),"ERROR")</f>
        <v>9725</v>
      </c>
      <c r="F63" s="112">
        <f>IFERROR(VLOOKUP($B63,MMWR_TRAD_AGG_STATE_COMP[],F$1,0),"ERROR")</f>
        <v>2350</v>
      </c>
      <c r="G63" s="113">
        <f t="shared" si="4"/>
        <v>0.2416452442159383</v>
      </c>
      <c r="H63" s="111">
        <f>IFERROR(VLOOKUP($B63,MMWR_TRAD_AGG_STATE_COMP[],H$1,0),"ERROR")</f>
        <v>10920</v>
      </c>
      <c r="I63" s="112">
        <f>IFERROR(VLOOKUP($B63,MMWR_TRAD_AGG_STATE_COMP[],I$1,0),"ERROR")</f>
        <v>5764</v>
      </c>
      <c r="J63" s="114">
        <f t="shared" si="5"/>
        <v>0.52783882783882785</v>
      </c>
      <c r="K63" s="111">
        <f>IFERROR(VLOOKUP($B63,MMWR_TRAD_AGG_STATE_COMP[],K$1,0),"ERROR")</f>
        <v>3525</v>
      </c>
      <c r="L63" s="112">
        <f>IFERROR(VLOOKUP($B63,MMWR_TRAD_AGG_STATE_COMP[],L$1,0),"ERROR")</f>
        <v>2406</v>
      </c>
      <c r="M63" s="114">
        <f t="shared" si="6"/>
        <v>0.68255319148936167</v>
      </c>
      <c r="N63" s="111">
        <f>IFERROR(VLOOKUP($B63,MMWR_TRAD_AGG_STATE_COMP[],N$1,0),"ERROR")</f>
        <v>2531</v>
      </c>
      <c r="O63" s="112">
        <f>IFERROR(VLOOKUP($B63,MMWR_TRAD_AGG_STATE_COMP[],O$1,0),"ERROR")</f>
        <v>1549</v>
      </c>
      <c r="P63" s="114">
        <f t="shared" si="7"/>
        <v>0.61201106282101936</v>
      </c>
      <c r="Q63" s="115">
        <f>IFERROR(VLOOKUP($B63,MMWR_TRAD_AGG_STATE_COMP[],Q$1,0),"ERROR")</f>
        <v>566</v>
      </c>
      <c r="R63" s="115">
        <f>IFERROR(VLOOKUP($B63,MMWR_TRAD_AGG_STATE_COMP[],R$1,0),"ERROR")</f>
        <v>256</v>
      </c>
      <c r="S63" s="115">
        <f>IFERROR(VLOOKUP($B63,MMWR_APP_STATE_COMP[],S$1,0),"ERROR")</f>
        <v>7105</v>
      </c>
      <c r="T63" s="28"/>
    </row>
    <row r="64" spans="1:20" s="123" customFormat="1" x14ac:dyDescent="0.2">
      <c r="A64" s="28"/>
      <c r="B64" s="128" t="s">
        <v>8</v>
      </c>
      <c r="C64" s="102">
        <f>IFERROR(VLOOKUP($B64,MMWR_TRAD_AGG_ST_DISTRICT_COMP[],C$1,0),"ERROR")</f>
        <v>4209</v>
      </c>
      <c r="D64" s="103">
        <f>IFERROR(VLOOKUP($B64,MMWR_TRAD_AGG_ST_DISTRICT_COMP[],D$1,0),"ERROR")</f>
        <v>385.17106201000001</v>
      </c>
      <c r="E64" s="102">
        <f>IFERROR(VLOOKUP($B64,MMWR_TRAD_AGG_ST_DISTRICT_COMP[],E$1,0),"ERROR")</f>
        <v>4124</v>
      </c>
      <c r="F64" s="102">
        <f>IFERROR(VLOOKUP($B64,MMWR_TRAD_AGG_ST_DISTRICT_COMP[],F$1,0),"ERROR")</f>
        <v>1714</v>
      </c>
      <c r="G64" s="104">
        <f t="shared" si="4"/>
        <v>0.41561590688651795</v>
      </c>
      <c r="H64" s="102">
        <f>IFERROR(VLOOKUP($B64,MMWR_TRAD_AGG_ST_DISTRICT_COMP[],H$1,0),"ERROR")</f>
        <v>5808</v>
      </c>
      <c r="I64" s="102">
        <f>IFERROR(VLOOKUP($B64,MMWR_TRAD_AGG_ST_DISTRICT_COMP[],I$1,0),"ERROR")</f>
        <v>4011</v>
      </c>
      <c r="J64" s="105">
        <f t="shared" si="5"/>
        <v>0.69059917355371903</v>
      </c>
      <c r="K64" s="102">
        <f>IFERROR(VLOOKUP($B64,MMWR_TRAD_AGG_ST_DISTRICT_COMP[],K$1,0),"ERROR")</f>
        <v>1473</v>
      </c>
      <c r="L64" s="102">
        <f>IFERROR(VLOOKUP($B64,MMWR_TRAD_AGG_ST_DISTRICT_COMP[],L$1,0),"ERROR")</f>
        <v>822</v>
      </c>
      <c r="M64" s="105">
        <f t="shared" si="6"/>
        <v>0.55804480651731159</v>
      </c>
      <c r="N64" s="102">
        <f>IFERROR(VLOOKUP($B64,MMWR_TRAD_AGG_ST_DISTRICT_COMP[],N$1,0),"ERROR")</f>
        <v>1874</v>
      </c>
      <c r="O64" s="102">
        <f>IFERROR(VLOOKUP($B64,MMWR_TRAD_AGG_ST_DISTRICT_COMP[],O$1,0),"ERROR")</f>
        <v>1138</v>
      </c>
      <c r="P64" s="105">
        <f t="shared" si="7"/>
        <v>0.60725720384204906</v>
      </c>
      <c r="Q64" s="102">
        <f>IFERROR(VLOOKUP($B64,MMWR_TRAD_AGG_ST_DISTRICT_COMP[],Q$1,0),"ERROR")</f>
        <v>447</v>
      </c>
      <c r="R64" s="106">
        <f>IFERROR(VLOOKUP($B64,MMWR_TRAD_AGG_ST_DISTRICT_COMP[],R$1,0),"ERROR")</f>
        <v>137</v>
      </c>
      <c r="S64" s="106">
        <f>IFERROR(VLOOKUP($B64,MMWR_APP_STATE_COMP[],S$1,0),"ERROR")</f>
        <v>423</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491</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228</v>
      </c>
      <c r="D67" s="462"/>
      <c r="E67" s="459" t="s">
        <v>208</v>
      </c>
      <c r="F67" s="460"/>
      <c r="G67" s="461"/>
      <c r="H67" s="459" t="s">
        <v>7</v>
      </c>
      <c r="I67" s="460"/>
      <c r="J67" s="461"/>
      <c r="K67" s="459" t="s">
        <v>33</v>
      </c>
      <c r="L67" s="460"/>
      <c r="M67" s="461"/>
      <c r="N67" s="459" t="s">
        <v>8</v>
      </c>
      <c r="O67" s="460"/>
      <c r="P67" s="461"/>
      <c r="Q67" s="81" t="s">
        <v>9</v>
      </c>
      <c r="R67" s="82" t="s">
        <v>10</v>
      </c>
      <c r="S67" s="82" t="s">
        <v>11</v>
      </c>
      <c r="T67" s="28"/>
    </row>
    <row r="68" spans="1:20" s="123" customFormat="1" ht="38.25" x14ac:dyDescent="0.2">
      <c r="A68" s="28"/>
      <c r="B68" s="54"/>
      <c r="C68" s="84" t="s">
        <v>12</v>
      </c>
      <c r="D68" s="85" t="s">
        <v>137</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492</v>
      </c>
      <c r="T68" s="28"/>
    </row>
    <row r="69" spans="1:20" s="123" customFormat="1" x14ac:dyDescent="0.2">
      <c r="A69" s="28"/>
      <c r="B69" s="129" t="s">
        <v>466</v>
      </c>
      <c r="C69" s="119">
        <f>IFERROR(VLOOKUP($B69,MMWR_TRAD_AGG_RO_PEN[],C$1,0),"ERROR")</f>
        <v>20546</v>
      </c>
      <c r="D69" s="120">
        <f>IFERROR(VLOOKUP($B69,MMWR_TRAD_AGG_RO_PEN[],D$1,0),"ERROR")</f>
        <v>79.392923196699996</v>
      </c>
      <c r="E69" s="119">
        <f>IFERROR(VLOOKUP($B69,MMWR_TRAD_AGG_RO_PEN[],E$1,0),"ERROR")</f>
        <v>32918</v>
      </c>
      <c r="F69" s="119">
        <f>IFERROR(VLOOKUP($B69,MMWR_TRAD_AGG_RO_PEN[],F$1,0),"ERROR")</f>
        <v>5383</v>
      </c>
      <c r="G69" s="98">
        <f t="shared" ref="G69:G100" si="8">IFERROR(F69/E69,"0%")</f>
        <v>0.16352755331429614</v>
      </c>
      <c r="H69" s="119">
        <f>IFERROR(VLOOKUP($B69,MMWR_TRAD_AGG_RO_PEN[],H$1,0),"ERROR")</f>
        <v>28809</v>
      </c>
      <c r="I69" s="119">
        <f>IFERROR(VLOOKUP($B69,MMWR_TRAD_AGG_RO_PEN[],I$1,0),"ERROR")</f>
        <v>7024</v>
      </c>
      <c r="J69" s="98">
        <f t="shared" ref="J69:J100" si="9">IFERROR(I69/H69,"0%")</f>
        <v>0.24381269742094486</v>
      </c>
      <c r="K69" s="119">
        <f>IFERROR(VLOOKUP($B69,MMWR_TRAD_AGG_RO_PEN[],K$1,0),"ERROR")</f>
        <v>456</v>
      </c>
      <c r="L69" s="119">
        <f>IFERROR(VLOOKUP($B69,MMWR_TRAD_AGG_RO_PEN[],L$1,0),"ERROR")</f>
        <v>433</v>
      </c>
      <c r="M69" s="98">
        <f t="shared" ref="M69:M100" si="10">IFERROR(L69/K69,"0%")</f>
        <v>0.94956140350877194</v>
      </c>
      <c r="N69" s="119">
        <f>IFERROR(VLOOKUP($B69,MMWR_TRAD_AGG_RO_PEN[],N$1,0),"ERROR")</f>
        <v>1593</v>
      </c>
      <c r="O69" s="119">
        <f>IFERROR(VLOOKUP($B69,MMWR_TRAD_AGG_RO_PEN[],O$1,0),"ERROR")</f>
        <v>561</v>
      </c>
      <c r="P69" s="98">
        <f t="shared" ref="P69:P100" si="11">IFERROR(O69/N69,"0%")</f>
        <v>0.35216572504708099</v>
      </c>
      <c r="Q69" s="119">
        <f>IFERROR(VLOOKUP($B69,MMWR_TRAD_AGG_RO_PEN[],Q$1,0),"ERROR")</f>
        <v>9527</v>
      </c>
      <c r="R69" s="121">
        <f>IFERROR(VLOOKUP($B69,MMWR_TRAD_AGG_RO_PEN[],R$1,0),"ERROR")</f>
        <v>5948</v>
      </c>
      <c r="S69" s="121">
        <f>S70+S86+S99+S109+S119+S127</f>
        <v>7321</v>
      </c>
      <c r="T69" s="28"/>
    </row>
    <row r="70" spans="1:20" s="123" customFormat="1" x14ac:dyDescent="0.2">
      <c r="A70" s="28"/>
      <c r="B70" s="126" t="s">
        <v>373</v>
      </c>
      <c r="C70" s="102">
        <f>IFERROR(VLOOKUP($B70,MMWR_TRAD_AGG_ST_DISTRICT_PEN[],C$1,0),"ERROR")</f>
        <v>7437</v>
      </c>
      <c r="D70" s="103">
        <f>IFERROR(VLOOKUP($B70,MMWR_TRAD_AGG_ST_DISTRICT_PEN[],D$1,0),"ERROR")</f>
        <v>94.6443458384</v>
      </c>
      <c r="E70" s="102">
        <f>IFERROR(VLOOKUP($B70,MMWR_TRAD_AGG_ST_DISTRICT_PEN[],E$1,0),"ERROR")</f>
        <v>11104</v>
      </c>
      <c r="F70" s="102">
        <f>IFERROR(VLOOKUP($B70,MMWR_TRAD_AGG_ST_DISTRICT_PEN[],F$1,0),"ERROR")</f>
        <v>2489</v>
      </c>
      <c r="G70" s="104">
        <f t="shared" si="8"/>
        <v>0.2241534582132565</v>
      </c>
      <c r="H70" s="102">
        <f>IFERROR(VLOOKUP($B70,MMWR_TRAD_AGG_ST_DISTRICT_PEN[],H$1,0),"ERROR")</f>
        <v>10075</v>
      </c>
      <c r="I70" s="102">
        <f>IFERROR(VLOOKUP($B70,MMWR_TRAD_AGG_ST_DISTRICT_PEN[],I$1,0),"ERROR")</f>
        <v>3399</v>
      </c>
      <c r="J70" s="104">
        <f t="shared" si="9"/>
        <v>0.33736972704714641</v>
      </c>
      <c r="K70" s="102">
        <f>IFERROR(VLOOKUP($B70,MMWR_TRAD_AGG_ST_DISTRICT_PEN[],K$1,0),"ERROR")</f>
        <v>272</v>
      </c>
      <c r="L70" s="102">
        <f>IFERROR(VLOOKUP($B70,MMWR_TRAD_AGG_ST_DISTRICT_PEN[],L$1,0),"ERROR")</f>
        <v>267</v>
      </c>
      <c r="M70" s="104">
        <f t="shared" si="10"/>
        <v>0.98161764705882348</v>
      </c>
      <c r="N70" s="102">
        <f>IFERROR(VLOOKUP($B70,MMWR_TRAD_AGG_ST_DISTRICT_PEN[],N$1,0),"ERROR")</f>
        <v>529</v>
      </c>
      <c r="O70" s="102">
        <f>IFERROR(VLOOKUP($B70,MMWR_TRAD_AGG_ST_DISTRICT_PEN[],O$1,0),"ERROR")</f>
        <v>175</v>
      </c>
      <c r="P70" s="104">
        <f t="shared" si="11"/>
        <v>0.33081285444234404</v>
      </c>
      <c r="Q70" s="102">
        <f>IFERROR(VLOOKUP($B70,MMWR_TRAD_AGG_ST_DISTRICT_PEN[],Q$1,0),"ERROR")</f>
        <v>1254</v>
      </c>
      <c r="R70" s="106">
        <f>IFERROR(VLOOKUP($B70,MMWR_TRAD_AGG_ST_DISTRICT_PEN[],R$1,0),"ERROR")</f>
        <v>2538</v>
      </c>
      <c r="S70" s="106">
        <f>IFERROR(VLOOKUP($B70,MMWR_APP_STATE_PEN[],S$1,0),"ERROR")</f>
        <v>1464</v>
      </c>
      <c r="T70" s="28"/>
    </row>
    <row r="71" spans="1:20" s="123" customFormat="1" x14ac:dyDescent="0.2">
      <c r="A71" s="28"/>
      <c r="B71" s="127" t="s">
        <v>377</v>
      </c>
      <c r="C71" s="109">
        <f>IFERROR(VLOOKUP($B71,MMWR_TRAD_AGG_STATE_PEN[],C$1,0),"ERROR")</f>
        <v>198</v>
      </c>
      <c r="D71" s="110">
        <f>IFERROR(VLOOKUP($B71,MMWR_TRAD_AGG_STATE_PEN[],D$1,0),"ERROR")</f>
        <v>100.0050505051</v>
      </c>
      <c r="E71" s="111">
        <f>IFERROR(VLOOKUP($B71,MMWR_TRAD_AGG_STATE_PEN[],E$1,0),"ERROR")</f>
        <v>393</v>
      </c>
      <c r="F71" s="112">
        <f>IFERROR(VLOOKUP($B71,MMWR_TRAD_AGG_STATE_PEN[],F$1,0),"ERROR")</f>
        <v>101</v>
      </c>
      <c r="G71" s="113">
        <f t="shared" si="8"/>
        <v>0.25699745547073793</v>
      </c>
      <c r="H71" s="111">
        <f>IFERROR(VLOOKUP($B71,MMWR_TRAD_AGG_STATE_PEN[],H$1,0),"ERROR")</f>
        <v>280</v>
      </c>
      <c r="I71" s="112">
        <f>IFERROR(VLOOKUP($B71,MMWR_TRAD_AGG_STATE_PEN[],I$1,0),"ERROR")</f>
        <v>95</v>
      </c>
      <c r="J71" s="114">
        <f t="shared" si="9"/>
        <v>0.3392857142857143</v>
      </c>
      <c r="K71" s="111">
        <f>IFERROR(VLOOKUP($B71,MMWR_TRAD_AGG_STATE_PEN[],K$1,0),"ERROR")</f>
        <v>2</v>
      </c>
      <c r="L71" s="112">
        <f>IFERROR(VLOOKUP($B71,MMWR_TRAD_AGG_STATE_PEN[],L$1,0),"ERROR")</f>
        <v>2</v>
      </c>
      <c r="M71" s="114">
        <f t="shared" si="10"/>
        <v>1</v>
      </c>
      <c r="N71" s="111">
        <f>IFERROR(VLOOKUP($B71,MMWR_TRAD_AGG_STATE_PEN[],N$1,0),"ERROR")</f>
        <v>20</v>
      </c>
      <c r="O71" s="112">
        <f>IFERROR(VLOOKUP($B71,MMWR_TRAD_AGG_STATE_PEN[],O$1,0),"ERROR")</f>
        <v>4</v>
      </c>
      <c r="P71" s="114">
        <f t="shared" si="11"/>
        <v>0.2</v>
      </c>
      <c r="Q71" s="115">
        <f>IFERROR(VLOOKUP($B71,MMWR_TRAD_AGG_STATE_PEN[],Q$1,0),"ERROR")</f>
        <v>27</v>
      </c>
      <c r="R71" s="115">
        <f>IFERROR(VLOOKUP($B71,MMWR_TRAD_AGG_STATE_PEN[],R$1,0),"ERROR")</f>
        <v>73</v>
      </c>
      <c r="S71" s="115">
        <f>IFERROR(VLOOKUP($B71,MMWR_APP_STATE_PEN[],S$1,0),"ERROR")</f>
        <v>51</v>
      </c>
      <c r="T71" s="28"/>
    </row>
    <row r="72" spans="1:20" s="123" customFormat="1" x14ac:dyDescent="0.2">
      <c r="A72" s="28"/>
      <c r="B72" s="127" t="s">
        <v>427</v>
      </c>
      <c r="C72" s="109">
        <f>IFERROR(VLOOKUP($B72,MMWR_TRAD_AGG_STATE_PEN[],C$1,0),"ERROR")</f>
        <v>55</v>
      </c>
      <c r="D72" s="110">
        <f>IFERROR(VLOOKUP($B72,MMWR_TRAD_AGG_STATE_PEN[],D$1,0),"ERROR")</f>
        <v>92.709090909099999</v>
      </c>
      <c r="E72" s="111">
        <f>IFERROR(VLOOKUP($B72,MMWR_TRAD_AGG_STATE_PEN[],E$1,0),"ERROR")</f>
        <v>109</v>
      </c>
      <c r="F72" s="112">
        <f>IFERROR(VLOOKUP($B72,MMWR_TRAD_AGG_STATE_PEN[],F$1,0),"ERROR")</f>
        <v>19</v>
      </c>
      <c r="G72" s="113">
        <f t="shared" si="8"/>
        <v>0.1743119266055046</v>
      </c>
      <c r="H72" s="111">
        <f>IFERROR(VLOOKUP($B72,MMWR_TRAD_AGG_STATE_PEN[],H$1,0),"ERROR")</f>
        <v>80</v>
      </c>
      <c r="I72" s="112">
        <f>IFERROR(VLOOKUP($B72,MMWR_TRAD_AGG_STATE_PEN[],I$1,0),"ERROR")</f>
        <v>28</v>
      </c>
      <c r="J72" s="114">
        <f t="shared" si="9"/>
        <v>0.35</v>
      </c>
      <c r="K72" s="111">
        <f>IFERROR(VLOOKUP($B72,MMWR_TRAD_AGG_STATE_PEN[],K$1,0),"ERROR")</f>
        <v>2</v>
      </c>
      <c r="L72" s="112">
        <f>IFERROR(VLOOKUP($B72,MMWR_TRAD_AGG_STATE_PEN[],L$1,0),"ERROR")</f>
        <v>1</v>
      </c>
      <c r="M72" s="114">
        <f t="shared" si="10"/>
        <v>0.5</v>
      </c>
      <c r="N72" s="111">
        <f>IFERROR(VLOOKUP($B72,MMWR_TRAD_AGG_STATE_PEN[],N$1,0),"ERROR")</f>
        <v>6</v>
      </c>
      <c r="O72" s="112">
        <f>IFERROR(VLOOKUP($B72,MMWR_TRAD_AGG_STATE_PEN[],O$1,0),"ERROR")</f>
        <v>2</v>
      </c>
      <c r="P72" s="114">
        <f t="shared" si="11"/>
        <v>0.33333333333333331</v>
      </c>
      <c r="Q72" s="115">
        <f>IFERROR(VLOOKUP($B72,MMWR_TRAD_AGG_STATE_PEN[],Q$1,0),"ERROR")</f>
        <v>14</v>
      </c>
      <c r="R72" s="115">
        <f>IFERROR(VLOOKUP($B72,MMWR_TRAD_AGG_STATE_PEN[],R$1,0),"ERROR")</f>
        <v>28</v>
      </c>
      <c r="S72" s="115">
        <f>IFERROR(VLOOKUP($B72,MMWR_APP_STATE_PEN[],S$1,0),"ERROR")</f>
        <v>17</v>
      </c>
      <c r="T72" s="28"/>
    </row>
    <row r="73" spans="1:20" s="123" customFormat="1" x14ac:dyDescent="0.2">
      <c r="A73" s="28"/>
      <c r="B73" s="127" t="s">
        <v>418</v>
      </c>
      <c r="C73" s="109">
        <f>IFERROR(VLOOKUP($B73,MMWR_TRAD_AGG_STATE_PEN[],C$1,0),"ERROR")</f>
        <v>45</v>
      </c>
      <c r="D73" s="110">
        <f>IFERROR(VLOOKUP($B73,MMWR_TRAD_AGG_STATE_PEN[],D$1,0),"ERROR")</f>
        <v>112.0444444444</v>
      </c>
      <c r="E73" s="111">
        <f>IFERROR(VLOOKUP($B73,MMWR_TRAD_AGG_STATE_PEN[],E$1,0),"ERROR")</f>
        <v>76</v>
      </c>
      <c r="F73" s="112">
        <f>IFERROR(VLOOKUP($B73,MMWR_TRAD_AGG_STATE_PEN[],F$1,0),"ERROR")</f>
        <v>16</v>
      </c>
      <c r="G73" s="113">
        <f t="shared" si="8"/>
        <v>0.21052631578947367</v>
      </c>
      <c r="H73" s="111">
        <f>IFERROR(VLOOKUP($B73,MMWR_TRAD_AGG_STATE_PEN[],H$1,0),"ERROR")</f>
        <v>62</v>
      </c>
      <c r="I73" s="112">
        <f>IFERROR(VLOOKUP($B73,MMWR_TRAD_AGG_STATE_PEN[],I$1,0),"ERROR")</f>
        <v>21</v>
      </c>
      <c r="J73" s="114">
        <f t="shared" si="9"/>
        <v>0.33870967741935482</v>
      </c>
      <c r="K73" s="111">
        <f>IFERROR(VLOOKUP($B73,MMWR_TRAD_AGG_STATE_PEN[],K$1,0),"ERROR")</f>
        <v>3</v>
      </c>
      <c r="L73" s="112">
        <f>IFERROR(VLOOKUP($B73,MMWR_TRAD_AGG_STATE_PEN[],L$1,0),"ERROR")</f>
        <v>3</v>
      </c>
      <c r="M73" s="114">
        <f t="shared" si="10"/>
        <v>1</v>
      </c>
      <c r="N73" s="111">
        <f>IFERROR(VLOOKUP($B73,MMWR_TRAD_AGG_STATE_PEN[],N$1,0),"ERROR")</f>
        <v>2</v>
      </c>
      <c r="O73" s="112">
        <f>IFERROR(VLOOKUP($B73,MMWR_TRAD_AGG_STATE_PEN[],O$1,0),"ERROR")</f>
        <v>1</v>
      </c>
      <c r="P73" s="114">
        <f t="shared" si="11"/>
        <v>0.5</v>
      </c>
      <c r="Q73" s="115">
        <f>IFERROR(VLOOKUP($B73,MMWR_TRAD_AGG_STATE_PEN[],Q$1,0),"ERROR")</f>
        <v>12</v>
      </c>
      <c r="R73" s="115">
        <f>IFERROR(VLOOKUP($B73,MMWR_TRAD_AGG_STATE_PEN[],R$1,0),"ERROR")</f>
        <v>19</v>
      </c>
      <c r="S73" s="115">
        <f>IFERROR(VLOOKUP($B73,MMWR_APP_STATE_PEN[],S$1,0),"ERROR")</f>
        <v>16</v>
      </c>
      <c r="T73" s="28"/>
    </row>
    <row r="74" spans="1:20" s="123" customFormat="1" x14ac:dyDescent="0.2">
      <c r="A74" s="28"/>
      <c r="B74" s="127" t="s">
        <v>420</v>
      </c>
      <c r="C74" s="109">
        <f>IFERROR(VLOOKUP($B74,MMWR_TRAD_AGG_STATE_PEN[],C$1,0),"ERROR")</f>
        <v>143</v>
      </c>
      <c r="D74" s="110">
        <f>IFERROR(VLOOKUP($B74,MMWR_TRAD_AGG_STATE_PEN[],D$1,0),"ERROR")</f>
        <v>105.986013986</v>
      </c>
      <c r="E74" s="111">
        <f>IFERROR(VLOOKUP($B74,MMWR_TRAD_AGG_STATE_PEN[],E$1,0),"ERROR")</f>
        <v>146</v>
      </c>
      <c r="F74" s="112">
        <f>IFERROR(VLOOKUP($B74,MMWR_TRAD_AGG_STATE_PEN[],F$1,0),"ERROR")</f>
        <v>29</v>
      </c>
      <c r="G74" s="113">
        <f t="shared" si="8"/>
        <v>0.19863013698630136</v>
      </c>
      <c r="H74" s="111">
        <f>IFERROR(VLOOKUP($B74,MMWR_TRAD_AGG_STATE_PEN[],H$1,0),"ERROR")</f>
        <v>184</v>
      </c>
      <c r="I74" s="112">
        <f>IFERROR(VLOOKUP($B74,MMWR_TRAD_AGG_STATE_PEN[],I$1,0),"ERROR")</f>
        <v>64</v>
      </c>
      <c r="J74" s="114">
        <f t="shared" si="9"/>
        <v>0.34782608695652173</v>
      </c>
      <c r="K74" s="111">
        <f>IFERROR(VLOOKUP($B74,MMWR_TRAD_AGG_STATE_PEN[],K$1,0),"ERROR")</f>
        <v>3</v>
      </c>
      <c r="L74" s="112">
        <f>IFERROR(VLOOKUP($B74,MMWR_TRAD_AGG_STATE_PEN[],L$1,0),"ERROR")</f>
        <v>3</v>
      </c>
      <c r="M74" s="114">
        <f t="shared" si="10"/>
        <v>1</v>
      </c>
      <c r="N74" s="111">
        <f>IFERROR(VLOOKUP($B74,MMWR_TRAD_AGG_STATE_PEN[],N$1,0),"ERROR")</f>
        <v>9</v>
      </c>
      <c r="O74" s="112">
        <f>IFERROR(VLOOKUP($B74,MMWR_TRAD_AGG_STATE_PEN[],O$1,0),"ERROR")</f>
        <v>3</v>
      </c>
      <c r="P74" s="114">
        <f t="shared" si="11"/>
        <v>0.33333333333333331</v>
      </c>
      <c r="Q74" s="115">
        <f>IFERROR(VLOOKUP($B74,MMWR_TRAD_AGG_STATE_PEN[],Q$1,0),"ERROR")</f>
        <v>32</v>
      </c>
      <c r="R74" s="115">
        <f>IFERROR(VLOOKUP($B74,MMWR_TRAD_AGG_STATE_PEN[],R$1,0),"ERROR")</f>
        <v>36</v>
      </c>
      <c r="S74" s="115">
        <f>IFERROR(VLOOKUP($B74,MMWR_APP_STATE_PEN[],S$1,0),"ERROR")</f>
        <v>25</v>
      </c>
      <c r="T74" s="28"/>
    </row>
    <row r="75" spans="1:20" s="123" customFormat="1" x14ac:dyDescent="0.2">
      <c r="A75" s="28"/>
      <c r="B75" s="127" t="s">
        <v>380</v>
      </c>
      <c r="C75" s="109">
        <f>IFERROR(VLOOKUP($B75,MMWR_TRAD_AGG_STATE_PEN[],C$1,0),"ERROR")</f>
        <v>382</v>
      </c>
      <c r="D75" s="110">
        <f>IFERROR(VLOOKUP($B75,MMWR_TRAD_AGG_STATE_PEN[],D$1,0),"ERROR")</f>
        <v>97.225130890100004</v>
      </c>
      <c r="E75" s="111">
        <f>IFERROR(VLOOKUP($B75,MMWR_TRAD_AGG_STATE_PEN[],E$1,0),"ERROR")</f>
        <v>655</v>
      </c>
      <c r="F75" s="112">
        <f>IFERROR(VLOOKUP($B75,MMWR_TRAD_AGG_STATE_PEN[],F$1,0),"ERROR")</f>
        <v>123</v>
      </c>
      <c r="G75" s="113">
        <f t="shared" si="8"/>
        <v>0.18778625954198475</v>
      </c>
      <c r="H75" s="111">
        <f>IFERROR(VLOOKUP($B75,MMWR_TRAD_AGG_STATE_PEN[],H$1,0),"ERROR")</f>
        <v>507</v>
      </c>
      <c r="I75" s="112">
        <f>IFERROR(VLOOKUP($B75,MMWR_TRAD_AGG_STATE_PEN[],I$1,0),"ERROR")</f>
        <v>196</v>
      </c>
      <c r="J75" s="114">
        <f t="shared" si="9"/>
        <v>0.38658777120315579</v>
      </c>
      <c r="K75" s="111">
        <f>IFERROR(VLOOKUP($B75,MMWR_TRAD_AGG_STATE_PEN[],K$1,0),"ERROR")</f>
        <v>14</v>
      </c>
      <c r="L75" s="112">
        <f>IFERROR(VLOOKUP($B75,MMWR_TRAD_AGG_STATE_PEN[],L$1,0),"ERROR")</f>
        <v>13</v>
      </c>
      <c r="M75" s="114">
        <f t="shared" si="10"/>
        <v>0.9285714285714286</v>
      </c>
      <c r="N75" s="111">
        <f>IFERROR(VLOOKUP($B75,MMWR_TRAD_AGG_STATE_PEN[],N$1,0),"ERROR")</f>
        <v>30</v>
      </c>
      <c r="O75" s="112">
        <f>IFERROR(VLOOKUP($B75,MMWR_TRAD_AGG_STATE_PEN[],O$1,0),"ERROR")</f>
        <v>17</v>
      </c>
      <c r="P75" s="114">
        <f t="shared" si="11"/>
        <v>0.56666666666666665</v>
      </c>
      <c r="Q75" s="115">
        <f>IFERROR(VLOOKUP($B75,MMWR_TRAD_AGG_STATE_PEN[],Q$1,0),"ERROR")</f>
        <v>78</v>
      </c>
      <c r="R75" s="115">
        <f>IFERROR(VLOOKUP($B75,MMWR_TRAD_AGG_STATE_PEN[],R$1,0),"ERROR")</f>
        <v>175</v>
      </c>
      <c r="S75" s="115">
        <f>IFERROR(VLOOKUP($B75,MMWR_APP_STATE_PEN[],S$1,0),"ERROR")</f>
        <v>93</v>
      </c>
      <c r="T75" s="28"/>
    </row>
    <row r="76" spans="1:20" s="123" customFormat="1" x14ac:dyDescent="0.2">
      <c r="A76" s="28"/>
      <c r="B76" s="127" t="s">
        <v>375</v>
      </c>
      <c r="C76" s="109">
        <f>IFERROR(VLOOKUP($B76,MMWR_TRAD_AGG_STATE_PEN[],C$1,0),"ERROR")</f>
        <v>405</v>
      </c>
      <c r="D76" s="110">
        <f>IFERROR(VLOOKUP($B76,MMWR_TRAD_AGG_STATE_PEN[],D$1,0),"ERROR")</f>
        <v>95.397530864199993</v>
      </c>
      <c r="E76" s="111">
        <f>IFERROR(VLOOKUP($B76,MMWR_TRAD_AGG_STATE_PEN[],E$1,0),"ERROR")</f>
        <v>668</v>
      </c>
      <c r="F76" s="112">
        <f>IFERROR(VLOOKUP($B76,MMWR_TRAD_AGG_STATE_PEN[],F$1,0),"ERROR")</f>
        <v>167</v>
      </c>
      <c r="G76" s="113">
        <f t="shared" si="8"/>
        <v>0.25</v>
      </c>
      <c r="H76" s="111">
        <f>IFERROR(VLOOKUP($B76,MMWR_TRAD_AGG_STATE_PEN[],H$1,0),"ERROR")</f>
        <v>546</v>
      </c>
      <c r="I76" s="112">
        <f>IFERROR(VLOOKUP($B76,MMWR_TRAD_AGG_STATE_PEN[],I$1,0),"ERROR")</f>
        <v>197</v>
      </c>
      <c r="J76" s="114">
        <f t="shared" si="9"/>
        <v>0.3608058608058608</v>
      </c>
      <c r="K76" s="111">
        <f>IFERROR(VLOOKUP($B76,MMWR_TRAD_AGG_STATE_PEN[],K$1,0),"ERROR")</f>
        <v>2</v>
      </c>
      <c r="L76" s="112">
        <f>IFERROR(VLOOKUP($B76,MMWR_TRAD_AGG_STATE_PEN[],L$1,0),"ERROR")</f>
        <v>2</v>
      </c>
      <c r="M76" s="114">
        <f t="shared" si="10"/>
        <v>1</v>
      </c>
      <c r="N76" s="111">
        <f>IFERROR(VLOOKUP($B76,MMWR_TRAD_AGG_STATE_PEN[],N$1,0),"ERROR")</f>
        <v>31</v>
      </c>
      <c r="O76" s="112">
        <f>IFERROR(VLOOKUP($B76,MMWR_TRAD_AGG_STATE_PEN[],O$1,0),"ERROR")</f>
        <v>9</v>
      </c>
      <c r="P76" s="114">
        <f t="shared" si="11"/>
        <v>0.29032258064516131</v>
      </c>
      <c r="Q76" s="115">
        <f>IFERROR(VLOOKUP($B76,MMWR_TRAD_AGG_STATE_PEN[],Q$1,0),"ERROR")</f>
        <v>62</v>
      </c>
      <c r="R76" s="115">
        <f>IFERROR(VLOOKUP($B76,MMWR_TRAD_AGG_STATE_PEN[],R$1,0),"ERROR")</f>
        <v>173</v>
      </c>
      <c r="S76" s="115">
        <f>IFERROR(VLOOKUP($B76,MMWR_APP_STATE_PEN[],S$1,0),"ERROR")</f>
        <v>106</v>
      </c>
      <c r="T76" s="28"/>
    </row>
    <row r="77" spans="1:20" s="123" customFormat="1" x14ac:dyDescent="0.2">
      <c r="A77" s="28"/>
      <c r="B77" s="127" t="s">
        <v>419</v>
      </c>
      <c r="C77" s="109">
        <f>IFERROR(VLOOKUP($B77,MMWR_TRAD_AGG_STATE_PEN[],C$1,0),"ERROR")</f>
        <v>116</v>
      </c>
      <c r="D77" s="110">
        <f>IFERROR(VLOOKUP($B77,MMWR_TRAD_AGG_STATE_PEN[],D$1,0),"ERROR")</f>
        <v>91.103448275900007</v>
      </c>
      <c r="E77" s="111">
        <f>IFERROR(VLOOKUP($B77,MMWR_TRAD_AGG_STATE_PEN[],E$1,0),"ERROR")</f>
        <v>169</v>
      </c>
      <c r="F77" s="112">
        <f>IFERROR(VLOOKUP($B77,MMWR_TRAD_AGG_STATE_PEN[],F$1,0),"ERROR")</f>
        <v>46</v>
      </c>
      <c r="G77" s="113">
        <f t="shared" si="8"/>
        <v>0.27218934911242604</v>
      </c>
      <c r="H77" s="111">
        <f>IFERROR(VLOOKUP($B77,MMWR_TRAD_AGG_STATE_PEN[],H$1,0),"ERROR")</f>
        <v>159</v>
      </c>
      <c r="I77" s="112">
        <f>IFERROR(VLOOKUP($B77,MMWR_TRAD_AGG_STATE_PEN[],I$1,0),"ERROR")</f>
        <v>52</v>
      </c>
      <c r="J77" s="114">
        <f t="shared" si="9"/>
        <v>0.32704402515723269</v>
      </c>
      <c r="K77" s="111">
        <f>IFERROR(VLOOKUP($B77,MMWR_TRAD_AGG_STATE_PEN[],K$1,0),"ERROR")</f>
        <v>1</v>
      </c>
      <c r="L77" s="112">
        <f>IFERROR(VLOOKUP($B77,MMWR_TRAD_AGG_STATE_PEN[],L$1,0),"ERROR")</f>
        <v>1</v>
      </c>
      <c r="M77" s="114">
        <f t="shared" si="10"/>
        <v>1</v>
      </c>
      <c r="N77" s="111">
        <f>IFERROR(VLOOKUP($B77,MMWR_TRAD_AGG_STATE_PEN[],N$1,0),"ERROR")</f>
        <v>14</v>
      </c>
      <c r="O77" s="112">
        <f>IFERROR(VLOOKUP($B77,MMWR_TRAD_AGG_STATE_PEN[],O$1,0),"ERROR")</f>
        <v>3</v>
      </c>
      <c r="P77" s="114">
        <f t="shared" si="11"/>
        <v>0.21428571428571427</v>
      </c>
      <c r="Q77" s="115">
        <f>IFERROR(VLOOKUP($B77,MMWR_TRAD_AGG_STATE_PEN[],Q$1,0),"ERROR")</f>
        <v>19</v>
      </c>
      <c r="R77" s="115">
        <f>IFERROR(VLOOKUP($B77,MMWR_TRAD_AGG_STATE_PEN[],R$1,0),"ERROR")</f>
        <v>37</v>
      </c>
      <c r="S77" s="115">
        <f>IFERROR(VLOOKUP($B77,MMWR_APP_STATE_PEN[],S$1,0),"ERROR")</f>
        <v>13</v>
      </c>
      <c r="T77" s="28"/>
    </row>
    <row r="78" spans="1:20" s="123" customFormat="1" x14ac:dyDescent="0.2">
      <c r="A78" s="28"/>
      <c r="B78" s="127" t="s">
        <v>378</v>
      </c>
      <c r="C78" s="109">
        <f>IFERROR(VLOOKUP($B78,MMWR_TRAD_AGG_STATE_PEN[],C$1,0),"ERROR")</f>
        <v>469</v>
      </c>
      <c r="D78" s="110">
        <f>IFERROR(VLOOKUP($B78,MMWR_TRAD_AGG_STATE_PEN[],D$1,0),"ERROR")</f>
        <v>103.2345415778</v>
      </c>
      <c r="E78" s="111">
        <f>IFERROR(VLOOKUP($B78,MMWR_TRAD_AGG_STATE_PEN[],E$1,0),"ERROR")</f>
        <v>816</v>
      </c>
      <c r="F78" s="112">
        <f>IFERROR(VLOOKUP($B78,MMWR_TRAD_AGG_STATE_PEN[],F$1,0),"ERROR")</f>
        <v>202</v>
      </c>
      <c r="G78" s="113">
        <f t="shared" si="8"/>
        <v>0.24754901960784315</v>
      </c>
      <c r="H78" s="111">
        <f>IFERROR(VLOOKUP($B78,MMWR_TRAD_AGG_STATE_PEN[],H$1,0),"ERROR")</f>
        <v>609</v>
      </c>
      <c r="I78" s="112">
        <f>IFERROR(VLOOKUP($B78,MMWR_TRAD_AGG_STATE_PEN[],I$1,0),"ERROR")</f>
        <v>237</v>
      </c>
      <c r="J78" s="114">
        <f t="shared" si="9"/>
        <v>0.3891625615763547</v>
      </c>
      <c r="K78" s="111">
        <f>IFERROR(VLOOKUP($B78,MMWR_TRAD_AGG_STATE_PEN[],K$1,0),"ERROR")</f>
        <v>10</v>
      </c>
      <c r="L78" s="112">
        <f>IFERROR(VLOOKUP($B78,MMWR_TRAD_AGG_STATE_PEN[],L$1,0),"ERROR")</f>
        <v>10</v>
      </c>
      <c r="M78" s="114">
        <f t="shared" si="10"/>
        <v>1</v>
      </c>
      <c r="N78" s="111">
        <f>IFERROR(VLOOKUP($B78,MMWR_TRAD_AGG_STATE_PEN[],N$1,0),"ERROR")</f>
        <v>28</v>
      </c>
      <c r="O78" s="112">
        <f>IFERROR(VLOOKUP($B78,MMWR_TRAD_AGG_STATE_PEN[],O$1,0),"ERROR")</f>
        <v>8</v>
      </c>
      <c r="P78" s="114">
        <f t="shared" si="11"/>
        <v>0.2857142857142857</v>
      </c>
      <c r="Q78" s="115">
        <f>IFERROR(VLOOKUP($B78,MMWR_TRAD_AGG_STATE_PEN[],Q$1,0),"ERROR")</f>
        <v>78</v>
      </c>
      <c r="R78" s="115">
        <f>IFERROR(VLOOKUP($B78,MMWR_TRAD_AGG_STATE_PEN[],R$1,0),"ERROR")</f>
        <v>209</v>
      </c>
      <c r="S78" s="115">
        <f>IFERROR(VLOOKUP($B78,MMWR_APP_STATE_PEN[],S$1,0),"ERROR")</f>
        <v>182</v>
      </c>
      <c r="T78" s="28"/>
    </row>
    <row r="79" spans="1:20" s="123" customFormat="1" x14ac:dyDescent="0.2">
      <c r="A79" s="28"/>
      <c r="B79" s="127" t="s">
        <v>63</v>
      </c>
      <c r="C79" s="109">
        <f>IFERROR(VLOOKUP($B79,MMWR_TRAD_AGG_STATE_PEN[],C$1,0),"ERROR")</f>
        <v>1269</v>
      </c>
      <c r="D79" s="110">
        <f>IFERROR(VLOOKUP($B79,MMWR_TRAD_AGG_STATE_PEN[],D$1,0),"ERROR")</f>
        <v>94.037825059100001</v>
      </c>
      <c r="E79" s="111">
        <f>IFERROR(VLOOKUP($B79,MMWR_TRAD_AGG_STATE_PEN[],E$1,0),"ERROR")</f>
        <v>2328</v>
      </c>
      <c r="F79" s="112">
        <f>IFERROR(VLOOKUP($B79,MMWR_TRAD_AGG_STATE_PEN[],F$1,0),"ERROR")</f>
        <v>530</v>
      </c>
      <c r="G79" s="113">
        <f t="shared" si="8"/>
        <v>0.22766323024054982</v>
      </c>
      <c r="H79" s="111">
        <f>IFERROR(VLOOKUP($B79,MMWR_TRAD_AGG_STATE_PEN[],H$1,0),"ERROR")</f>
        <v>1774</v>
      </c>
      <c r="I79" s="112">
        <f>IFERROR(VLOOKUP($B79,MMWR_TRAD_AGG_STATE_PEN[],I$1,0),"ERROR")</f>
        <v>592</v>
      </c>
      <c r="J79" s="114">
        <f t="shared" si="9"/>
        <v>0.33370913190529877</v>
      </c>
      <c r="K79" s="111">
        <f>IFERROR(VLOOKUP($B79,MMWR_TRAD_AGG_STATE_PEN[],K$1,0),"ERROR")</f>
        <v>26</v>
      </c>
      <c r="L79" s="112">
        <f>IFERROR(VLOOKUP($B79,MMWR_TRAD_AGG_STATE_PEN[],L$1,0),"ERROR")</f>
        <v>26</v>
      </c>
      <c r="M79" s="114">
        <f t="shared" si="10"/>
        <v>1</v>
      </c>
      <c r="N79" s="111">
        <f>IFERROR(VLOOKUP($B79,MMWR_TRAD_AGG_STATE_PEN[],N$1,0),"ERROR")</f>
        <v>78</v>
      </c>
      <c r="O79" s="112">
        <f>IFERROR(VLOOKUP($B79,MMWR_TRAD_AGG_STATE_PEN[],O$1,0),"ERROR")</f>
        <v>28</v>
      </c>
      <c r="P79" s="114">
        <f t="shared" si="11"/>
        <v>0.35897435897435898</v>
      </c>
      <c r="Q79" s="115">
        <f>IFERROR(VLOOKUP($B79,MMWR_TRAD_AGG_STATE_PEN[],Q$1,0),"ERROR")</f>
        <v>175</v>
      </c>
      <c r="R79" s="115">
        <f>IFERROR(VLOOKUP($B79,MMWR_TRAD_AGG_STATE_PEN[],R$1,0),"ERROR")</f>
        <v>394</v>
      </c>
      <c r="S79" s="115">
        <f>IFERROR(VLOOKUP($B79,MMWR_APP_STATE_PEN[],S$1,0),"ERROR")</f>
        <v>255</v>
      </c>
      <c r="T79" s="28"/>
    </row>
    <row r="80" spans="1:20" s="123" customFormat="1" x14ac:dyDescent="0.2">
      <c r="A80" s="28"/>
      <c r="B80" s="127" t="s">
        <v>386</v>
      </c>
      <c r="C80" s="109">
        <f>IFERROR(VLOOKUP($B80,MMWR_TRAD_AGG_STATE_PEN[],C$1,0),"ERROR")</f>
        <v>1476</v>
      </c>
      <c r="D80" s="110">
        <f>IFERROR(VLOOKUP($B80,MMWR_TRAD_AGG_STATE_PEN[],D$1,0),"ERROR")</f>
        <v>91.680216802199993</v>
      </c>
      <c r="E80" s="111">
        <f>IFERROR(VLOOKUP($B80,MMWR_TRAD_AGG_STATE_PEN[],E$1,0),"ERROR")</f>
        <v>1636</v>
      </c>
      <c r="F80" s="112">
        <f>IFERROR(VLOOKUP($B80,MMWR_TRAD_AGG_STATE_PEN[],F$1,0),"ERROR")</f>
        <v>372</v>
      </c>
      <c r="G80" s="113">
        <f t="shared" si="8"/>
        <v>0.22738386308068459</v>
      </c>
      <c r="H80" s="111">
        <f>IFERROR(VLOOKUP($B80,MMWR_TRAD_AGG_STATE_PEN[],H$1,0),"ERROR")</f>
        <v>1959</v>
      </c>
      <c r="I80" s="112">
        <f>IFERROR(VLOOKUP($B80,MMWR_TRAD_AGG_STATE_PEN[],I$1,0),"ERROR")</f>
        <v>618</v>
      </c>
      <c r="J80" s="114">
        <f t="shared" si="9"/>
        <v>0.31546707503828486</v>
      </c>
      <c r="K80" s="111">
        <f>IFERROR(VLOOKUP($B80,MMWR_TRAD_AGG_STATE_PEN[],K$1,0),"ERROR")</f>
        <v>36</v>
      </c>
      <c r="L80" s="112">
        <f>IFERROR(VLOOKUP($B80,MMWR_TRAD_AGG_STATE_PEN[],L$1,0),"ERROR")</f>
        <v>35</v>
      </c>
      <c r="M80" s="114">
        <f t="shared" si="10"/>
        <v>0.97222222222222221</v>
      </c>
      <c r="N80" s="111">
        <f>IFERROR(VLOOKUP($B80,MMWR_TRAD_AGG_STATE_PEN[],N$1,0),"ERROR")</f>
        <v>100</v>
      </c>
      <c r="O80" s="112">
        <f>IFERROR(VLOOKUP($B80,MMWR_TRAD_AGG_STATE_PEN[],O$1,0),"ERROR")</f>
        <v>38</v>
      </c>
      <c r="P80" s="114">
        <f t="shared" si="11"/>
        <v>0.38</v>
      </c>
      <c r="Q80" s="115">
        <f>IFERROR(VLOOKUP($B80,MMWR_TRAD_AGG_STATE_PEN[],Q$1,0),"ERROR")</f>
        <v>302</v>
      </c>
      <c r="R80" s="115">
        <f>IFERROR(VLOOKUP($B80,MMWR_TRAD_AGG_STATE_PEN[],R$1,0),"ERROR")</f>
        <v>471</v>
      </c>
      <c r="S80" s="115">
        <f>IFERROR(VLOOKUP($B80,MMWR_APP_STATE_PEN[],S$1,0),"ERROR")</f>
        <v>210</v>
      </c>
      <c r="T80" s="28"/>
    </row>
    <row r="81" spans="1:20" s="123" customFormat="1" x14ac:dyDescent="0.2">
      <c r="A81" s="28"/>
      <c r="B81" s="127" t="s">
        <v>379</v>
      </c>
      <c r="C81" s="109">
        <f>IFERROR(VLOOKUP($B81,MMWR_TRAD_AGG_STATE_PEN[],C$1,0),"ERROR")</f>
        <v>1641</v>
      </c>
      <c r="D81" s="110">
        <f>IFERROR(VLOOKUP($B81,MMWR_TRAD_AGG_STATE_PEN[],D$1,0),"ERROR")</f>
        <v>96.176721511300002</v>
      </c>
      <c r="E81" s="111">
        <f>IFERROR(VLOOKUP($B81,MMWR_TRAD_AGG_STATE_PEN[],E$1,0),"ERROR")</f>
        <v>2712</v>
      </c>
      <c r="F81" s="112">
        <f>IFERROR(VLOOKUP($B81,MMWR_TRAD_AGG_STATE_PEN[],F$1,0),"ERROR")</f>
        <v>602</v>
      </c>
      <c r="G81" s="113">
        <f t="shared" si="8"/>
        <v>0.221976401179941</v>
      </c>
      <c r="H81" s="111">
        <f>IFERROR(VLOOKUP($B81,MMWR_TRAD_AGG_STATE_PEN[],H$1,0),"ERROR")</f>
        <v>2277</v>
      </c>
      <c r="I81" s="112">
        <f>IFERROR(VLOOKUP($B81,MMWR_TRAD_AGG_STATE_PEN[],I$1,0),"ERROR")</f>
        <v>788</v>
      </c>
      <c r="J81" s="114">
        <f t="shared" si="9"/>
        <v>0.34606938954765043</v>
      </c>
      <c r="K81" s="111">
        <f>IFERROR(VLOOKUP($B81,MMWR_TRAD_AGG_STATE_PEN[],K$1,0),"ERROR")</f>
        <v>21</v>
      </c>
      <c r="L81" s="112">
        <f>IFERROR(VLOOKUP($B81,MMWR_TRAD_AGG_STATE_PEN[],L$1,0),"ERROR")</f>
        <v>19</v>
      </c>
      <c r="M81" s="114">
        <f t="shared" si="10"/>
        <v>0.90476190476190477</v>
      </c>
      <c r="N81" s="111">
        <f>IFERROR(VLOOKUP($B81,MMWR_TRAD_AGG_STATE_PEN[],N$1,0),"ERROR")</f>
        <v>116</v>
      </c>
      <c r="O81" s="112">
        <f>IFERROR(VLOOKUP($B81,MMWR_TRAD_AGG_STATE_PEN[],O$1,0),"ERROR")</f>
        <v>19</v>
      </c>
      <c r="P81" s="114">
        <f t="shared" si="11"/>
        <v>0.16379310344827586</v>
      </c>
      <c r="Q81" s="115">
        <f>IFERROR(VLOOKUP($B81,MMWR_TRAD_AGG_STATE_PEN[],Q$1,0),"ERROR")</f>
        <v>192</v>
      </c>
      <c r="R81" s="115">
        <f>IFERROR(VLOOKUP($B81,MMWR_TRAD_AGG_STATE_PEN[],R$1,0),"ERROR")</f>
        <v>471</v>
      </c>
      <c r="S81" s="115">
        <f>IFERROR(VLOOKUP($B81,MMWR_APP_STATE_PEN[],S$1,0),"ERROR")</f>
        <v>255</v>
      </c>
      <c r="T81" s="28"/>
    </row>
    <row r="82" spans="1:20" s="123" customFormat="1" x14ac:dyDescent="0.2">
      <c r="A82" s="28"/>
      <c r="B82" s="127" t="s">
        <v>376</v>
      </c>
      <c r="C82" s="109">
        <f>IFERROR(VLOOKUP($B82,MMWR_TRAD_AGG_STATE_PEN[],C$1,0),"ERROR")</f>
        <v>100</v>
      </c>
      <c r="D82" s="110">
        <f>IFERROR(VLOOKUP($B82,MMWR_TRAD_AGG_STATE_PEN[],D$1,0),"ERROR")</f>
        <v>85.17</v>
      </c>
      <c r="E82" s="111">
        <f>IFERROR(VLOOKUP($B82,MMWR_TRAD_AGG_STATE_PEN[],E$1,0),"ERROR")</f>
        <v>172</v>
      </c>
      <c r="F82" s="112">
        <f>IFERROR(VLOOKUP($B82,MMWR_TRAD_AGG_STATE_PEN[],F$1,0),"ERROR")</f>
        <v>34</v>
      </c>
      <c r="G82" s="113">
        <f t="shared" si="8"/>
        <v>0.19767441860465115</v>
      </c>
      <c r="H82" s="111">
        <f>IFERROR(VLOOKUP($B82,MMWR_TRAD_AGG_STATE_PEN[],H$1,0),"ERROR")</f>
        <v>146</v>
      </c>
      <c r="I82" s="112">
        <f>IFERROR(VLOOKUP($B82,MMWR_TRAD_AGG_STATE_PEN[],I$1,0),"ERROR")</f>
        <v>48</v>
      </c>
      <c r="J82" s="114">
        <f t="shared" si="9"/>
        <v>0.32876712328767121</v>
      </c>
      <c r="K82" s="111">
        <f>IFERROR(VLOOKUP($B82,MMWR_TRAD_AGG_STATE_PEN[],K$1,0),"ERROR")</f>
        <v>4</v>
      </c>
      <c r="L82" s="112">
        <f>IFERROR(VLOOKUP($B82,MMWR_TRAD_AGG_STATE_PEN[],L$1,0),"ERROR")</f>
        <v>4</v>
      </c>
      <c r="M82" s="114">
        <f t="shared" si="10"/>
        <v>1</v>
      </c>
      <c r="N82" s="111">
        <f>IFERROR(VLOOKUP($B82,MMWR_TRAD_AGG_STATE_PEN[],N$1,0),"ERROR")</f>
        <v>12</v>
      </c>
      <c r="O82" s="112">
        <f>IFERROR(VLOOKUP($B82,MMWR_TRAD_AGG_STATE_PEN[],O$1,0),"ERROR")</f>
        <v>4</v>
      </c>
      <c r="P82" s="114">
        <f t="shared" si="11"/>
        <v>0.33333333333333331</v>
      </c>
      <c r="Q82" s="115">
        <f>IFERROR(VLOOKUP($B82,MMWR_TRAD_AGG_STATE_PEN[],Q$1,0),"ERROR")</f>
        <v>18</v>
      </c>
      <c r="R82" s="115">
        <f>IFERROR(VLOOKUP($B82,MMWR_TRAD_AGG_STATE_PEN[],R$1,0),"ERROR")</f>
        <v>35</v>
      </c>
      <c r="S82" s="115">
        <f>IFERROR(VLOOKUP($B82,MMWR_APP_STATE_PEN[],S$1,0),"ERROR")</f>
        <v>22</v>
      </c>
      <c r="T82" s="28"/>
    </row>
    <row r="83" spans="1:20" s="123" customFormat="1" x14ac:dyDescent="0.2">
      <c r="A83" s="28"/>
      <c r="B83" s="127" t="s">
        <v>421</v>
      </c>
      <c r="C83" s="109">
        <f>IFERROR(VLOOKUP($B83,MMWR_TRAD_AGG_STATE_PEN[],C$1,0),"ERROR")</f>
        <v>40</v>
      </c>
      <c r="D83" s="110">
        <f>IFERROR(VLOOKUP($B83,MMWR_TRAD_AGG_STATE_PEN[],D$1,0),"ERROR")</f>
        <v>83.525000000000006</v>
      </c>
      <c r="E83" s="111">
        <f>IFERROR(VLOOKUP($B83,MMWR_TRAD_AGG_STATE_PEN[],E$1,0),"ERROR")</f>
        <v>53</v>
      </c>
      <c r="F83" s="112">
        <f>IFERROR(VLOOKUP($B83,MMWR_TRAD_AGG_STATE_PEN[],F$1,0),"ERROR")</f>
        <v>6</v>
      </c>
      <c r="G83" s="113">
        <f t="shared" si="8"/>
        <v>0.11320754716981132</v>
      </c>
      <c r="H83" s="111">
        <f>IFERROR(VLOOKUP($B83,MMWR_TRAD_AGG_STATE_PEN[],H$1,0),"ERROR")</f>
        <v>46</v>
      </c>
      <c r="I83" s="112">
        <f>IFERROR(VLOOKUP($B83,MMWR_TRAD_AGG_STATE_PEN[],I$1,0),"ERROR")</f>
        <v>13</v>
      </c>
      <c r="J83" s="114">
        <f t="shared" si="9"/>
        <v>0.28260869565217389</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2</v>
      </c>
      <c r="P83" s="114">
        <f t="shared" si="11"/>
        <v>0.5</v>
      </c>
      <c r="Q83" s="115">
        <f>IFERROR(VLOOKUP($B83,MMWR_TRAD_AGG_STATE_PEN[],Q$1,0),"ERROR")</f>
        <v>8</v>
      </c>
      <c r="R83" s="115">
        <f>IFERROR(VLOOKUP($B83,MMWR_TRAD_AGG_STATE_PEN[],R$1,0),"ERROR")</f>
        <v>9</v>
      </c>
      <c r="S83" s="115">
        <f>IFERROR(VLOOKUP($B83,MMWR_APP_STATE_PEN[],S$1,0),"ERROR")</f>
        <v>10</v>
      </c>
      <c r="T83" s="28"/>
    </row>
    <row r="84" spans="1:20" s="123" customFormat="1" x14ac:dyDescent="0.2">
      <c r="A84" s="28"/>
      <c r="B84" s="127" t="s">
        <v>382</v>
      </c>
      <c r="C84" s="109">
        <f>IFERROR(VLOOKUP($B84,MMWR_TRAD_AGG_STATE_PEN[],C$1,0),"ERROR")</f>
        <v>823</v>
      </c>
      <c r="D84" s="110">
        <f>IFERROR(VLOOKUP($B84,MMWR_TRAD_AGG_STATE_PEN[],D$1,0),"ERROR")</f>
        <v>91.147023086299995</v>
      </c>
      <c r="E84" s="111">
        <f>IFERROR(VLOOKUP($B84,MMWR_TRAD_AGG_STATE_PEN[],E$1,0),"ERROR")</f>
        <v>867</v>
      </c>
      <c r="F84" s="112">
        <f>IFERROR(VLOOKUP($B84,MMWR_TRAD_AGG_STATE_PEN[],F$1,0),"ERROR")</f>
        <v>181</v>
      </c>
      <c r="G84" s="113">
        <f t="shared" si="8"/>
        <v>0.20876585928489041</v>
      </c>
      <c r="H84" s="111">
        <f>IFERROR(VLOOKUP($B84,MMWR_TRAD_AGG_STATE_PEN[],H$1,0),"ERROR")</f>
        <v>1093</v>
      </c>
      <c r="I84" s="112">
        <f>IFERROR(VLOOKUP($B84,MMWR_TRAD_AGG_STATE_PEN[],I$1,0),"ERROR")</f>
        <v>342</v>
      </c>
      <c r="J84" s="114">
        <f t="shared" si="9"/>
        <v>0.31290027447392499</v>
      </c>
      <c r="K84" s="111">
        <f>IFERROR(VLOOKUP($B84,MMWR_TRAD_AGG_STATE_PEN[],K$1,0),"ERROR")</f>
        <v>146</v>
      </c>
      <c r="L84" s="112">
        <f>IFERROR(VLOOKUP($B84,MMWR_TRAD_AGG_STATE_PEN[],L$1,0),"ERROR")</f>
        <v>146</v>
      </c>
      <c r="M84" s="114">
        <f t="shared" si="10"/>
        <v>1</v>
      </c>
      <c r="N84" s="111">
        <f>IFERROR(VLOOKUP($B84,MMWR_TRAD_AGG_STATE_PEN[],N$1,0),"ERROR")</f>
        <v>61</v>
      </c>
      <c r="O84" s="112">
        <f>IFERROR(VLOOKUP($B84,MMWR_TRAD_AGG_STATE_PEN[],O$1,0),"ERROR")</f>
        <v>28</v>
      </c>
      <c r="P84" s="114">
        <f t="shared" si="11"/>
        <v>0.45901639344262296</v>
      </c>
      <c r="Q84" s="115">
        <f>IFERROR(VLOOKUP($B84,MMWR_TRAD_AGG_STATE_PEN[],Q$1,0),"ERROR")</f>
        <v>182</v>
      </c>
      <c r="R84" s="115">
        <f>IFERROR(VLOOKUP($B84,MMWR_TRAD_AGG_STATE_PEN[],R$1,0),"ERROR")</f>
        <v>332</v>
      </c>
      <c r="S84" s="115">
        <f>IFERROR(VLOOKUP($B84,MMWR_APP_STATE_PEN[],S$1,0),"ERROR")</f>
        <v>162</v>
      </c>
      <c r="T84" s="28"/>
    </row>
    <row r="85" spans="1:20" s="123" customFormat="1" x14ac:dyDescent="0.2">
      <c r="A85" s="28"/>
      <c r="B85" s="127" t="s">
        <v>383</v>
      </c>
      <c r="C85" s="109">
        <f>IFERROR(VLOOKUP($B85,MMWR_TRAD_AGG_STATE_PEN[],C$1,0),"ERROR")</f>
        <v>275</v>
      </c>
      <c r="D85" s="110">
        <f>IFERROR(VLOOKUP($B85,MMWR_TRAD_AGG_STATE_PEN[],D$1,0),"ERROR")</f>
        <v>89.669090909100007</v>
      </c>
      <c r="E85" s="111">
        <f>IFERROR(VLOOKUP($B85,MMWR_TRAD_AGG_STATE_PEN[],E$1,0),"ERROR")</f>
        <v>304</v>
      </c>
      <c r="F85" s="112">
        <f>IFERROR(VLOOKUP($B85,MMWR_TRAD_AGG_STATE_PEN[],F$1,0),"ERROR")</f>
        <v>61</v>
      </c>
      <c r="G85" s="113">
        <f t="shared" si="8"/>
        <v>0.20065789473684212</v>
      </c>
      <c r="H85" s="111">
        <f>IFERROR(VLOOKUP($B85,MMWR_TRAD_AGG_STATE_PEN[],H$1,0),"ERROR")</f>
        <v>353</v>
      </c>
      <c r="I85" s="112">
        <f>IFERROR(VLOOKUP($B85,MMWR_TRAD_AGG_STATE_PEN[],I$1,0),"ERROR")</f>
        <v>108</v>
      </c>
      <c r="J85" s="114">
        <f t="shared" si="9"/>
        <v>0.30594900849858359</v>
      </c>
      <c r="K85" s="111">
        <f>IFERROR(VLOOKUP($B85,MMWR_TRAD_AGG_STATE_PEN[],K$1,0),"ERROR")</f>
        <v>2</v>
      </c>
      <c r="L85" s="112">
        <f>IFERROR(VLOOKUP($B85,MMWR_TRAD_AGG_STATE_PEN[],L$1,0),"ERROR")</f>
        <v>2</v>
      </c>
      <c r="M85" s="114">
        <f t="shared" si="10"/>
        <v>1</v>
      </c>
      <c r="N85" s="111">
        <f>IFERROR(VLOOKUP($B85,MMWR_TRAD_AGG_STATE_PEN[],N$1,0),"ERROR")</f>
        <v>18</v>
      </c>
      <c r="O85" s="112">
        <f>IFERROR(VLOOKUP($B85,MMWR_TRAD_AGG_STATE_PEN[],O$1,0),"ERROR")</f>
        <v>9</v>
      </c>
      <c r="P85" s="114">
        <f t="shared" si="11"/>
        <v>0.5</v>
      </c>
      <c r="Q85" s="115">
        <f>IFERROR(VLOOKUP($B85,MMWR_TRAD_AGG_STATE_PEN[],Q$1,0),"ERROR")</f>
        <v>55</v>
      </c>
      <c r="R85" s="115">
        <f>IFERROR(VLOOKUP($B85,MMWR_TRAD_AGG_STATE_PEN[],R$1,0),"ERROR")</f>
        <v>76</v>
      </c>
      <c r="S85" s="115">
        <f>IFERROR(VLOOKUP($B85,MMWR_APP_STATE_PEN[],S$1,0),"ERROR")</f>
        <v>47</v>
      </c>
      <c r="T85" s="28"/>
    </row>
    <row r="86" spans="1:20" s="123" customFormat="1" x14ac:dyDescent="0.2">
      <c r="A86" s="28"/>
      <c r="B86" s="126" t="s">
        <v>394</v>
      </c>
      <c r="C86" s="102">
        <f>IFERROR(VLOOKUP($B86,MMWR_TRAD_AGG_ST_DISTRICT_PEN[],C$1,0),"ERROR")</f>
        <v>2265</v>
      </c>
      <c r="D86" s="103">
        <f>IFERROR(VLOOKUP($B86,MMWR_TRAD_AGG_ST_DISTRICT_PEN[],D$1,0),"ERROR")</f>
        <v>49.305077262700003</v>
      </c>
      <c r="E86" s="102">
        <f>IFERROR(VLOOKUP($B86,MMWR_TRAD_AGG_ST_DISTRICT_PEN[],E$1,0),"ERROR")</f>
        <v>5866</v>
      </c>
      <c r="F86" s="102">
        <f>IFERROR(VLOOKUP($B86,MMWR_TRAD_AGG_ST_DISTRICT_PEN[],F$1,0),"ERROR")</f>
        <v>604</v>
      </c>
      <c r="G86" s="104">
        <f t="shared" si="8"/>
        <v>0.10296624616433686</v>
      </c>
      <c r="H86" s="102">
        <f>IFERROR(VLOOKUP($B86,MMWR_TRAD_AGG_ST_DISTRICT_PEN[],H$1,0),"ERROR")</f>
        <v>3643</v>
      </c>
      <c r="I86" s="102">
        <f>IFERROR(VLOOKUP($B86,MMWR_TRAD_AGG_ST_DISTRICT_PEN[],I$1,0),"ERROR")</f>
        <v>198</v>
      </c>
      <c r="J86" s="104">
        <f t="shared" si="9"/>
        <v>5.4350809772165797E-2</v>
      </c>
      <c r="K86" s="102">
        <f>IFERROR(VLOOKUP($B86,MMWR_TRAD_AGG_ST_DISTRICT_PEN[],K$1,0),"ERROR")</f>
        <v>15</v>
      </c>
      <c r="L86" s="102">
        <f>IFERROR(VLOOKUP($B86,MMWR_TRAD_AGG_ST_DISTRICT_PEN[],L$1,0),"ERROR")</f>
        <v>12</v>
      </c>
      <c r="M86" s="104">
        <f t="shared" si="10"/>
        <v>0.8</v>
      </c>
      <c r="N86" s="102">
        <f>IFERROR(VLOOKUP($B86,MMWR_TRAD_AGG_ST_DISTRICT_PEN[],N$1,0),"ERROR")</f>
        <v>267</v>
      </c>
      <c r="O86" s="102">
        <f>IFERROR(VLOOKUP($B86,MMWR_TRAD_AGG_ST_DISTRICT_PEN[],O$1,0),"ERROR")</f>
        <v>75</v>
      </c>
      <c r="P86" s="104">
        <f t="shared" si="11"/>
        <v>0.2808988764044944</v>
      </c>
      <c r="Q86" s="102">
        <f>IFERROR(VLOOKUP($B86,MMWR_TRAD_AGG_ST_DISTRICT_PEN[],Q$1,0),"ERROR")</f>
        <v>1919</v>
      </c>
      <c r="R86" s="106">
        <f>IFERROR(VLOOKUP($B86,MMWR_TRAD_AGG_ST_DISTRICT_PEN[],R$1,0),"ERROR")</f>
        <v>544</v>
      </c>
      <c r="S86" s="106">
        <f>IFERROR(VLOOKUP($B86,MMWR_APP_STATE_PEN[],S$1,0),"ERROR")</f>
        <v>1613</v>
      </c>
      <c r="T86" s="28"/>
    </row>
    <row r="87" spans="1:20" s="123" customFormat="1" x14ac:dyDescent="0.2">
      <c r="A87" s="28"/>
      <c r="B87" s="127" t="s">
        <v>398</v>
      </c>
      <c r="C87" s="109">
        <f>IFERROR(VLOOKUP($B87,MMWR_TRAD_AGG_STATE_PEN[],C$1,0),"ERROR")</f>
        <v>280</v>
      </c>
      <c r="D87" s="110">
        <f>IFERROR(VLOOKUP($B87,MMWR_TRAD_AGG_STATE_PEN[],D$1,0),"ERROR")</f>
        <v>57.9142857143</v>
      </c>
      <c r="E87" s="111">
        <f>IFERROR(VLOOKUP($B87,MMWR_TRAD_AGG_STATE_PEN[],E$1,0),"ERROR")</f>
        <v>890</v>
      </c>
      <c r="F87" s="112">
        <f>IFERROR(VLOOKUP($B87,MMWR_TRAD_AGG_STATE_PEN[],F$1,0),"ERROR")</f>
        <v>112</v>
      </c>
      <c r="G87" s="113">
        <f t="shared" si="8"/>
        <v>0.12584269662921349</v>
      </c>
      <c r="H87" s="111">
        <f>IFERROR(VLOOKUP($B87,MMWR_TRAD_AGG_STATE_PEN[],H$1,0),"ERROR")</f>
        <v>456</v>
      </c>
      <c r="I87" s="112">
        <f>IFERROR(VLOOKUP($B87,MMWR_TRAD_AGG_STATE_PEN[],I$1,0),"ERROR")</f>
        <v>27</v>
      </c>
      <c r="J87" s="114">
        <f t="shared" si="9"/>
        <v>5.921052631578947E-2</v>
      </c>
      <c r="K87" s="111">
        <f>IFERROR(VLOOKUP($B87,MMWR_TRAD_AGG_STATE_PEN[],K$1,0),"ERROR")</f>
        <v>1</v>
      </c>
      <c r="L87" s="112">
        <f>IFERROR(VLOOKUP($B87,MMWR_TRAD_AGG_STATE_PEN[],L$1,0),"ERROR")</f>
        <v>1</v>
      </c>
      <c r="M87" s="114">
        <f t="shared" si="10"/>
        <v>1</v>
      </c>
      <c r="N87" s="111">
        <f>IFERROR(VLOOKUP($B87,MMWR_TRAD_AGG_STATE_PEN[],N$1,0),"ERROR")</f>
        <v>42</v>
      </c>
      <c r="O87" s="112">
        <f>IFERROR(VLOOKUP($B87,MMWR_TRAD_AGG_STATE_PEN[],O$1,0),"ERROR")</f>
        <v>10</v>
      </c>
      <c r="P87" s="114">
        <f t="shared" si="11"/>
        <v>0.23809523809523808</v>
      </c>
      <c r="Q87" s="115">
        <f>IFERROR(VLOOKUP($B87,MMWR_TRAD_AGG_STATE_PEN[],Q$1,0),"ERROR")</f>
        <v>94</v>
      </c>
      <c r="R87" s="115">
        <f>IFERROR(VLOOKUP($B87,MMWR_TRAD_AGG_STATE_PEN[],R$1,0),"ERROR")</f>
        <v>120</v>
      </c>
      <c r="S87" s="115">
        <f>IFERROR(VLOOKUP($B87,MMWR_APP_STATE_PEN[],S$1,0),"ERROR")</f>
        <v>350</v>
      </c>
      <c r="T87" s="28"/>
    </row>
    <row r="88" spans="1:20" s="123" customFormat="1" x14ac:dyDescent="0.2">
      <c r="A88" s="28"/>
      <c r="B88" s="127" t="s">
        <v>396</v>
      </c>
      <c r="C88" s="109">
        <f>IFERROR(VLOOKUP($B88,MMWR_TRAD_AGG_STATE_PEN[],C$1,0),"ERROR")</f>
        <v>196</v>
      </c>
      <c r="D88" s="110">
        <f>IFERROR(VLOOKUP($B88,MMWR_TRAD_AGG_STATE_PEN[],D$1,0),"ERROR")</f>
        <v>60.448979591799997</v>
      </c>
      <c r="E88" s="111">
        <f>IFERROR(VLOOKUP($B88,MMWR_TRAD_AGG_STATE_PEN[],E$1,0),"ERROR")</f>
        <v>611</v>
      </c>
      <c r="F88" s="112">
        <f>IFERROR(VLOOKUP($B88,MMWR_TRAD_AGG_STATE_PEN[],F$1,0),"ERROR")</f>
        <v>75</v>
      </c>
      <c r="G88" s="113">
        <f t="shared" si="8"/>
        <v>0.12274959083469722</v>
      </c>
      <c r="H88" s="111">
        <f>IFERROR(VLOOKUP($B88,MMWR_TRAD_AGG_STATE_PEN[],H$1,0),"ERROR")</f>
        <v>332</v>
      </c>
      <c r="I88" s="112">
        <f>IFERROR(VLOOKUP($B88,MMWR_TRAD_AGG_STATE_PEN[],I$1,0),"ERROR")</f>
        <v>27</v>
      </c>
      <c r="J88" s="114">
        <f t="shared" si="9"/>
        <v>8.1325301204819275E-2</v>
      </c>
      <c r="K88" s="111">
        <f>IFERROR(VLOOKUP($B88,MMWR_TRAD_AGG_STATE_PEN[],K$1,0),"ERROR")</f>
        <v>2</v>
      </c>
      <c r="L88" s="112">
        <f>IFERROR(VLOOKUP($B88,MMWR_TRAD_AGG_STATE_PEN[],L$1,0),"ERROR")</f>
        <v>2</v>
      </c>
      <c r="M88" s="114">
        <f t="shared" si="10"/>
        <v>1</v>
      </c>
      <c r="N88" s="111">
        <f>IFERROR(VLOOKUP($B88,MMWR_TRAD_AGG_STATE_PEN[],N$1,0),"ERROR")</f>
        <v>24</v>
      </c>
      <c r="O88" s="112">
        <f>IFERROR(VLOOKUP($B88,MMWR_TRAD_AGG_STATE_PEN[],O$1,0),"ERROR")</f>
        <v>10</v>
      </c>
      <c r="P88" s="114">
        <f t="shared" si="11"/>
        <v>0.41666666666666669</v>
      </c>
      <c r="Q88" s="115">
        <f>IFERROR(VLOOKUP($B88,MMWR_TRAD_AGG_STATE_PEN[],Q$1,0),"ERROR")</f>
        <v>52</v>
      </c>
      <c r="R88" s="115">
        <f>IFERROR(VLOOKUP($B88,MMWR_TRAD_AGG_STATE_PEN[],R$1,0),"ERROR")</f>
        <v>63</v>
      </c>
      <c r="S88" s="115">
        <f>IFERROR(VLOOKUP($B88,MMWR_APP_STATE_PEN[],S$1,0),"ERROR")</f>
        <v>173</v>
      </c>
      <c r="T88" s="28"/>
    </row>
    <row r="89" spans="1:20" s="123" customFormat="1" x14ac:dyDescent="0.2">
      <c r="A89" s="28"/>
      <c r="B89" s="127" t="s">
        <v>403</v>
      </c>
      <c r="C89" s="109">
        <f>IFERROR(VLOOKUP($B89,MMWR_TRAD_AGG_STATE_PEN[],C$1,0),"ERROR")</f>
        <v>131</v>
      </c>
      <c r="D89" s="110">
        <f>IFERROR(VLOOKUP($B89,MMWR_TRAD_AGG_STATE_PEN[],D$1,0),"ERROR")</f>
        <v>43.450381679400003</v>
      </c>
      <c r="E89" s="111">
        <f>IFERROR(VLOOKUP($B89,MMWR_TRAD_AGG_STATE_PEN[],E$1,0),"ERROR")</f>
        <v>254</v>
      </c>
      <c r="F89" s="112">
        <f>IFERROR(VLOOKUP($B89,MMWR_TRAD_AGG_STATE_PEN[],F$1,0),"ERROR")</f>
        <v>9</v>
      </c>
      <c r="G89" s="113">
        <f t="shared" si="8"/>
        <v>3.5433070866141732E-2</v>
      </c>
      <c r="H89" s="111">
        <f>IFERROR(VLOOKUP($B89,MMWR_TRAD_AGG_STATE_PEN[],H$1,0),"ERROR")</f>
        <v>192</v>
      </c>
      <c r="I89" s="112">
        <f>IFERROR(VLOOKUP($B89,MMWR_TRAD_AGG_STATE_PEN[],I$1,0),"ERROR")</f>
        <v>2</v>
      </c>
      <c r="J89" s="114">
        <f t="shared" si="9"/>
        <v>1.0416666666666666E-2</v>
      </c>
      <c r="K89" s="111">
        <f>IFERROR(VLOOKUP($B89,MMWR_TRAD_AGG_STATE_PEN[],K$1,0),"ERROR")</f>
        <v>0</v>
      </c>
      <c r="L89" s="112">
        <f>IFERROR(VLOOKUP($B89,MMWR_TRAD_AGG_STATE_PEN[],L$1,0),"ERROR")</f>
        <v>0</v>
      </c>
      <c r="M89" s="114" t="str">
        <f t="shared" si="10"/>
        <v>0%</v>
      </c>
      <c r="N89" s="111">
        <f>IFERROR(VLOOKUP($B89,MMWR_TRAD_AGG_STATE_PEN[],N$1,0),"ERROR")</f>
        <v>8</v>
      </c>
      <c r="O89" s="112">
        <f>IFERROR(VLOOKUP($B89,MMWR_TRAD_AGG_STATE_PEN[],O$1,0),"ERROR")</f>
        <v>2</v>
      </c>
      <c r="P89" s="114">
        <f t="shared" si="11"/>
        <v>0.25</v>
      </c>
      <c r="Q89" s="115">
        <f>IFERROR(VLOOKUP($B89,MMWR_TRAD_AGG_STATE_PEN[],Q$1,0),"ERROR")</f>
        <v>289</v>
      </c>
      <c r="R89" s="115">
        <f>IFERROR(VLOOKUP($B89,MMWR_TRAD_AGG_STATE_PEN[],R$1,0),"ERROR")</f>
        <v>28</v>
      </c>
      <c r="S89" s="115">
        <f>IFERROR(VLOOKUP($B89,MMWR_APP_STATE_PEN[],S$1,0),"ERROR")</f>
        <v>32</v>
      </c>
      <c r="T89" s="28"/>
    </row>
    <row r="90" spans="1:20" s="123" customFormat="1" x14ac:dyDescent="0.2">
      <c r="A90" s="28"/>
      <c r="B90" s="127" t="s">
        <v>426</v>
      </c>
      <c r="C90" s="109">
        <f>IFERROR(VLOOKUP($B90,MMWR_TRAD_AGG_STATE_PEN[],C$1,0),"ERROR")</f>
        <v>105</v>
      </c>
      <c r="D90" s="110">
        <f>IFERROR(VLOOKUP($B90,MMWR_TRAD_AGG_STATE_PEN[],D$1,0),"ERROR")</f>
        <v>40.114285714300003</v>
      </c>
      <c r="E90" s="111">
        <f>IFERROR(VLOOKUP($B90,MMWR_TRAD_AGG_STATE_PEN[],E$1,0),"ERROR")</f>
        <v>204</v>
      </c>
      <c r="F90" s="112">
        <f>IFERROR(VLOOKUP($B90,MMWR_TRAD_AGG_STATE_PEN[],F$1,0),"ERROR")</f>
        <v>11</v>
      </c>
      <c r="G90" s="113">
        <f t="shared" si="8"/>
        <v>5.3921568627450983E-2</v>
      </c>
      <c r="H90" s="111">
        <f>IFERROR(VLOOKUP($B90,MMWR_TRAD_AGG_STATE_PEN[],H$1,0),"ERROR")</f>
        <v>145</v>
      </c>
      <c r="I90" s="112">
        <f>IFERROR(VLOOKUP($B90,MMWR_TRAD_AGG_STATE_PEN[],I$1,0),"ERROR")</f>
        <v>5</v>
      </c>
      <c r="J90" s="114">
        <f t="shared" si="9"/>
        <v>3.4482758620689655E-2</v>
      </c>
      <c r="K90" s="111">
        <f>IFERROR(VLOOKUP($B90,MMWR_TRAD_AGG_STATE_PEN[],K$1,0),"ERROR")</f>
        <v>0</v>
      </c>
      <c r="L90" s="112">
        <f>IFERROR(VLOOKUP($B90,MMWR_TRAD_AGG_STATE_PEN[],L$1,0),"ERROR")</f>
        <v>0</v>
      </c>
      <c r="M90" s="114" t="str">
        <f t="shared" si="10"/>
        <v>0%</v>
      </c>
      <c r="N90" s="111">
        <f>IFERROR(VLOOKUP($B90,MMWR_TRAD_AGG_STATE_PEN[],N$1,0),"ERROR")</f>
        <v>2</v>
      </c>
      <c r="O90" s="112">
        <f>IFERROR(VLOOKUP($B90,MMWR_TRAD_AGG_STATE_PEN[],O$1,0),"ERROR")</f>
        <v>1</v>
      </c>
      <c r="P90" s="114">
        <f t="shared" si="11"/>
        <v>0.5</v>
      </c>
      <c r="Q90" s="115">
        <f>IFERROR(VLOOKUP($B90,MMWR_TRAD_AGG_STATE_PEN[],Q$1,0),"ERROR")</f>
        <v>158</v>
      </c>
      <c r="R90" s="115">
        <f>IFERROR(VLOOKUP($B90,MMWR_TRAD_AGG_STATE_PEN[],R$1,0),"ERROR")</f>
        <v>17</v>
      </c>
      <c r="S90" s="115">
        <f>IFERROR(VLOOKUP($B90,MMWR_APP_STATE_PEN[],S$1,0),"ERROR")</f>
        <v>33</v>
      </c>
      <c r="T90" s="28"/>
    </row>
    <row r="91" spans="1:20" s="123" customFormat="1" x14ac:dyDescent="0.2">
      <c r="A91" s="28"/>
      <c r="B91" s="127" t="s">
        <v>399</v>
      </c>
      <c r="C91" s="109">
        <f>IFERROR(VLOOKUP($B91,MMWR_TRAD_AGG_STATE_PEN[],C$1,0),"ERROR")</f>
        <v>365</v>
      </c>
      <c r="D91" s="110">
        <f>IFERROR(VLOOKUP($B91,MMWR_TRAD_AGG_STATE_PEN[],D$1,0),"ERROR")</f>
        <v>51.1452054795</v>
      </c>
      <c r="E91" s="111">
        <f>IFERROR(VLOOKUP($B91,MMWR_TRAD_AGG_STATE_PEN[],E$1,0),"ERROR")</f>
        <v>1123</v>
      </c>
      <c r="F91" s="112">
        <f>IFERROR(VLOOKUP($B91,MMWR_TRAD_AGG_STATE_PEN[],F$1,0),"ERROR")</f>
        <v>107</v>
      </c>
      <c r="G91" s="113">
        <f t="shared" si="8"/>
        <v>9.5280498664292071E-2</v>
      </c>
      <c r="H91" s="111">
        <f>IFERROR(VLOOKUP($B91,MMWR_TRAD_AGG_STATE_PEN[],H$1,0),"ERROR")</f>
        <v>603</v>
      </c>
      <c r="I91" s="112">
        <f>IFERROR(VLOOKUP($B91,MMWR_TRAD_AGG_STATE_PEN[],I$1,0),"ERROR")</f>
        <v>37</v>
      </c>
      <c r="J91" s="114">
        <f t="shared" si="9"/>
        <v>6.1359867330016582E-2</v>
      </c>
      <c r="K91" s="111">
        <f>IFERROR(VLOOKUP($B91,MMWR_TRAD_AGG_STATE_PEN[],K$1,0),"ERROR")</f>
        <v>1</v>
      </c>
      <c r="L91" s="112">
        <f>IFERROR(VLOOKUP($B91,MMWR_TRAD_AGG_STATE_PEN[],L$1,0),"ERROR")</f>
        <v>1</v>
      </c>
      <c r="M91" s="114">
        <f t="shared" si="10"/>
        <v>1</v>
      </c>
      <c r="N91" s="111">
        <f>IFERROR(VLOOKUP($B91,MMWR_TRAD_AGG_STATE_PEN[],N$1,0),"ERROR")</f>
        <v>52</v>
      </c>
      <c r="O91" s="112">
        <f>IFERROR(VLOOKUP($B91,MMWR_TRAD_AGG_STATE_PEN[],O$1,0),"ERROR")</f>
        <v>8</v>
      </c>
      <c r="P91" s="114">
        <f t="shared" si="11"/>
        <v>0.15384615384615385</v>
      </c>
      <c r="Q91" s="115">
        <f>IFERROR(VLOOKUP($B91,MMWR_TRAD_AGG_STATE_PEN[],Q$1,0),"ERROR")</f>
        <v>106</v>
      </c>
      <c r="R91" s="115">
        <f>IFERROR(VLOOKUP($B91,MMWR_TRAD_AGG_STATE_PEN[],R$1,0),"ERROR")</f>
        <v>83</v>
      </c>
      <c r="S91" s="115">
        <f>IFERROR(VLOOKUP($B91,MMWR_APP_STATE_PEN[],S$1,0),"ERROR")</f>
        <v>256</v>
      </c>
      <c r="T91" s="28"/>
    </row>
    <row r="92" spans="1:20" s="123" customFormat="1" x14ac:dyDescent="0.2">
      <c r="A92" s="28"/>
      <c r="B92" s="127" t="s">
        <v>405</v>
      </c>
      <c r="C92" s="109">
        <f>IFERROR(VLOOKUP($B92,MMWR_TRAD_AGG_STATE_PEN[],C$1,0),"ERROR")</f>
        <v>166</v>
      </c>
      <c r="D92" s="110">
        <f>IFERROR(VLOOKUP($B92,MMWR_TRAD_AGG_STATE_PEN[],D$1,0),"ERROR")</f>
        <v>40.030120481899999</v>
      </c>
      <c r="E92" s="111">
        <f>IFERROR(VLOOKUP($B92,MMWR_TRAD_AGG_STATE_PEN[],E$1,0),"ERROR")</f>
        <v>273</v>
      </c>
      <c r="F92" s="112">
        <f>IFERROR(VLOOKUP($B92,MMWR_TRAD_AGG_STATE_PEN[],F$1,0),"ERROR")</f>
        <v>12</v>
      </c>
      <c r="G92" s="113">
        <f t="shared" si="8"/>
        <v>4.3956043956043959E-2</v>
      </c>
      <c r="H92" s="111">
        <f>IFERROR(VLOOKUP($B92,MMWR_TRAD_AGG_STATE_PEN[],H$1,0),"ERROR")</f>
        <v>229</v>
      </c>
      <c r="I92" s="112">
        <f>IFERROR(VLOOKUP($B92,MMWR_TRAD_AGG_STATE_PEN[],I$1,0),"ERROR")</f>
        <v>5</v>
      </c>
      <c r="J92" s="114">
        <f t="shared" si="9"/>
        <v>2.1834061135371178E-2</v>
      </c>
      <c r="K92" s="111">
        <f>IFERROR(VLOOKUP($B92,MMWR_TRAD_AGG_STATE_PEN[],K$1,0),"ERROR")</f>
        <v>1</v>
      </c>
      <c r="L92" s="112">
        <f>IFERROR(VLOOKUP($B92,MMWR_TRAD_AGG_STATE_PEN[],L$1,0),"ERROR")</f>
        <v>1</v>
      </c>
      <c r="M92" s="114">
        <f t="shared" si="10"/>
        <v>1</v>
      </c>
      <c r="N92" s="111">
        <f>IFERROR(VLOOKUP($B92,MMWR_TRAD_AGG_STATE_PEN[],N$1,0),"ERROR")</f>
        <v>8</v>
      </c>
      <c r="O92" s="112">
        <f>IFERROR(VLOOKUP($B92,MMWR_TRAD_AGG_STATE_PEN[],O$1,0),"ERROR")</f>
        <v>2</v>
      </c>
      <c r="P92" s="114">
        <f t="shared" si="11"/>
        <v>0.25</v>
      </c>
      <c r="Q92" s="115">
        <f>IFERROR(VLOOKUP($B92,MMWR_TRAD_AGG_STATE_PEN[],Q$1,0),"ERROR")</f>
        <v>606</v>
      </c>
      <c r="R92" s="115">
        <f>IFERROR(VLOOKUP($B92,MMWR_TRAD_AGG_STATE_PEN[],R$1,0),"ERROR")</f>
        <v>24</v>
      </c>
      <c r="S92" s="115">
        <f>IFERROR(VLOOKUP($B92,MMWR_APP_STATE_PEN[],S$1,0),"ERROR")</f>
        <v>30</v>
      </c>
      <c r="T92" s="28"/>
    </row>
    <row r="93" spans="1:20" s="123" customFormat="1" x14ac:dyDescent="0.2">
      <c r="A93" s="28"/>
      <c r="B93" s="127" t="s">
        <v>401</v>
      </c>
      <c r="C93" s="109">
        <f>IFERROR(VLOOKUP($B93,MMWR_TRAD_AGG_STATE_PEN[],C$1,0),"ERROR")</f>
        <v>302</v>
      </c>
      <c r="D93" s="110">
        <f>IFERROR(VLOOKUP($B93,MMWR_TRAD_AGG_STATE_PEN[],D$1,0),"ERROR")</f>
        <v>46.8443708609</v>
      </c>
      <c r="E93" s="111">
        <f>IFERROR(VLOOKUP($B93,MMWR_TRAD_AGG_STATE_PEN[],E$1,0),"ERROR")</f>
        <v>674</v>
      </c>
      <c r="F93" s="112">
        <f>IFERROR(VLOOKUP($B93,MMWR_TRAD_AGG_STATE_PEN[],F$1,0),"ERROR")</f>
        <v>80</v>
      </c>
      <c r="G93" s="113">
        <f t="shared" si="8"/>
        <v>0.11869436201780416</v>
      </c>
      <c r="H93" s="111">
        <f>IFERROR(VLOOKUP($B93,MMWR_TRAD_AGG_STATE_PEN[],H$1,0),"ERROR")</f>
        <v>491</v>
      </c>
      <c r="I93" s="112">
        <f>IFERROR(VLOOKUP($B93,MMWR_TRAD_AGG_STATE_PEN[],I$1,0),"ERROR")</f>
        <v>31</v>
      </c>
      <c r="J93" s="114">
        <f t="shared" si="9"/>
        <v>6.313645621181263E-2</v>
      </c>
      <c r="K93" s="111">
        <f>IFERROR(VLOOKUP($B93,MMWR_TRAD_AGG_STATE_PEN[],K$1,0),"ERROR")</f>
        <v>2</v>
      </c>
      <c r="L93" s="112">
        <f>IFERROR(VLOOKUP($B93,MMWR_TRAD_AGG_STATE_PEN[],L$1,0),"ERROR")</f>
        <v>1</v>
      </c>
      <c r="M93" s="114">
        <f t="shared" si="10"/>
        <v>0.5</v>
      </c>
      <c r="N93" s="111">
        <f>IFERROR(VLOOKUP($B93,MMWR_TRAD_AGG_STATE_PEN[],N$1,0),"ERROR")</f>
        <v>46</v>
      </c>
      <c r="O93" s="112">
        <f>IFERROR(VLOOKUP($B93,MMWR_TRAD_AGG_STATE_PEN[],O$1,0),"ERROR")</f>
        <v>15</v>
      </c>
      <c r="P93" s="114">
        <f t="shared" si="11"/>
        <v>0.32608695652173914</v>
      </c>
      <c r="Q93" s="115">
        <f>IFERROR(VLOOKUP($B93,MMWR_TRAD_AGG_STATE_PEN[],Q$1,0),"ERROR")</f>
        <v>104</v>
      </c>
      <c r="R93" s="115">
        <f>IFERROR(VLOOKUP($B93,MMWR_TRAD_AGG_STATE_PEN[],R$1,0),"ERROR")</f>
        <v>41</v>
      </c>
      <c r="S93" s="115">
        <f>IFERROR(VLOOKUP($B93,MMWR_APP_STATE_PEN[],S$1,0),"ERROR")</f>
        <v>221</v>
      </c>
      <c r="T93" s="28"/>
    </row>
    <row r="94" spans="1:20" s="123" customFormat="1" x14ac:dyDescent="0.2">
      <c r="A94" s="28"/>
      <c r="B94" s="127" t="s">
        <v>404</v>
      </c>
      <c r="C94" s="109">
        <f>IFERROR(VLOOKUP($B94,MMWR_TRAD_AGG_STATE_PEN[],C$1,0),"ERROR")</f>
        <v>48</v>
      </c>
      <c r="D94" s="110">
        <f>IFERROR(VLOOKUP($B94,MMWR_TRAD_AGG_STATE_PEN[],D$1,0),"ERROR")</f>
        <v>33.770833333299997</v>
      </c>
      <c r="E94" s="111">
        <f>IFERROR(VLOOKUP($B94,MMWR_TRAD_AGG_STATE_PEN[],E$1,0),"ERROR")</f>
        <v>73</v>
      </c>
      <c r="F94" s="112">
        <f>IFERROR(VLOOKUP($B94,MMWR_TRAD_AGG_STATE_PEN[],F$1,0),"ERROR")</f>
        <v>6</v>
      </c>
      <c r="G94" s="113">
        <f t="shared" si="8"/>
        <v>8.2191780821917804E-2</v>
      </c>
      <c r="H94" s="111">
        <f>IFERROR(VLOOKUP($B94,MMWR_TRAD_AGG_STATE_PEN[],H$1,0),"ERROR")</f>
        <v>67</v>
      </c>
      <c r="I94" s="112">
        <f>IFERROR(VLOOKUP($B94,MMWR_TRAD_AGG_STATE_PEN[],I$1,0),"ERROR")</f>
        <v>3</v>
      </c>
      <c r="J94" s="114">
        <f t="shared" si="9"/>
        <v>4.4776119402985072E-2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0</v>
      </c>
      <c r="P94" s="114">
        <f t="shared" si="11"/>
        <v>0</v>
      </c>
      <c r="Q94" s="115">
        <f>IFERROR(VLOOKUP($B94,MMWR_TRAD_AGG_STATE_PEN[],Q$1,0),"ERROR")</f>
        <v>187</v>
      </c>
      <c r="R94" s="115">
        <f>IFERROR(VLOOKUP($B94,MMWR_TRAD_AGG_STATE_PEN[],R$1,0),"ERROR")</f>
        <v>12</v>
      </c>
      <c r="S94" s="115">
        <f>IFERROR(VLOOKUP($B94,MMWR_APP_STATE_PEN[],S$1,0),"ERROR")</f>
        <v>26</v>
      </c>
      <c r="T94" s="28"/>
    </row>
    <row r="95" spans="1:20" s="123" customFormat="1" x14ac:dyDescent="0.2">
      <c r="A95" s="28"/>
      <c r="B95" s="127" t="s">
        <v>423</v>
      </c>
      <c r="C95" s="109">
        <f>IFERROR(VLOOKUP($B95,MMWR_TRAD_AGG_STATE_PEN[],C$1,0),"ERROR")</f>
        <v>28</v>
      </c>
      <c r="D95" s="110">
        <f>IFERROR(VLOOKUP($B95,MMWR_TRAD_AGG_STATE_PEN[],D$1,0),"ERROR")</f>
        <v>32.071428571399998</v>
      </c>
      <c r="E95" s="111">
        <f>IFERROR(VLOOKUP($B95,MMWR_TRAD_AGG_STATE_PEN[],E$1,0),"ERROR")</f>
        <v>35</v>
      </c>
      <c r="F95" s="112">
        <f>IFERROR(VLOOKUP($B95,MMWR_TRAD_AGG_STATE_PEN[],F$1,0),"ERROR")</f>
        <v>1</v>
      </c>
      <c r="G95" s="113">
        <f t="shared" si="8"/>
        <v>2.8571428571428571E-2</v>
      </c>
      <c r="H95" s="111">
        <f>IFERROR(VLOOKUP($B95,MMWR_TRAD_AGG_STATE_PEN[],H$1,0),"ERROR")</f>
        <v>38</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60</v>
      </c>
      <c r="R95" s="115">
        <f>IFERROR(VLOOKUP($B95,MMWR_TRAD_AGG_STATE_PEN[],R$1,0),"ERROR")</f>
        <v>5</v>
      </c>
      <c r="S95" s="115">
        <f>IFERROR(VLOOKUP($B95,MMWR_APP_STATE_PEN[],S$1,0),"ERROR")</f>
        <v>9</v>
      </c>
      <c r="T95" s="28"/>
    </row>
    <row r="96" spans="1:20" s="123" customFormat="1" x14ac:dyDescent="0.2">
      <c r="A96" s="28"/>
      <c r="B96" s="127" t="s">
        <v>395</v>
      </c>
      <c r="C96" s="109">
        <f>IFERROR(VLOOKUP($B96,MMWR_TRAD_AGG_STATE_PEN[],C$1,0),"ERROR")</f>
        <v>416</v>
      </c>
      <c r="D96" s="110">
        <f>IFERROR(VLOOKUP($B96,MMWR_TRAD_AGG_STATE_PEN[],D$1,0),"ERROR")</f>
        <v>53.870192307700002</v>
      </c>
      <c r="E96" s="111">
        <f>IFERROR(VLOOKUP($B96,MMWR_TRAD_AGG_STATE_PEN[],E$1,0),"ERROR")</f>
        <v>1282</v>
      </c>
      <c r="F96" s="112">
        <f>IFERROR(VLOOKUP($B96,MMWR_TRAD_AGG_STATE_PEN[],F$1,0),"ERROR")</f>
        <v>153</v>
      </c>
      <c r="G96" s="113">
        <f t="shared" si="8"/>
        <v>0.11934477379095164</v>
      </c>
      <c r="H96" s="111">
        <f>IFERROR(VLOOKUP($B96,MMWR_TRAD_AGG_STATE_PEN[],H$1,0),"ERROR")</f>
        <v>735</v>
      </c>
      <c r="I96" s="112">
        <f>IFERROR(VLOOKUP($B96,MMWR_TRAD_AGG_STATE_PEN[],I$1,0),"ERROR")</f>
        <v>50</v>
      </c>
      <c r="J96" s="114">
        <f t="shared" si="9"/>
        <v>6.8027210884353748E-2</v>
      </c>
      <c r="K96" s="111">
        <f>IFERROR(VLOOKUP($B96,MMWR_TRAD_AGG_STATE_PEN[],K$1,0),"ERROR")</f>
        <v>7</v>
      </c>
      <c r="L96" s="112">
        <f>IFERROR(VLOOKUP($B96,MMWR_TRAD_AGG_STATE_PEN[],L$1,0),"ERROR")</f>
        <v>6</v>
      </c>
      <c r="M96" s="114">
        <f t="shared" si="10"/>
        <v>0.8571428571428571</v>
      </c>
      <c r="N96" s="111">
        <f>IFERROR(VLOOKUP($B96,MMWR_TRAD_AGG_STATE_PEN[],N$1,0),"ERROR")</f>
        <v>55</v>
      </c>
      <c r="O96" s="112">
        <f>IFERROR(VLOOKUP($B96,MMWR_TRAD_AGG_STATE_PEN[],O$1,0),"ERROR")</f>
        <v>16</v>
      </c>
      <c r="P96" s="114">
        <f t="shared" si="11"/>
        <v>0.29090909090909089</v>
      </c>
      <c r="Q96" s="115">
        <f>IFERROR(VLOOKUP($B96,MMWR_TRAD_AGG_STATE_PEN[],Q$1,0),"ERROR")</f>
        <v>114</v>
      </c>
      <c r="R96" s="115">
        <f>IFERROR(VLOOKUP($B96,MMWR_TRAD_AGG_STATE_PEN[],R$1,0),"ERROR")</f>
        <v>118</v>
      </c>
      <c r="S96" s="115">
        <f>IFERROR(VLOOKUP($B96,MMWR_APP_STATE_PEN[],S$1,0),"ERROR")</f>
        <v>371</v>
      </c>
      <c r="T96" s="28"/>
    </row>
    <row r="97" spans="1:20" s="123" customFormat="1" x14ac:dyDescent="0.2">
      <c r="A97" s="28"/>
      <c r="B97" s="127" t="s">
        <v>424</v>
      </c>
      <c r="C97" s="109">
        <f>IFERROR(VLOOKUP($B97,MMWR_TRAD_AGG_STATE_PEN[],C$1,0),"ERROR")</f>
        <v>33</v>
      </c>
      <c r="D97" s="110">
        <f>IFERROR(VLOOKUP($B97,MMWR_TRAD_AGG_STATE_PEN[],D$1,0),"ERROR")</f>
        <v>39.515151515200003</v>
      </c>
      <c r="E97" s="111">
        <f>IFERROR(VLOOKUP($B97,MMWR_TRAD_AGG_STATE_PEN[],E$1,0),"ERROR")</f>
        <v>53</v>
      </c>
      <c r="F97" s="112">
        <f>IFERROR(VLOOKUP($B97,MMWR_TRAD_AGG_STATE_PEN[],F$1,0),"ERROR")</f>
        <v>1</v>
      </c>
      <c r="G97" s="113">
        <f t="shared" si="8"/>
        <v>1.8867924528301886E-2</v>
      </c>
      <c r="H97" s="111">
        <f>IFERROR(VLOOKUP($B97,MMWR_TRAD_AGG_STATE_PEN[],H$1,0),"ERROR")</f>
        <v>47</v>
      </c>
      <c r="I97" s="112">
        <f>IFERROR(VLOOKUP($B97,MMWR_TRAD_AGG_STATE_PEN[],I$1,0),"ERROR")</f>
        <v>0</v>
      </c>
      <c r="J97" s="114">
        <f t="shared" si="9"/>
        <v>0</v>
      </c>
      <c r="K97" s="111">
        <f>IFERROR(VLOOKUP($B97,MMWR_TRAD_AGG_STATE_PEN[],K$1,0),"ERROR")</f>
        <v>0</v>
      </c>
      <c r="L97" s="112">
        <f>IFERROR(VLOOKUP($B97,MMWR_TRAD_AGG_STATE_PEN[],L$1,0),"ERROR")</f>
        <v>0</v>
      </c>
      <c r="M97" s="114" t="str">
        <f t="shared" si="10"/>
        <v>0%</v>
      </c>
      <c r="N97" s="111">
        <f>IFERROR(VLOOKUP($B97,MMWR_TRAD_AGG_STATE_PEN[],N$1,0),"ERROR")</f>
        <v>2</v>
      </c>
      <c r="O97" s="112">
        <f>IFERROR(VLOOKUP($B97,MMWR_TRAD_AGG_STATE_PEN[],O$1,0),"ERROR")</f>
        <v>0</v>
      </c>
      <c r="P97" s="114">
        <f t="shared" si="11"/>
        <v>0</v>
      </c>
      <c r="Q97" s="115">
        <f>IFERROR(VLOOKUP($B97,MMWR_TRAD_AGG_STATE_PEN[],Q$1,0),"ERROR")</f>
        <v>87</v>
      </c>
      <c r="R97" s="115">
        <f>IFERROR(VLOOKUP($B97,MMWR_TRAD_AGG_STATE_PEN[],R$1,0),"ERROR")</f>
        <v>3</v>
      </c>
      <c r="S97" s="115">
        <f>IFERROR(VLOOKUP($B97,MMWR_APP_STATE_PEN[],S$1,0),"ERROR")</f>
        <v>10</v>
      </c>
      <c r="T97" s="28"/>
    </row>
    <row r="98" spans="1:20" s="123" customFormat="1" x14ac:dyDescent="0.2">
      <c r="A98" s="28"/>
      <c r="B98" s="127" t="s">
        <v>400</v>
      </c>
      <c r="C98" s="109">
        <f>IFERROR(VLOOKUP($B98,MMWR_TRAD_AGG_STATE_PEN[],C$1,0),"ERROR")</f>
        <v>195</v>
      </c>
      <c r="D98" s="110">
        <f>IFERROR(VLOOKUP($B98,MMWR_TRAD_AGG_STATE_PEN[],D$1,0),"ERROR")</f>
        <v>41.102564102599999</v>
      </c>
      <c r="E98" s="111">
        <f>IFERROR(VLOOKUP($B98,MMWR_TRAD_AGG_STATE_PEN[],E$1,0),"ERROR")</f>
        <v>394</v>
      </c>
      <c r="F98" s="112">
        <f>IFERROR(VLOOKUP($B98,MMWR_TRAD_AGG_STATE_PEN[],F$1,0),"ERROR")</f>
        <v>37</v>
      </c>
      <c r="G98" s="113">
        <f t="shared" si="8"/>
        <v>9.3908629441624369E-2</v>
      </c>
      <c r="H98" s="111">
        <f>IFERROR(VLOOKUP($B98,MMWR_TRAD_AGG_STATE_PEN[],H$1,0),"ERROR")</f>
        <v>308</v>
      </c>
      <c r="I98" s="112">
        <f>IFERROR(VLOOKUP($B98,MMWR_TRAD_AGG_STATE_PEN[],I$1,0),"ERROR")</f>
        <v>11</v>
      </c>
      <c r="J98" s="114">
        <f t="shared" si="9"/>
        <v>3.5714285714285712E-2</v>
      </c>
      <c r="K98" s="111">
        <f>IFERROR(VLOOKUP($B98,MMWR_TRAD_AGG_STATE_PEN[],K$1,0),"ERROR")</f>
        <v>1</v>
      </c>
      <c r="L98" s="112">
        <f>IFERROR(VLOOKUP($B98,MMWR_TRAD_AGG_STATE_PEN[],L$1,0),"ERROR")</f>
        <v>0</v>
      </c>
      <c r="M98" s="114">
        <f t="shared" si="10"/>
        <v>0</v>
      </c>
      <c r="N98" s="111">
        <f>IFERROR(VLOOKUP($B98,MMWR_TRAD_AGG_STATE_PEN[],N$1,0),"ERROR")</f>
        <v>25</v>
      </c>
      <c r="O98" s="112">
        <f>IFERROR(VLOOKUP($B98,MMWR_TRAD_AGG_STATE_PEN[],O$1,0),"ERROR")</f>
        <v>11</v>
      </c>
      <c r="P98" s="114">
        <f t="shared" si="11"/>
        <v>0.44</v>
      </c>
      <c r="Q98" s="115">
        <f>IFERROR(VLOOKUP($B98,MMWR_TRAD_AGG_STATE_PEN[],Q$1,0),"ERROR")</f>
        <v>62</v>
      </c>
      <c r="R98" s="115">
        <f>IFERROR(VLOOKUP($B98,MMWR_TRAD_AGG_STATE_PEN[],R$1,0),"ERROR")</f>
        <v>30</v>
      </c>
      <c r="S98" s="115">
        <f>IFERROR(VLOOKUP($B98,MMWR_APP_STATE_PEN[],S$1,0),"ERROR")</f>
        <v>102</v>
      </c>
      <c r="T98" s="28"/>
    </row>
    <row r="99" spans="1:20" s="123" customFormat="1" x14ac:dyDescent="0.2">
      <c r="A99" s="28"/>
      <c r="B99" s="126" t="s">
        <v>389</v>
      </c>
      <c r="C99" s="102">
        <f>IFERROR(VLOOKUP($B99,MMWR_TRAD_AGG_ST_DISTRICT_PEN[],C$1,0),"ERROR")</f>
        <v>1842</v>
      </c>
      <c r="D99" s="103">
        <f>IFERROR(VLOOKUP($B99,MMWR_TRAD_AGG_ST_DISTRICT_PEN[],D$1,0),"ERROR")</f>
        <v>44.258414766599998</v>
      </c>
      <c r="E99" s="102">
        <f>IFERROR(VLOOKUP($B99,MMWR_TRAD_AGG_ST_DISTRICT_PEN[],E$1,0),"ERROR")</f>
        <v>3187</v>
      </c>
      <c r="F99" s="102">
        <f>IFERROR(VLOOKUP($B99,MMWR_TRAD_AGG_ST_DISTRICT_PEN[],F$1,0),"ERROR")</f>
        <v>177</v>
      </c>
      <c r="G99" s="104">
        <f t="shared" si="8"/>
        <v>5.5538123627235647E-2</v>
      </c>
      <c r="H99" s="102">
        <f>IFERROR(VLOOKUP($B99,MMWR_TRAD_AGG_ST_DISTRICT_PEN[],H$1,0),"ERROR")</f>
        <v>2682</v>
      </c>
      <c r="I99" s="102">
        <f>IFERROR(VLOOKUP($B99,MMWR_TRAD_AGG_ST_DISTRICT_PEN[],I$1,0),"ERROR")</f>
        <v>135</v>
      </c>
      <c r="J99" s="104">
        <f t="shared" si="9"/>
        <v>5.0335570469798654E-2</v>
      </c>
      <c r="K99" s="102">
        <f>IFERROR(VLOOKUP($B99,MMWR_TRAD_AGG_ST_DISTRICT_PEN[],K$1,0),"ERROR")</f>
        <v>22</v>
      </c>
      <c r="L99" s="102">
        <f>IFERROR(VLOOKUP($B99,MMWR_TRAD_AGG_ST_DISTRICT_PEN[],L$1,0),"ERROR")</f>
        <v>18</v>
      </c>
      <c r="M99" s="104">
        <f t="shared" si="10"/>
        <v>0.81818181818181823</v>
      </c>
      <c r="N99" s="102">
        <f>IFERROR(VLOOKUP($B99,MMWR_TRAD_AGG_ST_DISTRICT_PEN[],N$1,0),"ERROR")</f>
        <v>164</v>
      </c>
      <c r="O99" s="102">
        <f>IFERROR(VLOOKUP($B99,MMWR_TRAD_AGG_ST_DISTRICT_PEN[],O$1,0),"ERROR")</f>
        <v>60</v>
      </c>
      <c r="P99" s="104">
        <f t="shared" si="11"/>
        <v>0.36585365853658536</v>
      </c>
      <c r="Q99" s="102">
        <f>IFERROR(VLOOKUP($B99,MMWR_TRAD_AGG_ST_DISTRICT_PEN[],Q$1,0),"ERROR")</f>
        <v>2423</v>
      </c>
      <c r="R99" s="106">
        <f>IFERROR(VLOOKUP($B99,MMWR_TRAD_AGG_ST_DISTRICT_PEN[],R$1,0),"ERROR")</f>
        <v>447</v>
      </c>
      <c r="S99" s="106">
        <f>IFERROR(VLOOKUP($B99,MMWR_APP_STATE_PEN[],S$1,0),"ERROR")</f>
        <v>1467</v>
      </c>
      <c r="T99" s="28"/>
    </row>
    <row r="100" spans="1:20" s="123" customFormat="1" x14ac:dyDescent="0.2">
      <c r="A100" s="28"/>
      <c r="B100" s="127" t="s">
        <v>415</v>
      </c>
      <c r="C100" s="109">
        <f>IFERROR(VLOOKUP($B100,MMWR_TRAD_AGG_STATE_PEN[],C$1,0),"ERROR")</f>
        <v>165</v>
      </c>
      <c r="D100" s="110">
        <f>IFERROR(VLOOKUP($B100,MMWR_TRAD_AGG_STATE_PEN[],D$1,0),"ERROR")</f>
        <v>47.357575757600003</v>
      </c>
      <c r="E100" s="111">
        <f>IFERROR(VLOOKUP($B100,MMWR_TRAD_AGG_STATE_PEN[],E$1,0),"ERROR")</f>
        <v>261</v>
      </c>
      <c r="F100" s="112">
        <f>IFERROR(VLOOKUP($B100,MMWR_TRAD_AGG_STATE_PEN[],F$1,0),"ERROR")</f>
        <v>30</v>
      </c>
      <c r="G100" s="113">
        <f t="shared" si="8"/>
        <v>0.11494252873563218</v>
      </c>
      <c r="H100" s="111">
        <f>IFERROR(VLOOKUP($B100,MMWR_TRAD_AGG_STATE_PEN[],H$1,0),"ERROR")</f>
        <v>260</v>
      </c>
      <c r="I100" s="112">
        <f>IFERROR(VLOOKUP($B100,MMWR_TRAD_AGG_STATE_PEN[],I$1,0),"ERROR")</f>
        <v>20</v>
      </c>
      <c r="J100" s="114">
        <f t="shared" si="9"/>
        <v>7.6923076923076927E-2</v>
      </c>
      <c r="K100" s="111">
        <f>IFERROR(VLOOKUP($B100,MMWR_TRAD_AGG_STATE_PEN[],K$1,0),"ERROR")</f>
        <v>5</v>
      </c>
      <c r="L100" s="112">
        <f>IFERROR(VLOOKUP($B100,MMWR_TRAD_AGG_STATE_PEN[],L$1,0),"ERROR")</f>
        <v>4</v>
      </c>
      <c r="M100" s="114">
        <f t="shared" si="10"/>
        <v>0.8</v>
      </c>
      <c r="N100" s="111">
        <f>IFERROR(VLOOKUP($B100,MMWR_TRAD_AGG_STATE_PEN[],N$1,0),"ERROR")</f>
        <v>14</v>
      </c>
      <c r="O100" s="112">
        <f>IFERROR(VLOOKUP($B100,MMWR_TRAD_AGG_STATE_PEN[],O$1,0),"ERROR")</f>
        <v>2</v>
      </c>
      <c r="P100" s="114">
        <f t="shared" si="11"/>
        <v>0.14285714285714285</v>
      </c>
      <c r="Q100" s="115">
        <f>IFERROR(VLOOKUP($B100,MMWR_TRAD_AGG_STATE_PEN[],Q$1,0),"ERROR")</f>
        <v>80</v>
      </c>
      <c r="R100" s="115">
        <f>IFERROR(VLOOKUP($B100,MMWR_TRAD_AGG_STATE_PEN[],R$1,0),"ERROR")</f>
        <v>29</v>
      </c>
      <c r="S100" s="115">
        <f>IFERROR(VLOOKUP($B100,MMWR_APP_STATE_PEN[],S$1,0),"ERROR")</f>
        <v>181</v>
      </c>
      <c r="T100" s="28"/>
    </row>
    <row r="101" spans="1:20" s="123" customFormat="1" x14ac:dyDescent="0.2">
      <c r="A101" s="28"/>
      <c r="B101" s="127" t="s">
        <v>407</v>
      </c>
      <c r="C101" s="109">
        <f>IFERROR(VLOOKUP($B101,MMWR_TRAD_AGG_STATE_PEN[],C$1,0),"ERROR")</f>
        <v>134</v>
      </c>
      <c r="D101" s="110">
        <f>IFERROR(VLOOKUP($B101,MMWR_TRAD_AGG_STATE_PEN[],D$1,0),"ERROR")</f>
        <v>48.395522388099998</v>
      </c>
      <c r="E101" s="111">
        <f>IFERROR(VLOOKUP($B101,MMWR_TRAD_AGG_STATE_PEN[],E$1,0),"ERROR")</f>
        <v>225</v>
      </c>
      <c r="F101" s="112">
        <f>IFERROR(VLOOKUP($B101,MMWR_TRAD_AGG_STATE_PEN[],F$1,0),"ERROR")</f>
        <v>8</v>
      </c>
      <c r="G101" s="113">
        <f t="shared" ref="G101:G127" si="12">IFERROR(F101/E101,"0%")</f>
        <v>3.5555555555555556E-2</v>
      </c>
      <c r="H101" s="111">
        <f>IFERROR(VLOOKUP($B101,MMWR_TRAD_AGG_STATE_PEN[],H$1,0),"ERROR")</f>
        <v>184</v>
      </c>
      <c r="I101" s="112">
        <f>IFERROR(VLOOKUP($B101,MMWR_TRAD_AGG_STATE_PEN[],I$1,0),"ERROR")</f>
        <v>9</v>
      </c>
      <c r="J101" s="114">
        <f t="shared" ref="J101:J127" si="13">IFERROR(I101/H101,"0%")</f>
        <v>4.8913043478260872E-2</v>
      </c>
      <c r="K101" s="111">
        <f>IFERROR(VLOOKUP($B101,MMWR_TRAD_AGG_STATE_PEN[],K$1,0),"ERROR")</f>
        <v>1</v>
      </c>
      <c r="L101" s="112">
        <f>IFERROR(VLOOKUP($B101,MMWR_TRAD_AGG_STATE_PEN[],L$1,0),"ERROR")</f>
        <v>1</v>
      </c>
      <c r="M101" s="114">
        <f t="shared" ref="M101:M127" si="14">IFERROR(L101/K101,"0%")</f>
        <v>1</v>
      </c>
      <c r="N101" s="111">
        <f>IFERROR(VLOOKUP($B101,MMWR_TRAD_AGG_STATE_PEN[],N$1,0),"ERROR")</f>
        <v>14</v>
      </c>
      <c r="O101" s="112">
        <f>IFERROR(VLOOKUP($B101,MMWR_TRAD_AGG_STATE_PEN[],O$1,0),"ERROR")</f>
        <v>7</v>
      </c>
      <c r="P101" s="114">
        <f t="shared" ref="P101:P127" si="15">IFERROR(O101/N101,"0%")</f>
        <v>0.5</v>
      </c>
      <c r="Q101" s="115">
        <f>IFERROR(VLOOKUP($B101,MMWR_TRAD_AGG_STATE_PEN[],Q$1,0),"ERROR")</f>
        <v>304</v>
      </c>
      <c r="R101" s="115">
        <f>IFERROR(VLOOKUP($B101,MMWR_TRAD_AGG_STATE_PEN[],R$1,0),"ERROR")</f>
        <v>38</v>
      </c>
      <c r="S101" s="115">
        <f>IFERROR(VLOOKUP($B101,MMWR_APP_STATE_PEN[],S$1,0),"ERROR")</f>
        <v>99</v>
      </c>
      <c r="T101" s="28"/>
    </row>
    <row r="102" spans="1:20" s="123" customFormat="1" x14ac:dyDescent="0.2">
      <c r="A102" s="28"/>
      <c r="B102" s="127" t="s">
        <v>391</v>
      </c>
      <c r="C102" s="109">
        <f>IFERROR(VLOOKUP($B102,MMWR_TRAD_AGG_STATE_PEN[],C$1,0),"ERROR")</f>
        <v>324</v>
      </c>
      <c r="D102" s="110">
        <f>IFERROR(VLOOKUP($B102,MMWR_TRAD_AGG_STATE_PEN[],D$1,0),"ERROR")</f>
        <v>45.185185185199998</v>
      </c>
      <c r="E102" s="111">
        <f>IFERROR(VLOOKUP($B102,MMWR_TRAD_AGG_STATE_PEN[],E$1,0),"ERROR")</f>
        <v>506</v>
      </c>
      <c r="F102" s="112">
        <f>IFERROR(VLOOKUP($B102,MMWR_TRAD_AGG_STATE_PEN[],F$1,0),"ERROR")</f>
        <v>38</v>
      </c>
      <c r="G102" s="113">
        <f t="shared" si="12"/>
        <v>7.5098814229249009E-2</v>
      </c>
      <c r="H102" s="111">
        <f>IFERROR(VLOOKUP($B102,MMWR_TRAD_AGG_STATE_PEN[],H$1,0),"ERROR")</f>
        <v>442</v>
      </c>
      <c r="I102" s="112">
        <f>IFERROR(VLOOKUP($B102,MMWR_TRAD_AGG_STATE_PEN[],I$1,0),"ERROR")</f>
        <v>21</v>
      </c>
      <c r="J102" s="114">
        <f t="shared" si="13"/>
        <v>4.7511312217194568E-2</v>
      </c>
      <c r="K102" s="111">
        <f>IFERROR(VLOOKUP($B102,MMWR_TRAD_AGG_STATE_PEN[],K$1,0),"ERROR")</f>
        <v>2</v>
      </c>
      <c r="L102" s="112">
        <f>IFERROR(VLOOKUP($B102,MMWR_TRAD_AGG_STATE_PEN[],L$1,0),"ERROR")</f>
        <v>1</v>
      </c>
      <c r="M102" s="114">
        <f t="shared" si="14"/>
        <v>0.5</v>
      </c>
      <c r="N102" s="111">
        <f>IFERROR(VLOOKUP($B102,MMWR_TRAD_AGG_STATE_PEN[],N$1,0),"ERROR")</f>
        <v>26</v>
      </c>
      <c r="O102" s="112">
        <f>IFERROR(VLOOKUP($B102,MMWR_TRAD_AGG_STATE_PEN[],O$1,0),"ERROR")</f>
        <v>3</v>
      </c>
      <c r="P102" s="114">
        <f t="shared" si="15"/>
        <v>0.11538461538461539</v>
      </c>
      <c r="Q102" s="115">
        <f>IFERROR(VLOOKUP($B102,MMWR_TRAD_AGG_STATE_PEN[],Q$1,0),"ERROR")</f>
        <v>65</v>
      </c>
      <c r="R102" s="115">
        <f>IFERROR(VLOOKUP($B102,MMWR_TRAD_AGG_STATE_PEN[],R$1,0),"ERROR")</f>
        <v>69</v>
      </c>
      <c r="S102" s="115">
        <f>IFERROR(VLOOKUP($B102,MMWR_APP_STATE_PEN[],S$1,0),"ERROR")</f>
        <v>199</v>
      </c>
      <c r="T102" s="28"/>
    </row>
    <row r="103" spans="1:20" s="123" customFormat="1" x14ac:dyDescent="0.2">
      <c r="A103" s="28"/>
      <c r="B103" s="127" t="s">
        <v>393</v>
      </c>
      <c r="C103" s="109">
        <f>IFERROR(VLOOKUP($B103,MMWR_TRAD_AGG_STATE_PEN[],C$1,0),"ERROR")</f>
        <v>173</v>
      </c>
      <c r="D103" s="110">
        <f>IFERROR(VLOOKUP($B103,MMWR_TRAD_AGG_STATE_PEN[],D$1,0),"ERROR")</f>
        <v>38.716763005799997</v>
      </c>
      <c r="E103" s="111">
        <f>IFERROR(VLOOKUP($B103,MMWR_TRAD_AGG_STATE_PEN[],E$1,0),"ERROR")</f>
        <v>305</v>
      </c>
      <c r="F103" s="112">
        <f>IFERROR(VLOOKUP($B103,MMWR_TRAD_AGG_STATE_PEN[],F$1,0),"ERROR")</f>
        <v>25</v>
      </c>
      <c r="G103" s="113">
        <f t="shared" si="12"/>
        <v>8.1967213114754092E-2</v>
      </c>
      <c r="H103" s="111">
        <f>IFERROR(VLOOKUP($B103,MMWR_TRAD_AGG_STATE_PEN[],H$1,0),"ERROR")</f>
        <v>241</v>
      </c>
      <c r="I103" s="112">
        <f>IFERROR(VLOOKUP($B103,MMWR_TRAD_AGG_STATE_PEN[],I$1,0),"ERROR")</f>
        <v>18</v>
      </c>
      <c r="J103" s="114">
        <f t="shared" si="13"/>
        <v>7.4688796680497924E-2</v>
      </c>
      <c r="K103" s="111">
        <f>IFERROR(VLOOKUP($B103,MMWR_TRAD_AGG_STATE_PEN[],K$1,0),"ERROR")</f>
        <v>3</v>
      </c>
      <c r="L103" s="112">
        <f>IFERROR(VLOOKUP($B103,MMWR_TRAD_AGG_STATE_PEN[],L$1,0),"ERROR")</f>
        <v>3</v>
      </c>
      <c r="M103" s="114">
        <f t="shared" si="14"/>
        <v>1</v>
      </c>
      <c r="N103" s="111">
        <f>IFERROR(VLOOKUP($B103,MMWR_TRAD_AGG_STATE_PEN[],N$1,0),"ERROR")</f>
        <v>30</v>
      </c>
      <c r="O103" s="112">
        <f>IFERROR(VLOOKUP($B103,MMWR_TRAD_AGG_STATE_PEN[],O$1,0),"ERROR")</f>
        <v>4</v>
      </c>
      <c r="P103" s="114">
        <f t="shared" si="15"/>
        <v>0.13333333333333333</v>
      </c>
      <c r="Q103" s="115">
        <f>IFERROR(VLOOKUP($B103,MMWR_TRAD_AGG_STATE_PEN[],Q$1,0),"ERROR")</f>
        <v>69</v>
      </c>
      <c r="R103" s="115">
        <f>IFERROR(VLOOKUP($B103,MMWR_TRAD_AGG_STATE_PEN[],R$1,0),"ERROR")</f>
        <v>21</v>
      </c>
      <c r="S103" s="115">
        <f>IFERROR(VLOOKUP($B103,MMWR_APP_STATE_PEN[],S$1,0),"ERROR")</f>
        <v>171</v>
      </c>
      <c r="T103" s="28"/>
    </row>
    <row r="104" spans="1:20" s="123" customFormat="1" x14ac:dyDescent="0.2">
      <c r="A104" s="28"/>
      <c r="B104" s="127" t="s">
        <v>422</v>
      </c>
      <c r="C104" s="109">
        <f>IFERROR(VLOOKUP($B104,MMWR_TRAD_AGG_STATE_PEN[],C$1,0),"ERROR")</f>
        <v>26</v>
      </c>
      <c r="D104" s="110">
        <f>IFERROR(VLOOKUP($B104,MMWR_TRAD_AGG_STATE_PEN[],D$1,0),"ERROR")</f>
        <v>55.653846153800004</v>
      </c>
      <c r="E104" s="111">
        <f>IFERROR(VLOOKUP($B104,MMWR_TRAD_AGG_STATE_PEN[],E$1,0),"ERROR")</f>
        <v>84</v>
      </c>
      <c r="F104" s="112">
        <f>IFERROR(VLOOKUP($B104,MMWR_TRAD_AGG_STATE_PEN[],F$1,0),"ERROR")</f>
        <v>7</v>
      </c>
      <c r="G104" s="113">
        <f t="shared" si="12"/>
        <v>8.3333333333333329E-2</v>
      </c>
      <c r="H104" s="111">
        <f>IFERROR(VLOOKUP($B104,MMWR_TRAD_AGG_STATE_PEN[],H$1,0),"ERROR")</f>
        <v>47</v>
      </c>
      <c r="I104" s="112">
        <f>IFERROR(VLOOKUP($B104,MMWR_TRAD_AGG_STATE_PEN[],I$1,0),"ERROR")</f>
        <v>3</v>
      </c>
      <c r="J104" s="114">
        <f t="shared" si="13"/>
        <v>6.3829787234042548E-2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1</v>
      </c>
      <c r="P104" s="114">
        <f t="shared" si="15"/>
        <v>0.5</v>
      </c>
      <c r="Q104" s="115">
        <f>IFERROR(VLOOKUP($B104,MMWR_TRAD_AGG_STATE_PEN[],Q$1,0),"ERROR")</f>
        <v>87</v>
      </c>
      <c r="R104" s="115">
        <f>IFERROR(VLOOKUP($B104,MMWR_TRAD_AGG_STATE_PEN[],R$1,0),"ERROR")</f>
        <v>5</v>
      </c>
      <c r="S104" s="115">
        <f>IFERROR(VLOOKUP($B104,MMWR_APP_STATE_PEN[],S$1,0),"ERROR")</f>
        <v>6</v>
      </c>
      <c r="T104" s="28"/>
    </row>
    <row r="105" spans="1:20" s="123" customFormat="1" x14ac:dyDescent="0.2">
      <c r="A105" s="28"/>
      <c r="B105" s="127" t="s">
        <v>416</v>
      </c>
      <c r="C105" s="109">
        <f>IFERROR(VLOOKUP($B105,MMWR_TRAD_AGG_STATE_PEN[],C$1,0),"ERROR")</f>
        <v>162</v>
      </c>
      <c r="D105" s="110">
        <f>IFERROR(VLOOKUP($B105,MMWR_TRAD_AGG_STATE_PEN[],D$1,0),"ERROR")</f>
        <v>41.895061728400002</v>
      </c>
      <c r="E105" s="111">
        <f>IFERROR(VLOOKUP($B105,MMWR_TRAD_AGG_STATE_PEN[],E$1,0),"ERROR")</f>
        <v>289</v>
      </c>
      <c r="F105" s="112">
        <f>IFERROR(VLOOKUP($B105,MMWR_TRAD_AGG_STATE_PEN[],F$1,0),"ERROR")</f>
        <v>11</v>
      </c>
      <c r="G105" s="113">
        <f t="shared" si="12"/>
        <v>3.8062283737024222E-2</v>
      </c>
      <c r="H105" s="111">
        <f>IFERROR(VLOOKUP($B105,MMWR_TRAD_AGG_STATE_PEN[],H$1,0),"ERROR")</f>
        <v>210</v>
      </c>
      <c r="I105" s="112">
        <f>IFERROR(VLOOKUP($B105,MMWR_TRAD_AGG_STATE_PEN[],I$1,0),"ERROR")</f>
        <v>6</v>
      </c>
      <c r="J105" s="114">
        <f t="shared" si="13"/>
        <v>2.8571428571428571E-2</v>
      </c>
      <c r="K105" s="111">
        <f>IFERROR(VLOOKUP($B105,MMWR_TRAD_AGG_STATE_PEN[],K$1,0),"ERROR")</f>
        <v>2</v>
      </c>
      <c r="L105" s="112">
        <f>IFERROR(VLOOKUP($B105,MMWR_TRAD_AGG_STATE_PEN[],L$1,0),"ERROR")</f>
        <v>2</v>
      </c>
      <c r="M105" s="114">
        <f t="shared" si="14"/>
        <v>1</v>
      </c>
      <c r="N105" s="111">
        <f>IFERROR(VLOOKUP($B105,MMWR_TRAD_AGG_STATE_PEN[],N$1,0),"ERROR")</f>
        <v>12</v>
      </c>
      <c r="O105" s="112">
        <f>IFERROR(VLOOKUP($B105,MMWR_TRAD_AGG_STATE_PEN[],O$1,0),"ERROR")</f>
        <v>6</v>
      </c>
      <c r="P105" s="114">
        <f t="shared" si="15"/>
        <v>0.5</v>
      </c>
      <c r="Q105" s="115">
        <f>IFERROR(VLOOKUP($B105,MMWR_TRAD_AGG_STATE_PEN[],Q$1,0),"ERROR")</f>
        <v>487</v>
      </c>
      <c r="R105" s="115">
        <f>IFERROR(VLOOKUP($B105,MMWR_TRAD_AGG_STATE_PEN[],R$1,0),"ERROR")</f>
        <v>41</v>
      </c>
      <c r="S105" s="115">
        <f>IFERROR(VLOOKUP($B105,MMWR_APP_STATE_PEN[],S$1,0),"ERROR")</f>
        <v>110</v>
      </c>
      <c r="T105" s="28"/>
    </row>
    <row r="106" spans="1:20" s="123" customFormat="1" x14ac:dyDescent="0.2">
      <c r="A106" s="28"/>
      <c r="B106" s="127" t="s">
        <v>414</v>
      </c>
      <c r="C106" s="109">
        <f>IFERROR(VLOOKUP($B106,MMWR_TRAD_AGG_STATE_PEN[],C$1,0),"ERROR")</f>
        <v>774</v>
      </c>
      <c r="D106" s="110">
        <f>IFERROR(VLOOKUP($B106,MMWR_TRAD_AGG_STATE_PEN[],D$1,0),"ERROR")</f>
        <v>43.192506459900002</v>
      </c>
      <c r="E106" s="111">
        <f>IFERROR(VLOOKUP($B106,MMWR_TRAD_AGG_STATE_PEN[],E$1,0),"ERROR")</f>
        <v>1352</v>
      </c>
      <c r="F106" s="112">
        <f>IFERROR(VLOOKUP($B106,MMWR_TRAD_AGG_STATE_PEN[],F$1,0),"ERROR")</f>
        <v>51</v>
      </c>
      <c r="G106" s="113">
        <f t="shared" si="12"/>
        <v>3.7721893491124259E-2</v>
      </c>
      <c r="H106" s="111">
        <f>IFERROR(VLOOKUP($B106,MMWR_TRAD_AGG_STATE_PEN[],H$1,0),"ERROR")</f>
        <v>1186</v>
      </c>
      <c r="I106" s="112">
        <f>IFERROR(VLOOKUP($B106,MMWR_TRAD_AGG_STATE_PEN[],I$1,0),"ERROR")</f>
        <v>51</v>
      </c>
      <c r="J106" s="114">
        <f t="shared" si="13"/>
        <v>4.3001686340640811E-2</v>
      </c>
      <c r="K106" s="111">
        <f>IFERROR(VLOOKUP($B106,MMWR_TRAD_AGG_STATE_PEN[],K$1,0),"ERROR")</f>
        <v>9</v>
      </c>
      <c r="L106" s="112">
        <f>IFERROR(VLOOKUP($B106,MMWR_TRAD_AGG_STATE_PEN[],L$1,0),"ERROR")</f>
        <v>7</v>
      </c>
      <c r="M106" s="114">
        <f t="shared" si="14"/>
        <v>0.77777777777777779</v>
      </c>
      <c r="N106" s="111">
        <f>IFERROR(VLOOKUP($B106,MMWR_TRAD_AGG_STATE_PEN[],N$1,0),"ERROR")</f>
        <v>61</v>
      </c>
      <c r="O106" s="112">
        <f>IFERROR(VLOOKUP($B106,MMWR_TRAD_AGG_STATE_PEN[],O$1,0),"ERROR")</f>
        <v>36</v>
      </c>
      <c r="P106" s="114">
        <f t="shared" si="15"/>
        <v>0.5901639344262295</v>
      </c>
      <c r="Q106" s="115">
        <f>IFERROR(VLOOKUP($B106,MMWR_TRAD_AGG_STATE_PEN[],Q$1,0),"ERROR")</f>
        <v>1155</v>
      </c>
      <c r="R106" s="115">
        <f>IFERROR(VLOOKUP($B106,MMWR_TRAD_AGG_STATE_PEN[],R$1,0),"ERROR")</f>
        <v>231</v>
      </c>
      <c r="S106" s="115">
        <f>IFERROR(VLOOKUP($B106,MMWR_APP_STATE_PEN[],S$1,0),"ERROR")</f>
        <v>670</v>
      </c>
      <c r="T106" s="28"/>
    </row>
    <row r="107" spans="1:20" s="123" customFormat="1" x14ac:dyDescent="0.2">
      <c r="A107" s="28"/>
      <c r="B107" s="127" t="s">
        <v>410</v>
      </c>
      <c r="C107" s="109">
        <f>IFERROR(VLOOKUP($B107,MMWR_TRAD_AGG_STATE_PEN[],C$1,0),"ERROR")</f>
        <v>68</v>
      </c>
      <c r="D107" s="110">
        <f>IFERROR(VLOOKUP($B107,MMWR_TRAD_AGG_STATE_PEN[],D$1,0),"ERROR")</f>
        <v>49.970588235299999</v>
      </c>
      <c r="E107" s="111">
        <f>IFERROR(VLOOKUP($B107,MMWR_TRAD_AGG_STATE_PEN[],E$1,0),"ERROR")</f>
        <v>149</v>
      </c>
      <c r="F107" s="112">
        <f>IFERROR(VLOOKUP($B107,MMWR_TRAD_AGG_STATE_PEN[],F$1,0),"ERROR")</f>
        <v>5</v>
      </c>
      <c r="G107" s="113">
        <f t="shared" si="12"/>
        <v>3.3557046979865772E-2</v>
      </c>
      <c r="H107" s="111">
        <f>IFERROR(VLOOKUP($B107,MMWR_TRAD_AGG_STATE_PEN[],H$1,0),"ERROR")</f>
        <v>86</v>
      </c>
      <c r="I107" s="112">
        <f>IFERROR(VLOOKUP($B107,MMWR_TRAD_AGG_STATE_PEN[],I$1,0),"ERROR")</f>
        <v>4</v>
      </c>
      <c r="J107" s="114">
        <f t="shared" si="13"/>
        <v>4.6511627906976744E-2</v>
      </c>
      <c r="K107" s="111">
        <f>IFERROR(VLOOKUP($B107,MMWR_TRAD_AGG_STATE_PEN[],K$1,0),"ERROR")</f>
        <v>0</v>
      </c>
      <c r="L107" s="112">
        <f>IFERROR(VLOOKUP($B107,MMWR_TRAD_AGG_STATE_PEN[],L$1,0),"ERROR")</f>
        <v>0</v>
      </c>
      <c r="M107" s="114" t="str">
        <f t="shared" si="14"/>
        <v>0%</v>
      </c>
      <c r="N107" s="111">
        <f>IFERROR(VLOOKUP($B107,MMWR_TRAD_AGG_STATE_PEN[],N$1,0),"ERROR")</f>
        <v>4</v>
      </c>
      <c r="O107" s="112">
        <f>IFERROR(VLOOKUP($B107,MMWR_TRAD_AGG_STATE_PEN[],O$1,0),"ERROR")</f>
        <v>0</v>
      </c>
      <c r="P107" s="114">
        <f t="shared" si="15"/>
        <v>0</v>
      </c>
      <c r="Q107" s="115">
        <f>IFERROR(VLOOKUP($B107,MMWR_TRAD_AGG_STATE_PEN[],Q$1,0),"ERROR")</f>
        <v>117</v>
      </c>
      <c r="R107" s="115">
        <f>IFERROR(VLOOKUP($B107,MMWR_TRAD_AGG_STATE_PEN[],R$1,0),"ERROR")</f>
        <v>10</v>
      </c>
      <c r="S107" s="115">
        <f>IFERROR(VLOOKUP($B107,MMWR_APP_STATE_PEN[],S$1,0),"ERROR")</f>
        <v>24</v>
      </c>
      <c r="T107" s="28"/>
    </row>
    <row r="108" spans="1:20" s="123" customFormat="1" x14ac:dyDescent="0.2">
      <c r="A108" s="28"/>
      <c r="B108" s="127" t="s">
        <v>425</v>
      </c>
      <c r="C108" s="109">
        <f>IFERROR(VLOOKUP($B108,MMWR_TRAD_AGG_STATE_PEN[],C$1,0),"ERROR")</f>
        <v>16</v>
      </c>
      <c r="D108" s="110">
        <f>IFERROR(VLOOKUP($B108,MMWR_TRAD_AGG_STATE_PEN[],D$1,0),"ERROR")</f>
        <v>51.5</v>
      </c>
      <c r="E108" s="111">
        <f>IFERROR(VLOOKUP($B108,MMWR_TRAD_AGG_STATE_PEN[],E$1,0),"ERROR")</f>
        <v>16</v>
      </c>
      <c r="F108" s="112">
        <f>IFERROR(VLOOKUP($B108,MMWR_TRAD_AGG_STATE_PEN[],F$1,0),"ERROR")</f>
        <v>2</v>
      </c>
      <c r="G108" s="113">
        <f t="shared" si="12"/>
        <v>0.125</v>
      </c>
      <c r="H108" s="111">
        <f>IFERROR(VLOOKUP($B108,MMWR_TRAD_AGG_STATE_PEN[],H$1,0),"ERROR")</f>
        <v>26</v>
      </c>
      <c r="I108" s="112">
        <f>IFERROR(VLOOKUP($B108,MMWR_TRAD_AGG_STATE_PEN[],I$1,0),"ERROR")</f>
        <v>3</v>
      </c>
      <c r="J108" s="114">
        <f t="shared" si="13"/>
        <v>0.11538461538461539</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1</v>
      </c>
      <c r="P108" s="114">
        <f t="shared" si="15"/>
        <v>1</v>
      </c>
      <c r="Q108" s="115">
        <f>IFERROR(VLOOKUP($B108,MMWR_TRAD_AGG_STATE_PEN[],Q$1,0),"ERROR")</f>
        <v>59</v>
      </c>
      <c r="R108" s="115">
        <f>IFERROR(VLOOKUP($B108,MMWR_TRAD_AGG_STATE_PEN[],R$1,0),"ERROR")</f>
        <v>3</v>
      </c>
      <c r="S108" s="115">
        <f>IFERROR(VLOOKUP($B108,MMWR_APP_STATE_PEN[],S$1,0),"ERROR")</f>
        <v>7</v>
      </c>
      <c r="T108" s="28"/>
    </row>
    <row r="109" spans="1:20" s="123" customFormat="1" x14ac:dyDescent="0.2">
      <c r="A109" s="28"/>
      <c r="B109" s="126" t="s">
        <v>408</v>
      </c>
      <c r="C109" s="102">
        <f>IFERROR(VLOOKUP($B109,MMWR_TRAD_AGG_ST_DISTRICT_PEN[],C$1,0),"ERROR")</f>
        <v>1587</v>
      </c>
      <c r="D109" s="103">
        <f>IFERROR(VLOOKUP($B109,MMWR_TRAD_AGG_ST_DISTRICT_PEN[],D$1,0),"ERROR")</f>
        <v>45.3648393195</v>
      </c>
      <c r="E109" s="102">
        <f>IFERROR(VLOOKUP($B109,MMWR_TRAD_AGG_ST_DISTRICT_PEN[],E$1,0),"ERROR")</f>
        <v>3291</v>
      </c>
      <c r="F109" s="102">
        <f>IFERROR(VLOOKUP($B109,MMWR_TRAD_AGG_ST_DISTRICT_PEN[],F$1,0),"ERROR")</f>
        <v>194</v>
      </c>
      <c r="G109" s="104">
        <f t="shared" si="12"/>
        <v>5.8948647827408079E-2</v>
      </c>
      <c r="H109" s="102">
        <f>IFERROR(VLOOKUP($B109,MMWR_TRAD_AGG_ST_DISTRICT_PEN[],H$1,0),"ERROR")</f>
        <v>2243</v>
      </c>
      <c r="I109" s="102">
        <f>IFERROR(VLOOKUP($B109,MMWR_TRAD_AGG_ST_DISTRICT_PEN[],I$1,0),"ERROR")</f>
        <v>103</v>
      </c>
      <c r="J109" s="104">
        <f t="shared" si="13"/>
        <v>4.5920641997325012E-2</v>
      </c>
      <c r="K109" s="102">
        <f>IFERROR(VLOOKUP($B109,MMWR_TRAD_AGG_ST_DISTRICT_PEN[],K$1,0),"ERROR")</f>
        <v>17</v>
      </c>
      <c r="L109" s="102">
        <f>IFERROR(VLOOKUP($B109,MMWR_TRAD_AGG_ST_DISTRICT_PEN[],L$1,0),"ERROR")</f>
        <v>11</v>
      </c>
      <c r="M109" s="104">
        <f t="shared" si="14"/>
        <v>0.6470588235294118</v>
      </c>
      <c r="N109" s="102">
        <f>IFERROR(VLOOKUP($B109,MMWR_TRAD_AGG_ST_DISTRICT_PEN[],N$1,0),"ERROR")</f>
        <v>145</v>
      </c>
      <c r="O109" s="102">
        <f>IFERROR(VLOOKUP($B109,MMWR_TRAD_AGG_ST_DISTRICT_PEN[],O$1,0),"ERROR")</f>
        <v>68</v>
      </c>
      <c r="P109" s="104">
        <f t="shared" si="15"/>
        <v>0.4689655172413793</v>
      </c>
      <c r="Q109" s="102">
        <f>IFERROR(VLOOKUP($B109,MMWR_TRAD_AGG_ST_DISTRICT_PEN[],Q$1,0),"ERROR")</f>
        <v>2661</v>
      </c>
      <c r="R109" s="106">
        <f>IFERROR(VLOOKUP($B109,MMWR_TRAD_AGG_ST_DISTRICT_PEN[],R$1,0),"ERROR")</f>
        <v>440</v>
      </c>
      <c r="S109" s="106">
        <f>IFERROR(VLOOKUP($B109,MMWR_APP_STATE_PEN[],S$1,0),"ERROR")</f>
        <v>832</v>
      </c>
      <c r="T109" s="28"/>
    </row>
    <row r="110" spans="1:20" s="123" customFormat="1" x14ac:dyDescent="0.2">
      <c r="A110" s="28"/>
      <c r="B110" s="127" t="s">
        <v>428</v>
      </c>
      <c r="C110" s="109">
        <f>IFERROR(VLOOKUP($B110,MMWR_TRAD_AGG_STATE_PEN[],C$1,0),"ERROR")</f>
        <v>13</v>
      </c>
      <c r="D110" s="110">
        <f>IFERROR(VLOOKUP($B110,MMWR_TRAD_AGG_STATE_PEN[],D$1,0),"ERROR")</f>
        <v>43.7692307692</v>
      </c>
      <c r="E110" s="111">
        <f>IFERROR(VLOOKUP($B110,MMWR_TRAD_AGG_STATE_PEN[],E$1,0),"ERROR")</f>
        <v>18</v>
      </c>
      <c r="F110" s="112">
        <f>IFERROR(VLOOKUP($B110,MMWR_TRAD_AGG_STATE_PEN[],F$1,0),"ERROR")</f>
        <v>0</v>
      </c>
      <c r="G110" s="113">
        <f t="shared" si="12"/>
        <v>0</v>
      </c>
      <c r="H110" s="111">
        <f>IFERROR(VLOOKUP($B110,MMWR_TRAD_AGG_STATE_PEN[],H$1,0),"ERROR")</f>
        <v>23</v>
      </c>
      <c r="I110" s="112">
        <f>IFERROR(VLOOKUP($B110,MMWR_TRAD_AGG_STATE_PEN[],I$1,0),"ERROR")</f>
        <v>1</v>
      </c>
      <c r="J110" s="114">
        <f t="shared" si="13"/>
        <v>4.3478260869565216E-2</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29</v>
      </c>
      <c r="R110" s="115">
        <f>IFERROR(VLOOKUP($B110,MMWR_TRAD_AGG_STATE_PEN[],R$1,0),"ERROR")</f>
        <v>4</v>
      </c>
      <c r="S110" s="115">
        <f>IFERROR(VLOOKUP($B110,MMWR_APP_STATE_PEN[],S$1,0),"ERROR")</f>
        <v>2</v>
      </c>
      <c r="T110" s="28"/>
    </row>
    <row r="111" spans="1:20" s="123" customFormat="1" x14ac:dyDescent="0.2">
      <c r="A111" s="28"/>
      <c r="B111" s="127" t="s">
        <v>430</v>
      </c>
      <c r="C111" s="109">
        <f>IFERROR(VLOOKUP($B111,MMWR_TRAD_AGG_STATE_PEN[],C$1,0),"ERROR")</f>
        <v>187</v>
      </c>
      <c r="D111" s="110">
        <f>IFERROR(VLOOKUP($B111,MMWR_TRAD_AGG_STATE_PEN[],D$1,0),"ERROR")</f>
        <v>45.679144385000001</v>
      </c>
      <c r="E111" s="111">
        <f>IFERROR(VLOOKUP($B111,MMWR_TRAD_AGG_STATE_PEN[],E$1,0),"ERROR")</f>
        <v>423</v>
      </c>
      <c r="F111" s="112">
        <f>IFERROR(VLOOKUP($B111,MMWR_TRAD_AGG_STATE_PEN[],F$1,0),"ERROR")</f>
        <v>35</v>
      </c>
      <c r="G111" s="113">
        <f t="shared" si="12"/>
        <v>8.2742316784869971E-2</v>
      </c>
      <c r="H111" s="111">
        <f>IFERROR(VLOOKUP($B111,MMWR_TRAD_AGG_STATE_PEN[],H$1,0),"ERROR")</f>
        <v>262</v>
      </c>
      <c r="I111" s="112">
        <f>IFERROR(VLOOKUP($B111,MMWR_TRAD_AGG_STATE_PEN[],I$1,0),"ERROR")</f>
        <v>9</v>
      </c>
      <c r="J111" s="114">
        <f t="shared" si="13"/>
        <v>3.4351145038167941E-2</v>
      </c>
      <c r="K111" s="111">
        <f>IFERROR(VLOOKUP($B111,MMWR_TRAD_AGG_STATE_PEN[],K$1,0),"ERROR")</f>
        <v>1</v>
      </c>
      <c r="L111" s="112">
        <f>IFERROR(VLOOKUP($B111,MMWR_TRAD_AGG_STATE_PEN[],L$1,0),"ERROR")</f>
        <v>1</v>
      </c>
      <c r="M111" s="114">
        <f t="shared" si="14"/>
        <v>1</v>
      </c>
      <c r="N111" s="111">
        <f>IFERROR(VLOOKUP($B111,MMWR_TRAD_AGG_STATE_PEN[],N$1,0),"ERROR")</f>
        <v>15</v>
      </c>
      <c r="O111" s="112">
        <f>IFERROR(VLOOKUP($B111,MMWR_TRAD_AGG_STATE_PEN[],O$1,0),"ERROR")</f>
        <v>5</v>
      </c>
      <c r="P111" s="114">
        <f t="shared" si="15"/>
        <v>0.33333333333333331</v>
      </c>
      <c r="Q111" s="115">
        <f>IFERROR(VLOOKUP($B111,MMWR_TRAD_AGG_STATE_PEN[],Q$1,0),"ERROR")</f>
        <v>368</v>
      </c>
      <c r="R111" s="115">
        <f>IFERROR(VLOOKUP($B111,MMWR_TRAD_AGG_STATE_PEN[],R$1,0),"ERROR")</f>
        <v>51</v>
      </c>
      <c r="S111" s="115">
        <f>IFERROR(VLOOKUP($B111,MMWR_APP_STATE_PEN[],S$1,0),"ERROR")</f>
        <v>137</v>
      </c>
      <c r="T111" s="28"/>
    </row>
    <row r="112" spans="1:20" s="123" customFormat="1" x14ac:dyDescent="0.2">
      <c r="A112" s="28"/>
      <c r="B112" s="127" t="s">
        <v>411</v>
      </c>
      <c r="C112" s="109">
        <f>IFERROR(VLOOKUP($B112,MMWR_TRAD_AGG_STATE_PEN[],C$1,0),"ERROR")</f>
        <v>833</v>
      </c>
      <c r="D112" s="110">
        <f>IFERROR(VLOOKUP($B112,MMWR_TRAD_AGG_STATE_PEN[],D$1,0),"ERROR")</f>
        <v>46.662665066000002</v>
      </c>
      <c r="E112" s="111">
        <f>IFERROR(VLOOKUP($B112,MMWR_TRAD_AGG_STATE_PEN[],E$1,0),"ERROR")</f>
        <v>1736</v>
      </c>
      <c r="F112" s="112">
        <f>IFERROR(VLOOKUP($B112,MMWR_TRAD_AGG_STATE_PEN[],F$1,0),"ERROR")</f>
        <v>109</v>
      </c>
      <c r="G112" s="113">
        <f t="shared" si="12"/>
        <v>6.2788018433179729E-2</v>
      </c>
      <c r="H112" s="111">
        <f>IFERROR(VLOOKUP($B112,MMWR_TRAD_AGG_STATE_PEN[],H$1,0),"ERROR")</f>
        <v>1137</v>
      </c>
      <c r="I112" s="112">
        <f>IFERROR(VLOOKUP($B112,MMWR_TRAD_AGG_STATE_PEN[],I$1,0),"ERROR")</f>
        <v>43</v>
      </c>
      <c r="J112" s="114">
        <f t="shared" si="13"/>
        <v>3.7818821459982409E-2</v>
      </c>
      <c r="K112" s="111">
        <f>IFERROR(VLOOKUP($B112,MMWR_TRAD_AGG_STATE_PEN[],K$1,0),"ERROR")</f>
        <v>12</v>
      </c>
      <c r="L112" s="112">
        <f>IFERROR(VLOOKUP($B112,MMWR_TRAD_AGG_STATE_PEN[],L$1,0),"ERROR")</f>
        <v>7</v>
      </c>
      <c r="M112" s="114">
        <f t="shared" si="14"/>
        <v>0.58333333333333337</v>
      </c>
      <c r="N112" s="111">
        <f>IFERROR(VLOOKUP($B112,MMWR_TRAD_AGG_STATE_PEN[],N$1,0),"ERROR")</f>
        <v>78</v>
      </c>
      <c r="O112" s="112">
        <f>IFERROR(VLOOKUP($B112,MMWR_TRAD_AGG_STATE_PEN[],O$1,0),"ERROR")</f>
        <v>39</v>
      </c>
      <c r="P112" s="114">
        <f t="shared" si="15"/>
        <v>0.5</v>
      </c>
      <c r="Q112" s="115">
        <f>IFERROR(VLOOKUP($B112,MMWR_TRAD_AGG_STATE_PEN[],Q$1,0),"ERROR")</f>
        <v>1113</v>
      </c>
      <c r="R112" s="115">
        <f>IFERROR(VLOOKUP($B112,MMWR_TRAD_AGG_STATE_PEN[],R$1,0),"ERROR")</f>
        <v>229</v>
      </c>
      <c r="S112" s="115">
        <f>IFERROR(VLOOKUP($B112,MMWR_APP_STATE_PEN[],S$1,0),"ERROR")</f>
        <v>444</v>
      </c>
      <c r="T112" s="28"/>
    </row>
    <row r="113" spans="1:20" s="123" customFormat="1" x14ac:dyDescent="0.2">
      <c r="A113" s="28"/>
      <c r="B113" s="127" t="s">
        <v>432</v>
      </c>
      <c r="C113" s="109">
        <f>IFERROR(VLOOKUP($B113,MMWR_TRAD_AGG_STATE_PEN[],C$1,0),"ERROR")</f>
        <v>21</v>
      </c>
      <c r="D113" s="110">
        <f>IFERROR(VLOOKUP($B113,MMWR_TRAD_AGG_STATE_PEN[],D$1,0),"ERROR")</f>
        <v>49.904761904799997</v>
      </c>
      <c r="E113" s="111">
        <f>IFERROR(VLOOKUP($B113,MMWR_TRAD_AGG_STATE_PEN[],E$1,0),"ERROR")</f>
        <v>25</v>
      </c>
      <c r="F113" s="112">
        <f>IFERROR(VLOOKUP($B113,MMWR_TRAD_AGG_STATE_PEN[],F$1,0),"ERROR")</f>
        <v>4</v>
      </c>
      <c r="G113" s="113">
        <f t="shared" si="12"/>
        <v>0.16</v>
      </c>
      <c r="H113" s="111">
        <f>IFERROR(VLOOKUP($B113,MMWR_TRAD_AGG_STATE_PEN[],H$1,0),"ERROR")</f>
        <v>33</v>
      </c>
      <c r="I113" s="112">
        <f>IFERROR(VLOOKUP($B113,MMWR_TRAD_AGG_STATE_PEN[],I$1,0),"ERROR")</f>
        <v>2</v>
      </c>
      <c r="J113" s="114">
        <f t="shared" si="13"/>
        <v>6.0606060606060608E-2</v>
      </c>
      <c r="K113" s="111">
        <f>IFERROR(VLOOKUP($B113,MMWR_TRAD_AGG_STATE_PEN[],K$1,0),"ERROR")</f>
        <v>1</v>
      </c>
      <c r="L113" s="112">
        <f>IFERROR(VLOOKUP($B113,MMWR_TRAD_AGG_STATE_PEN[],L$1,0),"ERROR")</f>
        <v>1</v>
      </c>
      <c r="M113" s="114">
        <f t="shared" si="14"/>
        <v>1</v>
      </c>
      <c r="N113" s="111">
        <f>IFERROR(VLOOKUP($B113,MMWR_TRAD_AGG_STATE_PEN[],N$1,0),"ERROR")</f>
        <v>3</v>
      </c>
      <c r="O113" s="112">
        <f>IFERROR(VLOOKUP($B113,MMWR_TRAD_AGG_STATE_PEN[],O$1,0),"ERROR")</f>
        <v>1</v>
      </c>
      <c r="P113" s="114">
        <f t="shared" si="15"/>
        <v>0.33333333333333331</v>
      </c>
      <c r="Q113" s="115">
        <f>IFERROR(VLOOKUP($B113,MMWR_TRAD_AGG_STATE_PEN[],Q$1,0),"ERROR")</f>
        <v>53</v>
      </c>
      <c r="R113" s="115">
        <f>IFERROR(VLOOKUP($B113,MMWR_TRAD_AGG_STATE_PEN[],R$1,0),"ERROR")</f>
        <v>4</v>
      </c>
      <c r="S113" s="115">
        <f>IFERROR(VLOOKUP($B113,MMWR_APP_STATE_PEN[],S$1,0),"ERROR")</f>
        <v>12</v>
      </c>
      <c r="T113" s="28"/>
    </row>
    <row r="114" spans="1:20" s="123" customFormat="1" x14ac:dyDescent="0.2">
      <c r="A114" s="28"/>
      <c r="B114" s="127" t="s">
        <v>412</v>
      </c>
      <c r="C114" s="109">
        <f>IFERROR(VLOOKUP($B114,MMWR_TRAD_AGG_STATE_PEN[],C$1,0),"ERROR")</f>
        <v>56</v>
      </c>
      <c r="D114" s="110">
        <f>IFERROR(VLOOKUP($B114,MMWR_TRAD_AGG_STATE_PEN[],D$1,0),"ERROR")</f>
        <v>34.035714285700003</v>
      </c>
      <c r="E114" s="111">
        <f>IFERROR(VLOOKUP($B114,MMWR_TRAD_AGG_STATE_PEN[],E$1,0),"ERROR")</f>
        <v>104</v>
      </c>
      <c r="F114" s="112">
        <f>IFERROR(VLOOKUP($B114,MMWR_TRAD_AGG_STATE_PEN[],F$1,0),"ERROR")</f>
        <v>1</v>
      </c>
      <c r="G114" s="113">
        <f t="shared" si="12"/>
        <v>9.6153846153846159E-3</v>
      </c>
      <c r="H114" s="111">
        <f>IFERROR(VLOOKUP($B114,MMWR_TRAD_AGG_STATE_PEN[],H$1,0),"ERROR")</f>
        <v>85</v>
      </c>
      <c r="I114" s="112">
        <f>IFERROR(VLOOKUP($B114,MMWR_TRAD_AGG_STATE_PEN[],I$1,0),"ERROR")</f>
        <v>1</v>
      </c>
      <c r="J114" s="114">
        <f t="shared" si="13"/>
        <v>1.1764705882352941E-2</v>
      </c>
      <c r="K114" s="111">
        <f>IFERROR(VLOOKUP($B114,MMWR_TRAD_AGG_STATE_PEN[],K$1,0),"ERROR")</f>
        <v>1</v>
      </c>
      <c r="L114" s="112">
        <f>IFERROR(VLOOKUP($B114,MMWR_TRAD_AGG_STATE_PEN[],L$1,0),"ERROR")</f>
        <v>1</v>
      </c>
      <c r="M114" s="114">
        <f t="shared" si="14"/>
        <v>1</v>
      </c>
      <c r="N114" s="111">
        <f>IFERROR(VLOOKUP($B114,MMWR_TRAD_AGG_STATE_PEN[],N$1,0),"ERROR")</f>
        <v>0</v>
      </c>
      <c r="O114" s="112">
        <f>IFERROR(VLOOKUP($B114,MMWR_TRAD_AGG_STATE_PEN[],O$1,0),"ERROR")</f>
        <v>0</v>
      </c>
      <c r="P114" s="114" t="str">
        <f t="shared" si="15"/>
        <v>0%</v>
      </c>
      <c r="Q114" s="115">
        <f>IFERROR(VLOOKUP($B114,MMWR_TRAD_AGG_STATE_PEN[],Q$1,0),"ERROR")</f>
        <v>101</v>
      </c>
      <c r="R114" s="115">
        <f>IFERROR(VLOOKUP($B114,MMWR_TRAD_AGG_STATE_PEN[],R$1,0),"ERROR")</f>
        <v>12</v>
      </c>
      <c r="S114" s="115">
        <f>IFERROR(VLOOKUP($B114,MMWR_APP_STATE_PEN[],S$1,0),"ERROR")</f>
        <v>11</v>
      </c>
      <c r="T114" s="28"/>
    </row>
    <row r="115" spans="1:20" s="123" customFormat="1" x14ac:dyDescent="0.2">
      <c r="A115" s="28"/>
      <c r="B115" s="127" t="s">
        <v>417</v>
      </c>
      <c r="C115" s="109">
        <f>IFERROR(VLOOKUP($B115,MMWR_TRAD_AGG_STATE_PEN[],C$1,0),"ERROR")</f>
        <v>101</v>
      </c>
      <c r="D115" s="110">
        <f>IFERROR(VLOOKUP($B115,MMWR_TRAD_AGG_STATE_PEN[],D$1,0),"ERROR")</f>
        <v>47.792079207900002</v>
      </c>
      <c r="E115" s="111">
        <f>IFERROR(VLOOKUP($B115,MMWR_TRAD_AGG_STATE_PEN[],E$1,0),"ERROR")</f>
        <v>185</v>
      </c>
      <c r="F115" s="112">
        <f>IFERROR(VLOOKUP($B115,MMWR_TRAD_AGG_STATE_PEN[],F$1,0),"ERROR")</f>
        <v>6</v>
      </c>
      <c r="G115" s="113">
        <f t="shared" si="12"/>
        <v>3.2432432432432434E-2</v>
      </c>
      <c r="H115" s="111">
        <f>IFERROR(VLOOKUP($B115,MMWR_TRAD_AGG_STATE_PEN[],H$1,0),"ERROR")</f>
        <v>135</v>
      </c>
      <c r="I115" s="112">
        <f>IFERROR(VLOOKUP($B115,MMWR_TRAD_AGG_STATE_PEN[],I$1,0),"ERROR")</f>
        <v>7</v>
      </c>
      <c r="J115" s="114">
        <f t="shared" si="13"/>
        <v>5.185185185185185E-2</v>
      </c>
      <c r="K115" s="111">
        <f>IFERROR(VLOOKUP($B115,MMWR_TRAD_AGG_STATE_PEN[],K$1,0),"ERROR")</f>
        <v>0</v>
      </c>
      <c r="L115" s="112">
        <f>IFERROR(VLOOKUP($B115,MMWR_TRAD_AGG_STATE_PEN[],L$1,0),"ERROR")</f>
        <v>0</v>
      </c>
      <c r="M115" s="114" t="str">
        <f t="shared" si="14"/>
        <v>0%</v>
      </c>
      <c r="N115" s="111">
        <f>IFERROR(VLOOKUP($B115,MMWR_TRAD_AGG_STATE_PEN[],N$1,0),"ERROR")</f>
        <v>5</v>
      </c>
      <c r="O115" s="112">
        <f>IFERROR(VLOOKUP($B115,MMWR_TRAD_AGG_STATE_PEN[],O$1,0),"ERROR")</f>
        <v>4</v>
      </c>
      <c r="P115" s="114">
        <f t="shared" si="15"/>
        <v>0.8</v>
      </c>
      <c r="Q115" s="115">
        <f>IFERROR(VLOOKUP($B115,MMWR_TRAD_AGG_STATE_PEN[],Q$1,0),"ERROR")</f>
        <v>118</v>
      </c>
      <c r="R115" s="115">
        <f>IFERROR(VLOOKUP($B115,MMWR_TRAD_AGG_STATE_PEN[],R$1,0),"ERROR")</f>
        <v>26</v>
      </c>
      <c r="S115" s="115">
        <f>IFERROR(VLOOKUP($B115,MMWR_APP_STATE_PEN[],S$1,0),"ERROR")</f>
        <v>43</v>
      </c>
      <c r="T115" s="28"/>
    </row>
    <row r="116" spans="1:20" s="123" customFormat="1" x14ac:dyDescent="0.2">
      <c r="A116" s="28"/>
      <c r="B116" s="127" t="s">
        <v>409</v>
      </c>
      <c r="C116" s="109">
        <f>IFERROR(VLOOKUP($B116,MMWR_TRAD_AGG_STATE_PEN[],C$1,0),"ERROR")</f>
        <v>66</v>
      </c>
      <c r="D116" s="110">
        <f>IFERROR(VLOOKUP($B116,MMWR_TRAD_AGG_STATE_PEN[],D$1,0),"ERROR")</f>
        <v>38.621212121200003</v>
      </c>
      <c r="E116" s="111">
        <f>IFERROR(VLOOKUP($B116,MMWR_TRAD_AGG_STATE_PEN[],E$1,0),"ERROR")</f>
        <v>132</v>
      </c>
      <c r="F116" s="112">
        <f>IFERROR(VLOOKUP($B116,MMWR_TRAD_AGG_STATE_PEN[],F$1,0),"ERROR")</f>
        <v>3</v>
      </c>
      <c r="G116" s="113">
        <f t="shared" si="12"/>
        <v>2.2727272727272728E-2</v>
      </c>
      <c r="H116" s="111">
        <f>IFERROR(VLOOKUP($B116,MMWR_TRAD_AGG_STATE_PEN[],H$1,0),"ERROR")</f>
        <v>92</v>
      </c>
      <c r="I116" s="112">
        <f>IFERROR(VLOOKUP($B116,MMWR_TRAD_AGG_STATE_PEN[],I$1,0),"ERROR")</f>
        <v>2</v>
      </c>
      <c r="J116" s="114">
        <f t="shared" si="13"/>
        <v>2.1739130434782608E-2</v>
      </c>
      <c r="K116" s="111">
        <f>IFERROR(VLOOKUP($B116,MMWR_TRAD_AGG_STATE_PEN[],K$1,0),"ERROR")</f>
        <v>0</v>
      </c>
      <c r="L116" s="112">
        <f>IFERROR(VLOOKUP($B116,MMWR_TRAD_AGG_STATE_PEN[],L$1,0),"ERROR")</f>
        <v>0</v>
      </c>
      <c r="M116" s="114" t="str">
        <f t="shared" si="14"/>
        <v>0%</v>
      </c>
      <c r="N116" s="111">
        <f>IFERROR(VLOOKUP($B116,MMWR_TRAD_AGG_STATE_PEN[],N$1,0),"ERROR")</f>
        <v>8</v>
      </c>
      <c r="O116" s="112">
        <f>IFERROR(VLOOKUP($B116,MMWR_TRAD_AGG_STATE_PEN[],O$1,0),"ERROR")</f>
        <v>3</v>
      </c>
      <c r="P116" s="114">
        <f t="shared" si="15"/>
        <v>0.375</v>
      </c>
      <c r="Q116" s="115">
        <f>IFERROR(VLOOKUP($B116,MMWR_TRAD_AGG_STATE_PEN[],Q$1,0),"ERROR")</f>
        <v>184</v>
      </c>
      <c r="R116" s="115">
        <f>IFERROR(VLOOKUP($B116,MMWR_TRAD_AGG_STATE_PEN[],R$1,0),"ERROR")</f>
        <v>17</v>
      </c>
      <c r="S116" s="115">
        <f>IFERROR(VLOOKUP($B116,MMWR_APP_STATE_PEN[],S$1,0),"ERROR")</f>
        <v>33</v>
      </c>
      <c r="T116" s="28"/>
    </row>
    <row r="117" spans="1:20" s="123" customFormat="1" x14ac:dyDescent="0.2">
      <c r="A117" s="28"/>
      <c r="B117" s="127" t="s">
        <v>413</v>
      </c>
      <c r="C117" s="109">
        <f>IFERROR(VLOOKUP($B117,MMWR_TRAD_AGG_STATE_PEN[],C$1,0),"ERROR")</f>
        <v>139</v>
      </c>
      <c r="D117" s="110">
        <f>IFERROR(VLOOKUP($B117,MMWR_TRAD_AGG_STATE_PEN[],D$1,0),"ERROR")</f>
        <v>43.071942446000001</v>
      </c>
      <c r="E117" s="111">
        <f>IFERROR(VLOOKUP($B117,MMWR_TRAD_AGG_STATE_PEN[],E$1,0),"ERROR")</f>
        <v>233</v>
      </c>
      <c r="F117" s="112">
        <f>IFERROR(VLOOKUP($B117,MMWR_TRAD_AGG_STATE_PEN[],F$1,0),"ERROR")</f>
        <v>12</v>
      </c>
      <c r="G117" s="113">
        <f t="shared" si="12"/>
        <v>5.1502145922746781E-2</v>
      </c>
      <c r="H117" s="111">
        <f>IFERROR(VLOOKUP($B117,MMWR_TRAD_AGG_STATE_PEN[],H$1,0),"ERROR")</f>
        <v>198</v>
      </c>
      <c r="I117" s="112">
        <f>IFERROR(VLOOKUP($B117,MMWR_TRAD_AGG_STATE_PEN[],I$1,0),"ERROR")</f>
        <v>8</v>
      </c>
      <c r="J117" s="114">
        <f t="shared" si="13"/>
        <v>4.0404040404040407E-2</v>
      </c>
      <c r="K117" s="111">
        <f>IFERROR(VLOOKUP($B117,MMWR_TRAD_AGG_STATE_PEN[],K$1,0),"ERROR")</f>
        <v>1</v>
      </c>
      <c r="L117" s="112">
        <f>IFERROR(VLOOKUP($B117,MMWR_TRAD_AGG_STATE_PEN[],L$1,0),"ERROR")</f>
        <v>1</v>
      </c>
      <c r="M117" s="114">
        <f t="shared" si="14"/>
        <v>1</v>
      </c>
      <c r="N117" s="111">
        <f>IFERROR(VLOOKUP($B117,MMWR_TRAD_AGG_STATE_PEN[],N$1,0),"ERROR")</f>
        <v>14</v>
      </c>
      <c r="O117" s="112">
        <f>IFERROR(VLOOKUP($B117,MMWR_TRAD_AGG_STATE_PEN[],O$1,0),"ERROR")</f>
        <v>6</v>
      </c>
      <c r="P117" s="114">
        <f t="shared" si="15"/>
        <v>0.42857142857142855</v>
      </c>
      <c r="Q117" s="115">
        <f>IFERROR(VLOOKUP($B117,MMWR_TRAD_AGG_STATE_PEN[],Q$1,0),"ERROR")</f>
        <v>304</v>
      </c>
      <c r="R117" s="115">
        <f>IFERROR(VLOOKUP($B117,MMWR_TRAD_AGG_STATE_PEN[],R$1,0),"ERROR")</f>
        <v>40</v>
      </c>
      <c r="S117" s="115">
        <f>IFERROR(VLOOKUP($B117,MMWR_APP_STATE_PEN[],S$1,0),"ERROR")</f>
        <v>56</v>
      </c>
      <c r="T117" s="28"/>
    </row>
    <row r="118" spans="1:20" s="123" customFormat="1" x14ac:dyDescent="0.2">
      <c r="A118" s="28"/>
      <c r="B118" s="127" t="s">
        <v>83</v>
      </c>
      <c r="C118" s="109">
        <f>IFERROR(VLOOKUP($B118,MMWR_TRAD_AGG_STATE_PEN[],C$1,0),"ERROR")</f>
        <v>171</v>
      </c>
      <c r="D118" s="110">
        <f>IFERROR(VLOOKUP($B118,MMWR_TRAD_AGG_STATE_PEN[],D$1,0),"ERROR")</f>
        <v>45.005847953200004</v>
      </c>
      <c r="E118" s="111">
        <f>IFERROR(VLOOKUP($B118,MMWR_TRAD_AGG_STATE_PEN[],E$1,0),"ERROR")</f>
        <v>435</v>
      </c>
      <c r="F118" s="112">
        <f>IFERROR(VLOOKUP($B118,MMWR_TRAD_AGG_STATE_PEN[],F$1,0),"ERROR")</f>
        <v>24</v>
      </c>
      <c r="G118" s="113">
        <f t="shared" si="12"/>
        <v>5.5172413793103448E-2</v>
      </c>
      <c r="H118" s="111">
        <f>IFERROR(VLOOKUP($B118,MMWR_TRAD_AGG_STATE_PEN[],H$1,0),"ERROR")</f>
        <v>278</v>
      </c>
      <c r="I118" s="112">
        <f>IFERROR(VLOOKUP($B118,MMWR_TRAD_AGG_STATE_PEN[],I$1,0),"ERROR")</f>
        <v>30</v>
      </c>
      <c r="J118" s="114">
        <f t="shared" si="13"/>
        <v>0.1079136690647482</v>
      </c>
      <c r="K118" s="111">
        <f>IFERROR(VLOOKUP($B118,MMWR_TRAD_AGG_STATE_PEN[],K$1,0),"ERROR")</f>
        <v>1</v>
      </c>
      <c r="L118" s="112">
        <f>IFERROR(VLOOKUP($B118,MMWR_TRAD_AGG_STATE_PEN[],L$1,0),"ERROR")</f>
        <v>0</v>
      </c>
      <c r="M118" s="114">
        <f t="shared" si="14"/>
        <v>0</v>
      </c>
      <c r="N118" s="111">
        <f>IFERROR(VLOOKUP($B118,MMWR_TRAD_AGG_STATE_PEN[],N$1,0),"ERROR")</f>
        <v>22</v>
      </c>
      <c r="O118" s="112">
        <f>IFERROR(VLOOKUP($B118,MMWR_TRAD_AGG_STATE_PEN[],O$1,0),"ERROR")</f>
        <v>10</v>
      </c>
      <c r="P118" s="114">
        <f t="shared" si="15"/>
        <v>0.45454545454545453</v>
      </c>
      <c r="Q118" s="115">
        <f>IFERROR(VLOOKUP($B118,MMWR_TRAD_AGG_STATE_PEN[],Q$1,0),"ERROR")</f>
        <v>391</v>
      </c>
      <c r="R118" s="115">
        <f>IFERROR(VLOOKUP($B118,MMWR_TRAD_AGG_STATE_PEN[],R$1,0),"ERROR")</f>
        <v>57</v>
      </c>
      <c r="S118" s="115">
        <f>IFERROR(VLOOKUP($B118,MMWR_APP_STATE_PEN[],S$1,0),"ERROR")</f>
        <v>94</v>
      </c>
      <c r="T118" s="28"/>
    </row>
    <row r="119" spans="1:20" s="123" customFormat="1" x14ac:dyDescent="0.2">
      <c r="A119" s="28"/>
      <c r="B119" s="126" t="s">
        <v>384</v>
      </c>
      <c r="C119" s="102">
        <f>IFERROR(VLOOKUP($B119,MMWR_TRAD_AGG_ST_DISTRICT_PEN[],C$1,0),"ERROR")</f>
        <v>7272</v>
      </c>
      <c r="D119" s="103">
        <f>IFERROR(VLOOKUP($B119,MMWR_TRAD_AGG_ST_DISTRICT_PEN[],D$1,0),"ERROR")</f>
        <v>89.206820682100002</v>
      </c>
      <c r="E119" s="102">
        <f>IFERROR(VLOOKUP($B119,MMWR_TRAD_AGG_ST_DISTRICT_PEN[],E$1,0),"ERROR")</f>
        <v>9258</v>
      </c>
      <c r="F119" s="102">
        <f>IFERROR(VLOOKUP($B119,MMWR_TRAD_AGG_ST_DISTRICT_PEN[],F$1,0),"ERROR")</f>
        <v>1825</v>
      </c>
      <c r="G119" s="104">
        <f t="shared" si="12"/>
        <v>0.19712680924605747</v>
      </c>
      <c r="H119" s="102">
        <f>IFERROR(VLOOKUP($B119,MMWR_TRAD_AGG_ST_DISTRICT_PEN[],H$1,0),"ERROR")</f>
        <v>9852</v>
      </c>
      <c r="I119" s="102">
        <f>IFERROR(VLOOKUP($B119,MMWR_TRAD_AGG_ST_DISTRICT_PEN[],I$1,0),"ERROR")</f>
        <v>3039</v>
      </c>
      <c r="J119" s="104">
        <f t="shared" si="13"/>
        <v>0.30846528623629721</v>
      </c>
      <c r="K119" s="102">
        <f>IFERROR(VLOOKUP($B119,MMWR_TRAD_AGG_ST_DISTRICT_PEN[],K$1,0),"ERROR")</f>
        <v>118</v>
      </c>
      <c r="L119" s="102">
        <f>IFERROR(VLOOKUP($B119,MMWR_TRAD_AGG_ST_DISTRICT_PEN[],L$1,0),"ERROR")</f>
        <v>114</v>
      </c>
      <c r="M119" s="104">
        <f t="shared" si="14"/>
        <v>0.96610169491525422</v>
      </c>
      <c r="N119" s="102">
        <f>IFERROR(VLOOKUP($B119,MMWR_TRAD_AGG_ST_DISTRICT_PEN[],N$1,0),"ERROR")</f>
        <v>479</v>
      </c>
      <c r="O119" s="102">
        <f>IFERROR(VLOOKUP($B119,MMWR_TRAD_AGG_ST_DISTRICT_PEN[],O$1,0),"ERROR")</f>
        <v>177</v>
      </c>
      <c r="P119" s="104">
        <f t="shared" si="15"/>
        <v>0.36951983298538621</v>
      </c>
      <c r="Q119" s="102">
        <f>IFERROR(VLOOKUP($B119,MMWR_TRAD_AGG_ST_DISTRICT_PEN[],Q$1,0),"ERROR")</f>
        <v>1230</v>
      </c>
      <c r="R119" s="106">
        <f>IFERROR(VLOOKUP($B119,MMWR_TRAD_AGG_ST_DISTRICT_PEN[],R$1,0),"ERROR")</f>
        <v>1958</v>
      </c>
      <c r="S119" s="106">
        <f>IFERROR(VLOOKUP($B119,MMWR_APP_STATE_PEN[],S$1,0),"ERROR")</f>
        <v>1937</v>
      </c>
      <c r="T119" s="28"/>
    </row>
    <row r="120" spans="1:20" s="123" customFormat="1" x14ac:dyDescent="0.2">
      <c r="A120" s="28"/>
      <c r="B120" s="127" t="s">
        <v>392</v>
      </c>
      <c r="C120" s="109">
        <f>IFERROR(VLOOKUP($B120,MMWR_TRAD_AGG_STATE_PEN[],C$1,0),"ERROR")</f>
        <v>544</v>
      </c>
      <c r="D120" s="110">
        <f>IFERROR(VLOOKUP($B120,MMWR_TRAD_AGG_STATE_PEN[],D$1,0),"ERROR")</f>
        <v>42</v>
      </c>
      <c r="E120" s="111">
        <f>IFERROR(VLOOKUP($B120,MMWR_TRAD_AGG_STATE_PEN[],E$1,0),"ERROR")</f>
        <v>932</v>
      </c>
      <c r="F120" s="112">
        <f>IFERROR(VLOOKUP($B120,MMWR_TRAD_AGG_STATE_PEN[],F$1,0),"ERROR")</f>
        <v>77</v>
      </c>
      <c r="G120" s="113">
        <f t="shared" si="12"/>
        <v>8.2618025751072965E-2</v>
      </c>
      <c r="H120" s="111">
        <f>IFERROR(VLOOKUP($B120,MMWR_TRAD_AGG_STATE_PEN[],H$1,0),"ERROR")</f>
        <v>747</v>
      </c>
      <c r="I120" s="112">
        <f>IFERROR(VLOOKUP($B120,MMWR_TRAD_AGG_STATE_PEN[],I$1,0),"ERROR")</f>
        <v>29</v>
      </c>
      <c r="J120" s="114">
        <f t="shared" si="13"/>
        <v>3.8821954484605084E-2</v>
      </c>
      <c r="K120" s="111">
        <f>IFERROR(VLOOKUP($B120,MMWR_TRAD_AGG_STATE_PEN[],K$1,0),"ERROR")</f>
        <v>5</v>
      </c>
      <c r="L120" s="112">
        <f>IFERROR(VLOOKUP($B120,MMWR_TRAD_AGG_STATE_PEN[],L$1,0),"ERROR")</f>
        <v>5</v>
      </c>
      <c r="M120" s="114">
        <f t="shared" si="14"/>
        <v>1</v>
      </c>
      <c r="N120" s="111">
        <f>IFERROR(VLOOKUP($B120,MMWR_TRAD_AGG_STATE_PEN[],N$1,0),"ERROR")</f>
        <v>49</v>
      </c>
      <c r="O120" s="112">
        <f>IFERROR(VLOOKUP($B120,MMWR_TRAD_AGG_STATE_PEN[],O$1,0),"ERROR")</f>
        <v>11</v>
      </c>
      <c r="P120" s="114">
        <f t="shared" si="15"/>
        <v>0.22448979591836735</v>
      </c>
      <c r="Q120" s="115">
        <f>IFERROR(VLOOKUP($B120,MMWR_TRAD_AGG_STATE_PEN[],Q$1,0),"ERROR")</f>
        <v>136</v>
      </c>
      <c r="R120" s="115">
        <f>IFERROR(VLOOKUP($B120,MMWR_TRAD_AGG_STATE_PEN[],R$1,0),"ERROR")</f>
        <v>90</v>
      </c>
      <c r="S120" s="115">
        <f>IFERROR(VLOOKUP($B120,MMWR_APP_STATE_PEN[],S$1,0),"ERROR")</f>
        <v>284</v>
      </c>
      <c r="T120" s="28"/>
    </row>
    <row r="121" spans="1:20" s="123" customFormat="1" x14ac:dyDescent="0.2">
      <c r="A121" s="28"/>
      <c r="B121" s="127" t="s">
        <v>429</v>
      </c>
      <c r="C121" s="109">
        <f>IFERROR(VLOOKUP($B121,MMWR_TRAD_AGG_STATE_PEN[],C$1,0),"ERROR")</f>
        <v>2649</v>
      </c>
      <c r="D121" s="110">
        <f>IFERROR(VLOOKUP($B121,MMWR_TRAD_AGG_STATE_PEN[],D$1,0),"ERROR")</f>
        <v>96.249150622900004</v>
      </c>
      <c r="E121" s="111">
        <f>IFERROR(VLOOKUP($B121,MMWR_TRAD_AGG_STATE_PEN[],E$1,0),"ERROR")</f>
        <v>3764</v>
      </c>
      <c r="F121" s="112">
        <f>IFERROR(VLOOKUP($B121,MMWR_TRAD_AGG_STATE_PEN[],F$1,0),"ERROR")</f>
        <v>836</v>
      </c>
      <c r="G121" s="113">
        <f t="shared" si="12"/>
        <v>0.22210414452709884</v>
      </c>
      <c r="H121" s="111">
        <f>IFERROR(VLOOKUP($B121,MMWR_TRAD_AGG_STATE_PEN[],H$1,0),"ERROR")</f>
        <v>3525</v>
      </c>
      <c r="I121" s="112">
        <f>IFERROR(VLOOKUP($B121,MMWR_TRAD_AGG_STATE_PEN[],I$1,0),"ERROR")</f>
        <v>1240</v>
      </c>
      <c r="J121" s="114">
        <f t="shared" si="13"/>
        <v>0.35177304964539008</v>
      </c>
      <c r="K121" s="111">
        <f>IFERROR(VLOOKUP($B121,MMWR_TRAD_AGG_STATE_PEN[],K$1,0),"ERROR")</f>
        <v>58</v>
      </c>
      <c r="L121" s="112">
        <f>IFERROR(VLOOKUP($B121,MMWR_TRAD_AGG_STATE_PEN[],L$1,0),"ERROR")</f>
        <v>57</v>
      </c>
      <c r="M121" s="114">
        <f t="shared" si="14"/>
        <v>0.98275862068965514</v>
      </c>
      <c r="N121" s="111">
        <f>IFERROR(VLOOKUP($B121,MMWR_TRAD_AGG_STATE_PEN[],N$1,0),"ERROR")</f>
        <v>147</v>
      </c>
      <c r="O121" s="112">
        <f>IFERROR(VLOOKUP($B121,MMWR_TRAD_AGG_STATE_PEN[],O$1,0),"ERROR")</f>
        <v>70</v>
      </c>
      <c r="P121" s="114">
        <f t="shared" si="15"/>
        <v>0.47619047619047616</v>
      </c>
      <c r="Q121" s="115">
        <f>IFERROR(VLOOKUP($B121,MMWR_TRAD_AGG_STATE_PEN[],Q$1,0),"ERROR")</f>
        <v>461</v>
      </c>
      <c r="R121" s="115">
        <f>IFERROR(VLOOKUP($B121,MMWR_TRAD_AGG_STATE_PEN[],R$1,0),"ERROR")</f>
        <v>784</v>
      </c>
      <c r="S121" s="115">
        <f>IFERROR(VLOOKUP($B121,MMWR_APP_STATE_PEN[],S$1,0),"ERROR")</f>
        <v>603</v>
      </c>
      <c r="T121" s="28"/>
    </row>
    <row r="122" spans="1:20" s="123" customFormat="1" x14ac:dyDescent="0.2">
      <c r="A122" s="28"/>
      <c r="B122" s="127" t="s">
        <v>385</v>
      </c>
      <c r="C122" s="109">
        <f>IFERROR(VLOOKUP($B122,MMWR_TRAD_AGG_STATE_PEN[],C$1,0),"ERROR")</f>
        <v>1361</v>
      </c>
      <c r="D122" s="110">
        <f>IFERROR(VLOOKUP($B122,MMWR_TRAD_AGG_STATE_PEN[],D$1,0),"ERROR")</f>
        <v>105.3512123439</v>
      </c>
      <c r="E122" s="111">
        <f>IFERROR(VLOOKUP($B122,MMWR_TRAD_AGG_STATE_PEN[],E$1,0),"ERROR")</f>
        <v>1777</v>
      </c>
      <c r="F122" s="112">
        <f>IFERROR(VLOOKUP($B122,MMWR_TRAD_AGG_STATE_PEN[],F$1,0),"ERROR")</f>
        <v>398</v>
      </c>
      <c r="G122" s="113">
        <f t="shared" si="12"/>
        <v>0.22397298818232977</v>
      </c>
      <c r="H122" s="111">
        <f>IFERROR(VLOOKUP($B122,MMWR_TRAD_AGG_STATE_PEN[],H$1,0),"ERROR")</f>
        <v>1797</v>
      </c>
      <c r="I122" s="112">
        <f>IFERROR(VLOOKUP($B122,MMWR_TRAD_AGG_STATE_PEN[],I$1,0),"ERROR")</f>
        <v>677</v>
      </c>
      <c r="J122" s="114">
        <f t="shared" si="13"/>
        <v>0.37673900946021144</v>
      </c>
      <c r="K122" s="111">
        <f>IFERROR(VLOOKUP($B122,MMWR_TRAD_AGG_STATE_PEN[],K$1,0),"ERROR")</f>
        <v>28</v>
      </c>
      <c r="L122" s="112">
        <f>IFERROR(VLOOKUP($B122,MMWR_TRAD_AGG_STATE_PEN[],L$1,0),"ERROR")</f>
        <v>27</v>
      </c>
      <c r="M122" s="114">
        <f t="shared" si="14"/>
        <v>0.9642857142857143</v>
      </c>
      <c r="N122" s="111">
        <f>IFERROR(VLOOKUP($B122,MMWR_TRAD_AGG_STATE_PEN[],N$1,0),"ERROR")</f>
        <v>124</v>
      </c>
      <c r="O122" s="112">
        <f>IFERROR(VLOOKUP($B122,MMWR_TRAD_AGG_STATE_PEN[],O$1,0),"ERROR")</f>
        <v>39</v>
      </c>
      <c r="P122" s="114">
        <f t="shared" si="15"/>
        <v>0.31451612903225806</v>
      </c>
      <c r="Q122" s="115">
        <f>IFERROR(VLOOKUP($B122,MMWR_TRAD_AGG_STATE_PEN[],Q$1,0),"ERROR")</f>
        <v>212</v>
      </c>
      <c r="R122" s="115">
        <f>IFERROR(VLOOKUP($B122,MMWR_TRAD_AGG_STATE_PEN[],R$1,0),"ERROR")</f>
        <v>528</v>
      </c>
      <c r="S122" s="115">
        <f>IFERROR(VLOOKUP($B122,MMWR_APP_STATE_PEN[],S$1,0),"ERROR")</f>
        <v>375</v>
      </c>
      <c r="T122" s="28"/>
    </row>
    <row r="123" spans="1:20" s="123" customFormat="1" x14ac:dyDescent="0.2">
      <c r="A123" s="28"/>
      <c r="B123" s="127" t="s">
        <v>397</v>
      </c>
      <c r="C123" s="109">
        <f>IFERROR(VLOOKUP($B123,MMWR_TRAD_AGG_STATE_PEN[],C$1,0),"ERROR")</f>
        <v>183</v>
      </c>
      <c r="D123" s="110">
        <f>IFERROR(VLOOKUP($B123,MMWR_TRAD_AGG_STATE_PEN[],D$1,0),"ERROR")</f>
        <v>52.743169398900001</v>
      </c>
      <c r="E123" s="111">
        <f>IFERROR(VLOOKUP($B123,MMWR_TRAD_AGG_STATE_PEN[],E$1,0),"ERROR")</f>
        <v>410</v>
      </c>
      <c r="F123" s="112">
        <f>IFERROR(VLOOKUP($B123,MMWR_TRAD_AGG_STATE_PEN[],F$1,0),"ERROR")</f>
        <v>51</v>
      </c>
      <c r="G123" s="113">
        <f t="shared" si="12"/>
        <v>0.12439024390243902</v>
      </c>
      <c r="H123" s="111">
        <f>IFERROR(VLOOKUP($B123,MMWR_TRAD_AGG_STATE_PEN[],H$1,0),"ERROR")</f>
        <v>300</v>
      </c>
      <c r="I123" s="112">
        <f>IFERROR(VLOOKUP($B123,MMWR_TRAD_AGG_STATE_PEN[],I$1,0),"ERROR")</f>
        <v>23</v>
      </c>
      <c r="J123" s="114">
        <f t="shared" si="13"/>
        <v>7.6666666666666661E-2</v>
      </c>
      <c r="K123" s="111">
        <f>IFERROR(VLOOKUP($B123,MMWR_TRAD_AGG_STATE_PEN[],K$1,0),"ERROR")</f>
        <v>3</v>
      </c>
      <c r="L123" s="112">
        <f>IFERROR(VLOOKUP($B123,MMWR_TRAD_AGG_STATE_PEN[],L$1,0),"ERROR")</f>
        <v>2</v>
      </c>
      <c r="M123" s="114">
        <f t="shared" si="14"/>
        <v>0.66666666666666663</v>
      </c>
      <c r="N123" s="111">
        <f>IFERROR(VLOOKUP($B123,MMWR_TRAD_AGG_STATE_PEN[],N$1,0),"ERROR")</f>
        <v>43</v>
      </c>
      <c r="O123" s="112">
        <f>IFERROR(VLOOKUP($B123,MMWR_TRAD_AGG_STATE_PEN[],O$1,0),"ERROR")</f>
        <v>8</v>
      </c>
      <c r="P123" s="114">
        <f t="shared" si="15"/>
        <v>0.18604651162790697</v>
      </c>
      <c r="Q123" s="115">
        <f>IFERROR(VLOOKUP($B123,MMWR_TRAD_AGG_STATE_PEN[],Q$1,0),"ERROR")</f>
        <v>63</v>
      </c>
      <c r="R123" s="115">
        <f>IFERROR(VLOOKUP($B123,MMWR_TRAD_AGG_STATE_PEN[],R$1,0),"ERROR")</f>
        <v>63</v>
      </c>
      <c r="S123" s="115">
        <f>IFERROR(VLOOKUP($B123,MMWR_APP_STATE_PEN[],S$1,0),"ERROR")</f>
        <v>130</v>
      </c>
      <c r="T123" s="28"/>
    </row>
    <row r="124" spans="1:20" s="123" customFormat="1" x14ac:dyDescent="0.2">
      <c r="A124" s="28"/>
      <c r="B124" s="127" t="s">
        <v>431</v>
      </c>
      <c r="C124" s="109">
        <f>IFERROR(VLOOKUP($B124,MMWR_TRAD_AGG_STATE_PEN[],C$1,0),"ERROR")</f>
        <v>1211</v>
      </c>
      <c r="D124" s="110">
        <f>IFERROR(VLOOKUP($B124,MMWR_TRAD_AGG_STATE_PEN[],D$1,0),"ERROR")</f>
        <v>86.418662262599995</v>
      </c>
      <c r="E124" s="111">
        <f>IFERROR(VLOOKUP($B124,MMWR_TRAD_AGG_STATE_PEN[],E$1,0),"ERROR")</f>
        <v>668</v>
      </c>
      <c r="F124" s="112">
        <f>IFERROR(VLOOKUP($B124,MMWR_TRAD_AGG_STATE_PEN[],F$1,0),"ERROR")</f>
        <v>138</v>
      </c>
      <c r="G124" s="113">
        <f t="shared" si="12"/>
        <v>0.20658682634730538</v>
      </c>
      <c r="H124" s="111">
        <f>IFERROR(VLOOKUP($B124,MMWR_TRAD_AGG_STATE_PEN[],H$1,0),"ERROR")</f>
        <v>1686</v>
      </c>
      <c r="I124" s="112">
        <f>IFERROR(VLOOKUP($B124,MMWR_TRAD_AGG_STATE_PEN[],I$1,0),"ERROR")</f>
        <v>540</v>
      </c>
      <c r="J124" s="114">
        <f t="shared" si="13"/>
        <v>0.32028469750889682</v>
      </c>
      <c r="K124" s="111">
        <f>IFERROR(VLOOKUP($B124,MMWR_TRAD_AGG_STATE_PEN[],K$1,0),"ERROR")</f>
        <v>11</v>
      </c>
      <c r="L124" s="112">
        <f>IFERROR(VLOOKUP($B124,MMWR_TRAD_AGG_STATE_PEN[],L$1,0),"ERROR")</f>
        <v>10</v>
      </c>
      <c r="M124" s="114">
        <f t="shared" si="14"/>
        <v>0.90909090909090906</v>
      </c>
      <c r="N124" s="111">
        <f>IFERROR(VLOOKUP($B124,MMWR_TRAD_AGG_STATE_PEN[],N$1,0),"ERROR")</f>
        <v>19</v>
      </c>
      <c r="O124" s="112">
        <f>IFERROR(VLOOKUP($B124,MMWR_TRAD_AGG_STATE_PEN[],O$1,0),"ERROR")</f>
        <v>15</v>
      </c>
      <c r="P124" s="114">
        <f t="shared" si="15"/>
        <v>0.78947368421052633</v>
      </c>
      <c r="Q124" s="115">
        <f>IFERROR(VLOOKUP($B124,MMWR_TRAD_AGG_STATE_PEN[],Q$1,0),"ERROR")</f>
        <v>87</v>
      </c>
      <c r="R124" s="115">
        <f>IFERROR(VLOOKUP($B124,MMWR_TRAD_AGG_STATE_PEN[],R$1,0),"ERROR")</f>
        <v>131</v>
      </c>
      <c r="S124" s="115">
        <f>IFERROR(VLOOKUP($B124,MMWR_APP_STATE_PEN[],S$1,0),"ERROR")</f>
        <v>122</v>
      </c>
      <c r="T124" s="28"/>
    </row>
    <row r="125" spans="1:20" s="123" customFormat="1" x14ac:dyDescent="0.2">
      <c r="A125" s="28"/>
      <c r="B125" s="127" t="s">
        <v>387</v>
      </c>
      <c r="C125" s="109">
        <f>IFERROR(VLOOKUP($B125,MMWR_TRAD_AGG_STATE_PEN[],C$1,0),"ERROR")</f>
        <v>954</v>
      </c>
      <c r="D125" s="110">
        <f>IFERROR(VLOOKUP($B125,MMWR_TRAD_AGG_STATE_PEN[],D$1,0),"ERROR")</f>
        <v>99.232704402500005</v>
      </c>
      <c r="E125" s="111">
        <f>IFERROR(VLOOKUP($B125,MMWR_TRAD_AGG_STATE_PEN[],E$1,0),"ERROR")</f>
        <v>1002</v>
      </c>
      <c r="F125" s="112">
        <f>IFERROR(VLOOKUP($B125,MMWR_TRAD_AGG_STATE_PEN[],F$1,0),"ERROR")</f>
        <v>255</v>
      </c>
      <c r="G125" s="113">
        <f t="shared" si="12"/>
        <v>0.25449101796407186</v>
      </c>
      <c r="H125" s="111">
        <f>IFERROR(VLOOKUP($B125,MMWR_TRAD_AGG_STATE_PEN[],H$1,0),"ERROR")</f>
        <v>1259</v>
      </c>
      <c r="I125" s="112">
        <f>IFERROR(VLOOKUP($B125,MMWR_TRAD_AGG_STATE_PEN[],I$1,0),"ERROR")</f>
        <v>480</v>
      </c>
      <c r="J125" s="114">
        <f t="shared" si="13"/>
        <v>0.38125496425734712</v>
      </c>
      <c r="K125" s="111">
        <f>IFERROR(VLOOKUP($B125,MMWR_TRAD_AGG_STATE_PEN[],K$1,0),"ERROR")</f>
        <v>11</v>
      </c>
      <c r="L125" s="112">
        <f>IFERROR(VLOOKUP($B125,MMWR_TRAD_AGG_STATE_PEN[],L$1,0),"ERROR")</f>
        <v>11</v>
      </c>
      <c r="M125" s="114">
        <f t="shared" si="14"/>
        <v>1</v>
      </c>
      <c r="N125" s="111">
        <f>IFERROR(VLOOKUP($B125,MMWR_TRAD_AGG_STATE_PEN[],N$1,0),"ERROR")</f>
        <v>46</v>
      </c>
      <c r="O125" s="112">
        <f>IFERROR(VLOOKUP($B125,MMWR_TRAD_AGG_STATE_PEN[],O$1,0),"ERROR")</f>
        <v>21</v>
      </c>
      <c r="P125" s="114">
        <f t="shared" si="15"/>
        <v>0.45652173913043476</v>
      </c>
      <c r="Q125" s="115">
        <f>IFERROR(VLOOKUP($B125,MMWR_TRAD_AGG_STATE_PEN[],Q$1,0),"ERROR")</f>
        <v>160</v>
      </c>
      <c r="R125" s="115">
        <f>IFERROR(VLOOKUP($B125,MMWR_TRAD_AGG_STATE_PEN[],R$1,0),"ERROR")</f>
        <v>292</v>
      </c>
      <c r="S125" s="115">
        <f>IFERROR(VLOOKUP($B125,MMWR_APP_STATE_PEN[],S$1,0),"ERROR")</f>
        <v>168</v>
      </c>
      <c r="T125" s="28"/>
    </row>
    <row r="126" spans="1:20" s="123" customFormat="1" x14ac:dyDescent="0.2">
      <c r="A126" s="28"/>
      <c r="B126" s="127" t="s">
        <v>388</v>
      </c>
      <c r="C126" s="109">
        <f>IFERROR(VLOOKUP($B126,MMWR_TRAD_AGG_STATE_PEN[],C$1,0),"ERROR")</f>
        <v>370</v>
      </c>
      <c r="D126" s="110">
        <f>IFERROR(VLOOKUP($B126,MMWR_TRAD_AGG_STATE_PEN[],D$1,0),"ERROR")</f>
        <v>50.1189189189</v>
      </c>
      <c r="E126" s="111">
        <f>IFERROR(VLOOKUP($B126,MMWR_TRAD_AGG_STATE_PEN[],E$1,0),"ERROR")</f>
        <v>705</v>
      </c>
      <c r="F126" s="112">
        <f>IFERROR(VLOOKUP($B126,MMWR_TRAD_AGG_STATE_PEN[],F$1,0),"ERROR")</f>
        <v>70</v>
      </c>
      <c r="G126" s="113">
        <f t="shared" si="12"/>
        <v>9.9290780141843976E-2</v>
      </c>
      <c r="H126" s="111">
        <f>IFERROR(VLOOKUP($B126,MMWR_TRAD_AGG_STATE_PEN[],H$1,0),"ERROR")</f>
        <v>538</v>
      </c>
      <c r="I126" s="112">
        <f>IFERROR(VLOOKUP($B126,MMWR_TRAD_AGG_STATE_PEN[],I$1,0),"ERROR")</f>
        <v>50</v>
      </c>
      <c r="J126" s="114">
        <f t="shared" si="13"/>
        <v>9.2936802973977689E-2</v>
      </c>
      <c r="K126" s="111">
        <f>IFERROR(VLOOKUP($B126,MMWR_TRAD_AGG_STATE_PEN[],K$1,0),"ERROR")</f>
        <v>2</v>
      </c>
      <c r="L126" s="112">
        <f>IFERROR(VLOOKUP($B126,MMWR_TRAD_AGG_STATE_PEN[],L$1,0),"ERROR")</f>
        <v>2</v>
      </c>
      <c r="M126" s="114">
        <f t="shared" si="14"/>
        <v>1</v>
      </c>
      <c r="N126" s="111">
        <f>IFERROR(VLOOKUP($B126,MMWR_TRAD_AGG_STATE_PEN[],N$1,0),"ERROR")</f>
        <v>51</v>
      </c>
      <c r="O126" s="112">
        <f>IFERROR(VLOOKUP($B126,MMWR_TRAD_AGG_STATE_PEN[],O$1,0),"ERROR")</f>
        <v>13</v>
      </c>
      <c r="P126" s="114">
        <f t="shared" si="15"/>
        <v>0.25490196078431371</v>
      </c>
      <c r="Q126" s="115">
        <f>IFERROR(VLOOKUP($B126,MMWR_TRAD_AGG_STATE_PEN[],Q$1,0),"ERROR")</f>
        <v>111</v>
      </c>
      <c r="R126" s="115">
        <f>IFERROR(VLOOKUP($B126,MMWR_TRAD_AGG_STATE_PEN[],R$1,0),"ERROR")</f>
        <v>70</v>
      </c>
      <c r="S126" s="115">
        <f>IFERROR(VLOOKUP($B126,MMWR_APP_STATE_PEN[],S$1,0),"ERROR")</f>
        <v>255</v>
      </c>
      <c r="T126" s="28"/>
    </row>
    <row r="127" spans="1:20" s="123" customFormat="1" x14ac:dyDescent="0.2">
      <c r="A127" s="28"/>
      <c r="B127" s="128" t="s">
        <v>8</v>
      </c>
      <c r="C127" s="102">
        <f>IFERROR(VLOOKUP($B127,MMWR_TRAD_AGG_ST_DISTRICT_PEN[],C$1,0),"ERROR")</f>
        <v>143</v>
      </c>
      <c r="D127" s="103">
        <f>IFERROR(VLOOKUP($B127,MMWR_TRAD_AGG_ST_DISTRICT_PEN[],D$1,0),"ERROR")</f>
        <v>93.923076923099998</v>
      </c>
      <c r="E127" s="102">
        <f>IFERROR(VLOOKUP($B127,MMWR_TRAD_AGG_ST_DISTRICT_PEN[],E$1,0),"ERROR")</f>
        <v>212</v>
      </c>
      <c r="F127" s="102">
        <f>IFERROR(VLOOKUP($B127,MMWR_TRAD_AGG_ST_DISTRICT_PEN[],F$1,0),"ERROR")</f>
        <v>94</v>
      </c>
      <c r="G127" s="104">
        <f t="shared" si="12"/>
        <v>0.44339622641509435</v>
      </c>
      <c r="H127" s="102">
        <f>IFERROR(VLOOKUP($B127,MMWR_TRAD_AGG_ST_DISTRICT_PEN[],H$1,0),"ERROR")</f>
        <v>314</v>
      </c>
      <c r="I127" s="102">
        <f>IFERROR(VLOOKUP($B127,MMWR_TRAD_AGG_ST_DISTRICT_PEN[],I$1,0),"ERROR")</f>
        <v>150</v>
      </c>
      <c r="J127" s="104">
        <f t="shared" si="13"/>
        <v>0.47770700636942676</v>
      </c>
      <c r="K127" s="102">
        <f>IFERROR(VLOOKUP($B127,MMWR_TRAD_AGG_ST_DISTRICT_PEN[],K$1,0),"ERROR")</f>
        <v>12</v>
      </c>
      <c r="L127" s="102">
        <f>IFERROR(VLOOKUP($B127,MMWR_TRAD_AGG_ST_DISTRICT_PEN[],L$1,0),"ERROR")</f>
        <v>11</v>
      </c>
      <c r="M127" s="104">
        <f t="shared" si="14"/>
        <v>0.91666666666666663</v>
      </c>
      <c r="N127" s="102">
        <f>IFERROR(VLOOKUP($B127,MMWR_TRAD_AGG_ST_DISTRICT_PEN[],N$1,0),"ERROR")</f>
        <v>9</v>
      </c>
      <c r="O127" s="102">
        <f>IFERROR(VLOOKUP($B127,MMWR_TRAD_AGG_ST_DISTRICT_PEN[],O$1,0),"ERROR")</f>
        <v>6</v>
      </c>
      <c r="P127" s="104">
        <f t="shared" si="15"/>
        <v>0.66666666666666663</v>
      </c>
      <c r="Q127" s="102">
        <f>IFERROR(VLOOKUP($B127,MMWR_TRAD_AGG_ST_DISTRICT_PEN[],Q$1,0),"ERROR")</f>
        <v>40</v>
      </c>
      <c r="R127" s="106">
        <f>IFERROR(VLOOKUP($B127,MMWR_TRAD_AGG_ST_DISTRICT_PEN[],R$1,0),"ERROR")</f>
        <v>21</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5:S5"/>
    <mergeCell ref="C2:S2"/>
    <mergeCell ref="C3:D3"/>
    <mergeCell ref="E3:G3"/>
    <mergeCell ref="H3:J3"/>
    <mergeCell ref="K3:M3"/>
    <mergeCell ref="N3:P3"/>
    <mergeCell ref="C66:S66"/>
    <mergeCell ref="C67:D67"/>
    <mergeCell ref="E67:G67"/>
    <mergeCell ref="H67:J67"/>
    <mergeCell ref="K67:M67"/>
    <mergeCell ref="N67:P67"/>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657</v>
      </c>
      <c r="C2" t="s">
        <v>460</v>
      </c>
      <c r="D2" t="s">
        <v>462</v>
      </c>
      <c r="F2" t="s">
        <v>656</v>
      </c>
      <c r="G2" t="s">
        <v>309</v>
      </c>
      <c r="H2" t="s">
        <v>136</v>
      </c>
      <c r="I2" t="s">
        <v>217</v>
      </c>
      <c r="J2" t="s">
        <v>218</v>
      </c>
      <c r="K2" t="s">
        <v>219</v>
      </c>
      <c r="L2" t="s">
        <v>220</v>
      </c>
      <c r="M2" t="s">
        <v>221</v>
      </c>
      <c r="N2" t="s">
        <v>222</v>
      </c>
      <c r="O2" t="s">
        <v>223</v>
      </c>
      <c r="P2" t="s">
        <v>224</v>
      </c>
      <c r="Q2" t="s">
        <v>225</v>
      </c>
      <c r="R2" t="s">
        <v>226</v>
      </c>
      <c r="T2" t="s">
        <v>655</v>
      </c>
      <c r="U2" t="s">
        <v>309</v>
      </c>
      <c r="V2" t="s">
        <v>136</v>
      </c>
      <c r="W2" t="s">
        <v>217</v>
      </c>
      <c r="X2" t="s">
        <v>463</v>
      </c>
      <c r="Y2" t="s">
        <v>219</v>
      </c>
      <c r="Z2" t="s">
        <v>220</v>
      </c>
      <c r="AA2" t="s">
        <v>221</v>
      </c>
      <c r="AB2" t="s">
        <v>464</v>
      </c>
      <c r="AC2" t="s">
        <v>223</v>
      </c>
      <c r="AD2" t="s">
        <v>224</v>
      </c>
      <c r="AE2" t="s">
        <v>225</v>
      </c>
      <c r="AF2" t="s">
        <v>226</v>
      </c>
      <c r="AH2" t="s">
        <v>654</v>
      </c>
      <c r="AI2" t="s">
        <v>309</v>
      </c>
      <c r="AJ2" t="s">
        <v>136</v>
      </c>
      <c r="AK2" t="s">
        <v>217</v>
      </c>
      <c r="AL2" t="s">
        <v>218</v>
      </c>
      <c r="AM2" t="s">
        <v>219</v>
      </c>
      <c r="AN2" t="s">
        <v>220</v>
      </c>
      <c r="AO2" t="s">
        <v>221</v>
      </c>
      <c r="AP2" t="s">
        <v>222</v>
      </c>
      <c r="AQ2" t="s">
        <v>223</v>
      </c>
      <c r="AR2" t="s">
        <v>224</v>
      </c>
      <c r="AS2" t="s">
        <v>225</v>
      </c>
      <c r="AT2" t="s">
        <v>226</v>
      </c>
      <c r="AV2" t="s">
        <v>653</v>
      </c>
      <c r="AW2" t="s">
        <v>309</v>
      </c>
      <c r="AX2" t="s">
        <v>136</v>
      </c>
      <c r="AY2" t="s">
        <v>217</v>
      </c>
      <c r="AZ2" t="s">
        <v>463</v>
      </c>
      <c r="BA2" t="s">
        <v>219</v>
      </c>
      <c r="BB2" t="s">
        <v>220</v>
      </c>
      <c r="BC2" t="s">
        <v>221</v>
      </c>
      <c r="BD2" t="s">
        <v>464</v>
      </c>
      <c r="BE2" t="s">
        <v>223</v>
      </c>
      <c r="BF2" t="s">
        <v>224</v>
      </c>
      <c r="BG2" t="s">
        <v>225</v>
      </c>
      <c r="BH2" t="s">
        <v>226</v>
      </c>
      <c r="BJ2" t="s">
        <v>715</v>
      </c>
      <c r="BK2" t="s">
        <v>734</v>
      </c>
      <c r="BL2" t="s">
        <v>703</v>
      </c>
      <c r="BM2" t="s">
        <v>704</v>
      </c>
      <c r="BN2" t="s">
        <v>705</v>
      </c>
      <c r="BO2" t="s">
        <v>706</v>
      </c>
      <c r="BP2" t="s">
        <v>707</v>
      </c>
      <c r="BQ2" t="s">
        <v>716</v>
      </c>
      <c r="BR2" t="s">
        <v>717</v>
      </c>
      <c r="BS2" t="s">
        <v>708</v>
      </c>
      <c r="BT2" t="s">
        <v>709</v>
      </c>
      <c r="BU2" t="s">
        <v>710</v>
      </c>
      <c r="BV2" t="s">
        <v>711</v>
      </c>
      <c r="BW2" t="s">
        <v>712</v>
      </c>
      <c r="BX2" t="s">
        <v>713</v>
      </c>
      <c r="BY2" t="s">
        <v>714</v>
      </c>
      <c r="CA2" t="s">
        <v>1035</v>
      </c>
      <c r="CB2" t="s">
        <v>739</v>
      </c>
      <c r="CC2" t="s">
        <v>740</v>
      </c>
      <c r="CD2" t="s">
        <v>718</v>
      </c>
      <c r="CE2" t="s">
        <v>719</v>
      </c>
      <c r="CF2" t="s">
        <v>720</v>
      </c>
      <c r="CG2" t="s">
        <v>721</v>
      </c>
      <c r="CH2" t="s">
        <v>722</v>
      </c>
      <c r="CI2" t="s">
        <v>723</v>
      </c>
      <c r="CJ2" t="s">
        <v>724</v>
      </c>
      <c r="CL2" t="s">
        <v>1036</v>
      </c>
      <c r="CM2" t="s">
        <v>739</v>
      </c>
      <c r="CN2" t="s">
        <v>740</v>
      </c>
      <c r="CO2" t="s">
        <v>718</v>
      </c>
      <c r="CP2" t="s">
        <v>719</v>
      </c>
      <c r="CQ2" t="s">
        <v>720</v>
      </c>
      <c r="CR2" t="s">
        <v>721</v>
      </c>
      <c r="CS2" t="s">
        <v>722</v>
      </c>
      <c r="CT2" t="s">
        <v>723</v>
      </c>
      <c r="CU2" t="s">
        <v>724</v>
      </c>
      <c r="CW2" t="s">
        <v>1037</v>
      </c>
      <c r="CX2" t="s">
        <v>739</v>
      </c>
      <c r="CY2" t="s">
        <v>740</v>
      </c>
      <c r="CZ2" t="s">
        <v>718</v>
      </c>
      <c r="DA2" t="s">
        <v>719</v>
      </c>
      <c r="DB2" t="s">
        <v>720</v>
      </c>
      <c r="DC2" t="s">
        <v>721</v>
      </c>
      <c r="DD2" t="s">
        <v>722</v>
      </c>
      <c r="DE2" t="s">
        <v>723</v>
      </c>
      <c r="DF2" t="s">
        <v>724</v>
      </c>
      <c r="DH2" t="s">
        <v>1038</v>
      </c>
      <c r="DI2" t="s">
        <v>739</v>
      </c>
      <c r="DJ2" t="s">
        <v>740</v>
      </c>
      <c r="DK2" t="s">
        <v>718</v>
      </c>
      <c r="DL2" t="s">
        <v>719</v>
      </c>
      <c r="DM2" t="s">
        <v>720</v>
      </c>
      <c r="DN2" t="s">
        <v>721</v>
      </c>
      <c r="DO2" t="s">
        <v>722</v>
      </c>
      <c r="DP2" t="s">
        <v>723</v>
      </c>
      <c r="DQ2" t="s">
        <v>724</v>
      </c>
    </row>
    <row r="3" spans="2:121" x14ac:dyDescent="0.2">
      <c r="C3">
        <v>347647</v>
      </c>
      <c r="D3">
        <v>283573</v>
      </c>
      <c r="F3" t="s">
        <v>34</v>
      </c>
      <c r="G3">
        <v>1051</v>
      </c>
      <c r="H3">
        <v>131.10180780210001</v>
      </c>
      <c r="I3">
        <v>3010</v>
      </c>
      <c r="J3">
        <v>557</v>
      </c>
      <c r="K3">
        <v>1465</v>
      </c>
      <c r="L3">
        <v>451</v>
      </c>
      <c r="M3">
        <v>309</v>
      </c>
      <c r="N3">
        <v>95</v>
      </c>
      <c r="O3">
        <v>394</v>
      </c>
      <c r="P3">
        <v>224</v>
      </c>
      <c r="Q3">
        <v>0</v>
      </c>
      <c r="R3">
        <v>7</v>
      </c>
      <c r="T3" t="s">
        <v>212</v>
      </c>
      <c r="U3">
        <v>3385</v>
      </c>
      <c r="V3">
        <v>45.4880354505</v>
      </c>
      <c r="W3">
        <v>8035</v>
      </c>
      <c r="X3">
        <v>845</v>
      </c>
      <c r="Y3">
        <v>5280</v>
      </c>
      <c r="Z3">
        <v>204</v>
      </c>
      <c r="AA3">
        <v>3</v>
      </c>
      <c r="AB3">
        <v>3</v>
      </c>
      <c r="AC3">
        <v>409</v>
      </c>
      <c r="AD3">
        <v>69</v>
      </c>
      <c r="AE3">
        <v>998</v>
      </c>
      <c r="AF3">
        <v>747</v>
      </c>
      <c r="AH3" t="s">
        <v>392</v>
      </c>
      <c r="AI3">
        <v>13416</v>
      </c>
      <c r="AJ3">
        <v>394.51662194390002</v>
      </c>
      <c r="AK3">
        <v>7565</v>
      </c>
      <c r="AL3">
        <v>1680</v>
      </c>
      <c r="AM3">
        <v>17226</v>
      </c>
      <c r="AN3">
        <v>11722</v>
      </c>
      <c r="AO3">
        <v>5127</v>
      </c>
      <c r="AP3">
        <v>3891</v>
      </c>
      <c r="AQ3">
        <v>3493</v>
      </c>
      <c r="AR3">
        <v>2169</v>
      </c>
      <c r="AS3">
        <v>396</v>
      </c>
      <c r="AT3">
        <v>377</v>
      </c>
      <c r="AV3" t="s">
        <v>417</v>
      </c>
      <c r="AW3">
        <v>101</v>
      </c>
      <c r="AX3">
        <v>47.792079207900002</v>
      </c>
      <c r="AY3">
        <v>185</v>
      </c>
      <c r="AZ3">
        <v>6</v>
      </c>
      <c r="BA3">
        <v>135</v>
      </c>
      <c r="BB3">
        <v>7</v>
      </c>
      <c r="BC3">
        <v>0</v>
      </c>
      <c r="BE3">
        <v>5</v>
      </c>
      <c r="BF3">
        <v>4</v>
      </c>
      <c r="BG3">
        <v>118</v>
      </c>
      <c r="BH3">
        <v>26</v>
      </c>
      <c r="BJ3" t="s">
        <v>732</v>
      </c>
      <c r="BK3" t="s">
        <v>735</v>
      </c>
      <c r="BL3">
        <v>308839</v>
      </c>
      <c r="BM3">
        <v>71382</v>
      </c>
      <c r="BN3">
        <v>96.221244726199998</v>
      </c>
      <c r="BO3">
        <v>321597</v>
      </c>
      <c r="BP3">
        <v>60711</v>
      </c>
      <c r="BQ3">
        <v>135.70682562339999</v>
      </c>
      <c r="BR3">
        <v>134.89555434760001</v>
      </c>
      <c r="BS3">
        <v>308839</v>
      </c>
      <c r="BT3">
        <v>71382</v>
      </c>
      <c r="BU3">
        <v>96.221244726199998</v>
      </c>
      <c r="BV3">
        <v>321597</v>
      </c>
      <c r="BW3">
        <v>60711</v>
      </c>
      <c r="BX3">
        <v>135.70682562339999</v>
      </c>
      <c r="BY3">
        <v>134.89555434760001</v>
      </c>
      <c r="CA3" t="s">
        <v>1041</v>
      </c>
      <c r="CB3" t="s">
        <v>735</v>
      </c>
      <c r="CC3" t="s">
        <v>921</v>
      </c>
      <c r="CD3">
        <v>11162</v>
      </c>
      <c r="CE3">
        <v>2454</v>
      </c>
      <c r="CF3">
        <v>89.722540763300003</v>
      </c>
      <c r="CG3">
        <v>7329</v>
      </c>
      <c r="CH3">
        <v>1442</v>
      </c>
      <c r="CI3">
        <v>136.54714149270001</v>
      </c>
      <c r="CJ3">
        <v>148.94174757280001</v>
      </c>
      <c r="CL3" t="s">
        <v>1041</v>
      </c>
      <c r="CM3" t="s">
        <v>735</v>
      </c>
      <c r="CN3" t="s">
        <v>921</v>
      </c>
      <c r="CO3">
        <v>11162</v>
      </c>
      <c r="CP3">
        <v>2454</v>
      </c>
      <c r="CQ3">
        <v>89.722540763300003</v>
      </c>
      <c r="CR3">
        <v>7329</v>
      </c>
      <c r="CS3">
        <v>1442</v>
      </c>
      <c r="CT3">
        <v>136.54714149270001</v>
      </c>
      <c r="CU3">
        <v>148.94174757280001</v>
      </c>
      <c r="CW3" t="s">
        <v>1041</v>
      </c>
      <c r="CX3" t="s">
        <v>735</v>
      </c>
      <c r="CY3" t="s">
        <v>921</v>
      </c>
      <c r="CZ3">
        <v>11162</v>
      </c>
      <c r="DA3">
        <v>2454</v>
      </c>
      <c r="DB3">
        <v>89.722540763300003</v>
      </c>
      <c r="DC3">
        <v>7329</v>
      </c>
      <c r="DD3">
        <v>1442</v>
      </c>
      <c r="DE3">
        <v>136.54714149270001</v>
      </c>
      <c r="DF3">
        <v>148.94174757280001</v>
      </c>
      <c r="DH3" t="s">
        <v>1041</v>
      </c>
      <c r="DI3" t="s">
        <v>735</v>
      </c>
      <c r="DJ3" t="s">
        <v>921</v>
      </c>
      <c r="DK3">
        <v>11162</v>
      </c>
      <c r="DL3">
        <v>2454</v>
      </c>
      <c r="DM3">
        <v>89.722540763300003</v>
      </c>
      <c r="DN3">
        <v>7329</v>
      </c>
      <c r="DO3">
        <v>1442</v>
      </c>
      <c r="DP3">
        <v>136.54714149270001</v>
      </c>
      <c r="DQ3">
        <v>148.94174757280001</v>
      </c>
    </row>
    <row r="4" spans="2:121" x14ac:dyDescent="0.2">
      <c r="B4" t="s">
        <v>101</v>
      </c>
      <c r="C4">
        <v>102372</v>
      </c>
      <c r="D4">
        <v>81663</v>
      </c>
      <c r="F4" t="s">
        <v>80</v>
      </c>
      <c r="G4">
        <v>15908</v>
      </c>
      <c r="H4">
        <v>303.46693487549999</v>
      </c>
      <c r="I4">
        <v>20702</v>
      </c>
      <c r="J4">
        <v>5401</v>
      </c>
      <c r="K4">
        <v>19262</v>
      </c>
      <c r="L4">
        <v>12297</v>
      </c>
      <c r="M4">
        <v>4515</v>
      </c>
      <c r="N4">
        <v>2316</v>
      </c>
      <c r="O4">
        <v>12004</v>
      </c>
      <c r="P4">
        <v>7573</v>
      </c>
      <c r="Q4">
        <v>12</v>
      </c>
      <c r="R4">
        <v>256</v>
      </c>
      <c r="T4" t="s">
        <v>227</v>
      </c>
      <c r="U4">
        <v>0</v>
      </c>
      <c r="W4">
        <v>283</v>
      </c>
      <c r="X4">
        <v>122</v>
      </c>
      <c r="Y4">
        <v>470</v>
      </c>
      <c r="Z4">
        <v>333</v>
      </c>
      <c r="AA4">
        <v>224</v>
      </c>
      <c r="AB4">
        <v>220</v>
      </c>
      <c r="AC4">
        <v>201</v>
      </c>
      <c r="AD4">
        <v>162</v>
      </c>
      <c r="AE4">
        <v>13</v>
      </c>
      <c r="AF4">
        <v>0</v>
      </c>
      <c r="AH4" t="s">
        <v>428</v>
      </c>
      <c r="AI4">
        <v>1972</v>
      </c>
      <c r="AJ4">
        <v>448.14046653140002</v>
      </c>
      <c r="AK4">
        <v>1219</v>
      </c>
      <c r="AL4">
        <v>295</v>
      </c>
      <c r="AM4">
        <v>2871</v>
      </c>
      <c r="AN4">
        <v>2008</v>
      </c>
      <c r="AO4">
        <v>1895</v>
      </c>
      <c r="AP4">
        <v>1557</v>
      </c>
      <c r="AQ4">
        <v>646</v>
      </c>
      <c r="AR4">
        <v>341</v>
      </c>
      <c r="AS4">
        <v>2</v>
      </c>
      <c r="AT4">
        <v>2</v>
      </c>
      <c r="AV4" t="s">
        <v>404</v>
      </c>
      <c r="AW4">
        <v>48</v>
      </c>
      <c r="AX4">
        <v>33.770833333299997</v>
      </c>
      <c r="AY4">
        <v>73</v>
      </c>
      <c r="AZ4">
        <v>6</v>
      </c>
      <c r="BA4">
        <v>67</v>
      </c>
      <c r="BB4">
        <v>3</v>
      </c>
      <c r="BC4">
        <v>0</v>
      </c>
      <c r="BE4">
        <v>3</v>
      </c>
      <c r="BG4">
        <v>187</v>
      </c>
      <c r="BH4">
        <v>12</v>
      </c>
      <c r="BJ4" t="s">
        <v>641</v>
      </c>
      <c r="BK4" t="s">
        <v>389</v>
      </c>
      <c r="BL4">
        <v>807</v>
      </c>
      <c r="BM4">
        <v>95</v>
      </c>
      <c r="BN4">
        <v>78.261462205699999</v>
      </c>
      <c r="BO4">
        <v>768</v>
      </c>
      <c r="BP4">
        <v>153</v>
      </c>
      <c r="BQ4">
        <v>141.10546875</v>
      </c>
      <c r="BR4">
        <v>142.8888888889</v>
      </c>
      <c r="BS4">
        <v>851</v>
      </c>
      <c r="BT4">
        <v>130</v>
      </c>
      <c r="BU4">
        <v>83.933019976500006</v>
      </c>
      <c r="BV4">
        <v>883</v>
      </c>
      <c r="BW4">
        <v>168</v>
      </c>
      <c r="BX4">
        <v>143.27180067949999</v>
      </c>
      <c r="BY4">
        <v>144.07142857139999</v>
      </c>
      <c r="CA4" t="s">
        <v>1040</v>
      </c>
      <c r="CB4" t="s">
        <v>735</v>
      </c>
      <c r="CC4" t="s">
        <v>921</v>
      </c>
      <c r="CD4">
        <v>308839</v>
      </c>
      <c r="CE4">
        <v>71382</v>
      </c>
      <c r="CF4">
        <v>96.221244726199998</v>
      </c>
      <c r="CG4">
        <v>321597</v>
      </c>
      <c r="CH4">
        <v>60711</v>
      </c>
      <c r="CI4">
        <v>135.70682562339999</v>
      </c>
      <c r="CJ4">
        <v>134.89555434760001</v>
      </c>
      <c r="CL4" t="s">
        <v>1040</v>
      </c>
      <c r="CM4" t="s">
        <v>735</v>
      </c>
      <c r="CN4" t="s">
        <v>921</v>
      </c>
      <c r="CO4">
        <v>308839</v>
      </c>
      <c r="CP4">
        <v>71382</v>
      </c>
      <c r="CQ4">
        <v>96.221244726199998</v>
      </c>
      <c r="CR4">
        <v>321597</v>
      </c>
      <c r="CS4">
        <v>60711</v>
      </c>
      <c r="CT4">
        <v>135.70682562339999</v>
      </c>
      <c r="CU4">
        <v>134.89555434760001</v>
      </c>
      <c r="CW4" t="s">
        <v>1040</v>
      </c>
      <c r="CX4" t="s">
        <v>735</v>
      </c>
      <c r="CY4" t="s">
        <v>921</v>
      </c>
      <c r="CZ4">
        <v>308839</v>
      </c>
      <c r="DA4">
        <v>71382</v>
      </c>
      <c r="DB4">
        <v>96.221244726199998</v>
      </c>
      <c r="DC4">
        <v>321597</v>
      </c>
      <c r="DD4">
        <v>60711</v>
      </c>
      <c r="DE4">
        <v>135.70682562339999</v>
      </c>
      <c r="DF4">
        <v>134.89555434760001</v>
      </c>
      <c r="DH4" t="s">
        <v>1040</v>
      </c>
      <c r="DI4" t="s">
        <v>735</v>
      </c>
      <c r="DJ4" t="s">
        <v>921</v>
      </c>
      <c r="DK4">
        <v>308839</v>
      </c>
      <c r="DL4">
        <v>71382</v>
      </c>
      <c r="DM4">
        <v>96.221244726199998</v>
      </c>
      <c r="DN4">
        <v>321597</v>
      </c>
      <c r="DO4">
        <v>60711</v>
      </c>
      <c r="DP4">
        <v>135.70682562339999</v>
      </c>
      <c r="DQ4">
        <v>134.89555434760001</v>
      </c>
    </row>
    <row r="5" spans="2:121" x14ac:dyDescent="0.2">
      <c r="B5" t="s">
        <v>110</v>
      </c>
      <c r="C5">
        <v>76225</v>
      </c>
      <c r="D5">
        <v>55564</v>
      </c>
      <c r="F5" t="s">
        <v>184</v>
      </c>
      <c r="G5">
        <v>546</v>
      </c>
      <c r="H5">
        <v>167.8626373626</v>
      </c>
      <c r="I5">
        <v>618</v>
      </c>
      <c r="J5">
        <v>54</v>
      </c>
      <c r="K5">
        <v>726</v>
      </c>
      <c r="L5">
        <v>278</v>
      </c>
      <c r="M5">
        <v>466</v>
      </c>
      <c r="N5">
        <v>159</v>
      </c>
      <c r="O5">
        <v>167</v>
      </c>
      <c r="P5">
        <v>61</v>
      </c>
      <c r="Q5">
        <v>0</v>
      </c>
      <c r="R5">
        <v>6</v>
      </c>
      <c r="T5" t="s">
        <v>213</v>
      </c>
      <c r="U5">
        <v>13961</v>
      </c>
      <c r="V5">
        <v>96.236659265100002</v>
      </c>
      <c r="W5">
        <v>18369</v>
      </c>
      <c r="X5">
        <v>4118</v>
      </c>
      <c r="Y5">
        <v>18650</v>
      </c>
      <c r="Z5">
        <v>6450</v>
      </c>
      <c r="AA5">
        <v>200</v>
      </c>
      <c r="AB5">
        <v>197</v>
      </c>
      <c r="AC5">
        <v>810</v>
      </c>
      <c r="AD5">
        <v>274</v>
      </c>
      <c r="AE5">
        <v>2182</v>
      </c>
      <c r="AF5">
        <v>4375</v>
      </c>
      <c r="AH5" t="s">
        <v>430</v>
      </c>
      <c r="AI5">
        <v>6246</v>
      </c>
      <c r="AJ5">
        <v>414.8142811399</v>
      </c>
      <c r="AK5">
        <v>5991</v>
      </c>
      <c r="AL5">
        <v>1368</v>
      </c>
      <c r="AM5">
        <v>8647</v>
      </c>
      <c r="AN5">
        <v>5471</v>
      </c>
      <c r="AO5">
        <v>1506</v>
      </c>
      <c r="AP5">
        <v>730</v>
      </c>
      <c r="AQ5">
        <v>3707</v>
      </c>
      <c r="AR5">
        <v>2740</v>
      </c>
      <c r="AS5">
        <v>5</v>
      </c>
      <c r="AT5">
        <v>77</v>
      </c>
      <c r="AV5" t="s">
        <v>431</v>
      </c>
      <c r="AW5">
        <v>1211</v>
      </c>
      <c r="AX5">
        <v>86.418662262599995</v>
      </c>
      <c r="AY5">
        <v>668</v>
      </c>
      <c r="AZ5">
        <v>138</v>
      </c>
      <c r="BA5">
        <v>1686</v>
      </c>
      <c r="BB5">
        <v>540</v>
      </c>
      <c r="BC5">
        <v>11</v>
      </c>
      <c r="BD5">
        <v>10</v>
      </c>
      <c r="BE5">
        <v>19</v>
      </c>
      <c r="BF5">
        <v>15</v>
      </c>
      <c r="BG5">
        <v>87</v>
      </c>
      <c r="BH5">
        <v>131</v>
      </c>
      <c r="BJ5" t="s">
        <v>389</v>
      </c>
      <c r="BK5" t="s">
        <v>389</v>
      </c>
      <c r="BL5">
        <v>61589</v>
      </c>
      <c r="BM5">
        <v>13435</v>
      </c>
      <c r="BN5">
        <v>93.581922096499994</v>
      </c>
      <c r="BO5">
        <v>62017</v>
      </c>
      <c r="BP5">
        <v>11290</v>
      </c>
      <c r="BQ5">
        <v>141.76427431190001</v>
      </c>
      <c r="BR5">
        <v>138.45837023909999</v>
      </c>
      <c r="BS5">
        <v>61344</v>
      </c>
      <c r="BT5">
        <v>13528</v>
      </c>
      <c r="BU5">
        <v>93.825655320799996</v>
      </c>
      <c r="BV5">
        <v>62414</v>
      </c>
      <c r="BW5">
        <v>11495</v>
      </c>
      <c r="BX5">
        <v>141.33792097930001</v>
      </c>
      <c r="BY5">
        <v>139.4782079165</v>
      </c>
      <c r="CA5" t="s">
        <v>1042</v>
      </c>
      <c r="CB5" t="s">
        <v>735</v>
      </c>
      <c r="CC5" t="s">
        <v>921</v>
      </c>
      <c r="CD5">
        <v>26761</v>
      </c>
      <c r="CE5">
        <v>2960</v>
      </c>
      <c r="CF5">
        <v>70.9458914091</v>
      </c>
      <c r="CG5">
        <v>44314</v>
      </c>
      <c r="CH5">
        <v>8121</v>
      </c>
      <c r="CI5">
        <v>72.820688721400003</v>
      </c>
      <c r="CJ5">
        <v>79.3896071912</v>
      </c>
      <c r="CL5" t="s">
        <v>1042</v>
      </c>
      <c r="CM5" t="s">
        <v>735</v>
      </c>
      <c r="CN5" t="s">
        <v>921</v>
      </c>
      <c r="CO5">
        <v>26761</v>
      </c>
      <c r="CP5">
        <v>2960</v>
      </c>
      <c r="CQ5">
        <v>70.9458914091</v>
      </c>
      <c r="CR5">
        <v>44314</v>
      </c>
      <c r="CS5">
        <v>8121</v>
      </c>
      <c r="CT5">
        <v>72.820688721400003</v>
      </c>
      <c r="CU5">
        <v>79.3896071912</v>
      </c>
      <c r="CW5" t="s">
        <v>1042</v>
      </c>
      <c r="CX5" t="s">
        <v>735</v>
      </c>
      <c r="CY5" t="s">
        <v>921</v>
      </c>
      <c r="CZ5">
        <v>26761</v>
      </c>
      <c r="DA5">
        <v>2960</v>
      </c>
      <c r="DB5">
        <v>70.9458914091</v>
      </c>
      <c r="DC5">
        <v>44314</v>
      </c>
      <c r="DD5">
        <v>8121</v>
      </c>
      <c r="DE5">
        <v>72.820688721400003</v>
      </c>
      <c r="DF5">
        <v>79.3896071912</v>
      </c>
      <c r="DH5" t="s">
        <v>1042</v>
      </c>
      <c r="DI5" t="s">
        <v>735</v>
      </c>
      <c r="DJ5" t="s">
        <v>921</v>
      </c>
      <c r="DK5">
        <v>26761</v>
      </c>
      <c r="DL5">
        <v>2960</v>
      </c>
      <c r="DM5">
        <v>70.9458914091</v>
      </c>
      <c r="DN5">
        <v>44314</v>
      </c>
      <c r="DO5">
        <v>8121</v>
      </c>
      <c r="DP5">
        <v>72.820688721400003</v>
      </c>
      <c r="DQ5">
        <v>79.3896071912</v>
      </c>
    </row>
    <row r="6" spans="2:121" x14ac:dyDescent="0.2">
      <c r="B6" t="s">
        <v>93</v>
      </c>
      <c r="C6">
        <v>8397</v>
      </c>
      <c r="D6">
        <v>1563</v>
      </c>
      <c r="F6" t="s">
        <v>54</v>
      </c>
      <c r="G6">
        <v>4553</v>
      </c>
      <c r="H6">
        <v>385.49857236989999</v>
      </c>
      <c r="I6">
        <v>3366</v>
      </c>
      <c r="J6">
        <v>603</v>
      </c>
      <c r="K6">
        <v>8287</v>
      </c>
      <c r="L6">
        <v>4517</v>
      </c>
      <c r="M6">
        <v>4150</v>
      </c>
      <c r="N6">
        <v>3549</v>
      </c>
      <c r="O6">
        <v>1360</v>
      </c>
      <c r="P6">
        <v>700</v>
      </c>
      <c r="Q6">
        <v>1</v>
      </c>
      <c r="R6">
        <v>118</v>
      </c>
      <c r="T6" t="s">
        <v>215</v>
      </c>
      <c r="U6">
        <v>3200</v>
      </c>
      <c r="V6">
        <v>41.771875000000001</v>
      </c>
      <c r="W6">
        <v>6231</v>
      </c>
      <c r="X6">
        <v>298</v>
      </c>
      <c r="Y6">
        <v>4409</v>
      </c>
      <c r="Z6">
        <v>37</v>
      </c>
      <c r="AA6">
        <v>29</v>
      </c>
      <c r="AB6">
        <v>13</v>
      </c>
      <c r="AC6">
        <v>173</v>
      </c>
      <c r="AD6">
        <v>56</v>
      </c>
      <c r="AE6">
        <v>6334</v>
      </c>
      <c r="AF6">
        <v>826</v>
      </c>
      <c r="AH6" t="s">
        <v>415</v>
      </c>
      <c r="AI6">
        <v>4893</v>
      </c>
      <c r="AJ6">
        <v>389.1307991008</v>
      </c>
      <c r="AK6">
        <v>3716</v>
      </c>
      <c r="AL6">
        <v>685</v>
      </c>
      <c r="AM6">
        <v>6464</v>
      </c>
      <c r="AN6">
        <v>4616</v>
      </c>
      <c r="AO6">
        <v>1961</v>
      </c>
      <c r="AP6">
        <v>1497</v>
      </c>
      <c r="AQ6">
        <v>2139</v>
      </c>
      <c r="AR6">
        <v>1200</v>
      </c>
      <c r="AS6">
        <v>299</v>
      </c>
      <c r="AT6">
        <v>118</v>
      </c>
      <c r="AV6" t="s">
        <v>424</v>
      </c>
      <c r="AW6">
        <v>33</v>
      </c>
      <c r="AX6">
        <v>39.515151515200003</v>
      </c>
      <c r="AY6">
        <v>53</v>
      </c>
      <c r="AZ6">
        <v>1</v>
      </c>
      <c r="BA6">
        <v>47</v>
      </c>
      <c r="BC6">
        <v>0</v>
      </c>
      <c r="BE6">
        <v>2</v>
      </c>
      <c r="BG6">
        <v>87</v>
      </c>
      <c r="BH6">
        <v>3</v>
      </c>
      <c r="BJ6" t="s">
        <v>588</v>
      </c>
      <c r="BK6" t="s">
        <v>389</v>
      </c>
      <c r="BL6">
        <v>6976</v>
      </c>
      <c r="BM6">
        <v>1576</v>
      </c>
      <c r="BN6">
        <v>98.506450688100003</v>
      </c>
      <c r="BO6">
        <v>5498</v>
      </c>
      <c r="BP6">
        <v>1090</v>
      </c>
      <c r="BQ6">
        <v>164.38959621679999</v>
      </c>
      <c r="BR6">
        <v>163.52385321099999</v>
      </c>
      <c r="BS6">
        <v>6822</v>
      </c>
      <c r="BT6">
        <v>1542</v>
      </c>
      <c r="BU6">
        <v>98.259601289900004</v>
      </c>
      <c r="BV6">
        <v>5396</v>
      </c>
      <c r="BW6">
        <v>1054</v>
      </c>
      <c r="BX6">
        <v>161.3207931801</v>
      </c>
      <c r="BY6">
        <v>162.93358633779999</v>
      </c>
      <c r="CA6" t="s">
        <v>1043</v>
      </c>
      <c r="CB6" t="s">
        <v>735</v>
      </c>
      <c r="CC6" t="s">
        <v>921</v>
      </c>
      <c r="CD6">
        <v>10678</v>
      </c>
      <c r="CE6">
        <v>2499</v>
      </c>
      <c r="CF6">
        <v>90.566679153400003</v>
      </c>
      <c r="CG6">
        <v>5929</v>
      </c>
      <c r="CH6">
        <v>1193</v>
      </c>
      <c r="CI6">
        <v>144.1583740934</v>
      </c>
      <c r="CJ6">
        <v>159.5565800503</v>
      </c>
      <c r="CL6" t="s">
        <v>1043</v>
      </c>
      <c r="CM6" t="s">
        <v>735</v>
      </c>
      <c r="CN6" t="s">
        <v>921</v>
      </c>
      <c r="CO6">
        <v>10678</v>
      </c>
      <c r="CP6">
        <v>2499</v>
      </c>
      <c r="CQ6">
        <v>90.566679153400003</v>
      </c>
      <c r="CR6">
        <v>5929</v>
      </c>
      <c r="CS6">
        <v>1193</v>
      </c>
      <c r="CT6">
        <v>144.1583740934</v>
      </c>
      <c r="CU6">
        <v>159.5565800503</v>
      </c>
      <c r="CW6" t="s">
        <v>1043</v>
      </c>
      <c r="CX6" t="s">
        <v>735</v>
      </c>
      <c r="CY6" t="s">
        <v>921</v>
      </c>
      <c r="CZ6">
        <v>10678</v>
      </c>
      <c r="DA6">
        <v>2499</v>
      </c>
      <c r="DB6">
        <v>90.566679153400003</v>
      </c>
      <c r="DC6">
        <v>5929</v>
      </c>
      <c r="DD6">
        <v>1193</v>
      </c>
      <c r="DE6">
        <v>144.1583740934</v>
      </c>
      <c r="DF6">
        <v>159.5565800503</v>
      </c>
      <c r="DH6" t="s">
        <v>1043</v>
      </c>
      <c r="DI6" t="s">
        <v>735</v>
      </c>
      <c r="DJ6" t="s">
        <v>921</v>
      </c>
      <c r="DK6">
        <v>10678</v>
      </c>
      <c r="DL6">
        <v>2499</v>
      </c>
      <c r="DM6">
        <v>90.566679153400003</v>
      </c>
      <c r="DN6">
        <v>5929</v>
      </c>
      <c r="DO6">
        <v>1193</v>
      </c>
      <c r="DP6">
        <v>144.1583740934</v>
      </c>
      <c r="DQ6">
        <v>159.5565800503</v>
      </c>
    </row>
    <row r="7" spans="2:121" x14ac:dyDescent="0.2">
      <c r="B7" t="s">
        <v>94</v>
      </c>
      <c r="C7">
        <v>1373</v>
      </c>
      <c r="D7">
        <v>726</v>
      </c>
      <c r="F7" t="s">
        <v>61</v>
      </c>
      <c r="G7">
        <v>4791</v>
      </c>
      <c r="H7">
        <v>239.60217073679999</v>
      </c>
      <c r="I7">
        <v>10280</v>
      </c>
      <c r="J7">
        <v>2519</v>
      </c>
      <c r="K7">
        <v>8073</v>
      </c>
      <c r="L7">
        <v>3973</v>
      </c>
      <c r="M7">
        <v>3137</v>
      </c>
      <c r="N7">
        <v>1874</v>
      </c>
      <c r="O7">
        <v>1714</v>
      </c>
      <c r="P7">
        <v>1099</v>
      </c>
      <c r="Q7">
        <v>1</v>
      </c>
      <c r="R7">
        <v>254</v>
      </c>
      <c r="T7" t="s">
        <v>466</v>
      </c>
      <c r="U7">
        <v>20546</v>
      </c>
      <c r="V7">
        <v>79.392923196699996</v>
      </c>
      <c r="W7">
        <v>32918</v>
      </c>
      <c r="X7">
        <v>5383</v>
      </c>
      <c r="Y7">
        <v>28809</v>
      </c>
      <c r="Z7">
        <v>7024</v>
      </c>
      <c r="AA7">
        <v>456</v>
      </c>
      <c r="AB7">
        <v>433</v>
      </c>
      <c r="AC7">
        <v>1593</v>
      </c>
      <c r="AD7">
        <v>561</v>
      </c>
      <c r="AE7">
        <v>9527</v>
      </c>
      <c r="AF7">
        <v>5948</v>
      </c>
      <c r="AH7" t="s">
        <v>411</v>
      </c>
      <c r="AI7">
        <v>28658</v>
      </c>
      <c r="AJ7">
        <v>415.1258287389</v>
      </c>
      <c r="AK7">
        <v>31042</v>
      </c>
      <c r="AL7">
        <v>6770</v>
      </c>
      <c r="AM7">
        <v>41899</v>
      </c>
      <c r="AN7">
        <v>29067</v>
      </c>
      <c r="AO7">
        <v>8990</v>
      </c>
      <c r="AP7">
        <v>6265</v>
      </c>
      <c r="AQ7">
        <v>15135</v>
      </c>
      <c r="AR7">
        <v>9519</v>
      </c>
      <c r="AS7">
        <v>58</v>
      </c>
      <c r="AT7">
        <v>137</v>
      </c>
      <c r="AV7" t="s">
        <v>392</v>
      </c>
      <c r="AW7">
        <v>544</v>
      </c>
      <c r="AX7">
        <v>42</v>
      </c>
      <c r="AY7">
        <v>932</v>
      </c>
      <c r="AZ7">
        <v>77</v>
      </c>
      <c r="BA7">
        <v>747</v>
      </c>
      <c r="BB7">
        <v>29</v>
      </c>
      <c r="BC7">
        <v>5</v>
      </c>
      <c r="BD7">
        <v>5</v>
      </c>
      <c r="BE7">
        <v>49</v>
      </c>
      <c r="BF7">
        <v>11</v>
      </c>
      <c r="BG7">
        <v>136</v>
      </c>
      <c r="BH7">
        <v>90</v>
      </c>
      <c r="BJ7" t="s">
        <v>635</v>
      </c>
      <c r="BK7" t="s">
        <v>389</v>
      </c>
      <c r="BL7">
        <v>637</v>
      </c>
      <c r="BM7">
        <v>51</v>
      </c>
      <c r="BN7">
        <v>61.149136577699998</v>
      </c>
      <c r="BO7">
        <v>1245</v>
      </c>
      <c r="BP7">
        <v>184</v>
      </c>
      <c r="BQ7">
        <v>88.457831325300006</v>
      </c>
      <c r="BR7">
        <v>81.326086956500006</v>
      </c>
      <c r="BS7">
        <v>1499</v>
      </c>
      <c r="BT7">
        <v>186</v>
      </c>
      <c r="BU7">
        <v>74.584389593099999</v>
      </c>
      <c r="BV7">
        <v>1963</v>
      </c>
      <c r="BW7">
        <v>354</v>
      </c>
      <c r="BX7">
        <v>124.5109526235</v>
      </c>
      <c r="BY7">
        <v>117.0084745763</v>
      </c>
      <c r="CA7" t="s">
        <v>415</v>
      </c>
      <c r="CB7" t="s">
        <v>771</v>
      </c>
      <c r="CC7" t="s">
        <v>998</v>
      </c>
      <c r="CD7">
        <v>3786</v>
      </c>
      <c r="CE7">
        <v>666</v>
      </c>
      <c r="CF7">
        <v>85.751980982600003</v>
      </c>
      <c r="CG7">
        <v>3895</v>
      </c>
      <c r="CH7">
        <v>805</v>
      </c>
      <c r="CI7">
        <v>124.5489088575</v>
      </c>
      <c r="CJ7">
        <v>127.76645962729999</v>
      </c>
      <c r="CL7" t="s">
        <v>415</v>
      </c>
      <c r="CM7" t="s">
        <v>752</v>
      </c>
      <c r="CN7" t="s">
        <v>751</v>
      </c>
      <c r="CO7">
        <v>327</v>
      </c>
      <c r="CP7">
        <v>41</v>
      </c>
      <c r="CQ7">
        <v>67.990825688100003</v>
      </c>
      <c r="CR7">
        <v>585</v>
      </c>
      <c r="CS7">
        <v>117</v>
      </c>
      <c r="CT7">
        <v>61.753846153799998</v>
      </c>
      <c r="CU7">
        <v>67.649572649600003</v>
      </c>
      <c r="CW7" t="s">
        <v>415</v>
      </c>
      <c r="CX7" t="s">
        <v>762</v>
      </c>
      <c r="CY7" t="s">
        <v>761</v>
      </c>
      <c r="CZ7">
        <v>72</v>
      </c>
      <c r="DA7">
        <v>9</v>
      </c>
      <c r="DB7">
        <v>77.722222222200003</v>
      </c>
      <c r="DC7">
        <v>27</v>
      </c>
      <c r="DD7">
        <v>4</v>
      </c>
      <c r="DE7">
        <v>140.1851851852</v>
      </c>
      <c r="DF7">
        <v>150.75</v>
      </c>
      <c r="DH7" t="s">
        <v>415</v>
      </c>
      <c r="DI7" t="s">
        <v>742</v>
      </c>
      <c r="DJ7" t="s">
        <v>741</v>
      </c>
      <c r="DK7">
        <v>46</v>
      </c>
      <c r="DL7">
        <v>7</v>
      </c>
      <c r="DM7">
        <v>82.826086956500006</v>
      </c>
      <c r="DN7">
        <v>31</v>
      </c>
      <c r="DO7">
        <v>5</v>
      </c>
      <c r="DP7">
        <v>131.80645161289999</v>
      </c>
      <c r="DQ7">
        <v>119.4</v>
      </c>
    </row>
    <row r="8" spans="2:121" x14ac:dyDescent="0.2">
      <c r="B8" t="s">
        <v>103</v>
      </c>
      <c r="C8">
        <v>297</v>
      </c>
      <c r="D8">
        <v>212</v>
      </c>
      <c r="F8" t="s">
        <v>27</v>
      </c>
      <c r="G8">
        <v>1187</v>
      </c>
      <c r="H8">
        <v>97.529064869400003</v>
      </c>
      <c r="I8">
        <v>5917</v>
      </c>
      <c r="J8">
        <v>861</v>
      </c>
      <c r="K8">
        <v>7408</v>
      </c>
      <c r="L8">
        <v>2918</v>
      </c>
      <c r="M8">
        <v>1546</v>
      </c>
      <c r="N8">
        <v>612</v>
      </c>
      <c r="O8">
        <v>1397</v>
      </c>
      <c r="P8">
        <v>576</v>
      </c>
      <c r="Q8">
        <v>0</v>
      </c>
      <c r="R8">
        <v>67</v>
      </c>
      <c r="AH8" t="s">
        <v>407</v>
      </c>
      <c r="AI8">
        <v>7146</v>
      </c>
      <c r="AJ8">
        <v>442.05205709490002</v>
      </c>
      <c r="AK8">
        <v>7467</v>
      </c>
      <c r="AL8">
        <v>1682</v>
      </c>
      <c r="AM8">
        <v>10564</v>
      </c>
      <c r="AN8">
        <v>6917</v>
      </c>
      <c r="AO8">
        <v>3292</v>
      </c>
      <c r="AP8">
        <v>2280</v>
      </c>
      <c r="AQ8">
        <v>1628</v>
      </c>
      <c r="AR8">
        <v>914</v>
      </c>
      <c r="AS8">
        <v>16</v>
      </c>
      <c r="AT8">
        <v>59</v>
      </c>
      <c r="AV8" t="s">
        <v>413</v>
      </c>
      <c r="AW8">
        <v>139</v>
      </c>
      <c r="AX8">
        <v>43.071942446000001</v>
      </c>
      <c r="AY8">
        <v>233</v>
      </c>
      <c r="AZ8">
        <v>12</v>
      </c>
      <c r="BA8">
        <v>198</v>
      </c>
      <c r="BB8">
        <v>8</v>
      </c>
      <c r="BC8">
        <v>1</v>
      </c>
      <c r="BD8">
        <v>1</v>
      </c>
      <c r="BE8">
        <v>14</v>
      </c>
      <c r="BF8">
        <v>6</v>
      </c>
      <c r="BG8">
        <v>304</v>
      </c>
      <c r="BH8">
        <v>40</v>
      </c>
      <c r="BJ8" t="s">
        <v>623</v>
      </c>
      <c r="BK8" t="s">
        <v>389</v>
      </c>
      <c r="BL8">
        <v>15184</v>
      </c>
      <c r="BM8">
        <v>3948</v>
      </c>
      <c r="BN8">
        <v>102.6247365648</v>
      </c>
      <c r="BO8">
        <v>16547</v>
      </c>
      <c r="BP8">
        <v>2755</v>
      </c>
      <c r="BQ8">
        <v>147.49048165830001</v>
      </c>
      <c r="BR8">
        <v>145.9252268603</v>
      </c>
      <c r="BS8">
        <v>12768</v>
      </c>
      <c r="BT8">
        <v>2678</v>
      </c>
      <c r="BU8">
        <v>92.465147243100006</v>
      </c>
      <c r="BV8">
        <v>10960</v>
      </c>
      <c r="BW8">
        <v>2075</v>
      </c>
      <c r="BX8">
        <v>137.2682481752</v>
      </c>
      <c r="BY8">
        <v>134.20771084340001</v>
      </c>
      <c r="CA8" t="s">
        <v>407</v>
      </c>
      <c r="CB8" t="s">
        <v>771</v>
      </c>
      <c r="CC8" t="s">
        <v>999</v>
      </c>
      <c r="CD8">
        <v>7101</v>
      </c>
      <c r="CE8">
        <v>1591</v>
      </c>
      <c r="CF8">
        <v>97.149978876199995</v>
      </c>
      <c r="CG8">
        <v>6151</v>
      </c>
      <c r="CH8">
        <v>1209</v>
      </c>
      <c r="CI8">
        <v>150.395708015</v>
      </c>
      <c r="CJ8">
        <v>146.79983457399999</v>
      </c>
      <c r="CL8" t="s">
        <v>407</v>
      </c>
      <c r="CM8" t="s">
        <v>752</v>
      </c>
      <c r="CN8" t="s">
        <v>753</v>
      </c>
      <c r="CO8">
        <v>286</v>
      </c>
      <c r="CP8">
        <v>34</v>
      </c>
      <c r="CQ8">
        <v>69.377622377600005</v>
      </c>
      <c r="CR8">
        <v>617</v>
      </c>
      <c r="CS8">
        <v>115</v>
      </c>
      <c r="CT8">
        <v>62.084278768200001</v>
      </c>
      <c r="CU8">
        <v>69.791304347799993</v>
      </c>
      <c r="CW8" t="s">
        <v>407</v>
      </c>
      <c r="CX8" t="s">
        <v>762</v>
      </c>
      <c r="CY8" t="s">
        <v>763</v>
      </c>
      <c r="CZ8">
        <v>329</v>
      </c>
      <c r="DA8">
        <v>44</v>
      </c>
      <c r="DB8">
        <v>82.127659574500001</v>
      </c>
      <c r="DC8">
        <v>168</v>
      </c>
      <c r="DD8">
        <v>35</v>
      </c>
      <c r="DE8">
        <v>142.70238095240001</v>
      </c>
      <c r="DF8">
        <v>155.08571428569999</v>
      </c>
      <c r="DH8" t="s">
        <v>407</v>
      </c>
      <c r="DI8" t="s">
        <v>742</v>
      </c>
      <c r="DJ8" t="s">
        <v>743</v>
      </c>
      <c r="DK8">
        <v>457</v>
      </c>
      <c r="DL8">
        <v>55</v>
      </c>
      <c r="DM8">
        <v>81.610503282300002</v>
      </c>
      <c r="DN8">
        <v>278</v>
      </c>
      <c r="DO8">
        <v>66</v>
      </c>
      <c r="DP8">
        <v>124.6223021583</v>
      </c>
      <c r="DQ8">
        <v>130.65151515150001</v>
      </c>
    </row>
    <row r="9" spans="2:121" x14ac:dyDescent="0.2">
      <c r="B9" t="s">
        <v>95</v>
      </c>
      <c r="C9">
        <v>31</v>
      </c>
      <c r="D9">
        <v>3</v>
      </c>
      <c r="F9" t="s">
        <v>24</v>
      </c>
      <c r="G9">
        <v>1487</v>
      </c>
      <c r="H9">
        <v>161.73570948220001</v>
      </c>
      <c r="I9">
        <v>3938</v>
      </c>
      <c r="J9">
        <v>722</v>
      </c>
      <c r="K9">
        <v>2639</v>
      </c>
      <c r="L9">
        <v>1020</v>
      </c>
      <c r="M9">
        <v>1025</v>
      </c>
      <c r="N9">
        <v>515</v>
      </c>
      <c r="O9">
        <v>453</v>
      </c>
      <c r="P9">
        <v>237</v>
      </c>
      <c r="Q9">
        <v>0</v>
      </c>
      <c r="R9">
        <v>0</v>
      </c>
      <c r="AH9" t="s">
        <v>377</v>
      </c>
      <c r="AI9">
        <v>1456</v>
      </c>
      <c r="AJ9">
        <v>318.98351648350001</v>
      </c>
      <c r="AK9">
        <v>2017</v>
      </c>
      <c r="AL9">
        <v>424</v>
      </c>
      <c r="AM9">
        <v>3082</v>
      </c>
      <c r="AN9">
        <v>2100</v>
      </c>
      <c r="AO9">
        <v>618</v>
      </c>
      <c r="AP9">
        <v>375</v>
      </c>
      <c r="AQ9">
        <v>1029</v>
      </c>
      <c r="AR9">
        <v>711</v>
      </c>
      <c r="AS9">
        <v>308</v>
      </c>
      <c r="AT9">
        <v>5</v>
      </c>
      <c r="AV9" t="s">
        <v>421</v>
      </c>
      <c r="AW9">
        <v>40</v>
      </c>
      <c r="AX9">
        <v>83.525000000000006</v>
      </c>
      <c r="AY9">
        <v>53</v>
      </c>
      <c r="AZ9">
        <v>6</v>
      </c>
      <c r="BA9">
        <v>46</v>
      </c>
      <c r="BB9">
        <v>13</v>
      </c>
      <c r="BC9">
        <v>0</v>
      </c>
      <c r="BE9">
        <v>4</v>
      </c>
      <c r="BF9">
        <v>2</v>
      </c>
      <c r="BG9">
        <v>8</v>
      </c>
      <c r="BH9">
        <v>9</v>
      </c>
      <c r="BJ9" t="s">
        <v>559</v>
      </c>
      <c r="BK9" t="s">
        <v>389</v>
      </c>
      <c r="BL9">
        <v>3861</v>
      </c>
      <c r="BM9">
        <v>1192</v>
      </c>
      <c r="BN9">
        <v>110.35353535350001</v>
      </c>
      <c r="BO9">
        <v>3166</v>
      </c>
      <c r="BP9">
        <v>715</v>
      </c>
      <c r="BQ9">
        <v>151.0157927985</v>
      </c>
      <c r="BR9">
        <v>145.7538461538</v>
      </c>
      <c r="BS9">
        <v>4425</v>
      </c>
      <c r="BT9">
        <v>1669</v>
      </c>
      <c r="BU9">
        <v>131.06440677969999</v>
      </c>
      <c r="BV9">
        <v>4150</v>
      </c>
      <c r="BW9">
        <v>803</v>
      </c>
      <c r="BX9">
        <v>150.09903614460001</v>
      </c>
      <c r="BY9">
        <v>161.39352428390001</v>
      </c>
      <c r="CA9" t="s">
        <v>391</v>
      </c>
      <c r="CB9" t="s">
        <v>771</v>
      </c>
      <c r="CC9" t="s">
        <v>1000</v>
      </c>
      <c r="CD9">
        <v>5823</v>
      </c>
      <c r="CE9">
        <v>1306</v>
      </c>
      <c r="CF9">
        <v>93.652241112799999</v>
      </c>
      <c r="CG9">
        <v>5825</v>
      </c>
      <c r="CH9">
        <v>933</v>
      </c>
      <c r="CI9">
        <v>130.08377682400001</v>
      </c>
      <c r="CJ9">
        <v>131.0750267953</v>
      </c>
      <c r="CL9" t="s">
        <v>391</v>
      </c>
      <c r="CM9" t="s">
        <v>752</v>
      </c>
      <c r="CN9" t="s">
        <v>754</v>
      </c>
      <c r="CO9">
        <v>451</v>
      </c>
      <c r="CP9">
        <v>43</v>
      </c>
      <c r="CQ9">
        <v>68.509977827100002</v>
      </c>
      <c r="CR9">
        <v>846</v>
      </c>
      <c r="CS9">
        <v>164</v>
      </c>
      <c r="CT9">
        <v>67.992907801399994</v>
      </c>
      <c r="CU9">
        <v>72.085365853699997</v>
      </c>
      <c r="CW9" t="s">
        <v>391</v>
      </c>
      <c r="CX9" t="s">
        <v>762</v>
      </c>
      <c r="CY9" t="s">
        <v>764</v>
      </c>
      <c r="CZ9">
        <v>95</v>
      </c>
      <c r="DA9">
        <v>23</v>
      </c>
      <c r="DB9">
        <v>87.431578947399998</v>
      </c>
      <c r="DC9">
        <v>36</v>
      </c>
      <c r="DD9">
        <v>9</v>
      </c>
      <c r="DE9">
        <v>150.5</v>
      </c>
      <c r="DF9">
        <v>159.55555555559999</v>
      </c>
      <c r="DH9" t="s">
        <v>391</v>
      </c>
      <c r="DI9" t="s">
        <v>742</v>
      </c>
      <c r="DJ9" t="s">
        <v>744</v>
      </c>
      <c r="DK9">
        <v>177</v>
      </c>
      <c r="DL9">
        <v>34</v>
      </c>
      <c r="DM9">
        <v>86.768361581899995</v>
      </c>
      <c r="DN9">
        <v>98</v>
      </c>
      <c r="DO9">
        <v>20</v>
      </c>
      <c r="DP9">
        <v>113.5816326531</v>
      </c>
      <c r="DQ9">
        <v>142.85</v>
      </c>
    </row>
    <row r="10" spans="2:121" x14ac:dyDescent="0.2">
      <c r="B10" t="s">
        <v>317</v>
      </c>
      <c r="C10">
        <v>3</v>
      </c>
      <c r="D10">
        <v>1</v>
      </c>
      <c r="F10" t="s">
        <v>62</v>
      </c>
      <c r="G10">
        <v>4561</v>
      </c>
      <c r="H10">
        <v>444.88642841479998</v>
      </c>
      <c r="I10">
        <v>5811</v>
      </c>
      <c r="J10">
        <v>1326</v>
      </c>
      <c r="K10">
        <v>5725</v>
      </c>
      <c r="L10">
        <v>4114</v>
      </c>
      <c r="M10">
        <v>1026</v>
      </c>
      <c r="N10">
        <v>646</v>
      </c>
      <c r="O10">
        <v>1309</v>
      </c>
      <c r="P10">
        <v>795</v>
      </c>
      <c r="Q10">
        <v>1</v>
      </c>
      <c r="R10">
        <v>251</v>
      </c>
      <c r="AH10" t="s">
        <v>427</v>
      </c>
      <c r="AI10">
        <v>851</v>
      </c>
      <c r="AJ10">
        <v>401.77085781429997</v>
      </c>
      <c r="AK10">
        <v>878</v>
      </c>
      <c r="AL10">
        <v>253</v>
      </c>
      <c r="AM10">
        <v>1147</v>
      </c>
      <c r="AN10">
        <v>799</v>
      </c>
      <c r="AO10">
        <v>244</v>
      </c>
      <c r="AP10">
        <v>153</v>
      </c>
      <c r="AQ10">
        <v>346</v>
      </c>
      <c r="AR10">
        <v>207</v>
      </c>
      <c r="AS10">
        <v>69</v>
      </c>
      <c r="AT10">
        <v>1</v>
      </c>
      <c r="AV10" t="s">
        <v>375</v>
      </c>
      <c r="AW10">
        <v>405</v>
      </c>
      <c r="AX10">
        <v>95.397530864199993</v>
      </c>
      <c r="AY10">
        <v>668</v>
      </c>
      <c r="AZ10">
        <v>167</v>
      </c>
      <c r="BA10">
        <v>546</v>
      </c>
      <c r="BB10">
        <v>197</v>
      </c>
      <c r="BC10">
        <v>2</v>
      </c>
      <c r="BD10">
        <v>2</v>
      </c>
      <c r="BE10">
        <v>31</v>
      </c>
      <c r="BF10">
        <v>9</v>
      </c>
      <c r="BG10">
        <v>62</v>
      </c>
      <c r="BH10">
        <v>173</v>
      </c>
      <c r="BJ10" t="s">
        <v>611</v>
      </c>
      <c r="BK10" t="s">
        <v>389</v>
      </c>
      <c r="BL10">
        <v>3700</v>
      </c>
      <c r="BM10">
        <v>632</v>
      </c>
      <c r="BN10">
        <v>84.603783783799997</v>
      </c>
      <c r="BO10">
        <v>3755</v>
      </c>
      <c r="BP10">
        <v>794</v>
      </c>
      <c r="BQ10">
        <v>126.1251664447</v>
      </c>
      <c r="BR10">
        <v>127.5465994962</v>
      </c>
      <c r="BS10">
        <v>3809</v>
      </c>
      <c r="BT10">
        <v>783</v>
      </c>
      <c r="BU10">
        <v>90.133893410300004</v>
      </c>
      <c r="BV10">
        <v>4459</v>
      </c>
      <c r="BW10">
        <v>881</v>
      </c>
      <c r="BX10">
        <v>136.35994617630001</v>
      </c>
      <c r="BY10">
        <v>137.0034052213</v>
      </c>
      <c r="CA10" t="s">
        <v>393</v>
      </c>
      <c r="CB10" t="s">
        <v>771</v>
      </c>
      <c r="CC10" t="s">
        <v>1001</v>
      </c>
      <c r="CD10">
        <v>4051</v>
      </c>
      <c r="CE10">
        <v>1235</v>
      </c>
      <c r="CF10">
        <v>109.8644779067</v>
      </c>
      <c r="CG10">
        <v>3456</v>
      </c>
      <c r="CH10">
        <v>772</v>
      </c>
      <c r="CI10">
        <v>145.11747685189999</v>
      </c>
      <c r="CJ10">
        <v>143.0803108808</v>
      </c>
      <c r="CL10" t="s">
        <v>393</v>
      </c>
      <c r="CM10" t="s">
        <v>752</v>
      </c>
      <c r="CN10" t="s">
        <v>755</v>
      </c>
      <c r="CO10">
        <v>365</v>
      </c>
      <c r="CP10">
        <v>43</v>
      </c>
      <c r="CQ10">
        <v>70.482191780799994</v>
      </c>
      <c r="CR10">
        <v>597</v>
      </c>
      <c r="CS10">
        <v>129</v>
      </c>
      <c r="CT10">
        <v>75.167504187600002</v>
      </c>
      <c r="CU10">
        <v>93.434108527099994</v>
      </c>
      <c r="CW10" t="s">
        <v>393</v>
      </c>
      <c r="CX10" t="s">
        <v>762</v>
      </c>
      <c r="CY10" t="s">
        <v>765</v>
      </c>
      <c r="CZ10">
        <v>82</v>
      </c>
      <c r="DA10">
        <v>21</v>
      </c>
      <c r="DB10">
        <v>96.487804878000006</v>
      </c>
      <c r="DC10">
        <v>57</v>
      </c>
      <c r="DD10">
        <v>12</v>
      </c>
      <c r="DE10">
        <v>155.2105263158</v>
      </c>
      <c r="DF10">
        <v>183.1666666667</v>
      </c>
      <c r="DH10" t="s">
        <v>393</v>
      </c>
      <c r="DI10" t="s">
        <v>742</v>
      </c>
      <c r="DJ10" t="s">
        <v>745</v>
      </c>
      <c r="DK10">
        <v>79</v>
      </c>
      <c r="DL10">
        <v>19</v>
      </c>
      <c r="DM10">
        <v>90.202531645600004</v>
      </c>
      <c r="DN10">
        <v>56</v>
      </c>
      <c r="DO10">
        <v>16</v>
      </c>
      <c r="DP10">
        <v>146.58928571429999</v>
      </c>
      <c r="DQ10">
        <v>157.1875</v>
      </c>
    </row>
    <row r="11" spans="2:121" x14ac:dyDescent="0.2">
      <c r="B11" t="s">
        <v>114</v>
      </c>
      <c r="C11">
        <v>8072</v>
      </c>
      <c r="D11">
        <v>453</v>
      </c>
      <c r="F11" t="s">
        <v>36</v>
      </c>
      <c r="G11">
        <v>7984</v>
      </c>
      <c r="H11">
        <v>716.82126753509999</v>
      </c>
      <c r="I11">
        <v>4812</v>
      </c>
      <c r="J11">
        <v>1056</v>
      </c>
      <c r="K11">
        <v>9316</v>
      </c>
      <c r="L11">
        <v>7683</v>
      </c>
      <c r="M11">
        <v>1362</v>
      </c>
      <c r="N11">
        <v>1109</v>
      </c>
      <c r="O11">
        <v>2586</v>
      </c>
      <c r="P11">
        <v>2146</v>
      </c>
      <c r="Q11">
        <v>0</v>
      </c>
      <c r="R11">
        <v>4</v>
      </c>
      <c r="AH11" t="s">
        <v>418</v>
      </c>
      <c r="AI11">
        <v>470</v>
      </c>
      <c r="AJ11">
        <v>537.31489361700005</v>
      </c>
      <c r="AK11">
        <v>440</v>
      </c>
      <c r="AL11">
        <v>109</v>
      </c>
      <c r="AM11">
        <v>659</v>
      </c>
      <c r="AN11">
        <v>483</v>
      </c>
      <c r="AO11">
        <v>214</v>
      </c>
      <c r="AP11">
        <v>165</v>
      </c>
      <c r="AQ11">
        <v>362</v>
      </c>
      <c r="AR11">
        <v>264</v>
      </c>
      <c r="AS11">
        <v>24</v>
      </c>
      <c r="AT11">
        <v>0</v>
      </c>
      <c r="AV11" t="s">
        <v>412</v>
      </c>
      <c r="AW11">
        <v>56</v>
      </c>
      <c r="AX11">
        <v>34.035714285700003</v>
      </c>
      <c r="AY11">
        <v>104</v>
      </c>
      <c r="AZ11">
        <v>1</v>
      </c>
      <c r="BA11">
        <v>85</v>
      </c>
      <c r="BB11">
        <v>1</v>
      </c>
      <c r="BC11">
        <v>1</v>
      </c>
      <c r="BD11">
        <v>1</v>
      </c>
      <c r="BE11">
        <v>0</v>
      </c>
      <c r="BG11">
        <v>101</v>
      </c>
      <c r="BH11">
        <v>12</v>
      </c>
      <c r="BJ11" t="s">
        <v>613</v>
      </c>
      <c r="BK11" t="s">
        <v>389</v>
      </c>
      <c r="BL11">
        <v>5680</v>
      </c>
      <c r="BM11">
        <v>801</v>
      </c>
      <c r="BN11">
        <v>78.423591549299999</v>
      </c>
      <c r="BO11">
        <v>7449</v>
      </c>
      <c r="BP11">
        <v>1298</v>
      </c>
      <c r="BQ11">
        <v>135.92227144579999</v>
      </c>
      <c r="BR11">
        <v>126.218798151</v>
      </c>
      <c r="BS11">
        <v>6702</v>
      </c>
      <c r="BT11">
        <v>1462</v>
      </c>
      <c r="BU11">
        <v>91.348552670800004</v>
      </c>
      <c r="BV11">
        <v>10909</v>
      </c>
      <c r="BW11">
        <v>1798</v>
      </c>
      <c r="BX11">
        <v>141.028325236</v>
      </c>
      <c r="BY11">
        <v>139.9221357063</v>
      </c>
      <c r="CA11" t="s">
        <v>422</v>
      </c>
      <c r="CB11" t="s">
        <v>771</v>
      </c>
      <c r="CC11" t="s">
        <v>1002</v>
      </c>
      <c r="CD11">
        <v>702</v>
      </c>
      <c r="CE11">
        <v>61</v>
      </c>
      <c r="CF11">
        <v>62.011396011400002</v>
      </c>
      <c r="CG11">
        <v>1351</v>
      </c>
      <c r="CH11">
        <v>208</v>
      </c>
      <c r="CI11">
        <v>91.254626202799997</v>
      </c>
      <c r="CJ11">
        <v>84.177884615400004</v>
      </c>
      <c r="CL11" t="s">
        <v>422</v>
      </c>
      <c r="CM11" t="s">
        <v>752</v>
      </c>
      <c r="CN11" t="s">
        <v>756</v>
      </c>
      <c r="CO11">
        <v>81</v>
      </c>
      <c r="CP11">
        <v>10</v>
      </c>
      <c r="CQ11">
        <v>61.098765432100002</v>
      </c>
      <c r="CR11">
        <v>198</v>
      </c>
      <c r="CS11">
        <v>38</v>
      </c>
      <c r="CT11">
        <v>56.979797979799997</v>
      </c>
      <c r="CU11">
        <v>72.131578947400001</v>
      </c>
      <c r="CW11" t="s">
        <v>422</v>
      </c>
      <c r="CX11" t="s">
        <v>762</v>
      </c>
      <c r="CY11" t="s">
        <v>766</v>
      </c>
      <c r="CZ11">
        <v>28</v>
      </c>
      <c r="DA11">
        <v>2</v>
      </c>
      <c r="DB11">
        <v>81.285714285699996</v>
      </c>
      <c r="DC11">
        <v>15</v>
      </c>
      <c r="DD11">
        <v>3</v>
      </c>
      <c r="DE11">
        <v>133.3333333333</v>
      </c>
      <c r="DF11">
        <v>175</v>
      </c>
      <c r="DH11" t="s">
        <v>422</v>
      </c>
      <c r="DI11" t="s">
        <v>742</v>
      </c>
      <c r="DJ11" t="s">
        <v>746</v>
      </c>
      <c r="DK11">
        <v>22</v>
      </c>
      <c r="DL11">
        <v>4</v>
      </c>
      <c r="DM11">
        <v>82.090909090899999</v>
      </c>
      <c r="DN11">
        <v>13</v>
      </c>
      <c r="DO11">
        <v>5</v>
      </c>
      <c r="DP11">
        <v>109.5384615385</v>
      </c>
      <c r="DQ11">
        <v>119.2</v>
      </c>
    </row>
    <row r="12" spans="2:121" x14ac:dyDescent="0.2">
      <c r="B12" t="s">
        <v>124</v>
      </c>
      <c r="C12">
        <v>735</v>
      </c>
      <c r="D12">
        <v>416</v>
      </c>
      <c r="F12" t="s">
        <v>60</v>
      </c>
      <c r="G12">
        <v>12217</v>
      </c>
      <c r="H12">
        <v>378.7526397643</v>
      </c>
      <c r="I12">
        <v>7255</v>
      </c>
      <c r="J12">
        <v>1488</v>
      </c>
      <c r="K12">
        <v>13590</v>
      </c>
      <c r="L12">
        <v>9945</v>
      </c>
      <c r="M12">
        <v>4626</v>
      </c>
      <c r="N12">
        <v>3719</v>
      </c>
      <c r="O12">
        <v>1785</v>
      </c>
      <c r="P12">
        <v>1244</v>
      </c>
      <c r="Q12">
        <v>0</v>
      </c>
      <c r="R12">
        <v>375</v>
      </c>
      <c r="T12" t="s">
        <v>652</v>
      </c>
      <c r="U12" t="s">
        <v>309</v>
      </c>
      <c r="V12" t="s">
        <v>136</v>
      </c>
      <c r="W12" t="s">
        <v>217</v>
      </c>
      <c r="X12" t="s">
        <v>218</v>
      </c>
      <c r="Y12" t="s">
        <v>219</v>
      </c>
      <c r="Z12" t="s">
        <v>220</v>
      </c>
      <c r="AA12" t="s">
        <v>221</v>
      </c>
      <c r="AB12" t="s">
        <v>222</v>
      </c>
      <c r="AC12" t="s">
        <v>223</v>
      </c>
      <c r="AD12" t="s">
        <v>224</v>
      </c>
      <c r="AE12" t="s">
        <v>225</v>
      </c>
      <c r="AF12" t="s">
        <v>226</v>
      </c>
      <c r="AH12" t="s">
        <v>429</v>
      </c>
      <c r="AI12">
        <v>21082</v>
      </c>
      <c r="AJ12">
        <v>329.60188786639998</v>
      </c>
      <c r="AK12">
        <v>22944</v>
      </c>
      <c r="AL12">
        <v>5913</v>
      </c>
      <c r="AM12">
        <v>29258</v>
      </c>
      <c r="AN12">
        <v>19036</v>
      </c>
      <c r="AO12">
        <v>6957</v>
      </c>
      <c r="AP12">
        <v>3869</v>
      </c>
      <c r="AQ12">
        <v>16414</v>
      </c>
      <c r="AR12">
        <v>10154</v>
      </c>
      <c r="AS12">
        <v>2067</v>
      </c>
      <c r="AT12">
        <v>273</v>
      </c>
      <c r="AV12" t="s">
        <v>429</v>
      </c>
      <c r="AW12">
        <v>2649</v>
      </c>
      <c r="AX12">
        <v>96.249150622900004</v>
      </c>
      <c r="AY12">
        <v>3764</v>
      </c>
      <c r="AZ12">
        <v>836</v>
      </c>
      <c r="BA12">
        <v>3525</v>
      </c>
      <c r="BB12">
        <v>1240</v>
      </c>
      <c r="BC12">
        <v>58</v>
      </c>
      <c r="BD12">
        <v>57</v>
      </c>
      <c r="BE12">
        <v>147</v>
      </c>
      <c r="BF12">
        <v>70</v>
      </c>
      <c r="BG12">
        <v>461</v>
      </c>
      <c r="BH12">
        <v>784</v>
      </c>
      <c r="BJ12" t="s">
        <v>555</v>
      </c>
      <c r="BK12" t="s">
        <v>389</v>
      </c>
      <c r="BL12">
        <v>5727</v>
      </c>
      <c r="BM12">
        <v>1282</v>
      </c>
      <c r="BN12">
        <v>93.337698620599994</v>
      </c>
      <c r="BO12">
        <v>5395</v>
      </c>
      <c r="BP12">
        <v>856</v>
      </c>
      <c r="BQ12">
        <v>132.80407784990001</v>
      </c>
      <c r="BR12">
        <v>132.46962616819999</v>
      </c>
      <c r="BS12">
        <v>5373</v>
      </c>
      <c r="BT12">
        <v>975</v>
      </c>
      <c r="BU12">
        <v>82.6752279918</v>
      </c>
      <c r="BV12">
        <v>4249</v>
      </c>
      <c r="BW12">
        <v>771</v>
      </c>
      <c r="BX12">
        <v>124.4803483173</v>
      </c>
      <c r="BY12">
        <v>121.102464332</v>
      </c>
      <c r="CA12" t="s">
        <v>416</v>
      </c>
      <c r="CB12" t="s">
        <v>771</v>
      </c>
      <c r="CC12" t="s">
        <v>1003</v>
      </c>
      <c r="CD12">
        <v>5833</v>
      </c>
      <c r="CE12">
        <v>832</v>
      </c>
      <c r="CF12">
        <v>78.587690725200005</v>
      </c>
      <c r="CG12">
        <v>7565</v>
      </c>
      <c r="CH12">
        <v>1348</v>
      </c>
      <c r="CI12">
        <v>111.436483807</v>
      </c>
      <c r="CJ12">
        <v>120.9710682493</v>
      </c>
      <c r="CL12" t="s">
        <v>416</v>
      </c>
      <c r="CM12" t="s">
        <v>752</v>
      </c>
      <c r="CN12" t="s">
        <v>757</v>
      </c>
      <c r="CO12">
        <v>419</v>
      </c>
      <c r="CP12">
        <v>47</v>
      </c>
      <c r="CQ12">
        <v>66.670644391400003</v>
      </c>
      <c r="CR12">
        <v>930</v>
      </c>
      <c r="CS12">
        <v>165</v>
      </c>
      <c r="CT12">
        <v>62.641935483899999</v>
      </c>
      <c r="CU12">
        <v>60.127272727300003</v>
      </c>
      <c r="CW12" t="s">
        <v>416</v>
      </c>
      <c r="CX12" t="s">
        <v>762</v>
      </c>
      <c r="CY12" t="s">
        <v>767</v>
      </c>
      <c r="CZ12">
        <v>135</v>
      </c>
      <c r="DA12">
        <v>24</v>
      </c>
      <c r="DB12">
        <v>80.933333333299998</v>
      </c>
      <c r="DC12">
        <v>80</v>
      </c>
      <c r="DD12">
        <v>17</v>
      </c>
      <c r="DE12">
        <v>140.94999999999999</v>
      </c>
      <c r="DF12">
        <v>155</v>
      </c>
      <c r="DH12" t="s">
        <v>416</v>
      </c>
      <c r="DI12" t="s">
        <v>742</v>
      </c>
      <c r="DJ12" t="s">
        <v>747</v>
      </c>
      <c r="DK12">
        <v>218</v>
      </c>
      <c r="DL12">
        <v>28</v>
      </c>
      <c r="DM12">
        <v>76.321100917400003</v>
      </c>
      <c r="DN12">
        <v>129</v>
      </c>
      <c r="DO12">
        <v>29</v>
      </c>
      <c r="DP12">
        <v>125.72868217049999</v>
      </c>
      <c r="DQ12">
        <v>146.5172413793</v>
      </c>
    </row>
    <row r="13" spans="2:121" x14ac:dyDescent="0.2">
      <c r="B13" t="s">
        <v>100</v>
      </c>
      <c r="C13">
        <v>215</v>
      </c>
      <c r="D13">
        <v>147</v>
      </c>
      <c r="F13" t="s">
        <v>37</v>
      </c>
      <c r="G13">
        <v>180</v>
      </c>
      <c r="H13">
        <v>71.9777777778</v>
      </c>
      <c r="I13">
        <v>1379</v>
      </c>
      <c r="J13">
        <v>280</v>
      </c>
      <c r="K13">
        <v>367</v>
      </c>
      <c r="L13">
        <v>44</v>
      </c>
      <c r="M13">
        <v>245</v>
      </c>
      <c r="N13">
        <v>26</v>
      </c>
      <c r="O13">
        <v>159</v>
      </c>
      <c r="P13">
        <v>49</v>
      </c>
      <c r="Q13">
        <v>0</v>
      </c>
      <c r="R13">
        <v>2</v>
      </c>
      <c r="T13" t="s">
        <v>389</v>
      </c>
      <c r="U13">
        <v>53620</v>
      </c>
      <c r="V13">
        <v>357.69252144720002</v>
      </c>
      <c r="W13">
        <v>63999</v>
      </c>
      <c r="X13">
        <v>14501</v>
      </c>
      <c r="Y13">
        <v>84062</v>
      </c>
      <c r="Z13">
        <v>51712</v>
      </c>
      <c r="AA13">
        <v>21606</v>
      </c>
      <c r="AB13">
        <v>13853</v>
      </c>
      <c r="AC13">
        <v>16550</v>
      </c>
      <c r="AD13">
        <v>8754</v>
      </c>
      <c r="AE13">
        <v>48</v>
      </c>
      <c r="AF13">
        <v>1115</v>
      </c>
      <c r="AH13" t="s">
        <v>385</v>
      </c>
      <c r="AI13">
        <v>16281</v>
      </c>
      <c r="AJ13">
        <v>355.50261040480001</v>
      </c>
      <c r="AK13">
        <v>18235</v>
      </c>
      <c r="AL13">
        <v>4494</v>
      </c>
      <c r="AM13">
        <v>23984</v>
      </c>
      <c r="AN13">
        <v>16818</v>
      </c>
      <c r="AO13">
        <v>8217</v>
      </c>
      <c r="AP13">
        <v>5563</v>
      </c>
      <c r="AQ13">
        <v>13322</v>
      </c>
      <c r="AR13">
        <v>10222</v>
      </c>
      <c r="AS13">
        <v>1048</v>
      </c>
      <c r="AT13">
        <v>21</v>
      </c>
      <c r="AV13" t="s">
        <v>391</v>
      </c>
      <c r="AW13">
        <v>324</v>
      </c>
      <c r="AX13">
        <v>45.185185185199998</v>
      </c>
      <c r="AY13">
        <v>506</v>
      </c>
      <c r="AZ13">
        <v>38</v>
      </c>
      <c r="BA13">
        <v>442</v>
      </c>
      <c r="BB13">
        <v>21</v>
      </c>
      <c r="BC13">
        <v>2</v>
      </c>
      <c r="BD13">
        <v>1</v>
      </c>
      <c r="BE13">
        <v>26</v>
      </c>
      <c r="BF13">
        <v>3</v>
      </c>
      <c r="BG13">
        <v>65</v>
      </c>
      <c r="BH13">
        <v>69</v>
      </c>
      <c r="BJ13" t="s">
        <v>592</v>
      </c>
      <c r="BK13" t="s">
        <v>389</v>
      </c>
      <c r="BL13">
        <v>2221</v>
      </c>
      <c r="BM13">
        <v>522</v>
      </c>
      <c r="BN13">
        <v>90.150832958099997</v>
      </c>
      <c r="BO13">
        <v>1887</v>
      </c>
      <c r="BP13">
        <v>411</v>
      </c>
      <c r="BQ13">
        <v>143.60784313729999</v>
      </c>
      <c r="BR13">
        <v>124.8077858881</v>
      </c>
      <c r="BS13">
        <v>3623</v>
      </c>
      <c r="BT13">
        <v>1003</v>
      </c>
      <c r="BU13">
        <v>105.36847916089999</v>
      </c>
      <c r="BV13">
        <v>3706</v>
      </c>
      <c r="BW13">
        <v>755</v>
      </c>
      <c r="BX13">
        <v>161.12628170529999</v>
      </c>
      <c r="BY13">
        <v>142.3417218543</v>
      </c>
      <c r="CA13" t="s">
        <v>414</v>
      </c>
      <c r="CB13" t="s">
        <v>771</v>
      </c>
      <c r="CC13" t="s">
        <v>1004</v>
      </c>
      <c r="CD13">
        <v>33085</v>
      </c>
      <c r="CE13">
        <v>7436</v>
      </c>
      <c r="CF13">
        <v>94.491582288000004</v>
      </c>
      <c r="CG13">
        <v>35401</v>
      </c>
      <c r="CH13">
        <v>6402</v>
      </c>
      <c r="CI13">
        <v>137.17875201269999</v>
      </c>
      <c r="CJ13">
        <v>134.49437675729999</v>
      </c>
      <c r="CL13" t="s">
        <v>414</v>
      </c>
      <c r="CM13" t="s">
        <v>752</v>
      </c>
      <c r="CN13" t="s">
        <v>758</v>
      </c>
      <c r="CO13">
        <v>1710</v>
      </c>
      <c r="CP13">
        <v>172</v>
      </c>
      <c r="CQ13">
        <v>66.885964912299997</v>
      </c>
      <c r="CR13">
        <v>3615</v>
      </c>
      <c r="CS13">
        <v>655</v>
      </c>
      <c r="CT13">
        <v>63.691839557400002</v>
      </c>
      <c r="CU13">
        <v>63.970992366399997</v>
      </c>
      <c r="CW13" t="s">
        <v>414</v>
      </c>
      <c r="CX13" t="s">
        <v>762</v>
      </c>
      <c r="CY13" t="s">
        <v>768</v>
      </c>
      <c r="CZ13">
        <v>1283</v>
      </c>
      <c r="DA13">
        <v>223</v>
      </c>
      <c r="DB13">
        <v>86.372564302399994</v>
      </c>
      <c r="DC13">
        <v>675</v>
      </c>
      <c r="DD13">
        <v>135</v>
      </c>
      <c r="DE13">
        <v>139.14962962960001</v>
      </c>
      <c r="DF13">
        <v>154.13333333329999</v>
      </c>
      <c r="DH13" t="s">
        <v>414</v>
      </c>
      <c r="DI13" t="s">
        <v>742</v>
      </c>
      <c r="DJ13" t="s">
        <v>748</v>
      </c>
      <c r="DK13">
        <v>1121</v>
      </c>
      <c r="DL13">
        <v>200</v>
      </c>
      <c r="DM13">
        <v>86.825156110600005</v>
      </c>
      <c r="DN13">
        <v>805</v>
      </c>
      <c r="DO13">
        <v>146</v>
      </c>
      <c r="DP13">
        <v>133.5925465839</v>
      </c>
      <c r="DQ13">
        <v>136.18493150680001</v>
      </c>
    </row>
    <row r="14" spans="2:121" x14ac:dyDescent="0.2">
      <c r="B14" t="s">
        <v>131</v>
      </c>
      <c r="C14">
        <v>1328</v>
      </c>
      <c r="D14">
        <v>282</v>
      </c>
      <c r="F14" t="s">
        <v>41</v>
      </c>
      <c r="G14">
        <v>5470</v>
      </c>
      <c r="H14">
        <v>410.31279707499999</v>
      </c>
      <c r="I14">
        <v>7886</v>
      </c>
      <c r="J14">
        <v>2192</v>
      </c>
      <c r="K14">
        <v>7706</v>
      </c>
      <c r="L14">
        <v>4935</v>
      </c>
      <c r="M14">
        <v>1595</v>
      </c>
      <c r="N14">
        <v>795</v>
      </c>
      <c r="O14">
        <v>3212</v>
      </c>
      <c r="P14">
        <v>2224</v>
      </c>
      <c r="Q14">
        <v>0</v>
      </c>
      <c r="R14">
        <v>324</v>
      </c>
      <c r="T14" t="s">
        <v>394</v>
      </c>
      <c r="U14">
        <v>47500</v>
      </c>
      <c r="V14">
        <v>381.78381052629999</v>
      </c>
      <c r="W14">
        <v>55726</v>
      </c>
      <c r="X14">
        <v>12154</v>
      </c>
      <c r="Y14">
        <v>74123</v>
      </c>
      <c r="Z14">
        <v>44892</v>
      </c>
      <c r="AA14">
        <v>13791</v>
      </c>
      <c r="AB14">
        <v>8568</v>
      </c>
      <c r="AC14">
        <v>19857</v>
      </c>
      <c r="AD14">
        <v>11053</v>
      </c>
      <c r="AE14">
        <v>5945</v>
      </c>
      <c r="AF14">
        <v>1039</v>
      </c>
      <c r="AH14" t="s">
        <v>432</v>
      </c>
      <c r="AI14">
        <v>1683</v>
      </c>
      <c r="AJ14">
        <v>309.76827094470002</v>
      </c>
      <c r="AK14">
        <v>1895</v>
      </c>
      <c r="AL14">
        <v>316</v>
      </c>
      <c r="AM14">
        <v>2360</v>
      </c>
      <c r="AN14">
        <v>1564</v>
      </c>
      <c r="AO14">
        <v>1028</v>
      </c>
      <c r="AP14">
        <v>533</v>
      </c>
      <c r="AQ14">
        <v>514</v>
      </c>
      <c r="AR14">
        <v>274</v>
      </c>
      <c r="AS14">
        <v>4</v>
      </c>
      <c r="AT14">
        <v>4</v>
      </c>
      <c r="AV14" t="s">
        <v>397</v>
      </c>
      <c r="AW14">
        <v>183</v>
      </c>
      <c r="AX14">
        <v>52.743169398900001</v>
      </c>
      <c r="AY14">
        <v>410</v>
      </c>
      <c r="AZ14">
        <v>51</v>
      </c>
      <c r="BA14">
        <v>300</v>
      </c>
      <c r="BB14">
        <v>23</v>
      </c>
      <c r="BC14">
        <v>3</v>
      </c>
      <c r="BD14">
        <v>2</v>
      </c>
      <c r="BE14">
        <v>43</v>
      </c>
      <c r="BF14">
        <v>8</v>
      </c>
      <c r="BG14">
        <v>63</v>
      </c>
      <c r="BH14">
        <v>63</v>
      </c>
      <c r="BJ14" t="s">
        <v>609</v>
      </c>
      <c r="BK14" t="s">
        <v>389</v>
      </c>
      <c r="BL14">
        <v>16796</v>
      </c>
      <c r="BM14">
        <v>3336</v>
      </c>
      <c r="BN14">
        <v>89.113360323899997</v>
      </c>
      <c r="BO14">
        <v>16307</v>
      </c>
      <c r="BP14">
        <v>3034</v>
      </c>
      <c r="BQ14">
        <v>139.65107009260001</v>
      </c>
      <c r="BR14">
        <v>135.82597231380001</v>
      </c>
      <c r="BS14">
        <v>15472</v>
      </c>
      <c r="BT14">
        <v>3100</v>
      </c>
      <c r="BU14">
        <v>87.902533609100004</v>
      </c>
      <c r="BV14">
        <v>15739</v>
      </c>
      <c r="BW14">
        <v>2836</v>
      </c>
      <c r="BX14">
        <v>138.5173772158</v>
      </c>
      <c r="BY14">
        <v>135.6653737659</v>
      </c>
      <c r="CA14" t="s">
        <v>410</v>
      </c>
      <c r="CB14" t="s">
        <v>771</v>
      </c>
      <c r="CC14" t="s">
        <v>1005</v>
      </c>
      <c r="CD14">
        <v>2009</v>
      </c>
      <c r="CE14">
        <v>505</v>
      </c>
      <c r="CF14">
        <v>93.278247884500004</v>
      </c>
      <c r="CG14">
        <v>1617</v>
      </c>
      <c r="CH14">
        <v>342</v>
      </c>
      <c r="CI14">
        <v>141.91527520099999</v>
      </c>
      <c r="CJ14">
        <v>125.0233918129</v>
      </c>
      <c r="CL14" t="s">
        <v>410</v>
      </c>
      <c r="CM14" t="s">
        <v>752</v>
      </c>
      <c r="CN14" t="s">
        <v>759</v>
      </c>
      <c r="CO14">
        <v>168</v>
      </c>
      <c r="CP14">
        <v>15</v>
      </c>
      <c r="CQ14">
        <v>61.779761904799997</v>
      </c>
      <c r="CR14">
        <v>328</v>
      </c>
      <c r="CS14">
        <v>59</v>
      </c>
      <c r="CT14">
        <v>64.371951219500005</v>
      </c>
      <c r="CU14">
        <v>63.101694915300001</v>
      </c>
      <c r="CW14" t="s">
        <v>410</v>
      </c>
      <c r="CX14" t="s">
        <v>762</v>
      </c>
      <c r="CY14" t="s">
        <v>769</v>
      </c>
      <c r="CZ14">
        <v>61</v>
      </c>
      <c r="DA14">
        <v>13</v>
      </c>
      <c r="DB14">
        <v>87</v>
      </c>
      <c r="DC14">
        <v>51</v>
      </c>
      <c r="DD14">
        <v>5</v>
      </c>
      <c r="DE14">
        <v>143.1960784314</v>
      </c>
      <c r="DF14">
        <v>183</v>
      </c>
      <c r="DH14" t="s">
        <v>410</v>
      </c>
      <c r="DI14" t="s">
        <v>742</v>
      </c>
      <c r="DJ14" t="s">
        <v>749</v>
      </c>
      <c r="DK14">
        <v>68</v>
      </c>
      <c r="DL14">
        <v>24</v>
      </c>
      <c r="DM14">
        <v>102.1470588235</v>
      </c>
      <c r="DN14">
        <v>51</v>
      </c>
      <c r="DO14">
        <v>9</v>
      </c>
      <c r="DP14">
        <v>107.4901960784</v>
      </c>
      <c r="DQ14">
        <v>131.7777777778</v>
      </c>
    </row>
    <row r="15" spans="2:121" x14ac:dyDescent="0.2">
      <c r="B15" t="s">
        <v>121</v>
      </c>
      <c r="C15">
        <v>21</v>
      </c>
      <c r="D15">
        <v>15</v>
      </c>
      <c r="F15" t="s">
        <v>39</v>
      </c>
      <c r="G15">
        <v>338</v>
      </c>
      <c r="H15">
        <v>282.15680473370003</v>
      </c>
      <c r="I15">
        <v>789</v>
      </c>
      <c r="J15">
        <v>97</v>
      </c>
      <c r="K15">
        <v>557</v>
      </c>
      <c r="L15">
        <v>302</v>
      </c>
      <c r="M15">
        <v>148</v>
      </c>
      <c r="N15">
        <v>58</v>
      </c>
      <c r="O15">
        <v>80</v>
      </c>
      <c r="P15">
        <v>29</v>
      </c>
      <c r="Q15">
        <v>3</v>
      </c>
      <c r="R15">
        <v>2</v>
      </c>
      <c r="T15" t="s">
        <v>373</v>
      </c>
      <c r="U15">
        <v>94186</v>
      </c>
      <c r="V15">
        <v>460.16705242820001</v>
      </c>
      <c r="W15">
        <v>76295</v>
      </c>
      <c r="X15">
        <v>19464</v>
      </c>
      <c r="Y15">
        <v>127631</v>
      </c>
      <c r="Z15">
        <v>93080</v>
      </c>
      <c r="AA15">
        <v>38034</v>
      </c>
      <c r="AB15">
        <v>26198</v>
      </c>
      <c r="AC15">
        <v>29380</v>
      </c>
      <c r="AD15">
        <v>21620</v>
      </c>
      <c r="AE15">
        <v>12592</v>
      </c>
      <c r="AF15">
        <v>53</v>
      </c>
      <c r="AH15" t="s">
        <v>412</v>
      </c>
      <c r="AI15">
        <v>706</v>
      </c>
      <c r="AJ15">
        <v>318.60764872520002</v>
      </c>
      <c r="AK15">
        <v>1525</v>
      </c>
      <c r="AL15">
        <v>320</v>
      </c>
      <c r="AM15">
        <v>1109</v>
      </c>
      <c r="AN15">
        <v>621</v>
      </c>
      <c r="AO15">
        <v>379</v>
      </c>
      <c r="AP15">
        <v>161</v>
      </c>
      <c r="AQ15">
        <v>396</v>
      </c>
      <c r="AR15">
        <v>230</v>
      </c>
      <c r="AS15">
        <v>1</v>
      </c>
      <c r="AT15">
        <v>3</v>
      </c>
      <c r="AV15" t="s">
        <v>416</v>
      </c>
      <c r="AW15">
        <v>162</v>
      </c>
      <c r="AX15">
        <v>41.895061728400002</v>
      </c>
      <c r="AY15">
        <v>289</v>
      </c>
      <c r="AZ15">
        <v>11</v>
      </c>
      <c r="BA15">
        <v>210</v>
      </c>
      <c r="BB15">
        <v>6</v>
      </c>
      <c r="BC15">
        <v>2</v>
      </c>
      <c r="BD15">
        <v>2</v>
      </c>
      <c r="BE15">
        <v>12</v>
      </c>
      <c r="BF15">
        <v>6</v>
      </c>
      <c r="BG15">
        <v>487</v>
      </c>
      <c r="BH15">
        <v>41</v>
      </c>
      <c r="BJ15" t="s">
        <v>571</v>
      </c>
      <c r="BK15" t="s">
        <v>394</v>
      </c>
      <c r="BL15">
        <v>6835</v>
      </c>
      <c r="BM15">
        <v>1990</v>
      </c>
      <c r="BN15">
        <v>107.0111192392</v>
      </c>
      <c r="BO15">
        <v>5982</v>
      </c>
      <c r="BP15">
        <v>1236</v>
      </c>
      <c r="BQ15">
        <v>155.47609495149999</v>
      </c>
      <c r="BR15">
        <v>143.11326860840001</v>
      </c>
      <c r="BS15">
        <v>3561</v>
      </c>
      <c r="BT15">
        <v>962</v>
      </c>
      <c r="BU15">
        <v>92.427127211499993</v>
      </c>
      <c r="BV15">
        <v>3557</v>
      </c>
      <c r="BW15">
        <v>736</v>
      </c>
      <c r="BX15">
        <v>135.71970761879999</v>
      </c>
      <c r="BY15">
        <v>124.9171195652</v>
      </c>
      <c r="CA15" t="s">
        <v>425</v>
      </c>
      <c r="CB15" t="s">
        <v>771</v>
      </c>
      <c r="CC15" t="s">
        <v>1006</v>
      </c>
      <c r="CD15">
        <v>843</v>
      </c>
      <c r="CE15">
        <v>102</v>
      </c>
      <c r="CF15">
        <v>79.874258600199994</v>
      </c>
      <c r="CG15">
        <v>826</v>
      </c>
      <c r="CH15">
        <v>176</v>
      </c>
      <c r="CI15">
        <v>144.9406779661</v>
      </c>
      <c r="CJ15">
        <v>146.4318181818</v>
      </c>
      <c r="CL15" t="s">
        <v>425</v>
      </c>
      <c r="CM15" t="s">
        <v>752</v>
      </c>
      <c r="CN15" t="s">
        <v>760</v>
      </c>
      <c r="CO15">
        <v>19</v>
      </c>
      <c r="CP15">
        <v>2</v>
      </c>
      <c r="CQ15">
        <v>52.526315789500003</v>
      </c>
      <c r="CR15">
        <v>62</v>
      </c>
      <c r="CS15">
        <v>9</v>
      </c>
      <c r="CT15">
        <v>62.370967741900003</v>
      </c>
      <c r="CU15">
        <v>51.555555555600002</v>
      </c>
      <c r="CW15" t="s">
        <v>425</v>
      </c>
      <c r="CX15" t="s">
        <v>762</v>
      </c>
      <c r="CY15" t="s">
        <v>770</v>
      </c>
      <c r="CZ15">
        <v>18</v>
      </c>
      <c r="DA15">
        <v>5</v>
      </c>
      <c r="DB15">
        <v>95.222222222200003</v>
      </c>
      <c r="DC15">
        <v>15</v>
      </c>
      <c r="DD15">
        <v>2</v>
      </c>
      <c r="DE15">
        <v>154.26666666669999</v>
      </c>
      <c r="DF15">
        <v>203</v>
      </c>
      <c r="DH15" t="s">
        <v>425</v>
      </c>
      <c r="DI15" t="s">
        <v>742</v>
      </c>
      <c r="DJ15" t="s">
        <v>750</v>
      </c>
      <c r="DK15">
        <v>10</v>
      </c>
      <c r="DL15">
        <v>6</v>
      </c>
      <c r="DM15">
        <v>125.8</v>
      </c>
      <c r="DN15">
        <v>19</v>
      </c>
      <c r="DO15">
        <v>2</v>
      </c>
      <c r="DP15">
        <v>112.2105263158</v>
      </c>
      <c r="DQ15">
        <v>154.5</v>
      </c>
    </row>
    <row r="16" spans="2:121" x14ac:dyDescent="0.2">
      <c r="B16" t="s">
        <v>980</v>
      </c>
      <c r="C16">
        <v>1</v>
      </c>
      <c r="F16" t="s">
        <v>64</v>
      </c>
      <c r="G16">
        <v>861</v>
      </c>
      <c r="H16">
        <v>145.80023228799999</v>
      </c>
      <c r="I16">
        <v>2433</v>
      </c>
      <c r="J16">
        <v>546</v>
      </c>
      <c r="K16">
        <v>1541</v>
      </c>
      <c r="L16">
        <v>802</v>
      </c>
      <c r="M16">
        <v>759</v>
      </c>
      <c r="N16">
        <v>558</v>
      </c>
      <c r="O16">
        <v>2062</v>
      </c>
      <c r="P16">
        <v>1571</v>
      </c>
      <c r="Q16">
        <v>0</v>
      </c>
      <c r="R16">
        <v>1</v>
      </c>
      <c r="T16" t="s">
        <v>8</v>
      </c>
      <c r="U16">
        <v>61</v>
      </c>
      <c r="V16">
        <v>746.5573770492</v>
      </c>
      <c r="W16">
        <v>38</v>
      </c>
      <c r="X16">
        <v>1</v>
      </c>
      <c r="Y16">
        <v>64</v>
      </c>
      <c r="Z16">
        <v>49</v>
      </c>
      <c r="AA16">
        <v>11</v>
      </c>
      <c r="AB16">
        <v>8</v>
      </c>
      <c r="AC16">
        <v>49103</v>
      </c>
      <c r="AD16">
        <v>25418</v>
      </c>
      <c r="AE16">
        <v>0</v>
      </c>
      <c r="AF16">
        <v>1</v>
      </c>
      <c r="AH16" t="s">
        <v>398</v>
      </c>
      <c r="AI16">
        <v>7025</v>
      </c>
      <c r="AJ16">
        <v>482.28113879</v>
      </c>
      <c r="AK16">
        <v>7444</v>
      </c>
      <c r="AL16">
        <v>1979</v>
      </c>
      <c r="AM16">
        <v>9852</v>
      </c>
      <c r="AN16">
        <v>6972</v>
      </c>
      <c r="AO16">
        <v>2132</v>
      </c>
      <c r="AP16">
        <v>1653</v>
      </c>
      <c r="AQ16">
        <v>2914</v>
      </c>
      <c r="AR16">
        <v>1506</v>
      </c>
      <c r="AS16">
        <v>660</v>
      </c>
      <c r="AT16">
        <v>211</v>
      </c>
      <c r="AV16" t="s">
        <v>379</v>
      </c>
      <c r="AW16">
        <v>1641</v>
      </c>
      <c r="AX16">
        <v>96.176721511300002</v>
      </c>
      <c r="AY16">
        <v>2712</v>
      </c>
      <c r="AZ16">
        <v>602</v>
      </c>
      <c r="BA16">
        <v>2277</v>
      </c>
      <c r="BB16">
        <v>788</v>
      </c>
      <c r="BC16">
        <v>21</v>
      </c>
      <c r="BD16">
        <v>19</v>
      </c>
      <c r="BE16">
        <v>116</v>
      </c>
      <c r="BF16">
        <v>19</v>
      </c>
      <c r="BG16">
        <v>192</v>
      </c>
      <c r="BH16">
        <v>471</v>
      </c>
      <c r="BJ16" t="s">
        <v>563</v>
      </c>
      <c r="BK16" t="s">
        <v>394</v>
      </c>
      <c r="BL16">
        <v>8106</v>
      </c>
      <c r="BM16">
        <v>2198</v>
      </c>
      <c r="BN16">
        <v>105.53725635329999</v>
      </c>
      <c r="BO16">
        <v>8836</v>
      </c>
      <c r="BP16">
        <v>1648</v>
      </c>
      <c r="BQ16">
        <v>131.24479402439999</v>
      </c>
      <c r="BR16">
        <v>144.1262135922</v>
      </c>
      <c r="BS16">
        <v>8342</v>
      </c>
      <c r="BT16">
        <v>2502</v>
      </c>
      <c r="BU16">
        <v>111.2951330616</v>
      </c>
      <c r="BV16">
        <v>10056</v>
      </c>
      <c r="BW16">
        <v>1790</v>
      </c>
      <c r="BX16">
        <v>144.06225139220001</v>
      </c>
      <c r="BY16">
        <v>154.31675977649999</v>
      </c>
      <c r="CA16" t="s">
        <v>389</v>
      </c>
      <c r="CB16" t="s">
        <v>771</v>
      </c>
      <c r="CD16">
        <v>63233</v>
      </c>
      <c r="CE16">
        <v>13734</v>
      </c>
      <c r="CF16">
        <v>93.113326902099999</v>
      </c>
      <c r="CG16">
        <v>66087</v>
      </c>
      <c r="CH16">
        <v>12195</v>
      </c>
      <c r="CI16">
        <v>133.78169685410001</v>
      </c>
      <c r="CJ16">
        <v>133.10578105779999</v>
      </c>
      <c r="CL16" t="s">
        <v>389</v>
      </c>
      <c r="CM16" t="s">
        <v>752</v>
      </c>
      <c r="CO16">
        <v>3826</v>
      </c>
      <c r="CP16">
        <v>407</v>
      </c>
      <c r="CQ16">
        <v>67.259539989499999</v>
      </c>
      <c r="CR16">
        <v>7778</v>
      </c>
      <c r="CS16">
        <v>1451</v>
      </c>
      <c r="CT16">
        <v>64.488943173099997</v>
      </c>
      <c r="CU16">
        <v>67.929703652699999</v>
      </c>
      <c r="CW16" t="s">
        <v>389</v>
      </c>
      <c r="CX16" t="s">
        <v>762</v>
      </c>
      <c r="CZ16">
        <v>2103</v>
      </c>
      <c r="DA16">
        <v>364</v>
      </c>
      <c r="DB16">
        <v>85.531621493100005</v>
      </c>
      <c r="DC16">
        <v>1124</v>
      </c>
      <c r="DD16">
        <v>222</v>
      </c>
      <c r="DE16">
        <v>141.31939501779999</v>
      </c>
      <c r="DF16">
        <v>157.4504504505</v>
      </c>
      <c r="DH16" t="s">
        <v>389</v>
      </c>
      <c r="DI16" t="s">
        <v>742</v>
      </c>
      <c r="DK16">
        <v>2198</v>
      </c>
      <c r="DL16">
        <v>377</v>
      </c>
      <c r="DM16">
        <v>85.336214740700001</v>
      </c>
      <c r="DN16">
        <v>1480</v>
      </c>
      <c r="DO16">
        <v>298</v>
      </c>
      <c r="DP16">
        <v>128.9662162162</v>
      </c>
      <c r="DQ16">
        <v>136.96308724830001</v>
      </c>
    </row>
    <row r="17" spans="2:121" x14ac:dyDescent="0.2">
      <c r="B17" t="s">
        <v>97</v>
      </c>
      <c r="C17">
        <v>362</v>
      </c>
      <c r="D17">
        <v>90</v>
      </c>
      <c r="F17" t="s">
        <v>73</v>
      </c>
      <c r="G17">
        <v>7191</v>
      </c>
      <c r="H17">
        <v>250.69851202890001</v>
      </c>
      <c r="I17">
        <v>2214</v>
      </c>
      <c r="J17">
        <v>535</v>
      </c>
      <c r="K17">
        <v>15235</v>
      </c>
      <c r="L17">
        <v>8310</v>
      </c>
      <c r="M17">
        <v>1711</v>
      </c>
      <c r="N17">
        <v>665</v>
      </c>
      <c r="O17">
        <v>388</v>
      </c>
      <c r="P17">
        <v>122</v>
      </c>
      <c r="Q17">
        <v>0</v>
      </c>
      <c r="R17">
        <v>1</v>
      </c>
      <c r="T17" t="s">
        <v>408</v>
      </c>
      <c r="U17">
        <v>56060</v>
      </c>
      <c r="V17">
        <v>378.17265429899999</v>
      </c>
      <c r="W17">
        <v>59579</v>
      </c>
      <c r="X17">
        <v>12870</v>
      </c>
      <c r="Y17">
        <v>80643</v>
      </c>
      <c r="Z17">
        <v>53901</v>
      </c>
      <c r="AA17">
        <v>23121</v>
      </c>
      <c r="AB17">
        <v>16525</v>
      </c>
      <c r="AC17">
        <v>21209</v>
      </c>
      <c r="AD17">
        <v>15612</v>
      </c>
      <c r="AE17">
        <v>393</v>
      </c>
      <c r="AF17">
        <v>678</v>
      </c>
      <c r="AH17" t="s">
        <v>396</v>
      </c>
      <c r="AI17">
        <v>7029</v>
      </c>
      <c r="AJ17">
        <v>618.69255939679999</v>
      </c>
      <c r="AK17">
        <v>5125</v>
      </c>
      <c r="AL17">
        <v>1067</v>
      </c>
      <c r="AM17">
        <v>10688</v>
      </c>
      <c r="AN17">
        <v>7575</v>
      </c>
      <c r="AO17">
        <v>2120</v>
      </c>
      <c r="AP17">
        <v>1541</v>
      </c>
      <c r="AQ17">
        <v>2950</v>
      </c>
      <c r="AR17">
        <v>1961</v>
      </c>
      <c r="AS17">
        <v>487</v>
      </c>
      <c r="AT17">
        <v>194</v>
      </c>
      <c r="AV17" t="s">
        <v>432</v>
      </c>
      <c r="AW17">
        <v>21</v>
      </c>
      <c r="AX17">
        <v>49.904761904799997</v>
      </c>
      <c r="AY17">
        <v>25</v>
      </c>
      <c r="AZ17">
        <v>4</v>
      </c>
      <c r="BA17">
        <v>33</v>
      </c>
      <c r="BB17">
        <v>2</v>
      </c>
      <c r="BC17">
        <v>1</v>
      </c>
      <c r="BD17">
        <v>1</v>
      </c>
      <c r="BE17">
        <v>3</v>
      </c>
      <c r="BF17">
        <v>1</v>
      </c>
      <c r="BG17">
        <v>53</v>
      </c>
      <c r="BH17">
        <v>4</v>
      </c>
      <c r="BJ17" t="s">
        <v>580</v>
      </c>
      <c r="BK17" t="s">
        <v>394</v>
      </c>
      <c r="BL17">
        <v>2315</v>
      </c>
      <c r="BM17">
        <v>400</v>
      </c>
      <c r="BN17">
        <v>82.922678185699993</v>
      </c>
      <c r="BO17">
        <v>2666</v>
      </c>
      <c r="BP17">
        <v>414</v>
      </c>
      <c r="BQ17">
        <v>109.0187546887</v>
      </c>
      <c r="BR17">
        <v>108.0362318841</v>
      </c>
      <c r="BS17">
        <v>2638</v>
      </c>
      <c r="BT17">
        <v>678</v>
      </c>
      <c r="BU17">
        <v>99.766110689900003</v>
      </c>
      <c r="BV17">
        <v>3657</v>
      </c>
      <c r="BW17">
        <v>551</v>
      </c>
      <c r="BX17">
        <v>125.810226962</v>
      </c>
      <c r="BY17">
        <v>130.1324863884</v>
      </c>
      <c r="CA17" t="s">
        <v>398</v>
      </c>
      <c r="CB17" t="s">
        <v>811</v>
      </c>
      <c r="CC17" t="s">
        <v>1007</v>
      </c>
      <c r="CD17">
        <v>7114</v>
      </c>
      <c r="CE17">
        <v>1991</v>
      </c>
      <c r="CF17">
        <v>104.3105144785</v>
      </c>
      <c r="CG17">
        <v>6355</v>
      </c>
      <c r="CH17">
        <v>1284</v>
      </c>
      <c r="CI17">
        <v>151.64295830059999</v>
      </c>
      <c r="CJ17">
        <v>139.03738317759999</v>
      </c>
      <c r="CL17" t="s">
        <v>398</v>
      </c>
      <c r="CM17" t="s">
        <v>786</v>
      </c>
      <c r="CN17" t="s">
        <v>785</v>
      </c>
      <c r="CO17">
        <v>779</v>
      </c>
      <c r="CP17">
        <v>101</v>
      </c>
      <c r="CQ17">
        <v>74.1720154044</v>
      </c>
      <c r="CR17">
        <v>1403</v>
      </c>
      <c r="CS17">
        <v>239</v>
      </c>
      <c r="CT17">
        <v>71.647184604399996</v>
      </c>
      <c r="CU17">
        <v>81.058577405899996</v>
      </c>
      <c r="CW17" t="s">
        <v>398</v>
      </c>
      <c r="CX17" t="s">
        <v>799</v>
      </c>
      <c r="CY17" t="s">
        <v>798</v>
      </c>
      <c r="CZ17">
        <v>265</v>
      </c>
      <c r="DA17">
        <v>72</v>
      </c>
      <c r="DB17">
        <v>96.520754717000003</v>
      </c>
      <c r="DC17">
        <v>119</v>
      </c>
      <c r="DD17">
        <v>26</v>
      </c>
      <c r="DE17">
        <v>142.7983193277</v>
      </c>
      <c r="DF17">
        <v>160.73076923080001</v>
      </c>
      <c r="DH17" t="s">
        <v>398</v>
      </c>
      <c r="DI17" t="s">
        <v>773</v>
      </c>
      <c r="DJ17" t="s">
        <v>772</v>
      </c>
      <c r="DK17">
        <v>190</v>
      </c>
      <c r="DL17">
        <v>31</v>
      </c>
      <c r="DM17">
        <v>81.121052631599994</v>
      </c>
      <c r="DN17">
        <v>145</v>
      </c>
      <c r="DO17">
        <v>16</v>
      </c>
      <c r="DP17">
        <v>125.324137931</v>
      </c>
      <c r="DQ17">
        <v>145.375</v>
      </c>
    </row>
    <row r="18" spans="2:121" x14ac:dyDescent="0.2">
      <c r="B18" t="s">
        <v>122</v>
      </c>
      <c r="C18">
        <v>63</v>
      </c>
      <c r="D18">
        <v>49</v>
      </c>
      <c r="F18" t="s">
        <v>86</v>
      </c>
      <c r="G18">
        <v>17846</v>
      </c>
      <c r="H18">
        <v>335.41617169109998</v>
      </c>
      <c r="I18">
        <v>18065</v>
      </c>
      <c r="J18">
        <v>5248</v>
      </c>
      <c r="K18">
        <v>30520</v>
      </c>
      <c r="L18">
        <v>19405</v>
      </c>
      <c r="M18">
        <v>11086</v>
      </c>
      <c r="N18">
        <v>7182</v>
      </c>
      <c r="O18">
        <v>4145</v>
      </c>
      <c r="P18">
        <v>2699</v>
      </c>
      <c r="Q18">
        <v>1</v>
      </c>
      <c r="R18">
        <v>21</v>
      </c>
      <c r="T18" t="s">
        <v>384</v>
      </c>
      <c r="U18">
        <v>65649</v>
      </c>
      <c r="V18">
        <v>341.36222943230001</v>
      </c>
      <c r="W18">
        <v>70847</v>
      </c>
      <c r="X18">
        <v>18255</v>
      </c>
      <c r="Y18">
        <v>92292</v>
      </c>
      <c r="Z18">
        <v>61677</v>
      </c>
      <c r="AA18">
        <v>27062</v>
      </c>
      <c r="AB18">
        <v>18553</v>
      </c>
      <c r="AC18">
        <v>29853</v>
      </c>
      <c r="AD18">
        <v>20803</v>
      </c>
      <c r="AE18">
        <v>188</v>
      </c>
      <c r="AF18">
        <v>1206</v>
      </c>
      <c r="AH18" t="s">
        <v>403</v>
      </c>
      <c r="AI18">
        <v>1420</v>
      </c>
      <c r="AJ18">
        <v>200.32183098589999</v>
      </c>
      <c r="AK18">
        <v>2458</v>
      </c>
      <c r="AL18">
        <v>440</v>
      </c>
      <c r="AM18">
        <v>2214</v>
      </c>
      <c r="AN18">
        <v>1118</v>
      </c>
      <c r="AO18">
        <v>401</v>
      </c>
      <c r="AP18">
        <v>199</v>
      </c>
      <c r="AQ18">
        <v>583</v>
      </c>
      <c r="AR18">
        <v>359</v>
      </c>
      <c r="AS18">
        <v>1</v>
      </c>
      <c r="AT18">
        <v>8</v>
      </c>
      <c r="AV18" t="s">
        <v>403</v>
      </c>
      <c r="AW18">
        <v>131</v>
      </c>
      <c r="AX18">
        <v>43.450381679400003</v>
      </c>
      <c r="AY18">
        <v>254</v>
      </c>
      <c r="AZ18">
        <v>9</v>
      </c>
      <c r="BA18">
        <v>192</v>
      </c>
      <c r="BB18">
        <v>2</v>
      </c>
      <c r="BC18">
        <v>0</v>
      </c>
      <c r="BE18">
        <v>8</v>
      </c>
      <c r="BF18">
        <v>2</v>
      </c>
      <c r="BG18">
        <v>289</v>
      </c>
      <c r="BH18">
        <v>28</v>
      </c>
      <c r="BJ18" t="s">
        <v>573</v>
      </c>
      <c r="BK18" t="s">
        <v>394</v>
      </c>
      <c r="BL18">
        <v>6782</v>
      </c>
      <c r="BM18">
        <v>1729</v>
      </c>
      <c r="BN18">
        <v>101.55219699200001</v>
      </c>
      <c r="BO18">
        <v>6807</v>
      </c>
      <c r="BP18">
        <v>1330</v>
      </c>
      <c r="BQ18">
        <v>146.09651829000001</v>
      </c>
      <c r="BR18">
        <v>148.7977443609</v>
      </c>
      <c r="BS18">
        <v>6742</v>
      </c>
      <c r="BT18">
        <v>1699</v>
      </c>
      <c r="BU18">
        <v>99.995550281800007</v>
      </c>
      <c r="BV18">
        <v>6761</v>
      </c>
      <c r="BW18">
        <v>1331</v>
      </c>
      <c r="BX18">
        <v>143.31622541039999</v>
      </c>
      <c r="BY18">
        <v>148.03606311039999</v>
      </c>
      <c r="CA18" t="s">
        <v>396</v>
      </c>
      <c r="CB18" t="s">
        <v>811</v>
      </c>
      <c r="CC18" t="s">
        <v>1008</v>
      </c>
      <c r="CD18">
        <v>4860</v>
      </c>
      <c r="CE18">
        <v>1004</v>
      </c>
      <c r="CF18">
        <v>91.640946502099993</v>
      </c>
      <c r="CG18">
        <v>5326</v>
      </c>
      <c r="CH18">
        <v>980</v>
      </c>
      <c r="CI18">
        <v>124.4494930529</v>
      </c>
      <c r="CJ18">
        <v>125.7520408163</v>
      </c>
      <c r="CL18" t="s">
        <v>396</v>
      </c>
      <c r="CM18" t="s">
        <v>786</v>
      </c>
      <c r="CN18" t="s">
        <v>787</v>
      </c>
      <c r="CO18">
        <v>451</v>
      </c>
      <c r="CP18">
        <v>53</v>
      </c>
      <c r="CQ18">
        <v>66.101995565400003</v>
      </c>
      <c r="CR18">
        <v>836</v>
      </c>
      <c r="CS18">
        <v>149</v>
      </c>
      <c r="CT18">
        <v>75.476076555000006</v>
      </c>
      <c r="CU18">
        <v>73.201342281899997</v>
      </c>
      <c r="CW18" t="s">
        <v>396</v>
      </c>
      <c r="CX18" t="s">
        <v>799</v>
      </c>
      <c r="CY18" t="s">
        <v>800</v>
      </c>
      <c r="CZ18">
        <v>123</v>
      </c>
      <c r="DA18">
        <v>26</v>
      </c>
      <c r="DB18">
        <v>89.373983739799996</v>
      </c>
      <c r="DC18">
        <v>61</v>
      </c>
      <c r="DD18">
        <v>12</v>
      </c>
      <c r="DE18">
        <v>145.59016393440001</v>
      </c>
      <c r="DF18">
        <v>164.75</v>
      </c>
      <c r="DH18" t="s">
        <v>396</v>
      </c>
      <c r="DI18" t="s">
        <v>773</v>
      </c>
      <c r="DJ18" t="s">
        <v>774</v>
      </c>
      <c r="DK18">
        <v>80</v>
      </c>
      <c r="DL18">
        <v>12</v>
      </c>
      <c r="DM18">
        <v>92.487499999999997</v>
      </c>
      <c r="DN18">
        <v>74</v>
      </c>
      <c r="DO18">
        <v>11</v>
      </c>
      <c r="DP18">
        <v>139.35135135140001</v>
      </c>
      <c r="DQ18">
        <v>154.8181818182</v>
      </c>
    </row>
    <row r="19" spans="2:121" x14ac:dyDescent="0.2">
      <c r="B19" t="s">
        <v>126</v>
      </c>
      <c r="C19">
        <v>41</v>
      </c>
      <c r="D19">
        <v>32</v>
      </c>
      <c r="F19" t="s">
        <v>71</v>
      </c>
      <c r="G19">
        <v>2963</v>
      </c>
      <c r="H19">
        <v>445.92338845760003</v>
      </c>
      <c r="I19">
        <v>3268</v>
      </c>
      <c r="J19">
        <v>727</v>
      </c>
      <c r="K19">
        <v>3394</v>
      </c>
      <c r="L19">
        <v>2465</v>
      </c>
      <c r="M19">
        <v>548</v>
      </c>
      <c r="N19">
        <v>396</v>
      </c>
      <c r="O19">
        <v>1107</v>
      </c>
      <c r="P19">
        <v>818</v>
      </c>
      <c r="Q19">
        <v>0</v>
      </c>
      <c r="R19">
        <v>116</v>
      </c>
      <c r="T19" t="s">
        <v>465</v>
      </c>
      <c r="U19">
        <v>317076</v>
      </c>
      <c r="V19">
        <v>392.05580365589998</v>
      </c>
      <c r="W19">
        <v>326484</v>
      </c>
      <c r="X19">
        <v>77245</v>
      </c>
      <c r="Y19">
        <v>458815</v>
      </c>
      <c r="Z19">
        <v>305311</v>
      </c>
      <c r="AA19">
        <v>123625</v>
      </c>
      <c r="AB19">
        <v>83705</v>
      </c>
      <c r="AC19">
        <v>165952</v>
      </c>
      <c r="AD19">
        <v>103260</v>
      </c>
      <c r="AE19">
        <v>19166</v>
      </c>
      <c r="AF19">
        <v>4092</v>
      </c>
      <c r="AH19" t="s">
        <v>426</v>
      </c>
      <c r="AI19">
        <v>2115</v>
      </c>
      <c r="AJ19">
        <v>241.25106382979999</v>
      </c>
      <c r="AK19">
        <v>2551</v>
      </c>
      <c r="AL19">
        <v>476</v>
      </c>
      <c r="AM19">
        <v>3169</v>
      </c>
      <c r="AN19">
        <v>1765</v>
      </c>
      <c r="AO19">
        <v>1130</v>
      </c>
      <c r="AP19">
        <v>482</v>
      </c>
      <c r="AQ19">
        <v>683</v>
      </c>
      <c r="AR19">
        <v>340</v>
      </c>
      <c r="AS19">
        <v>12</v>
      </c>
      <c r="AT19">
        <v>16</v>
      </c>
      <c r="AV19" t="s">
        <v>386</v>
      </c>
      <c r="AW19">
        <v>1476</v>
      </c>
      <c r="AX19">
        <v>91.680216802199993</v>
      </c>
      <c r="AY19">
        <v>1636</v>
      </c>
      <c r="AZ19">
        <v>372</v>
      </c>
      <c r="BA19">
        <v>1959</v>
      </c>
      <c r="BB19">
        <v>618</v>
      </c>
      <c r="BC19">
        <v>36</v>
      </c>
      <c r="BD19">
        <v>35</v>
      </c>
      <c r="BE19">
        <v>100</v>
      </c>
      <c r="BF19">
        <v>38</v>
      </c>
      <c r="BG19">
        <v>302</v>
      </c>
      <c r="BH19">
        <v>471</v>
      </c>
      <c r="BJ19" t="s">
        <v>637</v>
      </c>
      <c r="BK19" t="s">
        <v>394</v>
      </c>
      <c r="BL19">
        <v>859</v>
      </c>
      <c r="BM19">
        <v>148</v>
      </c>
      <c r="BN19">
        <v>78.233993015099998</v>
      </c>
      <c r="BO19">
        <v>1090</v>
      </c>
      <c r="BP19">
        <v>189</v>
      </c>
      <c r="BQ19">
        <v>100.2</v>
      </c>
      <c r="BR19">
        <v>93.841269841300004</v>
      </c>
      <c r="BS19">
        <v>1208</v>
      </c>
      <c r="BT19">
        <v>364</v>
      </c>
      <c r="BU19">
        <v>98.904801324499999</v>
      </c>
      <c r="BV19">
        <v>1510</v>
      </c>
      <c r="BW19">
        <v>260</v>
      </c>
      <c r="BX19">
        <v>134.96291390729999</v>
      </c>
      <c r="BY19">
        <v>115.8615384615</v>
      </c>
      <c r="CA19" t="s">
        <v>403</v>
      </c>
      <c r="CB19" t="s">
        <v>811</v>
      </c>
      <c r="CC19" t="s">
        <v>1009</v>
      </c>
      <c r="CD19">
        <v>2393</v>
      </c>
      <c r="CE19">
        <v>421</v>
      </c>
      <c r="CF19">
        <v>83.535729210200003</v>
      </c>
      <c r="CG19">
        <v>2767</v>
      </c>
      <c r="CH19">
        <v>414</v>
      </c>
      <c r="CI19">
        <v>108.9284423563</v>
      </c>
      <c r="CJ19">
        <v>108.69082125600001</v>
      </c>
      <c r="CL19" t="s">
        <v>403</v>
      </c>
      <c r="CM19" t="s">
        <v>786</v>
      </c>
      <c r="CN19" t="s">
        <v>788</v>
      </c>
      <c r="CO19">
        <v>216</v>
      </c>
      <c r="CP19">
        <v>13</v>
      </c>
      <c r="CQ19">
        <v>61.574074074099997</v>
      </c>
      <c r="CR19">
        <v>540</v>
      </c>
      <c r="CS19">
        <v>117</v>
      </c>
      <c r="CT19">
        <v>65.892592592599996</v>
      </c>
      <c r="CU19">
        <v>69.452991452999996</v>
      </c>
      <c r="CW19" t="s">
        <v>403</v>
      </c>
      <c r="CX19" t="s">
        <v>799</v>
      </c>
      <c r="CY19" t="s">
        <v>801</v>
      </c>
      <c r="CZ19">
        <v>57</v>
      </c>
      <c r="DA19">
        <v>12</v>
      </c>
      <c r="DB19">
        <v>90.5438596491</v>
      </c>
      <c r="DC19">
        <v>33</v>
      </c>
      <c r="DD19">
        <v>6</v>
      </c>
      <c r="DE19">
        <v>135.24242424240001</v>
      </c>
      <c r="DF19">
        <v>153</v>
      </c>
      <c r="DH19" t="s">
        <v>403</v>
      </c>
      <c r="DI19" t="s">
        <v>773</v>
      </c>
      <c r="DJ19" t="s">
        <v>775</v>
      </c>
      <c r="DK19">
        <v>30</v>
      </c>
      <c r="DL19">
        <v>3</v>
      </c>
      <c r="DM19">
        <v>87.3</v>
      </c>
      <c r="DN19">
        <v>40</v>
      </c>
      <c r="DO19">
        <v>3</v>
      </c>
      <c r="DP19">
        <v>124.075</v>
      </c>
      <c r="DQ19">
        <v>137</v>
      </c>
    </row>
    <row r="20" spans="2:121" x14ac:dyDescent="0.2">
      <c r="B20" t="s">
        <v>119</v>
      </c>
      <c r="C20">
        <v>13232</v>
      </c>
      <c r="D20">
        <v>2913</v>
      </c>
      <c r="F20" t="s">
        <v>77</v>
      </c>
      <c r="G20">
        <v>254</v>
      </c>
      <c r="H20">
        <v>109.3700787402</v>
      </c>
      <c r="I20">
        <v>787</v>
      </c>
      <c r="J20">
        <v>149</v>
      </c>
      <c r="K20">
        <v>462</v>
      </c>
      <c r="L20">
        <v>129</v>
      </c>
      <c r="M20">
        <v>342</v>
      </c>
      <c r="N20">
        <v>156</v>
      </c>
      <c r="O20">
        <v>56</v>
      </c>
      <c r="P20">
        <v>16</v>
      </c>
      <c r="Q20">
        <v>0</v>
      </c>
      <c r="R20">
        <v>0</v>
      </c>
      <c r="AH20" t="s">
        <v>397</v>
      </c>
      <c r="AI20">
        <v>6649</v>
      </c>
      <c r="AJ20">
        <v>542.60655737699994</v>
      </c>
      <c r="AK20">
        <v>3860</v>
      </c>
      <c r="AL20">
        <v>795</v>
      </c>
      <c r="AM20">
        <v>9932</v>
      </c>
      <c r="AN20">
        <v>6648</v>
      </c>
      <c r="AO20">
        <v>2712</v>
      </c>
      <c r="AP20">
        <v>2154</v>
      </c>
      <c r="AQ20">
        <v>1490</v>
      </c>
      <c r="AR20">
        <v>755</v>
      </c>
      <c r="AS20">
        <v>517</v>
      </c>
      <c r="AT20">
        <v>144</v>
      </c>
      <c r="AV20" t="s">
        <v>8</v>
      </c>
      <c r="AW20">
        <v>143</v>
      </c>
      <c r="AX20">
        <v>93.923076923099998</v>
      </c>
      <c r="AY20">
        <v>212</v>
      </c>
      <c r="AZ20">
        <v>94</v>
      </c>
      <c r="BA20">
        <v>314</v>
      </c>
      <c r="BB20">
        <v>150</v>
      </c>
      <c r="BC20">
        <v>12</v>
      </c>
      <c r="BD20">
        <v>11</v>
      </c>
      <c r="BE20">
        <v>9</v>
      </c>
      <c r="BF20">
        <v>6</v>
      </c>
      <c r="BG20">
        <v>40</v>
      </c>
      <c r="BH20">
        <v>21</v>
      </c>
      <c r="BJ20" t="s">
        <v>565</v>
      </c>
      <c r="BK20" t="s">
        <v>394</v>
      </c>
      <c r="BL20">
        <v>4740</v>
      </c>
      <c r="BM20">
        <v>991</v>
      </c>
      <c r="BN20">
        <v>91.594725738400001</v>
      </c>
      <c r="BO20">
        <v>5090</v>
      </c>
      <c r="BP20">
        <v>929</v>
      </c>
      <c r="BQ20">
        <v>128.07387033399999</v>
      </c>
      <c r="BR20">
        <v>129.9407965554</v>
      </c>
      <c r="BS20">
        <v>4509</v>
      </c>
      <c r="BT20">
        <v>1190</v>
      </c>
      <c r="BU20">
        <v>102.3235750721</v>
      </c>
      <c r="BV20">
        <v>5517</v>
      </c>
      <c r="BW20">
        <v>972</v>
      </c>
      <c r="BX20">
        <v>132.8825448613</v>
      </c>
      <c r="BY20">
        <v>137.47839506170001</v>
      </c>
      <c r="CA20" t="s">
        <v>426</v>
      </c>
      <c r="CB20" t="s">
        <v>811</v>
      </c>
      <c r="CC20" t="s">
        <v>1010</v>
      </c>
      <c r="CD20">
        <v>2419</v>
      </c>
      <c r="CE20">
        <v>445</v>
      </c>
      <c r="CF20">
        <v>87.0330715172</v>
      </c>
      <c r="CG20">
        <v>3039</v>
      </c>
      <c r="CH20">
        <v>593</v>
      </c>
      <c r="CI20">
        <v>128.85291214220001</v>
      </c>
      <c r="CJ20">
        <v>127.92074198989999</v>
      </c>
      <c r="CL20" t="s">
        <v>426</v>
      </c>
      <c r="CM20" t="s">
        <v>786</v>
      </c>
      <c r="CN20" t="s">
        <v>789</v>
      </c>
      <c r="CO20">
        <v>192</v>
      </c>
      <c r="CP20">
        <v>17</v>
      </c>
      <c r="CQ20">
        <v>67.864583333300004</v>
      </c>
      <c r="CR20">
        <v>473</v>
      </c>
      <c r="CS20">
        <v>94</v>
      </c>
      <c r="CT20">
        <v>68.084566596200006</v>
      </c>
      <c r="CU20">
        <v>73.372340425499999</v>
      </c>
      <c r="CW20" t="s">
        <v>426</v>
      </c>
      <c r="CX20" t="s">
        <v>799</v>
      </c>
      <c r="CY20" t="s">
        <v>802</v>
      </c>
      <c r="CZ20">
        <v>93</v>
      </c>
      <c r="DA20">
        <v>9</v>
      </c>
      <c r="DB20">
        <v>75.419354838700002</v>
      </c>
      <c r="DC20">
        <v>45</v>
      </c>
      <c r="DD20">
        <v>10</v>
      </c>
      <c r="DE20">
        <v>114.62222222219999</v>
      </c>
      <c r="DF20">
        <v>146.19999999999999</v>
      </c>
      <c r="DH20" t="s">
        <v>426</v>
      </c>
      <c r="DI20" t="s">
        <v>773</v>
      </c>
      <c r="DJ20" t="s">
        <v>776</v>
      </c>
      <c r="DK20">
        <v>143</v>
      </c>
      <c r="DL20">
        <v>16</v>
      </c>
      <c r="DM20">
        <v>82.748251748300007</v>
      </c>
      <c r="DN20">
        <v>109</v>
      </c>
      <c r="DO20">
        <v>24</v>
      </c>
      <c r="DP20">
        <v>121.86238532110001</v>
      </c>
      <c r="DQ20">
        <v>144.3333333333</v>
      </c>
    </row>
    <row r="21" spans="2:121" x14ac:dyDescent="0.2">
      <c r="B21" t="s">
        <v>318</v>
      </c>
      <c r="C21">
        <v>1</v>
      </c>
      <c r="D21">
        <v>1</v>
      </c>
      <c r="F21" t="s">
        <v>8</v>
      </c>
      <c r="G21">
        <v>61</v>
      </c>
      <c r="H21">
        <v>746.5573770492</v>
      </c>
      <c r="I21">
        <v>38</v>
      </c>
      <c r="J21">
        <v>1</v>
      </c>
      <c r="K21">
        <v>64</v>
      </c>
      <c r="L21">
        <v>49</v>
      </c>
      <c r="M21">
        <v>11</v>
      </c>
      <c r="N21">
        <v>8</v>
      </c>
      <c r="O21">
        <v>49103</v>
      </c>
      <c r="P21">
        <v>25418</v>
      </c>
      <c r="Q21">
        <v>0</v>
      </c>
      <c r="R21">
        <v>1</v>
      </c>
      <c r="AH21" t="s">
        <v>391</v>
      </c>
      <c r="AI21">
        <v>5487</v>
      </c>
      <c r="AJ21">
        <v>445.31601968289999</v>
      </c>
      <c r="AK21">
        <v>5955</v>
      </c>
      <c r="AL21">
        <v>1394</v>
      </c>
      <c r="AM21">
        <v>7904</v>
      </c>
      <c r="AN21">
        <v>5343</v>
      </c>
      <c r="AO21">
        <v>1818</v>
      </c>
      <c r="AP21">
        <v>1259</v>
      </c>
      <c r="AQ21">
        <v>2180</v>
      </c>
      <c r="AR21">
        <v>1324</v>
      </c>
      <c r="AS21">
        <v>262</v>
      </c>
      <c r="AT21">
        <v>246</v>
      </c>
      <c r="AV21" t="s">
        <v>380</v>
      </c>
      <c r="AW21">
        <v>382</v>
      </c>
      <c r="AX21">
        <v>97.225130890100004</v>
      </c>
      <c r="AY21">
        <v>655</v>
      </c>
      <c r="AZ21">
        <v>123</v>
      </c>
      <c r="BA21">
        <v>507</v>
      </c>
      <c r="BB21">
        <v>196</v>
      </c>
      <c r="BC21">
        <v>14</v>
      </c>
      <c r="BD21">
        <v>13</v>
      </c>
      <c r="BE21">
        <v>30</v>
      </c>
      <c r="BF21">
        <v>17</v>
      </c>
      <c r="BG21">
        <v>78</v>
      </c>
      <c r="BH21">
        <v>175</v>
      </c>
      <c r="BJ21" t="s">
        <v>582</v>
      </c>
      <c r="BK21" t="s">
        <v>394</v>
      </c>
      <c r="BL21">
        <v>2180</v>
      </c>
      <c r="BM21">
        <v>244</v>
      </c>
      <c r="BN21">
        <v>77.680275229399996</v>
      </c>
      <c r="BO21">
        <v>1915</v>
      </c>
      <c r="BP21">
        <v>310</v>
      </c>
      <c r="BQ21">
        <v>119.3812010444</v>
      </c>
      <c r="BR21">
        <v>131.2935483871</v>
      </c>
      <c r="BS21">
        <v>5801</v>
      </c>
      <c r="BT21">
        <v>1484</v>
      </c>
      <c r="BU21">
        <v>106.11101534220001</v>
      </c>
      <c r="BV21">
        <v>5663</v>
      </c>
      <c r="BW21">
        <v>1013</v>
      </c>
      <c r="BX21">
        <v>148.5272823592</v>
      </c>
      <c r="BY21">
        <v>155.56465942739999</v>
      </c>
      <c r="CA21" t="s">
        <v>399</v>
      </c>
      <c r="CB21" t="s">
        <v>811</v>
      </c>
      <c r="CC21" t="s">
        <v>1011</v>
      </c>
      <c r="CD21">
        <v>6840</v>
      </c>
      <c r="CE21">
        <v>1707</v>
      </c>
      <c r="CF21">
        <v>101.1657894737</v>
      </c>
      <c r="CG21">
        <v>7058</v>
      </c>
      <c r="CH21">
        <v>1368</v>
      </c>
      <c r="CI21">
        <v>144.65528478319999</v>
      </c>
      <c r="CJ21">
        <v>143.61622807020001</v>
      </c>
      <c r="CL21" t="s">
        <v>399</v>
      </c>
      <c r="CM21" t="s">
        <v>786</v>
      </c>
      <c r="CN21" t="s">
        <v>790</v>
      </c>
      <c r="CO21">
        <v>883</v>
      </c>
      <c r="CP21">
        <v>85</v>
      </c>
      <c r="CQ21">
        <v>69.431483578699996</v>
      </c>
      <c r="CR21">
        <v>1501</v>
      </c>
      <c r="CS21">
        <v>252</v>
      </c>
      <c r="CT21">
        <v>72.343770819499994</v>
      </c>
      <c r="CU21">
        <v>80.730158730200003</v>
      </c>
      <c r="CW21" t="s">
        <v>399</v>
      </c>
      <c r="CX21" t="s">
        <v>799</v>
      </c>
      <c r="CY21" t="s">
        <v>803</v>
      </c>
      <c r="CZ21">
        <v>186</v>
      </c>
      <c r="DA21">
        <v>58</v>
      </c>
      <c r="DB21">
        <v>93.274193548400007</v>
      </c>
      <c r="DC21">
        <v>98</v>
      </c>
      <c r="DD21">
        <v>22</v>
      </c>
      <c r="DE21">
        <v>145.31632653060001</v>
      </c>
      <c r="DF21">
        <v>156.13636363640001</v>
      </c>
      <c r="DH21" t="s">
        <v>399</v>
      </c>
      <c r="DI21" t="s">
        <v>773</v>
      </c>
      <c r="DJ21" t="s">
        <v>777</v>
      </c>
      <c r="DK21">
        <v>110</v>
      </c>
      <c r="DL21">
        <v>19</v>
      </c>
      <c r="DM21">
        <v>87.918181818199997</v>
      </c>
      <c r="DN21">
        <v>103</v>
      </c>
      <c r="DO21">
        <v>10</v>
      </c>
      <c r="DP21">
        <v>131.4757281553</v>
      </c>
      <c r="DQ21">
        <v>129.69999999999999</v>
      </c>
    </row>
    <row r="22" spans="2:121" x14ac:dyDescent="0.2">
      <c r="B22" t="s">
        <v>112</v>
      </c>
      <c r="C22">
        <v>22064</v>
      </c>
      <c r="D22">
        <v>11503</v>
      </c>
      <c r="F22" t="s">
        <v>47</v>
      </c>
      <c r="G22">
        <v>1280</v>
      </c>
      <c r="H22">
        <v>296.25390625</v>
      </c>
      <c r="I22">
        <v>1929</v>
      </c>
      <c r="J22">
        <v>402</v>
      </c>
      <c r="K22">
        <v>2882</v>
      </c>
      <c r="L22">
        <v>1934</v>
      </c>
      <c r="M22">
        <v>611</v>
      </c>
      <c r="N22">
        <v>319</v>
      </c>
      <c r="O22">
        <v>826</v>
      </c>
      <c r="P22">
        <v>578</v>
      </c>
      <c r="Q22">
        <v>0</v>
      </c>
      <c r="R22">
        <v>6</v>
      </c>
      <c r="AH22" t="s">
        <v>420</v>
      </c>
      <c r="AI22">
        <v>1460</v>
      </c>
      <c r="AJ22">
        <v>298.93493150680001</v>
      </c>
      <c r="AK22">
        <v>1308</v>
      </c>
      <c r="AL22">
        <v>180</v>
      </c>
      <c r="AM22">
        <v>2032</v>
      </c>
      <c r="AN22">
        <v>1301</v>
      </c>
      <c r="AO22">
        <v>1078</v>
      </c>
      <c r="AP22">
        <v>838</v>
      </c>
      <c r="AQ22">
        <v>379</v>
      </c>
      <c r="AR22">
        <v>227</v>
      </c>
      <c r="AS22">
        <v>363</v>
      </c>
      <c r="AT22">
        <v>3</v>
      </c>
      <c r="AV22" t="s">
        <v>426</v>
      </c>
      <c r="AW22">
        <v>105</v>
      </c>
      <c r="AX22">
        <v>40.114285714300003</v>
      </c>
      <c r="AY22">
        <v>204</v>
      </c>
      <c r="AZ22">
        <v>11</v>
      </c>
      <c r="BA22">
        <v>145</v>
      </c>
      <c r="BB22">
        <v>5</v>
      </c>
      <c r="BC22">
        <v>0</v>
      </c>
      <c r="BE22">
        <v>2</v>
      </c>
      <c r="BF22">
        <v>1</v>
      </c>
      <c r="BG22">
        <v>158</v>
      </c>
      <c r="BH22">
        <v>17</v>
      </c>
      <c r="BJ22" t="s">
        <v>394</v>
      </c>
      <c r="BK22" t="s">
        <v>394</v>
      </c>
      <c r="BL22">
        <v>51154</v>
      </c>
      <c r="BM22">
        <v>11451</v>
      </c>
      <c r="BN22">
        <v>94.137584548600003</v>
      </c>
      <c r="BO22">
        <v>54581</v>
      </c>
      <c r="BP22">
        <v>10263</v>
      </c>
      <c r="BQ22">
        <v>129.47749216759999</v>
      </c>
      <c r="BR22">
        <v>130.29377375039999</v>
      </c>
      <c r="BS22">
        <v>53299</v>
      </c>
      <c r="BT22">
        <v>13640</v>
      </c>
      <c r="BU22">
        <v>100.3603632338</v>
      </c>
      <c r="BV22">
        <v>62063</v>
      </c>
      <c r="BW22">
        <v>11168</v>
      </c>
      <c r="BX22">
        <v>138.1569856436</v>
      </c>
      <c r="BY22">
        <v>138.47976361030001</v>
      </c>
      <c r="CA22" t="s">
        <v>405</v>
      </c>
      <c r="CB22" t="s">
        <v>811</v>
      </c>
      <c r="CC22" t="s">
        <v>1012</v>
      </c>
      <c r="CD22">
        <v>4536</v>
      </c>
      <c r="CE22">
        <v>873</v>
      </c>
      <c r="CF22">
        <v>85.691358024699994</v>
      </c>
      <c r="CG22">
        <v>6594</v>
      </c>
      <c r="CH22">
        <v>1147</v>
      </c>
      <c r="CI22">
        <v>111.46284501060001</v>
      </c>
      <c r="CJ22">
        <v>104.05841325199999</v>
      </c>
      <c r="CL22" t="s">
        <v>405</v>
      </c>
      <c r="CM22" t="s">
        <v>786</v>
      </c>
      <c r="CN22" t="s">
        <v>791</v>
      </c>
      <c r="CO22">
        <v>252</v>
      </c>
      <c r="CP22">
        <v>25</v>
      </c>
      <c r="CQ22">
        <v>63.269841269799997</v>
      </c>
      <c r="CR22">
        <v>667</v>
      </c>
      <c r="CS22">
        <v>131</v>
      </c>
      <c r="CT22">
        <v>60.092953523200002</v>
      </c>
      <c r="CU22">
        <v>57.160305343499999</v>
      </c>
      <c r="CW22" t="s">
        <v>405</v>
      </c>
      <c r="CX22" t="s">
        <v>799</v>
      </c>
      <c r="CY22" t="s">
        <v>804</v>
      </c>
      <c r="CZ22">
        <v>79</v>
      </c>
      <c r="DA22">
        <v>21</v>
      </c>
      <c r="DB22">
        <v>89.797468354399996</v>
      </c>
      <c r="DC22">
        <v>50</v>
      </c>
      <c r="DD22">
        <v>12</v>
      </c>
      <c r="DE22">
        <v>127.16</v>
      </c>
      <c r="DF22">
        <v>144.1666666667</v>
      </c>
      <c r="DH22" t="s">
        <v>405</v>
      </c>
      <c r="DI22" t="s">
        <v>773</v>
      </c>
      <c r="DJ22" t="s">
        <v>778</v>
      </c>
      <c r="DK22">
        <v>35</v>
      </c>
      <c r="DL22">
        <v>10</v>
      </c>
      <c r="DM22">
        <v>92.6</v>
      </c>
      <c r="DN22">
        <v>30</v>
      </c>
      <c r="DO22">
        <v>4</v>
      </c>
      <c r="DP22">
        <v>123.4333333333</v>
      </c>
      <c r="DQ22">
        <v>157.75</v>
      </c>
    </row>
    <row r="23" spans="2:121" x14ac:dyDescent="0.2">
      <c r="B23" t="s">
        <v>113</v>
      </c>
      <c r="C23">
        <v>1645</v>
      </c>
      <c r="D23">
        <v>631</v>
      </c>
      <c r="F23" t="s">
        <v>46</v>
      </c>
      <c r="G23">
        <v>88</v>
      </c>
      <c r="H23">
        <v>93.056818181799997</v>
      </c>
      <c r="I23">
        <v>831</v>
      </c>
      <c r="J23">
        <v>150</v>
      </c>
      <c r="K23">
        <v>209</v>
      </c>
      <c r="L23">
        <v>19</v>
      </c>
      <c r="M23">
        <v>103</v>
      </c>
      <c r="N23">
        <v>40</v>
      </c>
      <c r="O23">
        <v>88</v>
      </c>
      <c r="P23">
        <v>36</v>
      </c>
      <c r="Q23">
        <v>0</v>
      </c>
      <c r="R23">
        <v>2</v>
      </c>
      <c r="AH23" t="s">
        <v>380</v>
      </c>
      <c r="AI23">
        <v>8447</v>
      </c>
      <c r="AJ23">
        <v>634.76512371260003</v>
      </c>
      <c r="AK23">
        <v>5779</v>
      </c>
      <c r="AL23">
        <v>1296</v>
      </c>
      <c r="AM23">
        <v>11586</v>
      </c>
      <c r="AN23">
        <v>8376</v>
      </c>
      <c r="AO23">
        <v>3115</v>
      </c>
      <c r="AP23">
        <v>2345</v>
      </c>
      <c r="AQ23">
        <v>4032</v>
      </c>
      <c r="AR23">
        <v>2877</v>
      </c>
      <c r="AS23">
        <v>420</v>
      </c>
      <c r="AT23">
        <v>5</v>
      </c>
      <c r="AV23" t="s">
        <v>411</v>
      </c>
      <c r="AW23">
        <v>833</v>
      </c>
      <c r="AX23">
        <v>46.662665066000002</v>
      </c>
      <c r="AY23">
        <v>1736</v>
      </c>
      <c r="AZ23">
        <v>109</v>
      </c>
      <c r="BA23">
        <v>1137</v>
      </c>
      <c r="BB23">
        <v>43</v>
      </c>
      <c r="BC23">
        <v>12</v>
      </c>
      <c r="BD23">
        <v>7</v>
      </c>
      <c r="BE23">
        <v>78</v>
      </c>
      <c r="BF23">
        <v>39</v>
      </c>
      <c r="BG23">
        <v>1113</v>
      </c>
      <c r="BH23">
        <v>229</v>
      </c>
      <c r="BJ23" t="s">
        <v>575</v>
      </c>
      <c r="BK23" t="s">
        <v>394</v>
      </c>
      <c r="BL23">
        <v>3940</v>
      </c>
      <c r="BM23">
        <v>759</v>
      </c>
      <c r="BN23">
        <v>86.855583756300007</v>
      </c>
      <c r="BO23">
        <v>4248</v>
      </c>
      <c r="BP23">
        <v>862</v>
      </c>
      <c r="BQ23">
        <v>122.5597928437</v>
      </c>
      <c r="BR23">
        <v>123.1763341067</v>
      </c>
      <c r="BS23">
        <v>4236</v>
      </c>
      <c r="BT23">
        <v>1056</v>
      </c>
      <c r="BU23">
        <v>100.3567044381</v>
      </c>
      <c r="BV23">
        <v>5147</v>
      </c>
      <c r="BW23">
        <v>939</v>
      </c>
      <c r="BX23">
        <v>144.29667767629999</v>
      </c>
      <c r="BY23">
        <v>138.77848775289999</v>
      </c>
      <c r="CA23" t="s">
        <v>401</v>
      </c>
      <c r="CB23" t="s">
        <v>811</v>
      </c>
      <c r="CC23" t="s">
        <v>1013</v>
      </c>
      <c r="CD23">
        <v>5892</v>
      </c>
      <c r="CE23">
        <v>1098</v>
      </c>
      <c r="CF23">
        <v>84.995756958599998</v>
      </c>
      <c r="CG23">
        <v>6209</v>
      </c>
      <c r="CH23">
        <v>1155</v>
      </c>
      <c r="CI23">
        <v>117.62441617010001</v>
      </c>
      <c r="CJ23">
        <v>113.9350649351</v>
      </c>
      <c r="CL23" t="s">
        <v>401</v>
      </c>
      <c r="CM23" t="s">
        <v>786</v>
      </c>
      <c r="CN23" t="s">
        <v>792</v>
      </c>
      <c r="CO23">
        <v>523</v>
      </c>
      <c r="CP23">
        <v>80</v>
      </c>
      <c r="CQ23">
        <v>77.141491395800003</v>
      </c>
      <c r="CR23">
        <v>1052</v>
      </c>
      <c r="CS23">
        <v>195</v>
      </c>
      <c r="CT23">
        <v>69.904942965800004</v>
      </c>
      <c r="CU23">
        <v>77.835897435899994</v>
      </c>
      <c r="CW23" t="s">
        <v>401</v>
      </c>
      <c r="CX23" t="s">
        <v>799</v>
      </c>
      <c r="CY23" t="s">
        <v>805</v>
      </c>
      <c r="CZ23">
        <v>184</v>
      </c>
      <c r="DA23">
        <v>37</v>
      </c>
      <c r="DB23">
        <v>83.701086956500006</v>
      </c>
      <c r="DC23">
        <v>126</v>
      </c>
      <c r="DD23">
        <v>26</v>
      </c>
      <c r="DE23">
        <v>133.3333333333</v>
      </c>
      <c r="DF23">
        <v>146.80769230769999</v>
      </c>
      <c r="DH23" t="s">
        <v>401</v>
      </c>
      <c r="DI23" t="s">
        <v>773</v>
      </c>
      <c r="DJ23" t="s">
        <v>779</v>
      </c>
      <c r="DK23">
        <v>159</v>
      </c>
      <c r="DL23">
        <v>19</v>
      </c>
      <c r="DM23">
        <v>80.276729559700001</v>
      </c>
      <c r="DN23">
        <v>117</v>
      </c>
      <c r="DO23">
        <v>28</v>
      </c>
      <c r="DP23">
        <v>139.6495726496</v>
      </c>
      <c r="DQ23">
        <v>158.53571428570001</v>
      </c>
    </row>
    <row r="24" spans="2:121" x14ac:dyDescent="0.2">
      <c r="B24" t="s">
        <v>1063</v>
      </c>
      <c r="C24">
        <v>1318</v>
      </c>
      <c r="D24">
        <v>649</v>
      </c>
      <c r="F24" t="s">
        <v>82</v>
      </c>
      <c r="G24">
        <v>11801</v>
      </c>
      <c r="H24">
        <v>336.73773409030002</v>
      </c>
      <c r="I24">
        <v>17639</v>
      </c>
      <c r="J24">
        <v>3448</v>
      </c>
      <c r="K24">
        <v>14149</v>
      </c>
      <c r="L24">
        <v>8865</v>
      </c>
      <c r="M24">
        <v>4037</v>
      </c>
      <c r="N24">
        <v>2362</v>
      </c>
      <c r="O24">
        <v>5404</v>
      </c>
      <c r="P24">
        <v>1779</v>
      </c>
      <c r="Q24">
        <v>2</v>
      </c>
      <c r="R24">
        <v>206</v>
      </c>
      <c r="T24" t="s">
        <v>651</v>
      </c>
      <c r="U24" t="s">
        <v>309</v>
      </c>
      <c r="V24" t="s">
        <v>136</v>
      </c>
      <c r="W24" t="s">
        <v>217</v>
      </c>
      <c r="X24" t="s">
        <v>218</v>
      </c>
      <c r="Y24" t="s">
        <v>219</v>
      </c>
      <c r="Z24" t="s">
        <v>220</v>
      </c>
      <c r="AA24" t="s">
        <v>221</v>
      </c>
      <c r="AB24" t="s">
        <v>222</v>
      </c>
      <c r="AC24" t="s">
        <v>223</v>
      </c>
      <c r="AD24" t="s">
        <v>224</v>
      </c>
      <c r="AE24" t="s">
        <v>225</v>
      </c>
      <c r="AF24" t="s">
        <v>226</v>
      </c>
      <c r="AH24" t="s">
        <v>375</v>
      </c>
      <c r="AI24">
        <v>4745</v>
      </c>
      <c r="AJ24">
        <v>552.48809272920005</v>
      </c>
      <c r="AK24">
        <v>4436</v>
      </c>
      <c r="AL24">
        <v>1140</v>
      </c>
      <c r="AM24">
        <v>6878</v>
      </c>
      <c r="AN24">
        <v>5260</v>
      </c>
      <c r="AO24">
        <v>3076</v>
      </c>
      <c r="AP24">
        <v>2438</v>
      </c>
      <c r="AQ24">
        <v>1506</v>
      </c>
      <c r="AR24">
        <v>1069</v>
      </c>
      <c r="AS24">
        <v>783</v>
      </c>
      <c r="AT24">
        <v>12</v>
      </c>
      <c r="AV24" t="s">
        <v>378</v>
      </c>
      <c r="AW24">
        <v>469</v>
      </c>
      <c r="AX24">
        <v>103.2345415778</v>
      </c>
      <c r="AY24">
        <v>816</v>
      </c>
      <c r="AZ24">
        <v>202</v>
      </c>
      <c r="BA24">
        <v>609</v>
      </c>
      <c r="BB24">
        <v>237</v>
      </c>
      <c r="BC24">
        <v>10</v>
      </c>
      <c r="BD24">
        <v>10</v>
      </c>
      <c r="BE24">
        <v>28</v>
      </c>
      <c r="BF24">
        <v>8</v>
      </c>
      <c r="BG24">
        <v>78</v>
      </c>
      <c r="BH24">
        <v>209</v>
      </c>
      <c r="BJ24" t="s">
        <v>639</v>
      </c>
      <c r="BK24" t="s">
        <v>394</v>
      </c>
      <c r="BL24">
        <v>846</v>
      </c>
      <c r="BM24">
        <v>149</v>
      </c>
      <c r="BN24">
        <v>78.230496453900003</v>
      </c>
      <c r="BO24">
        <v>1018</v>
      </c>
      <c r="BP24">
        <v>172</v>
      </c>
      <c r="BQ24">
        <v>106.4076620825</v>
      </c>
      <c r="BR24">
        <v>104.3023255814</v>
      </c>
      <c r="BS24">
        <v>1652</v>
      </c>
      <c r="BT24">
        <v>364</v>
      </c>
      <c r="BU24">
        <v>99.756658595600001</v>
      </c>
      <c r="BV24">
        <v>1800</v>
      </c>
      <c r="BW24">
        <v>296</v>
      </c>
      <c r="BX24">
        <v>137.19277777779999</v>
      </c>
      <c r="BY24">
        <v>135.08783783780001</v>
      </c>
      <c r="CA24" t="s">
        <v>404</v>
      </c>
      <c r="CB24" t="s">
        <v>811</v>
      </c>
      <c r="CC24" t="s">
        <v>1014</v>
      </c>
      <c r="CD24">
        <v>2161</v>
      </c>
      <c r="CE24">
        <v>248</v>
      </c>
      <c r="CF24">
        <v>77.651087459500005</v>
      </c>
      <c r="CG24">
        <v>1997</v>
      </c>
      <c r="CH24">
        <v>323</v>
      </c>
      <c r="CI24">
        <v>117.1156735103</v>
      </c>
      <c r="CJ24">
        <v>128.0835913313</v>
      </c>
      <c r="CL24" t="s">
        <v>404</v>
      </c>
      <c r="CM24" t="s">
        <v>786</v>
      </c>
      <c r="CN24" t="s">
        <v>793</v>
      </c>
      <c r="CO24">
        <v>95</v>
      </c>
      <c r="CP24">
        <v>16</v>
      </c>
      <c r="CQ24">
        <v>81.273684210499994</v>
      </c>
      <c r="CR24">
        <v>188</v>
      </c>
      <c r="CS24">
        <v>44</v>
      </c>
      <c r="CT24">
        <v>61.728723404299998</v>
      </c>
      <c r="CU24">
        <v>52.9545454545</v>
      </c>
      <c r="CW24" t="s">
        <v>404</v>
      </c>
      <c r="CX24" t="s">
        <v>799</v>
      </c>
      <c r="CY24" t="s">
        <v>806</v>
      </c>
      <c r="CZ24">
        <v>61</v>
      </c>
      <c r="DA24">
        <v>8</v>
      </c>
      <c r="DB24">
        <v>79.262295081999994</v>
      </c>
      <c r="DC24">
        <v>24</v>
      </c>
      <c r="DD24">
        <v>2</v>
      </c>
      <c r="DE24">
        <v>113.75</v>
      </c>
      <c r="DF24">
        <v>132</v>
      </c>
      <c r="DH24" t="s">
        <v>404</v>
      </c>
      <c r="DI24" t="s">
        <v>773</v>
      </c>
      <c r="DJ24" t="s">
        <v>780</v>
      </c>
      <c r="DK24">
        <v>93</v>
      </c>
      <c r="DL24">
        <v>10</v>
      </c>
      <c r="DM24">
        <v>78.548387096799999</v>
      </c>
      <c r="DN24">
        <v>52</v>
      </c>
      <c r="DO24">
        <v>12</v>
      </c>
      <c r="DP24">
        <v>109.0769230769</v>
      </c>
      <c r="DQ24">
        <v>96.083333333300004</v>
      </c>
    </row>
    <row r="25" spans="2:121" x14ac:dyDescent="0.2">
      <c r="B25" t="s">
        <v>107</v>
      </c>
      <c r="C25">
        <v>39381</v>
      </c>
      <c r="D25">
        <v>11019</v>
      </c>
      <c r="F25" t="s">
        <v>38</v>
      </c>
      <c r="G25">
        <v>4339</v>
      </c>
      <c r="H25">
        <v>602.99377736810004</v>
      </c>
      <c r="I25">
        <v>3491</v>
      </c>
      <c r="J25">
        <v>908</v>
      </c>
      <c r="K25">
        <v>5737</v>
      </c>
      <c r="L25">
        <v>4502</v>
      </c>
      <c r="M25">
        <v>2703</v>
      </c>
      <c r="N25">
        <v>2137</v>
      </c>
      <c r="O25">
        <v>861</v>
      </c>
      <c r="P25">
        <v>690</v>
      </c>
      <c r="Q25">
        <v>0</v>
      </c>
      <c r="R25">
        <v>2</v>
      </c>
      <c r="T25" t="s">
        <v>389</v>
      </c>
      <c r="U25">
        <v>58717</v>
      </c>
      <c r="V25">
        <v>380.72047277619998</v>
      </c>
      <c r="W25">
        <v>66466</v>
      </c>
      <c r="X25">
        <v>14566</v>
      </c>
      <c r="Y25">
        <v>82163</v>
      </c>
      <c r="Z25">
        <v>53690</v>
      </c>
      <c r="AA25">
        <v>20134</v>
      </c>
      <c r="AB25">
        <v>12552</v>
      </c>
      <c r="AC25">
        <v>25936</v>
      </c>
      <c r="AD25">
        <v>14459</v>
      </c>
      <c r="AE25">
        <v>913</v>
      </c>
      <c r="AF25">
        <v>1061</v>
      </c>
      <c r="AH25" t="s">
        <v>399</v>
      </c>
      <c r="AI25">
        <v>3932</v>
      </c>
      <c r="AJ25">
        <v>300.80061037640002</v>
      </c>
      <c r="AK25">
        <v>7257</v>
      </c>
      <c r="AL25">
        <v>1812</v>
      </c>
      <c r="AM25">
        <v>7020</v>
      </c>
      <c r="AN25">
        <v>4514</v>
      </c>
      <c r="AO25">
        <v>1435</v>
      </c>
      <c r="AP25">
        <v>1019</v>
      </c>
      <c r="AQ25">
        <v>5643</v>
      </c>
      <c r="AR25">
        <v>1110</v>
      </c>
      <c r="AS25">
        <v>733</v>
      </c>
      <c r="AT25">
        <v>199</v>
      </c>
      <c r="AV25" t="s">
        <v>83</v>
      </c>
      <c r="AW25">
        <v>171</v>
      </c>
      <c r="AX25">
        <v>45.005847953200004</v>
      </c>
      <c r="AY25">
        <v>435</v>
      </c>
      <c r="AZ25">
        <v>24</v>
      </c>
      <c r="BA25">
        <v>278</v>
      </c>
      <c r="BB25">
        <v>30</v>
      </c>
      <c r="BC25">
        <v>1</v>
      </c>
      <c r="BE25">
        <v>22</v>
      </c>
      <c r="BF25">
        <v>10</v>
      </c>
      <c r="BG25">
        <v>391</v>
      </c>
      <c r="BH25">
        <v>57</v>
      </c>
      <c r="BJ25" t="s">
        <v>578</v>
      </c>
      <c r="BK25" t="s">
        <v>394</v>
      </c>
      <c r="BL25">
        <v>5754</v>
      </c>
      <c r="BM25">
        <v>1096</v>
      </c>
      <c r="BN25">
        <v>85.097497393099999</v>
      </c>
      <c r="BO25">
        <v>5764</v>
      </c>
      <c r="BP25">
        <v>1075</v>
      </c>
      <c r="BQ25">
        <v>118.9149895906</v>
      </c>
      <c r="BR25">
        <v>116.08</v>
      </c>
      <c r="BS25">
        <v>5866</v>
      </c>
      <c r="BT25">
        <v>1221</v>
      </c>
      <c r="BU25">
        <v>87.865666552999997</v>
      </c>
      <c r="BV25">
        <v>6713</v>
      </c>
      <c r="BW25">
        <v>1147</v>
      </c>
      <c r="BX25">
        <v>122.8398629525</v>
      </c>
      <c r="BY25">
        <v>121.8378378378</v>
      </c>
      <c r="CA25" t="s">
        <v>423</v>
      </c>
      <c r="CB25" t="s">
        <v>811</v>
      </c>
      <c r="CC25" t="s">
        <v>1015</v>
      </c>
      <c r="CD25">
        <v>648</v>
      </c>
      <c r="CE25">
        <v>109</v>
      </c>
      <c r="CF25">
        <v>80.442901234600001</v>
      </c>
      <c r="CG25">
        <v>805</v>
      </c>
      <c r="CH25">
        <v>132</v>
      </c>
      <c r="CI25">
        <v>96.760248447199999</v>
      </c>
      <c r="CJ25">
        <v>92.719696969699996</v>
      </c>
      <c r="CL25" t="s">
        <v>423</v>
      </c>
      <c r="CM25" t="s">
        <v>786</v>
      </c>
      <c r="CN25" t="s">
        <v>794</v>
      </c>
      <c r="CO25">
        <v>37</v>
      </c>
      <c r="CP25">
        <v>1</v>
      </c>
      <c r="CQ25">
        <v>55.513513513500001</v>
      </c>
      <c r="CR25">
        <v>84</v>
      </c>
      <c r="CS25">
        <v>18</v>
      </c>
      <c r="CT25">
        <v>59.095238095200003</v>
      </c>
      <c r="CU25">
        <v>65.611111111100001</v>
      </c>
      <c r="CW25" t="s">
        <v>423</v>
      </c>
      <c r="CX25" t="s">
        <v>799</v>
      </c>
      <c r="CY25" t="s">
        <v>807</v>
      </c>
      <c r="CZ25">
        <v>13</v>
      </c>
      <c r="DA25">
        <v>4</v>
      </c>
      <c r="DB25">
        <v>94.076923076900002</v>
      </c>
      <c r="DC25">
        <v>16</v>
      </c>
      <c r="DD25">
        <v>1</v>
      </c>
      <c r="DE25">
        <v>91.75</v>
      </c>
      <c r="DF25">
        <v>132</v>
      </c>
      <c r="DH25" t="s">
        <v>423</v>
      </c>
      <c r="DI25" t="s">
        <v>773</v>
      </c>
      <c r="DJ25" t="s">
        <v>781</v>
      </c>
      <c r="DK25">
        <v>10</v>
      </c>
      <c r="DL25">
        <v>1</v>
      </c>
      <c r="DM25">
        <v>58.5</v>
      </c>
      <c r="DN25">
        <v>4</v>
      </c>
      <c r="DO25">
        <v>0</v>
      </c>
      <c r="DP25">
        <v>122</v>
      </c>
      <c r="DQ25">
        <v>0</v>
      </c>
    </row>
    <row r="26" spans="2:121" x14ac:dyDescent="0.2">
      <c r="B26" t="s">
        <v>106</v>
      </c>
      <c r="C26">
        <v>47</v>
      </c>
      <c r="D26">
        <v>38</v>
      </c>
      <c r="F26" t="s">
        <v>42</v>
      </c>
      <c r="G26">
        <v>10434</v>
      </c>
      <c r="H26">
        <v>287.06200881730001</v>
      </c>
      <c r="I26">
        <v>8633</v>
      </c>
      <c r="J26">
        <v>2560</v>
      </c>
      <c r="K26">
        <v>18180</v>
      </c>
      <c r="L26">
        <v>12099</v>
      </c>
      <c r="M26">
        <v>3053</v>
      </c>
      <c r="N26">
        <v>2052</v>
      </c>
      <c r="O26">
        <v>1273</v>
      </c>
      <c r="P26">
        <v>483</v>
      </c>
      <c r="Q26">
        <v>0</v>
      </c>
      <c r="R26">
        <v>52</v>
      </c>
      <c r="T26" t="s">
        <v>394</v>
      </c>
      <c r="U26">
        <v>41412</v>
      </c>
      <c r="V26">
        <v>388.154568724</v>
      </c>
      <c r="W26">
        <v>51788</v>
      </c>
      <c r="X26">
        <v>11530</v>
      </c>
      <c r="Y26">
        <v>64898</v>
      </c>
      <c r="Z26">
        <v>39543</v>
      </c>
      <c r="AA26">
        <v>13956</v>
      </c>
      <c r="AB26">
        <v>9362</v>
      </c>
      <c r="AC26">
        <v>28460</v>
      </c>
      <c r="AD26">
        <v>15683</v>
      </c>
      <c r="AE26">
        <v>3691</v>
      </c>
      <c r="AF26">
        <v>1062</v>
      </c>
      <c r="AH26" t="s">
        <v>405</v>
      </c>
      <c r="AI26">
        <v>1535</v>
      </c>
      <c r="AJ26">
        <v>190.25211726379999</v>
      </c>
      <c r="AK26">
        <v>4497</v>
      </c>
      <c r="AL26">
        <v>911</v>
      </c>
      <c r="AM26">
        <v>2984</v>
      </c>
      <c r="AN26">
        <v>1343</v>
      </c>
      <c r="AO26">
        <v>522</v>
      </c>
      <c r="AP26">
        <v>235</v>
      </c>
      <c r="AQ26">
        <v>1111</v>
      </c>
      <c r="AR26">
        <v>700</v>
      </c>
      <c r="AS26">
        <v>2</v>
      </c>
      <c r="AT26">
        <v>5</v>
      </c>
      <c r="AV26" t="s">
        <v>407</v>
      </c>
      <c r="AW26">
        <v>134</v>
      </c>
      <c r="AX26">
        <v>48.395522388099998</v>
      </c>
      <c r="AY26">
        <v>225</v>
      </c>
      <c r="AZ26">
        <v>8</v>
      </c>
      <c r="BA26">
        <v>184</v>
      </c>
      <c r="BB26">
        <v>9</v>
      </c>
      <c r="BC26">
        <v>1</v>
      </c>
      <c r="BD26">
        <v>1</v>
      </c>
      <c r="BE26">
        <v>14</v>
      </c>
      <c r="BF26">
        <v>7</v>
      </c>
      <c r="BG26">
        <v>304</v>
      </c>
      <c r="BH26">
        <v>38</v>
      </c>
      <c r="BJ26" t="s">
        <v>584</v>
      </c>
      <c r="BK26" t="s">
        <v>394</v>
      </c>
      <c r="BL26">
        <v>6283</v>
      </c>
      <c r="BM26">
        <v>1295</v>
      </c>
      <c r="BN26">
        <v>89.712239376100001</v>
      </c>
      <c r="BO26">
        <v>8323</v>
      </c>
      <c r="BP26">
        <v>1530</v>
      </c>
      <c r="BQ26">
        <v>119.2789859426</v>
      </c>
      <c r="BR26">
        <v>114.36993464050001</v>
      </c>
      <c r="BS26">
        <v>6929</v>
      </c>
      <c r="BT26">
        <v>1766</v>
      </c>
      <c r="BU26">
        <v>101.5335546255</v>
      </c>
      <c r="BV26">
        <v>9629</v>
      </c>
      <c r="BW26">
        <v>1723</v>
      </c>
      <c r="BX26">
        <v>135.97445217570001</v>
      </c>
      <c r="BY26">
        <v>127.8827626233</v>
      </c>
      <c r="CA26" t="s">
        <v>395</v>
      </c>
      <c r="CB26" t="s">
        <v>811</v>
      </c>
      <c r="CC26" t="s">
        <v>1016</v>
      </c>
      <c r="CD26">
        <v>8335</v>
      </c>
      <c r="CE26">
        <v>2190</v>
      </c>
      <c r="CF26">
        <v>103.675104979</v>
      </c>
      <c r="CG26">
        <v>9147</v>
      </c>
      <c r="CH26">
        <v>1697</v>
      </c>
      <c r="CI26">
        <v>128.76637148789999</v>
      </c>
      <c r="CJ26">
        <v>140.49263406009999</v>
      </c>
      <c r="CL26" t="s">
        <v>395</v>
      </c>
      <c r="CM26" t="s">
        <v>786</v>
      </c>
      <c r="CN26" t="s">
        <v>795</v>
      </c>
      <c r="CO26">
        <v>936</v>
      </c>
      <c r="CP26">
        <v>120</v>
      </c>
      <c r="CQ26">
        <v>74.685897435900003</v>
      </c>
      <c r="CR26">
        <v>1763</v>
      </c>
      <c r="CS26">
        <v>322</v>
      </c>
      <c r="CT26">
        <v>69.069767441899998</v>
      </c>
      <c r="CU26">
        <v>82.391304347800002</v>
      </c>
      <c r="CW26" t="s">
        <v>395</v>
      </c>
      <c r="CX26" t="s">
        <v>799</v>
      </c>
      <c r="CY26" t="s">
        <v>808</v>
      </c>
      <c r="CZ26">
        <v>271</v>
      </c>
      <c r="DA26">
        <v>68</v>
      </c>
      <c r="DB26">
        <v>92.811808118100004</v>
      </c>
      <c r="DC26">
        <v>148</v>
      </c>
      <c r="DD26">
        <v>31</v>
      </c>
      <c r="DE26">
        <v>139.8310810811</v>
      </c>
      <c r="DF26">
        <v>150.70967741940001</v>
      </c>
      <c r="DH26" t="s">
        <v>395</v>
      </c>
      <c r="DI26" t="s">
        <v>773</v>
      </c>
      <c r="DJ26" t="s">
        <v>782</v>
      </c>
      <c r="DK26">
        <v>143</v>
      </c>
      <c r="DL26">
        <v>50</v>
      </c>
      <c r="DM26">
        <v>98.692307692300005</v>
      </c>
      <c r="DN26">
        <v>120</v>
      </c>
      <c r="DO26">
        <v>18</v>
      </c>
      <c r="DP26">
        <v>133.4416666667</v>
      </c>
      <c r="DQ26">
        <v>146</v>
      </c>
    </row>
    <row r="27" spans="2:121" x14ac:dyDescent="0.2">
      <c r="B27" t="s">
        <v>91</v>
      </c>
      <c r="C27">
        <v>78786</v>
      </c>
      <c r="D27">
        <v>20484</v>
      </c>
      <c r="F27" t="s">
        <v>58</v>
      </c>
      <c r="G27">
        <v>820</v>
      </c>
      <c r="H27">
        <v>179.7609756098</v>
      </c>
      <c r="I27">
        <v>811</v>
      </c>
      <c r="J27">
        <v>203</v>
      </c>
      <c r="K27">
        <v>928</v>
      </c>
      <c r="L27">
        <v>541</v>
      </c>
      <c r="M27">
        <v>262</v>
      </c>
      <c r="N27">
        <v>95</v>
      </c>
      <c r="O27">
        <v>998</v>
      </c>
      <c r="P27">
        <v>564</v>
      </c>
      <c r="Q27">
        <v>388</v>
      </c>
      <c r="R27">
        <v>141</v>
      </c>
      <c r="T27" t="s">
        <v>373</v>
      </c>
      <c r="U27">
        <v>71896</v>
      </c>
      <c r="V27">
        <v>418.61652943140001</v>
      </c>
      <c r="W27">
        <v>70259</v>
      </c>
      <c r="X27">
        <v>17592</v>
      </c>
      <c r="Y27">
        <v>102597</v>
      </c>
      <c r="Z27">
        <v>70636</v>
      </c>
      <c r="AA27">
        <v>34723</v>
      </c>
      <c r="AB27">
        <v>24630</v>
      </c>
      <c r="AC27">
        <v>35953</v>
      </c>
      <c r="AD27">
        <v>23981</v>
      </c>
      <c r="AE27">
        <v>8473</v>
      </c>
      <c r="AF27">
        <v>135</v>
      </c>
      <c r="AH27" t="s">
        <v>393</v>
      </c>
      <c r="AI27">
        <v>4857</v>
      </c>
      <c r="AJ27">
        <v>410.91126209589999</v>
      </c>
      <c r="AK27">
        <v>4321</v>
      </c>
      <c r="AL27">
        <v>1299</v>
      </c>
      <c r="AM27">
        <v>7152</v>
      </c>
      <c r="AN27">
        <v>5074</v>
      </c>
      <c r="AO27">
        <v>1406</v>
      </c>
      <c r="AP27">
        <v>997</v>
      </c>
      <c r="AQ27">
        <v>2817</v>
      </c>
      <c r="AR27">
        <v>2090</v>
      </c>
      <c r="AS27">
        <v>293</v>
      </c>
      <c r="AT27">
        <v>152</v>
      </c>
      <c r="AV27" t="s">
        <v>401</v>
      </c>
      <c r="AW27">
        <v>302</v>
      </c>
      <c r="AX27">
        <v>46.8443708609</v>
      </c>
      <c r="AY27">
        <v>674</v>
      </c>
      <c r="AZ27">
        <v>80</v>
      </c>
      <c r="BA27">
        <v>491</v>
      </c>
      <c r="BB27">
        <v>31</v>
      </c>
      <c r="BC27">
        <v>2</v>
      </c>
      <c r="BD27">
        <v>1</v>
      </c>
      <c r="BE27">
        <v>46</v>
      </c>
      <c r="BF27">
        <v>15</v>
      </c>
      <c r="BG27">
        <v>104</v>
      </c>
      <c r="BH27">
        <v>41</v>
      </c>
      <c r="BJ27" t="s">
        <v>643</v>
      </c>
      <c r="BK27" t="s">
        <v>394</v>
      </c>
      <c r="BL27">
        <v>2514</v>
      </c>
      <c r="BM27">
        <v>452</v>
      </c>
      <c r="BN27">
        <v>85.721161495600001</v>
      </c>
      <c r="BO27">
        <v>2842</v>
      </c>
      <c r="BP27">
        <v>568</v>
      </c>
      <c r="BQ27">
        <v>139.0851513019</v>
      </c>
      <c r="BR27">
        <v>135.78697183099999</v>
      </c>
      <c r="BS27">
        <v>1815</v>
      </c>
      <c r="BT27">
        <v>354</v>
      </c>
      <c r="BU27">
        <v>82.059504132200004</v>
      </c>
      <c r="BV27">
        <v>2053</v>
      </c>
      <c r="BW27">
        <v>410</v>
      </c>
      <c r="BX27">
        <v>152.1490501705</v>
      </c>
      <c r="BY27">
        <v>141.2390243902</v>
      </c>
      <c r="CA27" t="s">
        <v>424</v>
      </c>
      <c r="CB27" t="s">
        <v>811</v>
      </c>
      <c r="CC27" t="s">
        <v>1017</v>
      </c>
      <c r="CD27">
        <v>862</v>
      </c>
      <c r="CE27">
        <v>150</v>
      </c>
      <c r="CF27">
        <v>78.240139211100001</v>
      </c>
      <c r="CG27">
        <v>1102</v>
      </c>
      <c r="CH27">
        <v>193</v>
      </c>
      <c r="CI27">
        <v>109.4637023593</v>
      </c>
      <c r="CJ27">
        <v>102.9585492228</v>
      </c>
      <c r="CL27" t="s">
        <v>424</v>
      </c>
      <c r="CM27" t="s">
        <v>786</v>
      </c>
      <c r="CN27" t="s">
        <v>796</v>
      </c>
      <c r="CO27">
        <v>53</v>
      </c>
      <c r="CP27">
        <v>2</v>
      </c>
      <c r="CQ27">
        <v>56.849056603800001</v>
      </c>
      <c r="CR27">
        <v>129</v>
      </c>
      <c r="CS27">
        <v>21</v>
      </c>
      <c r="CT27">
        <v>63.651162790699999</v>
      </c>
      <c r="CU27">
        <v>61.428571428600002</v>
      </c>
      <c r="CW27" t="s">
        <v>424</v>
      </c>
      <c r="CX27" t="s">
        <v>799</v>
      </c>
      <c r="CY27" t="s">
        <v>809</v>
      </c>
      <c r="CZ27">
        <v>22</v>
      </c>
      <c r="DA27">
        <v>5</v>
      </c>
      <c r="DB27">
        <v>75.681818181799997</v>
      </c>
      <c r="DC27">
        <v>5</v>
      </c>
      <c r="DD27">
        <v>2</v>
      </c>
      <c r="DE27">
        <v>200.2</v>
      </c>
      <c r="DF27">
        <v>221.5</v>
      </c>
      <c r="DH27" t="s">
        <v>424</v>
      </c>
      <c r="DI27" t="s">
        <v>773</v>
      </c>
      <c r="DJ27" t="s">
        <v>783</v>
      </c>
      <c r="DK27">
        <v>4</v>
      </c>
      <c r="DL27">
        <v>2</v>
      </c>
      <c r="DM27">
        <v>107.75</v>
      </c>
      <c r="DN27">
        <v>14</v>
      </c>
      <c r="DO27">
        <v>3</v>
      </c>
      <c r="DP27">
        <v>158.8571428571</v>
      </c>
      <c r="DQ27">
        <v>164.6666666667</v>
      </c>
    </row>
    <row r="28" spans="2:121" x14ac:dyDescent="0.2">
      <c r="B28" t="s">
        <v>99</v>
      </c>
      <c r="C28">
        <v>125176</v>
      </c>
      <c r="D28">
        <v>68392</v>
      </c>
      <c r="F28" t="s">
        <v>72</v>
      </c>
      <c r="G28">
        <v>14623</v>
      </c>
      <c r="H28">
        <v>450.96854270670002</v>
      </c>
      <c r="I28">
        <v>11688</v>
      </c>
      <c r="J28">
        <v>2760</v>
      </c>
      <c r="K28">
        <v>16702</v>
      </c>
      <c r="L28">
        <v>11711</v>
      </c>
      <c r="M28">
        <v>7405</v>
      </c>
      <c r="N28">
        <v>5566</v>
      </c>
      <c r="O28">
        <v>4443</v>
      </c>
      <c r="P28">
        <v>3736</v>
      </c>
      <c r="Q28">
        <v>5</v>
      </c>
      <c r="R28">
        <v>4</v>
      </c>
      <c r="T28" t="s">
        <v>8</v>
      </c>
      <c r="U28">
        <v>4209</v>
      </c>
      <c r="V28">
        <v>385.17106201000001</v>
      </c>
      <c r="W28">
        <v>4124</v>
      </c>
      <c r="X28">
        <v>1714</v>
      </c>
      <c r="Y28">
        <v>5808</v>
      </c>
      <c r="Z28">
        <v>4011</v>
      </c>
      <c r="AA28">
        <v>1473</v>
      </c>
      <c r="AB28">
        <v>822</v>
      </c>
      <c r="AC28">
        <v>1874</v>
      </c>
      <c r="AD28">
        <v>1138</v>
      </c>
      <c r="AE28">
        <v>447</v>
      </c>
      <c r="AF28">
        <v>137</v>
      </c>
      <c r="AH28" t="s">
        <v>401</v>
      </c>
      <c r="AI28">
        <v>5510</v>
      </c>
      <c r="AJ28">
        <v>287.56987295829998</v>
      </c>
      <c r="AK28">
        <v>6273</v>
      </c>
      <c r="AL28">
        <v>1189</v>
      </c>
      <c r="AM28">
        <v>7911</v>
      </c>
      <c r="AN28">
        <v>4684</v>
      </c>
      <c r="AO28">
        <v>2458</v>
      </c>
      <c r="AP28">
        <v>1873</v>
      </c>
      <c r="AQ28">
        <v>8379</v>
      </c>
      <c r="AR28">
        <v>5996</v>
      </c>
      <c r="AS28">
        <v>635</v>
      </c>
      <c r="AT28">
        <v>85</v>
      </c>
      <c r="AV28" t="s">
        <v>385</v>
      </c>
      <c r="AW28">
        <v>1361</v>
      </c>
      <c r="AX28">
        <v>105.3512123439</v>
      </c>
      <c r="AY28">
        <v>1777</v>
      </c>
      <c r="AZ28">
        <v>398</v>
      </c>
      <c r="BA28">
        <v>1797</v>
      </c>
      <c r="BB28">
        <v>677</v>
      </c>
      <c r="BC28">
        <v>28</v>
      </c>
      <c r="BD28">
        <v>27</v>
      </c>
      <c r="BE28">
        <v>124</v>
      </c>
      <c r="BF28">
        <v>39</v>
      </c>
      <c r="BG28">
        <v>212</v>
      </c>
      <c r="BH28">
        <v>528</v>
      </c>
      <c r="BJ28" t="s">
        <v>537</v>
      </c>
      <c r="BK28" t="s">
        <v>373</v>
      </c>
      <c r="BL28">
        <v>4541</v>
      </c>
      <c r="BM28">
        <v>973</v>
      </c>
      <c r="BN28">
        <v>96.465536225500003</v>
      </c>
      <c r="BO28">
        <v>4687</v>
      </c>
      <c r="BP28">
        <v>731</v>
      </c>
      <c r="BQ28">
        <v>144.89844250050001</v>
      </c>
      <c r="BR28">
        <v>153.6005471956</v>
      </c>
      <c r="BS28">
        <v>2406</v>
      </c>
      <c r="BT28">
        <v>558</v>
      </c>
      <c r="BU28">
        <v>104.49459684120001</v>
      </c>
      <c r="BV28">
        <v>2945</v>
      </c>
      <c r="BW28">
        <v>429</v>
      </c>
      <c r="BX28">
        <v>131.16740237689999</v>
      </c>
      <c r="BY28">
        <v>136.67832167829999</v>
      </c>
      <c r="CA28" t="s">
        <v>400</v>
      </c>
      <c r="CB28" t="s">
        <v>811</v>
      </c>
      <c r="CC28" t="s">
        <v>1018</v>
      </c>
      <c r="CD28">
        <v>3716</v>
      </c>
      <c r="CE28">
        <v>712</v>
      </c>
      <c r="CF28">
        <v>86.762917115199997</v>
      </c>
      <c r="CG28">
        <v>4134</v>
      </c>
      <c r="CH28">
        <v>835</v>
      </c>
      <c r="CI28">
        <v>119.916303822</v>
      </c>
      <c r="CJ28">
        <v>121.1784431138</v>
      </c>
      <c r="CL28" t="s">
        <v>400</v>
      </c>
      <c r="CM28" t="s">
        <v>786</v>
      </c>
      <c r="CN28" t="s">
        <v>797</v>
      </c>
      <c r="CO28">
        <v>293</v>
      </c>
      <c r="CP28">
        <v>34</v>
      </c>
      <c r="CQ28">
        <v>65.7030716724</v>
      </c>
      <c r="CR28">
        <v>671</v>
      </c>
      <c r="CS28">
        <v>126</v>
      </c>
      <c r="CT28">
        <v>56.307004470899997</v>
      </c>
      <c r="CU28">
        <v>61.420634920600001</v>
      </c>
      <c r="CW28" t="s">
        <v>400</v>
      </c>
      <c r="CX28" t="s">
        <v>799</v>
      </c>
      <c r="CY28" t="s">
        <v>810</v>
      </c>
      <c r="CZ28">
        <v>90</v>
      </c>
      <c r="DA28">
        <v>19</v>
      </c>
      <c r="DB28">
        <v>89.433333333299998</v>
      </c>
      <c r="DC28">
        <v>63</v>
      </c>
      <c r="DD28">
        <v>9</v>
      </c>
      <c r="DE28">
        <v>135.20634920629999</v>
      </c>
      <c r="DF28">
        <v>148.6666666667</v>
      </c>
      <c r="DH28" t="s">
        <v>400</v>
      </c>
      <c r="DI28" t="s">
        <v>773</v>
      </c>
      <c r="DJ28" t="s">
        <v>784</v>
      </c>
      <c r="DK28">
        <v>47</v>
      </c>
      <c r="DL28">
        <v>6</v>
      </c>
      <c r="DM28">
        <v>77.553191489400007</v>
      </c>
      <c r="DN28">
        <v>54</v>
      </c>
      <c r="DO28">
        <v>12</v>
      </c>
      <c r="DP28">
        <v>125.5740740741</v>
      </c>
      <c r="DQ28">
        <v>131.75</v>
      </c>
    </row>
    <row r="29" spans="2:121" x14ac:dyDescent="0.2">
      <c r="B29" t="s">
        <v>109</v>
      </c>
      <c r="C29">
        <v>56762</v>
      </c>
      <c r="D29">
        <v>28502</v>
      </c>
      <c r="F29" t="s">
        <v>44</v>
      </c>
      <c r="G29">
        <v>1094</v>
      </c>
      <c r="H29">
        <v>135.6608775137</v>
      </c>
      <c r="I29">
        <v>2247</v>
      </c>
      <c r="J29">
        <v>396</v>
      </c>
      <c r="K29">
        <v>1650</v>
      </c>
      <c r="L29">
        <v>682</v>
      </c>
      <c r="M29">
        <v>321</v>
      </c>
      <c r="N29">
        <v>93</v>
      </c>
      <c r="O29">
        <v>343</v>
      </c>
      <c r="P29">
        <v>175</v>
      </c>
      <c r="Q29">
        <v>0</v>
      </c>
      <c r="R29">
        <v>5</v>
      </c>
      <c r="T29" t="s">
        <v>408</v>
      </c>
      <c r="U29">
        <v>64521</v>
      </c>
      <c r="V29">
        <v>407.78904542710001</v>
      </c>
      <c r="W29">
        <v>58954</v>
      </c>
      <c r="X29">
        <v>12862</v>
      </c>
      <c r="Y29">
        <v>92811</v>
      </c>
      <c r="Z29">
        <v>64231</v>
      </c>
      <c r="AA29">
        <v>22974</v>
      </c>
      <c r="AB29">
        <v>15971</v>
      </c>
      <c r="AC29">
        <v>31755</v>
      </c>
      <c r="AD29">
        <v>20335</v>
      </c>
      <c r="AE29">
        <v>102</v>
      </c>
      <c r="AF29">
        <v>565</v>
      </c>
      <c r="AH29" t="s">
        <v>422</v>
      </c>
      <c r="AI29">
        <v>857</v>
      </c>
      <c r="AJ29">
        <v>269.79463243869998</v>
      </c>
      <c r="AK29">
        <v>724</v>
      </c>
      <c r="AL29">
        <v>72</v>
      </c>
      <c r="AM29">
        <v>1312</v>
      </c>
      <c r="AN29">
        <v>678</v>
      </c>
      <c r="AO29">
        <v>473</v>
      </c>
      <c r="AP29">
        <v>223</v>
      </c>
      <c r="AQ29">
        <v>327</v>
      </c>
      <c r="AR29">
        <v>155</v>
      </c>
      <c r="AS29">
        <v>2</v>
      </c>
      <c r="AT29">
        <v>7</v>
      </c>
      <c r="AV29" t="s">
        <v>422</v>
      </c>
      <c r="AW29">
        <v>26</v>
      </c>
      <c r="AX29">
        <v>55.653846153800004</v>
      </c>
      <c r="AY29">
        <v>84</v>
      </c>
      <c r="AZ29">
        <v>7</v>
      </c>
      <c r="BA29">
        <v>47</v>
      </c>
      <c r="BB29">
        <v>3</v>
      </c>
      <c r="BC29">
        <v>0</v>
      </c>
      <c r="BE29">
        <v>2</v>
      </c>
      <c r="BF29">
        <v>1</v>
      </c>
      <c r="BG29">
        <v>87</v>
      </c>
      <c r="BH29">
        <v>5</v>
      </c>
      <c r="BJ29" t="s">
        <v>516</v>
      </c>
      <c r="BK29" t="s">
        <v>373</v>
      </c>
      <c r="BL29">
        <v>3623</v>
      </c>
      <c r="BM29">
        <v>932</v>
      </c>
      <c r="BN29">
        <v>97.340325696899995</v>
      </c>
      <c r="BO29">
        <v>3363</v>
      </c>
      <c r="BP29">
        <v>487</v>
      </c>
      <c r="BQ29">
        <v>128.59232827829999</v>
      </c>
      <c r="BR29">
        <v>155.10061601640001</v>
      </c>
      <c r="BS29">
        <v>3472</v>
      </c>
      <c r="BT29">
        <v>818</v>
      </c>
      <c r="BU29">
        <v>89.781682027599999</v>
      </c>
      <c r="BV29">
        <v>3082</v>
      </c>
      <c r="BW29">
        <v>448</v>
      </c>
      <c r="BX29">
        <v>118.6112913692</v>
      </c>
      <c r="BY29">
        <v>136.6383928571</v>
      </c>
      <c r="CA29" t="s">
        <v>394</v>
      </c>
      <c r="CB29" t="s">
        <v>811</v>
      </c>
      <c r="CD29">
        <v>49776</v>
      </c>
      <c r="CE29">
        <v>10948</v>
      </c>
      <c r="CF29">
        <v>93.483927997400002</v>
      </c>
      <c r="CG29">
        <v>54533</v>
      </c>
      <c r="CH29">
        <v>10121</v>
      </c>
      <c r="CI29">
        <v>126.7443933031</v>
      </c>
      <c r="CJ29">
        <v>126.7773935382</v>
      </c>
      <c r="CL29" t="s">
        <v>394</v>
      </c>
      <c r="CM29" t="s">
        <v>786</v>
      </c>
      <c r="CO29">
        <v>4710</v>
      </c>
      <c r="CP29">
        <v>547</v>
      </c>
      <c r="CQ29">
        <v>70.7991507431</v>
      </c>
      <c r="CR29">
        <v>9307</v>
      </c>
      <c r="CS29">
        <v>1708</v>
      </c>
      <c r="CT29">
        <v>68.544858708500001</v>
      </c>
      <c r="CU29">
        <v>74.580210772800001</v>
      </c>
      <c r="CW29" t="s">
        <v>394</v>
      </c>
      <c r="CX29" t="s">
        <v>799</v>
      </c>
      <c r="CZ29">
        <v>1444</v>
      </c>
      <c r="DA29">
        <v>339</v>
      </c>
      <c r="DB29">
        <v>89.691135734100001</v>
      </c>
      <c r="DC29">
        <v>788</v>
      </c>
      <c r="DD29">
        <v>159</v>
      </c>
      <c r="DE29">
        <v>136.17512690359999</v>
      </c>
      <c r="DF29">
        <v>153.25157232699999</v>
      </c>
      <c r="DH29" t="s">
        <v>394</v>
      </c>
      <c r="DI29" t="s">
        <v>773</v>
      </c>
      <c r="DK29">
        <v>1044</v>
      </c>
      <c r="DL29">
        <v>179</v>
      </c>
      <c r="DM29">
        <v>85.267241379300003</v>
      </c>
      <c r="DN29">
        <v>862</v>
      </c>
      <c r="DO29">
        <v>141</v>
      </c>
      <c r="DP29">
        <v>129.34106728539999</v>
      </c>
      <c r="DQ29">
        <v>142.74468085109999</v>
      </c>
    </row>
    <row r="30" spans="2:121" x14ac:dyDescent="0.2">
      <c r="B30" t="s">
        <v>20</v>
      </c>
      <c r="C30">
        <v>274</v>
      </c>
      <c r="D30">
        <v>160</v>
      </c>
      <c r="F30" t="s">
        <v>48</v>
      </c>
      <c r="G30">
        <v>1635</v>
      </c>
      <c r="H30">
        <v>268.4177370031</v>
      </c>
      <c r="I30">
        <v>1959</v>
      </c>
      <c r="J30">
        <v>431</v>
      </c>
      <c r="K30">
        <v>2060</v>
      </c>
      <c r="L30">
        <v>1413</v>
      </c>
      <c r="M30">
        <v>1056</v>
      </c>
      <c r="N30">
        <v>588</v>
      </c>
      <c r="O30">
        <v>186</v>
      </c>
      <c r="P30">
        <v>80</v>
      </c>
      <c r="Q30">
        <v>0</v>
      </c>
      <c r="R30">
        <v>0</v>
      </c>
      <c r="T30" t="s">
        <v>384</v>
      </c>
      <c r="U30">
        <v>76321</v>
      </c>
      <c r="V30">
        <v>364.95157296159999</v>
      </c>
      <c r="W30">
        <v>74893</v>
      </c>
      <c r="X30">
        <v>18981</v>
      </c>
      <c r="Y30">
        <v>110538</v>
      </c>
      <c r="Z30">
        <v>73200</v>
      </c>
      <c r="AA30">
        <v>30365</v>
      </c>
      <c r="AB30">
        <v>20368</v>
      </c>
      <c r="AC30">
        <v>41974</v>
      </c>
      <c r="AD30">
        <v>27664</v>
      </c>
      <c r="AE30">
        <v>5540</v>
      </c>
      <c r="AF30">
        <v>1132</v>
      </c>
      <c r="AH30" t="s">
        <v>404</v>
      </c>
      <c r="AI30">
        <v>1384</v>
      </c>
      <c r="AJ30">
        <v>225.83670520230001</v>
      </c>
      <c r="AK30">
        <v>2224</v>
      </c>
      <c r="AL30">
        <v>279</v>
      </c>
      <c r="AM30">
        <v>2205</v>
      </c>
      <c r="AN30">
        <v>1158</v>
      </c>
      <c r="AO30">
        <v>756</v>
      </c>
      <c r="AP30">
        <v>569</v>
      </c>
      <c r="AQ30">
        <v>596</v>
      </c>
      <c r="AR30">
        <v>318</v>
      </c>
      <c r="AS30">
        <v>2</v>
      </c>
      <c r="AT30">
        <v>13</v>
      </c>
      <c r="AV30" t="s">
        <v>388</v>
      </c>
      <c r="AW30">
        <v>370</v>
      </c>
      <c r="AX30">
        <v>50.1189189189</v>
      </c>
      <c r="AY30">
        <v>705</v>
      </c>
      <c r="AZ30">
        <v>70</v>
      </c>
      <c r="BA30">
        <v>538</v>
      </c>
      <c r="BB30">
        <v>50</v>
      </c>
      <c r="BC30">
        <v>2</v>
      </c>
      <c r="BD30">
        <v>2</v>
      </c>
      <c r="BE30">
        <v>51</v>
      </c>
      <c r="BF30">
        <v>13</v>
      </c>
      <c r="BG30">
        <v>111</v>
      </c>
      <c r="BH30">
        <v>70</v>
      </c>
      <c r="BJ30" t="s">
        <v>524</v>
      </c>
      <c r="BK30" t="s">
        <v>373</v>
      </c>
      <c r="BL30">
        <v>3822</v>
      </c>
      <c r="BM30">
        <v>657</v>
      </c>
      <c r="BN30">
        <v>89.815541601299998</v>
      </c>
      <c r="BO30">
        <v>3836</v>
      </c>
      <c r="BP30">
        <v>714</v>
      </c>
      <c r="BQ30">
        <v>150.2885818561</v>
      </c>
      <c r="BR30">
        <v>149.068627451</v>
      </c>
      <c r="BS30">
        <v>3104</v>
      </c>
      <c r="BT30">
        <v>389</v>
      </c>
      <c r="BU30">
        <v>78.233569587600002</v>
      </c>
      <c r="BV30">
        <v>2988</v>
      </c>
      <c r="BW30">
        <v>572</v>
      </c>
      <c r="BX30">
        <v>146.31827309240001</v>
      </c>
      <c r="BY30">
        <v>140.24825174829999</v>
      </c>
      <c r="CA30" t="s">
        <v>377</v>
      </c>
      <c r="CB30" t="s">
        <v>860</v>
      </c>
      <c r="CC30" t="s">
        <v>984</v>
      </c>
      <c r="CD30">
        <v>2053</v>
      </c>
      <c r="CE30">
        <v>379</v>
      </c>
      <c r="CF30">
        <v>90.302971261600007</v>
      </c>
      <c r="CG30">
        <v>1817</v>
      </c>
      <c r="CH30">
        <v>304</v>
      </c>
      <c r="CI30">
        <v>115.80352228949999</v>
      </c>
      <c r="CJ30">
        <v>131.50328947369999</v>
      </c>
      <c r="CL30" t="s">
        <v>377</v>
      </c>
      <c r="CM30" t="s">
        <v>829</v>
      </c>
      <c r="CN30" t="s">
        <v>828</v>
      </c>
      <c r="CO30">
        <v>216</v>
      </c>
      <c r="CP30">
        <v>27</v>
      </c>
      <c r="CQ30">
        <v>78.888888888899999</v>
      </c>
      <c r="CR30">
        <v>260</v>
      </c>
      <c r="CS30">
        <v>55</v>
      </c>
      <c r="CT30">
        <v>83.646153846199994</v>
      </c>
      <c r="CU30">
        <v>97.054545454500001</v>
      </c>
      <c r="CW30" t="s">
        <v>377</v>
      </c>
      <c r="CX30" t="s">
        <v>845</v>
      </c>
      <c r="CY30" t="s">
        <v>844</v>
      </c>
      <c r="CZ30">
        <v>49</v>
      </c>
      <c r="DA30">
        <v>14</v>
      </c>
      <c r="DB30">
        <v>91.367346938799997</v>
      </c>
      <c r="DC30">
        <v>39</v>
      </c>
      <c r="DD30">
        <v>9</v>
      </c>
      <c r="DE30">
        <v>133.74358974360001</v>
      </c>
      <c r="DF30">
        <v>157</v>
      </c>
      <c r="DH30" t="s">
        <v>377</v>
      </c>
      <c r="DI30" t="s">
        <v>813</v>
      </c>
      <c r="DJ30" t="s">
        <v>812</v>
      </c>
      <c r="DK30">
        <v>53</v>
      </c>
      <c r="DL30">
        <v>15</v>
      </c>
      <c r="DM30">
        <v>109.81132075470001</v>
      </c>
      <c r="DN30">
        <v>43</v>
      </c>
      <c r="DO30">
        <v>8</v>
      </c>
      <c r="DP30">
        <v>139</v>
      </c>
      <c r="DQ30">
        <v>152.75</v>
      </c>
    </row>
    <row r="31" spans="2:121" x14ac:dyDescent="0.2">
      <c r="B31" t="s">
        <v>22</v>
      </c>
      <c r="C31">
        <v>196313</v>
      </c>
      <c r="D31">
        <v>40549</v>
      </c>
      <c r="F31" t="s">
        <v>76</v>
      </c>
      <c r="G31">
        <v>11846</v>
      </c>
      <c r="H31">
        <v>387.19685969950001</v>
      </c>
      <c r="I31">
        <v>7456</v>
      </c>
      <c r="J31">
        <v>1210</v>
      </c>
      <c r="K31">
        <v>16779</v>
      </c>
      <c r="L31">
        <v>12053</v>
      </c>
      <c r="M31">
        <v>5141</v>
      </c>
      <c r="N31">
        <v>3944</v>
      </c>
      <c r="O31">
        <v>4287</v>
      </c>
      <c r="P31">
        <v>3615</v>
      </c>
      <c r="Q31">
        <v>2</v>
      </c>
      <c r="R31">
        <v>145</v>
      </c>
      <c r="T31" t="s">
        <v>465</v>
      </c>
      <c r="U31">
        <v>317076</v>
      </c>
      <c r="V31">
        <v>392.05580365589998</v>
      </c>
      <c r="W31">
        <v>326484</v>
      </c>
      <c r="X31">
        <v>77245</v>
      </c>
      <c r="Y31">
        <v>458815</v>
      </c>
      <c r="Z31">
        <v>305311</v>
      </c>
      <c r="AA31">
        <v>123625</v>
      </c>
      <c r="AB31">
        <v>83705</v>
      </c>
      <c r="AC31">
        <v>165952</v>
      </c>
      <c r="AD31">
        <v>103260</v>
      </c>
      <c r="AE31">
        <v>19166</v>
      </c>
      <c r="AF31">
        <v>4092</v>
      </c>
      <c r="AH31" t="s">
        <v>417</v>
      </c>
      <c r="AI31">
        <v>3678</v>
      </c>
      <c r="AJ31">
        <v>428.24986405660002</v>
      </c>
      <c r="AK31">
        <v>3568</v>
      </c>
      <c r="AL31">
        <v>815</v>
      </c>
      <c r="AM31">
        <v>4970</v>
      </c>
      <c r="AN31">
        <v>3321</v>
      </c>
      <c r="AO31">
        <v>994</v>
      </c>
      <c r="AP31">
        <v>586</v>
      </c>
      <c r="AQ31">
        <v>1888</v>
      </c>
      <c r="AR31">
        <v>1247</v>
      </c>
      <c r="AS31">
        <v>8</v>
      </c>
      <c r="AT31">
        <v>114</v>
      </c>
      <c r="AV31" t="s">
        <v>409</v>
      </c>
      <c r="AW31">
        <v>66</v>
      </c>
      <c r="AX31">
        <v>38.621212121200003</v>
      </c>
      <c r="AY31">
        <v>132</v>
      </c>
      <c r="AZ31">
        <v>3</v>
      </c>
      <c r="BA31">
        <v>92</v>
      </c>
      <c r="BB31">
        <v>2</v>
      </c>
      <c r="BC31">
        <v>0</v>
      </c>
      <c r="BE31">
        <v>8</v>
      </c>
      <c r="BF31">
        <v>3</v>
      </c>
      <c r="BG31">
        <v>184</v>
      </c>
      <c r="BH31">
        <v>17</v>
      </c>
      <c r="BJ31" t="s">
        <v>526</v>
      </c>
      <c r="BK31" t="s">
        <v>373</v>
      </c>
      <c r="BL31">
        <v>2017</v>
      </c>
      <c r="BM31">
        <v>373</v>
      </c>
      <c r="BN31">
        <v>90.3262270699</v>
      </c>
      <c r="BO31">
        <v>1754</v>
      </c>
      <c r="BP31">
        <v>277</v>
      </c>
      <c r="BQ31">
        <v>117.55017103759999</v>
      </c>
      <c r="BR31">
        <v>130.94945848379999</v>
      </c>
      <c r="BS31">
        <v>2930</v>
      </c>
      <c r="BT31">
        <v>646</v>
      </c>
      <c r="BU31">
        <v>98.852218429999994</v>
      </c>
      <c r="BV31">
        <v>2709</v>
      </c>
      <c r="BW31">
        <v>440</v>
      </c>
      <c r="BX31">
        <v>139.9058693245</v>
      </c>
      <c r="BY31">
        <v>144.47045454549999</v>
      </c>
      <c r="CA31" t="s">
        <v>427</v>
      </c>
      <c r="CB31" t="s">
        <v>860</v>
      </c>
      <c r="CC31" t="s">
        <v>985</v>
      </c>
      <c r="CD31">
        <v>857</v>
      </c>
      <c r="CE31">
        <v>251</v>
      </c>
      <c r="CF31">
        <v>103.6756126021</v>
      </c>
      <c r="CG31">
        <v>912</v>
      </c>
      <c r="CH31">
        <v>183</v>
      </c>
      <c r="CI31">
        <v>145.43969298249999</v>
      </c>
      <c r="CJ31">
        <v>159.68852459019999</v>
      </c>
      <c r="CL31" t="s">
        <v>427</v>
      </c>
      <c r="CM31" t="s">
        <v>829</v>
      </c>
      <c r="CN31" t="s">
        <v>830</v>
      </c>
      <c r="CO31">
        <v>78</v>
      </c>
      <c r="CP31">
        <v>9</v>
      </c>
      <c r="CQ31">
        <v>84.512820512800005</v>
      </c>
      <c r="CR31">
        <v>81</v>
      </c>
      <c r="CS31">
        <v>14</v>
      </c>
      <c r="CT31">
        <v>86.086419753100003</v>
      </c>
      <c r="CU31">
        <v>105.6428571429</v>
      </c>
      <c r="CW31" t="s">
        <v>427</v>
      </c>
      <c r="CX31" t="s">
        <v>845</v>
      </c>
      <c r="CY31" t="s">
        <v>846</v>
      </c>
      <c r="CZ31">
        <v>17</v>
      </c>
      <c r="DA31">
        <v>4</v>
      </c>
      <c r="DB31">
        <v>96.647058823500004</v>
      </c>
      <c r="DC31">
        <v>15</v>
      </c>
      <c r="DD31">
        <v>3</v>
      </c>
      <c r="DE31">
        <v>142.13333333329999</v>
      </c>
      <c r="DF31">
        <v>144.6666666667</v>
      </c>
      <c r="DH31" t="s">
        <v>427</v>
      </c>
      <c r="DI31" t="s">
        <v>813</v>
      </c>
      <c r="DJ31" t="s">
        <v>814</v>
      </c>
      <c r="DK31">
        <v>27</v>
      </c>
      <c r="DL31">
        <v>9</v>
      </c>
      <c r="DM31">
        <v>101.6666666667</v>
      </c>
      <c r="DN31">
        <v>12</v>
      </c>
      <c r="DO31">
        <v>4</v>
      </c>
      <c r="DP31">
        <v>161</v>
      </c>
      <c r="DQ31">
        <v>140.75</v>
      </c>
    </row>
    <row r="32" spans="2:121" x14ac:dyDescent="0.2">
      <c r="B32" t="s">
        <v>117</v>
      </c>
      <c r="C32">
        <v>6583</v>
      </c>
      <c r="D32">
        <v>1964</v>
      </c>
      <c r="F32" t="s">
        <v>68</v>
      </c>
      <c r="G32">
        <v>4216</v>
      </c>
      <c r="H32">
        <v>488.91864326379999</v>
      </c>
      <c r="I32">
        <v>4955</v>
      </c>
      <c r="J32">
        <v>1476</v>
      </c>
      <c r="K32">
        <v>5756</v>
      </c>
      <c r="L32">
        <v>4394</v>
      </c>
      <c r="M32">
        <v>802</v>
      </c>
      <c r="N32">
        <v>444</v>
      </c>
      <c r="O32">
        <v>1079</v>
      </c>
      <c r="P32">
        <v>710</v>
      </c>
      <c r="Q32">
        <v>0</v>
      </c>
      <c r="R32">
        <v>2</v>
      </c>
      <c r="AH32" t="s">
        <v>419</v>
      </c>
      <c r="AI32">
        <v>1533</v>
      </c>
      <c r="AJ32">
        <v>389.3242009132</v>
      </c>
      <c r="AK32">
        <v>1181</v>
      </c>
      <c r="AL32">
        <v>306</v>
      </c>
      <c r="AM32">
        <v>2216</v>
      </c>
      <c r="AN32">
        <v>1465</v>
      </c>
      <c r="AO32">
        <v>493</v>
      </c>
      <c r="AP32">
        <v>435</v>
      </c>
      <c r="AQ32">
        <v>243</v>
      </c>
      <c r="AR32">
        <v>124</v>
      </c>
      <c r="AS32">
        <v>157</v>
      </c>
      <c r="AT32">
        <v>4</v>
      </c>
      <c r="AV32" t="s">
        <v>419</v>
      </c>
      <c r="AW32">
        <v>116</v>
      </c>
      <c r="AX32">
        <v>91.103448275900007</v>
      </c>
      <c r="AY32">
        <v>169</v>
      </c>
      <c r="AZ32">
        <v>46</v>
      </c>
      <c r="BA32">
        <v>159</v>
      </c>
      <c r="BB32">
        <v>52</v>
      </c>
      <c r="BC32">
        <v>1</v>
      </c>
      <c r="BD32">
        <v>1</v>
      </c>
      <c r="BE32">
        <v>14</v>
      </c>
      <c r="BF32">
        <v>3</v>
      </c>
      <c r="BG32">
        <v>19</v>
      </c>
      <c r="BH32">
        <v>37</v>
      </c>
      <c r="BJ32" t="s">
        <v>541</v>
      </c>
      <c r="BK32" t="s">
        <v>373</v>
      </c>
      <c r="BL32">
        <v>2552</v>
      </c>
      <c r="BM32">
        <v>432</v>
      </c>
      <c r="BN32">
        <v>86.606191222600003</v>
      </c>
      <c r="BO32">
        <v>2568</v>
      </c>
      <c r="BP32">
        <v>478</v>
      </c>
      <c r="BQ32">
        <v>117.4848130841</v>
      </c>
      <c r="BR32">
        <v>119.0146443515</v>
      </c>
      <c r="BS32">
        <v>5576</v>
      </c>
      <c r="BT32">
        <v>1301</v>
      </c>
      <c r="BU32">
        <v>96.898672883800003</v>
      </c>
      <c r="BV32">
        <v>5558</v>
      </c>
      <c r="BW32">
        <v>1050</v>
      </c>
      <c r="BX32">
        <v>136.48272759989999</v>
      </c>
      <c r="BY32">
        <v>135.3333333333</v>
      </c>
      <c r="CA32" t="s">
        <v>418</v>
      </c>
      <c r="CB32" t="s">
        <v>860</v>
      </c>
      <c r="CC32" t="s">
        <v>986</v>
      </c>
      <c r="CD32">
        <v>376</v>
      </c>
      <c r="CE32">
        <v>92</v>
      </c>
      <c r="CF32">
        <v>104.6409574468</v>
      </c>
      <c r="CG32">
        <v>400</v>
      </c>
      <c r="CH32">
        <v>78</v>
      </c>
      <c r="CI32">
        <v>149.19749999999999</v>
      </c>
      <c r="CJ32">
        <v>141.0384615385</v>
      </c>
      <c r="CL32" t="s">
        <v>418</v>
      </c>
      <c r="CM32" t="s">
        <v>829</v>
      </c>
      <c r="CN32" t="s">
        <v>831</v>
      </c>
      <c r="CO32">
        <v>70</v>
      </c>
      <c r="CP32">
        <v>12</v>
      </c>
      <c r="CQ32">
        <v>82.185714285700001</v>
      </c>
      <c r="CR32">
        <v>81</v>
      </c>
      <c r="CS32">
        <v>8</v>
      </c>
      <c r="CT32">
        <v>90.493827160500004</v>
      </c>
      <c r="CU32">
        <v>130.125</v>
      </c>
      <c r="CW32" t="s">
        <v>418</v>
      </c>
      <c r="CX32" t="s">
        <v>845</v>
      </c>
      <c r="CY32" t="s">
        <v>847</v>
      </c>
      <c r="CZ32">
        <v>28</v>
      </c>
      <c r="DA32">
        <v>7</v>
      </c>
      <c r="DB32">
        <v>89.857142857100001</v>
      </c>
      <c r="DC32">
        <v>8</v>
      </c>
      <c r="DD32">
        <v>1</v>
      </c>
      <c r="DE32">
        <v>152</v>
      </c>
      <c r="DF32">
        <v>199</v>
      </c>
      <c r="DH32" t="s">
        <v>418</v>
      </c>
      <c r="DI32" t="s">
        <v>813</v>
      </c>
      <c r="DJ32" t="s">
        <v>815</v>
      </c>
      <c r="DK32">
        <v>25</v>
      </c>
      <c r="DL32">
        <v>5</v>
      </c>
      <c r="DM32">
        <v>88.48</v>
      </c>
      <c r="DN32">
        <v>19</v>
      </c>
      <c r="DO32">
        <v>5</v>
      </c>
      <c r="DP32">
        <v>145</v>
      </c>
      <c r="DQ32">
        <v>167.6</v>
      </c>
    </row>
    <row r="33" spans="2:121" x14ac:dyDescent="0.2">
      <c r="B33" t="s">
        <v>160</v>
      </c>
      <c r="C33">
        <v>3927</v>
      </c>
      <c r="D33">
        <v>3758</v>
      </c>
      <c r="F33" t="s">
        <v>70</v>
      </c>
      <c r="G33">
        <v>926</v>
      </c>
      <c r="H33">
        <v>186.5237580994</v>
      </c>
      <c r="I33">
        <v>2133</v>
      </c>
      <c r="J33">
        <v>430</v>
      </c>
      <c r="K33">
        <v>4141</v>
      </c>
      <c r="L33">
        <v>1202</v>
      </c>
      <c r="M33">
        <v>3245</v>
      </c>
      <c r="N33">
        <v>2381</v>
      </c>
      <c r="O33">
        <v>445</v>
      </c>
      <c r="P33">
        <v>202</v>
      </c>
      <c r="Q33">
        <v>0</v>
      </c>
      <c r="R33">
        <v>0</v>
      </c>
      <c r="AH33" t="s">
        <v>378</v>
      </c>
      <c r="AI33">
        <v>2513</v>
      </c>
      <c r="AJ33">
        <v>316.99721448470001</v>
      </c>
      <c r="AK33">
        <v>3987</v>
      </c>
      <c r="AL33">
        <v>989</v>
      </c>
      <c r="AM33">
        <v>4023</v>
      </c>
      <c r="AN33">
        <v>2554</v>
      </c>
      <c r="AO33">
        <v>1352</v>
      </c>
      <c r="AP33">
        <v>918</v>
      </c>
      <c r="AQ33">
        <v>2280</v>
      </c>
      <c r="AR33">
        <v>1508</v>
      </c>
      <c r="AS33">
        <v>706</v>
      </c>
      <c r="AT33">
        <v>5</v>
      </c>
      <c r="AV33" t="s">
        <v>430</v>
      </c>
      <c r="AW33">
        <v>187</v>
      </c>
      <c r="AX33">
        <v>45.679144385000001</v>
      </c>
      <c r="AY33">
        <v>423</v>
      </c>
      <c r="AZ33">
        <v>35</v>
      </c>
      <c r="BA33">
        <v>262</v>
      </c>
      <c r="BB33">
        <v>9</v>
      </c>
      <c r="BC33">
        <v>1</v>
      </c>
      <c r="BD33">
        <v>1</v>
      </c>
      <c r="BE33">
        <v>15</v>
      </c>
      <c r="BF33">
        <v>5</v>
      </c>
      <c r="BG33">
        <v>368</v>
      </c>
      <c r="BH33">
        <v>51</v>
      </c>
      <c r="BJ33" t="s">
        <v>626</v>
      </c>
      <c r="BK33" t="s">
        <v>373</v>
      </c>
      <c r="BL33">
        <v>1167</v>
      </c>
      <c r="BM33">
        <v>276</v>
      </c>
      <c r="BN33">
        <v>102.9640102828</v>
      </c>
      <c r="BO33">
        <v>1172</v>
      </c>
      <c r="BP33">
        <v>201</v>
      </c>
      <c r="BQ33">
        <v>132.2491467577</v>
      </c>
      <c r="BR33">
        <v>144.34328358210001</v>
      </c>
      <c r="BS33">
        <v>1155</v>
      </c>
      <c r="BT33">
        <v>292</v>
      </c>
      <c r="BU33">
        <v>105.167965368</v>
      </c>
      <c r="BV33">
        <v>1189</v>
      </c>
      <c r="BW33">
        <v>208</v>
      </c>
      <c r="BX33">
        <v>138.5256518082</v>
      </c>
      <c r="BY33">
        <v>146.75480769230001</v>
      </c>
      <c r="CA33" t="s">
        <v>420</v>
      </c>
      <c r="CB33" t="s">
        <v>860</v>
      </c>
      <c r="CC33" t="s">
        <v>987</v>
      </c>
      <c r="CD33">
        <v>1344</v>
      </c>
      <c r="CE33">
        <v>173</v>
      </c>
      <c r="CF33">
        <v>78.090773809500007</v>
      </c>
      <c r="CG33">
        <v>1463</v>
      </c>
      <c r="CH33">
        <v>216</v>
      </c>
      <c r="CI33">
        <v>107.5249487355</v>
      </c>
      <c r="CJ33">
        <v>116.1574074074</v>
      </c>
      <c r="CL33" t="s">
        <v>420</v>
      </c>
      <c r="CM33" t="s">
        <v>829</v>
      </c>
      <c r="CN33" t="s">
        <v>832</v>
      </c>
      <c r="CO33">
        <v>122</v>
      </c>
      <c r="CP33">
        <v>8</v>
      </c>
      <c r="CQ33">
        <v>61.434426229499998</v>
      </c>
      <c r="CR33">
        <v>175</v>
      </c>
      <c r="CS33">
        <v>31</v>
      </c>
      <c r="CT33">
        <v>81.954285714299999</v>
      </c>
      <c r="CU33">
        <v>83.322580645200006</v>
      </c>
      <c r="CW33" t="s">
        <v>420</v>
      </c>
      <c r="CX33" t="s">
        <v>845</v>
      </c>
      <c r="CY33" t="s">
        <v>848</v>
      </c>
      <c r="CZ33">
        <v>28</v>
      </c>
      <c r="DA33">
        <v>5</v>
      </c>
      <c r="DB33">
        <v>91.678571428599994</v>
      </c>
      <c r="DC33">
        <v>13</v>
      </c>
      <c r="DD33">
        <v>4</v>
      </c>
      <c r="DE33">
        <v>162.5384615385</v>
      </c>
      <c r="DF33">
        <v>171.5</v>
      </c>
      <c r="DH33" t="s">
        <v>420</v>
      </c>
      <c r="DI33" t="s">
        <v>813</v>
      </c>
      <c r="DJ33" t="s">
        <v>816</v>
      </c>
      <c r="DK33">
        <v>17</v>
      </c>
      <c r="DL33">
        <v>5</v>
      </c>
      <c r="DM33">
        <v>104.9411764706</v>
      </c>
      <c r="DN33">
        <v>17</v>
      </c>
      <c r="DO33">
        <v>3</v>
      </c>
      <c r="DP33">
        <v>163.4117647059</v>
      </c>
      <c r="DQ33">
        <v>174.6666666667</v>
      </c>
    </row>
    <row r="34" spans="2:121" x14ac:dyDescent="0.2">
      <c r="B34" t="s">
        <v>96</v>
      </c>
      <c r="C34">
        <v>198</v>
      </c>
      <c r="D34">
        <v>169</v>
      </c>
      <c r="F34" t="s">
        <v>40</v>
      </c>
      <c r="G34">
        <v>5863</v>
      </c>
      <c r="H34">
        <v>504.65836602420001</v>
      </c>
      <c r="I34">
        <v>6595</v>
      </c>
      <c r="J34">
        <v>1829</v>
      </c>
      <c r="K34">
        <v>7368</v>
      </c>
      <c r="L34">
        <v>5586</v>
      </c>
      <c r="M34">
        <v>1785</v>
      </c>
      <c r="N34">
        <v>1489</v>
      </c>
      <c r="O34">
        <v>1201</v>
      </c>
      <c r="P34">
        <v>684</v>
      </c>
      <c r="Q34">
        <v>0</v>
      </c>
      <c r="R34">
        <v>214</v>
      </c>
      <c r="AH34" t="s">
        <v>409</v>
      </c>
      <c r="AI34">
        <v>1550</v>
      </c>
      <c r="AJ34">
        <v>230.72967741939999</v>
      </c>
      <c r="AK34">
        <v>2779</v>
      </c>
      <c r="AL34">
        <v>584</v>
      </c>
      <c r="AM34">
        <v>2352</v>
      </c>
      <c r="AN34">
        <v>1050</v>
      </c>
      <c r="AO34">
        <v>528</v>
      </c>
      <c r="AP34">
        <v>250</v>
      </c>
      <c r="AQ34">
        <v>813</v>
      </c>
      <c r="AR34">
        <v>476</v>
      </c>
      <c r="AS34">
        <v>5</v>
      </c>
      <c r="AT34">
        <v>10</v>
      </c>
      <c r="AV34" t="s">
        <v>399</v>
      </c>
      <c r="AW34">
        <v>365</v>
      </c>
      <c r="AX34">
        <v>51.1452054795</v>
      </c>
      <c r="AY34">
        <v>1123</v>
      </c>
      <c r="AZ34">
        <v>107</v>
      </c>
      <c r="BA34">
        <v>603</v>
      </c>
      <c r="BB34">
        <v>37</v>
      </c>
      <c r="BC34">
        <v>1</v>
      </c>
      <c r="BD34">
        <v>1</v>
      </c>
      <c r="BE34">
        <v>52</v>
      </c>
      <c r="BF34">
        <v>8</v>
      </c>
      <c r="BG34">
        <v>106</v>
      </c>
      <c r="BH34">
        <v>83</v>
      </c>
      <c r="BJ34" t="s">
        <v>522</v>
      </c>
      <c r="BK34" t="s">
        <v>373</v>
      </c>
      <c r="BL34">
        <v>4795</v>
      </c>
      <c r="BM34">
        <v>1217</v>
      </c>
      <c r="BN34">
        <v>98.917831074000006</v>
      </c>
      <c r="BO34">
        <v>4325</v>
      </c>
      <c r="BP34">
        <v>930</v>
      </c>
      <c r="BQ34">
        <v>141.15421965319999</v>
      </c>
      <c r="BR34">
        <v>142.08387096769999</v>
      </c>
      <c r="BS34">
        <v>3575</v>
      </c>
      <c r="BT34">
        <v>951</v>
      </c>
      <c r="BU34">
        <v>95.439440559399998</v>
      </c>
      <c r="BV34">
        <v>3525</v>
      </c>
      <c r="BW34">
        <v>718</v>
      </c>
      <c r="BX34">
        <v>133.46269503549999</v>
      </c>
      <c r="BY34">
        <v>137.71448467970001</v>
      </c>
      <c r="CA34" t="s">
        <v>380</v>
      </c>
      <c r="CB34" t="s">
        <v>860</v>
      </c>
      <c r="CC34" t="s">
        <v>988</v>
      </c>
      <c r="CD34">
        <v>5131</v>
      </c>
      <c r="CE34">
        <v>1117</v>
      </c>
      <c r="CF34">
        <v>96.040537906799997</v>
      </c>
      <c r="CG34">
        <v>5416</v>
      </c>
      <c r="CH34">
        <v>888</v>
      </c>
      <c r="CI34">
        <v>138.38626292469999</v>
      </c>
      <c r="CJ34">
        <v>144.19256756760001</v>
      </c>
      <c r="CL34" t="s">
        <v>380</v>
      </c>
      <c r="CM34" t="s">
        <v>829</v>
      </c>
      <c r="CN34" t="s">
        <v>833</v>
      </c>
      <c r="CO34">
        <v>474</v>
      </c>
      <c r="CP34">
        <v>55</v>
      </c>
      <c r="CQ34">
        <v>75.548523206799999</v>
      </c>
      <c r="CR34">
        <v>579</v>
      </c>
      <c r="CS34">
        <v>120</v>
      </c>
      <c r="CT34">
        <v>85.077720207300004</v>
      </c>
      <c r="CU34">
        <v>97.091666666699993</v>
      </c>
      <c r="CW34" t="s">
        <v>380</v>
      </c>
      <c r="CX34" t="s">
        <v>845</v>
      </c>
      <c r="CY34" t="s">
        <v>849</v>
      </c>
      <c r="CZ34">
        <v>243</v>
      </c>
      <c r="DA34">
        <v>73</v>
      </c>
      <c r="DB34">
        <v>99.020576131699997</v>
      </c>
      <c r="DC34">
        <v>157</v>
      </c>
      <c r="DD34">
        <v>35</v>
      </c>
      <c r="DE34">
        <v>148.3375796178</v>
      </c>
      <c r="DF34">
        <v>165.2</v>
      </c>
      <c r="DH34" t="s">
        <v>380</v>
      </c>
      <c r="DI34" t="s">
        <v>813</v>
      </c>
      <c r="DJ34" t="s">
        <v>817</v>
      </c>
      <c r="DK34">
        <v>340</v>
      </c>
      <c r="DL34">
        <v>79</v>
      </c>
      <c r="DM34">
        <v>93.032352941200003</v>
      </c>
      <c r="DN34">
        <v>198</v>
      </c>
      <c r="DO34">
        <v>47</v>
      </c>
      <c r="DP34">
        <v>150.1868686869</v>
      </c>
      <c r="DQ34">
        <v>165.8723404255</v>
      </c>
    </row>
    <row r="35" spans="2:121" x14ac:dyDescent="0.2">
      <c r="B35" t="s">
        <v>125</v>
      </c>
      <c r="C35">
        <v>610</v>
      </c>
      <c r="D35">
        <v>21</v>
      </c>
      <c r="F35" t="s">
        <v>74</v>
      </c>
      <c r="G35">
        <v>7187</v>
      </c>
      <c r="H35">
        <v>345.35313760960003</v>
      </c>
      <c r="I35">
        <v>11892</v>
      </c>
      <c r="J35">
        <v>2142</v>
      </c>
      <c r="K35">
        <v>17501</v>
      </c>
      <c r="L35">
        <v>9686</v>
      </c>
      <c r="M35">
        <v>4332</v>
      </c>
      <c r="N35">
        <v>2439</v>
      </c>
      <c r="O35">
        <v>2632</v>
      </c>
      <c r="P35">
        <v>1654</v>
      </c>
      <c r="Q35">
        <v>0</v>
      </c>
      <c r="R35">
        <v>58</v>
      </c>
      <c r="AH35" t="s">
        <v>63</v>
      </c>
      <c r="AI35">
        <v>6354</v>
      </c>
      <c r="AJ35">
        <v>296.64447592070002</v>
      </c>
      <c r="AK35">
        <v>8868</v>
      </c>
      <c r="AL35">
        <v>1962</v>
      </c>
      <c r="AM35">
        <v>9754</v>
      </c>
      <c r="AN35">
        <v>5917</v>
      </c>
      <c r="AO35">
        <v>4282</v>
      </c>
      <c r="AP35">
        <v>3141</v>
      </c>
      <c r="AQ35">
        <v>3762</v>
      </c>
      <c r="AR35">
        <v>1535</v>
      </c>
      <c r="AS35">
        <v>1546</v>
      </c>
      <c r="AT35">
        <v>10</v>
      </c>
      <c r="AV35" t="s">
        <v>376</v>
      </c>
      <c r="AW35">
        <v>100</v>
      </c>
      <c r="AX35">
        <v>85.17</v>
      </c>
      <c r="AY35">
        <v>172</v>
      </c>
      <c r="AZ35">
        <v>34</v>
      </c>
      <c r="BA35">
        <v>146</v>
      </c>
      <c r="BB35">
        <v>48</v>
      </c>
      <c r="BC35">
        <v>4</v>
      </c>
      <c r="BD35">
        <v>4</v>
      </c>
      <c r="BE35">
        <v>12</v>
      </c>
      <c r="BF35">
        <v>4</v>
      </c>
      <c r="BG35">
        <v>18</v>
      </c>
      <c r="BH35">
        <v>35</v>
      </c>
      <c r="BJ35" t="s">
        <v>528</v>
      </c>
      <c r="BK35" t="s">
        <v>373</v>
      </c>
      <c r="BL35">
        <v>2690</v>
      </c>
      <c r="BM35">
        <v>564</v>
      </c>
      <c r="BN35">
        <v>90.549814126399994</v>
      </c>
      <c r="BO35">
        <v>2462</v>
      </c>
      <c r="BP35">
        <v>493</v>
      </c>
      <c r="BQ35">
        <v>142.44191714050001</v>
      </c>
      <c r="BR35">
        <v>129.84178498989999</v>
      </c>
      <c r="BS35">
        <v>2126</v>
      </c>
      <c r="BT35">
        <v>340</v>
      </c>
      <c r="BU35">
        <v>78.154280338700005</v>
      </c>
      <c r="BV35">
        <v>1960</v>
      </c>
      <c r="BW35">
        <v>390</v>
      </c>
      <c r="BX35">
        <v>137.98265306120001</v>
      </c>
      <c r="BY35">
        <v>116.958974359</v>
      </c>
      <c r="CA35" t="s">
        <v>375</v>
      </c>
      <c r="CB35" t="s">
        <v>860</v>
      </c>
      <c r="CC35" t="s">
        <v>989</v>
      </c>
      <c r="CD35">
        <v>4361</v>
      </c>
      <c r="CE35">
        <v>1094</v>
      </c>
      <c r="CF35">
        <v>97.767943132300005</v>
      </c>
      <c r="CG35">
        <v>4133</v>
      </c>
      <c r="CH35">
        <v>647</v>
      </c>
      <c r="CI35">
        <v>127.2806677958</v>
      </c>
      <c r="CJ35">
        <v>149.0757341577</v>
      </c>
      <c r="CL35" t="s">
        <v>375</v>
      </c>
      <c r="CM35" t="s">
        <v>829</v>
      </c>
      <c r="CN35" t="s">
        <v>834</v>
      </c>
      <c r="CO35">
        <v>449</v>
      </c>
      <c r="CP35">
        <v>58</v>
      </c>
      <c r="CQ35">
        <v>72.924276169300001</v>
      </c>
      <c r="CR35">
        <v>569</v>
      </c>
      <c r="CS35">
        <v>112</v>
      </c>
      <c r="CT35">
        <v>80.541300527199994</v>
      </c>
      <c r="CU35">
        <v>80.589285714300004</v>
      </c>
      <c r="CW35" t="s">
        <v>375</v>
      </c>
      <c r="CX35" t="s">
        <v>845</v>
      </c>
      <c r="CY35" t="s">
        <v>850</v>
      </c>
      <c r="CZ35">
        <v>95</v>
      </c>
      <c r="DA35">
        <v>33</v>
      </c>
      <c r="DB35">
        <v>99.368421052599999</v>
      </c>
      <c r="DC35">
        <v>64</v>
      </c>
      <c r="DD35">
        <v>7</v>
      </c>
      <c r="DE35">
        <v>135.953125</v>
      </c>
      <c r="DF35">
        <v>157.57142857139999</v>
      </c>
      <c r="DH35" t="s">
        <v>375</v>
      </c>
      <c r="DI35" t="s">
        <v>813</v>
      </c>
      <c r="DJ35" t="s">
        <v>818</v>
      </c>
      <c r="DK35">
        <v>48</v>
      </c>
      <c r="DL35">
        <v>15</v>
      </c>
      <c r="DM35">
        <v>100.0416666667</v>
      </c>
      <c r="DN35">
        <v>36</v>
      </c>
      <c r="DO35">
        <v>8</v>
      </c>
      <c r="DP35">
        <v>121.69444444440001</v>
      </c>
      <c r="DQ35">
        <v>166.5</v>
      </c>
    </row>
    <row r="36" spans="2:121" x14ac:dyDescent="0.2">
      <c r="B36" t="s">
        <v>92</v>
      </c>
      <c r="C36">
        <v>3</v>
      </c>
      <c r="F36" t="s">
        <v>85</v>
      </c>
      <c r="G36">
        <v>623</v>
      </c>
      <c r="H36">
        <v>383.4895666132</v>
      </c>
      <c r="I36">
        <v>701</v>
      </c>
      <c r="J36">
        <v>213</v>
      </c>
      <c r="K36">
        <v>702</v>
      </c>
      <c r="L36">
        <v>542</v>
      </c>
      <c r="M36">
        <v>53</v>
      </c>
      <c r="N36">
        <v>15</v>
      </c>
      <c r="O36">
        <v>127</v>
      </c>
      <c r="P36">
        <v>67</v>
      </c>
      <c r="Q36">
        <v>0</v>
      </c>
      <c r="R36">
        <v>0</v>
      </c>
      <c r="T36" t="s">
        <v>650</v>
      </c>
      <c r="U36" t="s">
        <v>309</v>
      </c>
      <c r="V36" t="s">
        <v>136</v>
      </c>
      <c r="W36" t="s">
        <v>217</v>
      </c>
      <c r="X36" t="s">
        <v>463</v>
      </c>
      <c r="Y36" t="s">
        <v>219</v>
      </c>
      <c r="Z36" t="s">
        <v>220</v>
      </c>
      <c r="AA36" t="s">
        <v>221</v>
      </c>
      <c r="AB36" t="s">
        <v>464</v>
      </c>
      <c r="AC36" t="s">
        <v>223</v>
      </c>
      <c r="AD36" t="s">
        <v>224</v>
      </c>
      <c r="AE36" t="s">
        <v>225</v>
      </c>
      <c r="AF36" t="s">
        <v>226</v>
      </c>
      <c r="AH36" t="s">
        <v>386</v>
      </c>
      <c r="AI36">
        <v>16091</v>
      </c>
      <c r="AJ36">
        <v>324.15990305140002</v>
      </c>
      <c r="AK36">
        <v>16642</v>
      </c>
      <c r="AL36">
        <v>4751</v>
      </c>
      <c r="AM36">
        <v>22175</v>
      </c>
      <c r="AN36">
        <v>15144</v>
      </c>
      <c r="AO36">
        <v>8964</v>
      </c>
      <c r="AP36">
        <v>5891</v>
      </c>
      <c r="AQ36">
        <v>6772</v>
      </c>
      <c r="AR36">
        <v>4137</v>
      </c>
      <c r="AS36">
        <v>1142</v>
      </c>
      <c r="AT36">
        <v>46</v>
      </c>
      <c r="AV36" t="s">
        <v>387</v>
      </c>
      <c r="AW36">
        <v>954</v>
      </c>
      <c r="AX36">
        <v>99.232704402500005</v>
      </c>
      <c r="AY36">
        <v>1002</v>
      </c>
      <c r="AZ36">
        <v>255</v>
      </c>
      <c r="BA36">
        <v>1259</v>
      </c>
      <c r="BB36">
        <v>480</v>
      </c>
      <c r="BC36">
        <v>11</v>
      </c>
      <c r="BD36">
        <v>11</v>
      </c>
      <c r="BE36">
        <v>46</v>
      </c>
      <c r="BF36">
        <v>21</v>
      </c>
      <c r="BG36">
        <v>160</v>
      </c>
      <c r="BH36">
        <v>292</v>
      </c>
      <c r="BJ36" t="s">
        <v>373</v>
      </c>
      <c r="BK36" t="s">
        <v>373</v>
      </c>
      <c r="BL36">
        <v>68502</v>
      </c>
      <c r="BM36">
        <v>16672</v>
      </c>
      <c r="BN36">
        <v>99.029634171300003</v>
      </c>
      <c r="BO36">
        <v>70685</v>
      </c>
      <c r="BP36">
        <v>13688</v>
      </c>
      <c r="BQ36">
        <v>136.4999504845</v>
      </c>
      <c r="BR36">
        <v>135.2813413209</v>
      </c>
      <c r="BS36">
        <v>67081</v>
      </c>
      <c r="BT36">
        <v>15720</v>
      </c>
      <c r="BU36">
        <v>96.657548337099996</v>
      </c>
      <c r="BV36">
        <v>69519</v>
      </c>
      <c r="BW36">
        <v>13407</v>
      </c>
      <c r="BX36">
        <v>134.98272414740001</v>
      </c>
      <c r="BY36">
        <v>132.4583426568</v>
      </c>
      <c r="CA36" t="s">
        <v>419</v>
      </c>
      <c r="CB36" t="s">
        <v>860</v>
      </c>
      <c r="CC36" t="s">
        <v>990</v>
      </c>
      <c r="CD36">
        <v>1236</v>
      </c>
      <c r="CE36">
        <v>299</v>
      </c>
      <c r="CF36">
        <v>103.51051779940001</v>
      </c>
      <c r="CG36">
        <v>1239</v>
      </c>
      <c r="CH36">
        <v>217</v>
      </c>
      <c r="CI36">
        <v>130.6561743341</v>
      </c>
      <c r="CJ36">
        <v>138.13364055299999</v>
      </c>
      <c r="CL36" t="s">
        <v>419</v>
      </c>
      <c r="CM36" t="s">
        <v>829</v>
      </c>
      <c r="CN36" t="s">
        <v>835</v>
      </c>
      <c r="CO36">
        <v>108</v>
      </c>
      <c r="CP36">
        <v>13</v>
      </c>
      <c r="CQ36">
        <v>69</v>
      </c>
      <c r="CR36">
        <v>131</v>
      </c>
      <c r="CS36">
        <v>28</v>
      </c>
      <c r="CT36">
        <v>90.076335877899993</v>
      </c>
      <c r="CU36">
        <v>104.6071428571</v>
      </c>
      <c r="CW36" t="s">
        <v>419</v>
      </c>
      <c r="CX36" t="s">
        <v>845</v>
      </c>
      <c r="CY36" t="s">
        <v>851</v>
      </c>
      <c r="CZ36">
        <v>29</v>
      </c>
      <c r="DA36">
        <v>9</v>
      </c>
      <c r="DB36">
        <v>98.758620689699995</v>
      </c>
      <c r="DC36">
        <v>10</v>
      </c>
      <c r="DD36">
        <v>2</v>
      </c>
      <c r="DE36">
        <v>140.4</v>
      </c>
      <c r="DF36">
        <v>152</v>
      </c>
      <c r="DH36" t="s">
        <v>419</v>
      </c>
      <c r="DI36" t="s">
        <v>813</v>
      </c>
      <c r="DJ36" t="s">
        <v>819</v>
      </c>
      <c r="DK36">
        <v>18</v>
      </c>
      <c r="DL36">
        <v>3</v>
      </c>
      <c r="DM36">
        <v>91.388888888899999</v>
      </c>
      <c r="DN36">
        <v>19</v>
      </c>
      <c r="DO36">
        <v>4</v>
      </c>
      <c r="DP36">
        <v>133.15789473679999</v>
      </c>
      <c r="DQ36">
        <v>126.75</v>
      </c>
    </row>
    <row r="37" spans="2:121" x14ac:dyDescent="0.2">
      <c r="B37" t="s">
        <v>98</v>
      </c>
      <c r="C37">
        <v>1034</v>
      </c>
      <c r="D37">
        <v>644</v>
      </c>
      <c r="F37" t="s">
        <v>50</v>
      </c>
      <c r="G37">
        <v>2129</v>
      </c>
      <c r="H37">
        <v>239.75293565050001</v>
      </c>
      <c r="I37">
        <v>2294</v>
      </c>
      <c r="J37">
        <v>424</v>
      </c>
      <c r="K37">
        <v>3363</v>
      </c>
      <c r="L37">
        <v>2191</v>
      </c>
      <c r="M37">
        <v>485</v>
      </c>
      <c r="N37">
        <v>105</v>
      </c>
      <c r="O37">
        <v>1244</v>
      </c>
      <c r="P37">
        <v>879</v>
      </c>
      <c r="Q37">
        <v>0</v>
      </c>
      <c r="R37">
        <v>10</v>
      </c>
      <c r="T37" t="s">
        <v>394</v>
      </c>
      <c r="U37">
        <v>2265</v>
      </c>
      <c r="V37">
        <v>49.305077262700003</v>
      </c>
      <c r="W37">
        <v>5866</v>
      </c>
      <c r="X37">
        <v>604</v>
      </c>
      <c r="Y37">
        <v>3643</v>
      </c>
      <c r="Z37">
        <v>198</v>
      </c>
      <c r="AA37">
        <v>15</v>
      </c>
      <c r="AB37">
        <v>12</v>
      </c>
      <c r="AC37">
        <v>267</v>
      </c>
      <c r="AD37">
        <v>75</v>
      </c>
      <c r="AE37">
        <v>1919</v>
      </c>
      <c r="AF37">
        <v>544</v>
      </c>
      <c r="AH37" t="s">
        <v>423</v>
      </c>
      <c r="AI37">
        <v>172</v>
      </c>
      <c r="AJ37">
        <v>303.97093023259998</v>
      </c>
      <c r="AK37">
        <v>650</v>
      </c>
      <c r="AL37">
        <v>113</v>
      </c>
      <c r="AM37">
        <v>327</v>
      </c>
      <c r="AN37">
        <v>147</v>
      </c>
      <c r="AO37">
        <v>119</v>
      </c>
      <c r="AP37">
        <v>58</v>
      </c>
      <c r="AQ37">
        <v>148</v>
      </c>
      <c r="AR37">
        <v>75</v>
      </c>
      <c r="AS37">
        <v>0</v>
      </c>
      <c r="AT37">
        <v>0</v>
      </c>
      <c r="AV37" t="s">
        <v>418</v>
      </c>
      <c r="AW37">
        <v>45</v>
      </c>
      <c r="AX37">
        <v>112.0444444444</v>
      </c>
      <c r="AY37">
        <v>76</v>
      </c>
      <c r="AZ37">
        <v>16</v>
      </c>
      <c r="BA37">
        <v>62</v>
      </c>
      <c r="BB37">
        <v>21</v>
      </c>
      <c r="BC37">
        <v>3</v>
      </c>
      <c r="BD37">
        <v>3</v>
      </c>
      <c r="BE37">
        <v>2</v>
      </c>
      <c r="BF37">
        <v>1</v>
      </c>
      <c r="BG37">
        <v>12</v>
      </c>
      <c r="BH37">
        <v>19</v>
      </c>
      <c r="BJ37" t="s">
        <v>530</v>
      </c>
      <c r="BK37" t="s">
        <v>373</v>
      </c>
      <c r="BL37">
        <v>7051</v>
      </c>
      <c r="BM37">
        <v>2188</v>
      </c>
      <c r="BN37">
        <v>115.4142674798</v>
      </c>
      <c r="BO37">
        <v>7693</v>
      </c>
      <c r="BP37">
        <v>1514</v>
      </c>
      <c r="BQ37">
        <v>153.0049395554</v>
      </c>
      <c r="BR37">
        <v>141.67767503300001</v>
      </c>
      <c r="BS37">
        <v>7168</v>
      </c>
      <c r="BT37">
        <v>2218</v>
      </c>
      <c r="BU37">
        <v>115.2776227679</v>
      </c>
      <c r="BV37">
        <v>8011</v>
      </c>
      <c r="BW37">
        <v>1602</v>
      </c>
      <c r="BX37">
        <v>152.63312944699999</v>
      </c>
      <c r="BY37">
        <v>142.79213483149999</v>
      </c>
      <c r="CA37" t="s">
        <v>378</v>
      </c>
      <c r="CB37" t="s">
        <v>860</v>
      </c>
      <c r="CC37" t="s">
        <v>991</v>
      </c>
      <c r="CD37">
        <v>3893</v>
      </c>
      <c r="CE37">
        <v>919</v>
      </c>
      <c r="CF37">
        <v>98.043154379699999</v>
      </c>
      <c r="CG37">
        <v>3978</v>
      </c>
      <c r="CH37">
        <v>806</v>
      </c>
      <c r="CI37">
        <v>141.88687782810001</v>
      </c>
      <c r="CJ37">
        <v>133.858560794</v>
      </c>
      <c r="CL37" t="s">
        <v>378</v>
      </c>
      <c r="CM37" t="s">
        <v>829</v>
      </c>
      <c r="CN37" t="s">
        <v>836</v>
      </c>
      <c r="CO37">
        <v>502</v>
      </c>
      <c r="CP37">
        <v>65</v>
      </c>
      <c r="CQ37">
        <v>73.426294820699994</v>
      </c>
      <c r="CR37">
        <v>601</v>
      </c>
      <c r="CS37">
        <v>107</v>
      </c>
      <c r="CT37">
        <v>84.417637271199993</v>
      </c>
      <c r="CU37">
        <v>112.5420560748</v>
      </c>
      <c r="CW37" t="s">
        <v>378</v>
      </c>
      <c r="CX37" t="s">
        <v>845</v>
      </c>
      <c r="CY37" t="s">
        <v>852</v>
      </c>
      <c r="CZ37">
        <v>122</v>
      </c>
      <c r="DA37">
        <v>33</v>
      </c>
      <c r="DB37">
        <v>92.729508196699996</v>
      </c>
      <c r="DC37">
        <v>51</v>
      </c>
      <c r="DD37">
        <v>11</v>
      </c>
      <c r="DE37">
        <v>145.29411764709999</v>
      </c>
      <c r="DF37">
        <v>150.36363636359999</v>
      </c>
      <c r="DH37" t="s">
        <v>378</v>
      </c>
      <c r="DI37" t="s">
        <v>813</v>
      </c>
      <c r="DJ37" t="s">
        <v>820</v>
      </c>
      <c r="DK37">
        <v>82</v>
      </c>
      <c r="DL37">
        <v>17</v>
      </c>
      <c r="DM37">
        <v>89.951219512199998</v>
      </c>
      <c r="DN37">
        <v>69</v>
      </c>
      <c r="DO37">
        <v>17</v>
      </c>
      <c r="DP37">
        <v>134.4637681159</v>
      </c>
      <c r="DQ37">
        <v>141.0588235294</v>
      </c>
    </row>
    <row r="38" spans="2:121" x14ac:dyDescent="0.2">
      <c r="B38" t="s">
        <v>1064</v>
      </c>
      <c r="C38">
        <v>112</v>
      </c>
      <c r="D38">
        <v>107</v>
      </c>
      <c r="F38" t="s">
        <v>55</v>
      </c>
      <c r="G38">
        <v>7591</v>
      </c>
      <c r="H38">
        <v>378.57383743909998</v>
      </c>
      <c r="I38">
        <v>8956</v>
      </c>
      <c r="J38">
        <v>1912</v>
      </c>
      <c r="K38">
        <v>9126</v>
      </c>
      <c r="L38">
        <v>6150</v>
      </c>
      <c r="M38">
        <v>1034</v>
      </c>
      <c r="N38">
        <v>889</v>
      </c>
      <c r="O38">
        <v>4094</v>
      </c>
      <c r="P38">
        <v>3449</v>
      </c>
      <c r="Q38">
        <v>2</v>
      </c>
      <c r="R38">
        <v>30</v>
      </c>
      <c r="T38" t="s">
        <v>384</v>
      </c>
      <c r="U38">
        <v>7272</v>
      </c>
      <c r="V38">
        <v>89.206820682100002</v>
      </c>
      <c r="W38">
        <v>9258</v>
      </c>
      <c r="X38">
        <v>1825</v>
      </c>
      <c r="Y38">
        <v>9852</v>
      </c>
      <c r="Z38">
        <v>3039</v>
      </c>
      <c r="AA38">
        <v>118</v>
      </c>
      <c r="AB38">
        <v>114</v>
      </c>
      <c r="AC38">
        <v>479</v>
      </c>
      <c r="AD38">
        <v>177</v>
      </c>
      <c r="AE38">
        <v>1230</v>
      </c>
      <c r="AF38">
        <v>1958</v>
      </c>
      <c r="AH38" t="s">
        <v>395</v>
      </c>
      <c r="AI38">
        <v>6716</v>
      </c>
      <c r="AJ38">
        <v>416.24017272190002</v>
      </c>
      <c r="AK38">
        <v>8709</v>
      </c>
      <c r="AL38">
        <v>2347</v>
      </c>
      <c r="AM38">
        <v>11565</v>
      </c>
      <c r="AN38">
        <v>6579</v>
      </c>
      <c r="AO38">
        <v>1875</v>
      </c>
      <c r="AP38">
        <v>1117</v>
      </c>
      <c r="AQ38">
        <v>4403</v>
      </c>
      <c r="AR38">
        <v>2722</v>
      </c>
      <c r="AS38">
        <v>735</v>
      </c>
      <c r="AT38">
        <v>324</v>
      </c>
      <c r="AV38" t="s">
        <v>400</v>
      </c>
      <c r="AW38">
        <v>195</v>
      </c>
      <c r="AX38">
        <v>41.102564102599999</v>
      </c>
      <c r="AY38">
        <v>394</v>
      </c>
      <c r="AZ38">
        <v>37</v>
      </c>
      <c r="BA38">
        <v>308</v>
      </c>
      <c r="BB38">
        <v>11</v>
      </c>
      <c r="BC38">
        <v>1</v>
      </c>
      <c r="BE38">
        <v>25</v>
      </c>
      <c r="BF38">
        <v>11</v>
      </c>
      <c r="BG38">
        <v>62</v>
      </c>
      <c r="BH38">
        <v>30</v>
      </c>
      <c r="BJ38" t="s">
        <v>533</v>
      </c>
      <c r="BK38" t="s">
        <v>373</v>
      </c>
      <c r="BL38">
        <v>4664</v>
      </c>
      <c r="BM38">
        <v>1386</v>
      </c>
      <c r="BN38">
        <v>114.1560891938</v>
      </c>
      <c r="BO38">
        <v>4131</v>
      </c>
      <c r="BP38">
        <v>826</v>
      </c>
      <c r="BQ38">
        <v>164.8562091503</v>
      </c>
      <c r="BR38">
        <v>154.92615012109999</v>
      </c>
      <c r="BS38">
        <v>3787</v>
      </c>
      <c r="BT38">
        <v>1484</v>
      </c>
      <c r="BU38">
        <v>131.7517824135</v>
      </c>
      <c r="BV38">
        <v>3271</v>
      </c>
      <c r="BW38">
        <v>652</v>
      </c>
      <c r="BX38">
        <v>181.8508101498</v>
      </c>
      <c r="BY38">
        <v>170.39263803680001</v>
      </c>
      <c r="CA38" t="s">
        <v>63</v>
      </c>
      <c r="CB38" t="s">
        <v>860</v>
      </c>
      <c r="CC38" t="s">
        <v>522</v>
      </c>
      <c r="CD38">
        <v>8538</v>
      </c>
      <c r="CE38">
        <v>1827</v>
      </c>
      <c r="CF38">
        <v>94.476809557300001</v>
      </c>
      <c r="CG38">
        <v>8555</v>
      </c>
      <c r="CH38">
        <v>1730</v>
      </c>
      <c r="CI38">
        <v>138.9334891876</v>
      </c>
      <c r="CJ38">
        <v>139.51040462430001</v>
      </c>
      <c r="CL38" t="s">
        <v>63</v>
      </c>
      <c r="CM38" t="s">
        <v>829</v>
      </c>
      <c r="CN38" t="s">
        <v>837</v>
      </c>
      <c r="CO38">
        <v>1284</v>
      </c>
      <c r="CP38">
        <v>110</v>
      </c>
      <c r="CQ38">
        <v>75.1339563863</v>
      </c>
      <c r="CR38">
        <v>1514</v>
      </c>
      <c r="CS38">
        <v>285</v>
      </c>
      <c r="CT38">
        <v>87.145970937900003</v>
      </c>
      <c r="CU38">
        <v>102.2771929825</v>
      </c>
      <c r="CW38" t="s">
        <v>63</v>
      </c>
      <c r="CX38" t="s">
        <v>845</v>
      </c>
      <c r="CY38" t="s">
        <v>853</v>
      </c>
      <c r="CZ38">
        <v>268</v>
      </c>
      <c r="DA38">
        <v>59</v>
      </c>
      <c r="DB38">
        <v>85.358208955199999</v>
      </c>
      <c r="DC38">
        <v>146</v>
      </c>
      <c r="DD38">
        <v>28</v>
      </c>
      <c r="DE38">
        <v>132.07534246579999</v>
      </c>
      <c r="DF38">
        <v>166.5</v>
      </c>
      <c r="DH38" t="s">
        <v>63</v>
      </c>
      <c r="DI38" t="s">
        <v>813</v>
      </c>
      <c r="DJ38" t="s">
        <v>821</v>
      </c>
      <c r="DK38">
        <v>154</v>
      </c>
      <c r="DL38">
        <v>38</v>
      </c>
      <c r="DM38">
        <v>87.603896103899999</v>
      </c>
      <c r="DN38">
        <v>112</v>
      </c>
      <c r="DO38">
        <v>20</v>
      </c>
      <c r="DP38">
        <v>143.21428571429999</v>
      </c>
      <c r="DQ38">
        <v>158.1</v>
      </c>
    </row>
    <row r="39" spans="2:121" x14ac:dyDescent="0.2">
      <c r="B39" t="s">
        <v>118</v>
      </c>
      <c r="C39">
        <v>3445</v>
      </c>
      <c r="D39">
        <v>1007</v>
      </c>
      <c r="F39" t="s">
        <v>63</v>
      </c>
      <c r="G39">
        <v>4273</v>
      </c>
      <c r="H39">
        <v>302.47975661129999</v>
      </c>
      <c r="I39">
        <v>4600</v>
      </c>
      <c r="J39">
        <v>1196</v>
      </c>
      <c r="K39">
        <v>5735</v>
      </c>
      <c r="L39">
        <v>3902</v>
      </c>
      <c r="M39">
        <v>3498</v>
      </c>
      <c r="N39">
        <v>2918</v>
      </c>
      <c r="O39">
        <v>1781</v>
      </c>
      <c r="P39">
        <v>200</v>
      </c>
      <c r="Q39">
        <v>0</v>
      </c>
      <c r="R39">
        <v>1</v>
      </c>
      <c r="T39" t="s">
        <v>373</v>
      </c>
      <c r="U39">
        <v>7437</v>
      </c>
      <c r="V39">
        <v>94.6443458384</v>
      </c>
      <c r="W39">
        <v>11104</v>
      </c>
      <c r="X39">
        <v>2489</v>
      </c>
      <c r="Y39">
        <v>10075</v>
      </c>
      <c r="Z39">
        <v>3399</v>
      </c>
      <c r="AA39">
        <v>272</v>
      </c>
      <c r="AB39">
        <v>267</v>
      </c>
      <c r="AC39">
        <v>529</v>
      </c>
      <c r="AD39">
        <v>175</v>
      </c>
      <c r="AE39">
        <v>1254</v>
      </c>
      <c r="AF39">
        <v>2538</v>
      </c>
      <c r="AH39" t="s">
        <v>416</v>
      </c>
      <c r="AI39">
        <v>2971</v>
      </c>
      <c r="AJ39">
        <v>349.73207674179997</v>
      </c>
      <c r="AK39">
        <v>6235</v>
      </c>
      <c r="AL39">
        <v>924</v>
      </c>
      <c r="AM39">
        <v>4447</v>
      </c>
      <c r="AN39">
        <v>2372</v>
      </c>
      <c r="AO39">
        <v>1459</v>
      </c>
      <c r="AP39">
        <v>671</v>
      </c>
      <c r="AQ39">
        <v>2481</v>
      </c>
      <c r="AR39">
        <v>1189</v>
      </c>
      <c r="AS39">
        <v>7</v>
      </c>
      <c r="AT39">
        <v>67</v>
      </c>
      <c r="AV39" t="s">
        <v>395</v>
      </c>
      <c r="AW39">
        <v>416</v>
      </c>
      <c r="AX39">
        <v>53.870192307700002</v>
      </c>
      <c r="AY39">
        <v>1282</v>
      </c>
      <c r="AZ39">
        <v>153</v>
      </c>
      <c r="BA39">
        <v>735</v>
      </c>
      <c r="BB39">
        <v>50</v>
      </c>
      <c r="BC39">
        <v>7</v>
      </c>
      <c r="BD39">
        <v>6</v>
      </c>
      <c r="BE39">
        <v>55</v>
      </c>
      <c r="BF39">
        <v>16</v>
      </c>
      <c r="BG39">
        <v>114</v>
      </c>
      <c r="BH39">
        <v>118</v>
      </c>
      <c r="BJ39" t="s">
        <v>518</v>
      </c>
      <c r="BK39" t="s">
        <v>373</v>
      </c>
      <c r="BL39">
        <v>2418</v>
      </c>
      <c r="BM39">
        <v>433</v>
      </c>
      <c r="BN39">
        <v>78.856906534299995</v>
      </c>
      <c r="BO39">
        <v>6111</v>
      </c>
      <c r="BP39">
        <v>1224</v>
      </c>
      <c r="BQ39">
        <v>56.579283259699999</v>
      </c>
      <c r="BR39">
        <v>67.344771241800004</v>
      </c>
      <c r="BS39">
        <v>3760</v>
      </c>
      <c r="BT39">
        <v>822</v>
      </c>
      <c r="BU39">
        <v>92.600531914900003</v>
      </c>
      <c r="BV39">
        <v>7544</v>
      </c>
      <c r="BW39">
        <v>1506</v>
      </c>
      <c r="BX39">
        <v>82.537910922600005</v>
      </c>
      <c r="BY39">
        <v>85.980079681299998</v>
      </c>
      <c r="CA39" t="s">
        <v>386</v>
      </c>
      <c r="CB39" t="s">
        <v>860</v>
      </c>
      <c r="CC39" t="s">
        <v>992</v>
      </c>
      <c r="CD39">
        <v>15366</v>
      </c>
      <c r="CE39">
        <v>4222</v>
      </c>
      <c r="CF39">
        <v>103.0605232331</v>
      </c>
      <c r="CG39">
        <v>15945</v>
      </c>
      <c r="CH39">
        <v>3012</v>
      </c>
      <c r="CI39">
        <v>143.4465976795</v>
      </c>
      <c r="CJ39">
        <v>143.89940239040001</v>
      </c>
      <c r="CL39" t="s">
        <v>386</v>
      </c>
      <c r="CM39" t="s">
        <v>829</v>
      </c>
      <c r="CN39" t="s">
        <v>838</v>
      </c>
      <c r="CO39">
        <v>1267</v>
      </c>
      <c r="CP39">
        <v>163</v>
      </c>
      <c r="CQ39">
        <v>75.003946329900003</v>
      </c>
      <c r="CR39">
        <v>1468</v>
      </c>
      <c r="CS39">
        <v>271</v>
      </c>
      <c r="CT39">
        <v>84.677792915500007</v>
      </c>
      <c r="CU39">
        <v>95.863468634699998</v>
      </c>
      <c r="CW39" t="s">
        <v>386</v>
      </c>
      <c r="CX39" t="s">
        <v>845</v>
      </c>
      <c r="CY39" t="s">
        <v>854</v>
      </c>
      <c r="CZ39">
        <v>636</v>
      </c>
      <c r="DA39">
        <v>186</v>
      </c>
      <c r="DB39">
        <v>94.811320754700006</v>
      </c>
      <c r="DC39">
        <v>345</v>
      </c>
      <c r="DD39">
        <v>74</v>
      </c>
      <c r="DE39">
        <v>150.5188405797</v>
      </c>
      <c r="DF39">
        <v>161.06756756760001</v>
      </c>
      <c r="DH39" t="s">
        <v>386</v>
      </c>
      <c r="DI39" t="s">
        <v>813</v>
      </c>
      <c r="DJ39" t="s">
        <v>822</v>
      </c>
      <c r="DK39">
        <v>1201</v>
      </c>
      <c r="DL39">
        <v>306</v>
      </c>
      <c r="DM39">
        <v>89.135720233100002</v>
      </c>
      <c r="DN39">
        <v>609</v>
      </c>
      <c r="DO39">
        <v>109</v>
      </c>
      <c r="DP39">
        <v>144.58949096879999</v>
      </c>
      <c r="DQ39">
        <v>152.78899082570001</v>
      </c>
    </row>
    <row r="40" spans="2:121" x14ac:dyDescent="0.2">
      <c r="B40" t="s">
        <v>102</v>
      </c>
      <c r="C40">
        <v>15871</v>
      </c>
      <c r="D40">
        <v>1968</v>
      </c>
      <c r="F40" t="s">
        <v>52</v>
      </c>
      <c r="G40">
        <v>4096</v>
      </c>
      <c r="H40">
        <v>411.44775390630002</v>
      </c>
      <c r="I40">
        <v>3968</v>
      </c>
      <c r="J40">
        <v>1239</v>
      </c>
      <c r="K40">
        <v>6264</v>
      </c>
      <c r="L40">
        <v>4451</v>
      </c>
      <c r="M40">
        <v>2058</v>
      </c>
      <c r="N40">
        <v>1617</v>
      </c>
      <c r="O40">
        <v>2258</v>
      </c>
      <c r="P40">
        <v>1849</v>
      </c>
      <c r="Q40">
        <v>40</v>
      </c>
      <c r="R40">
        <v>183</v>
      </c>
      <c r="T40" t="s">
        <v>8</v>
      </c>
      <c r="U40">
        <v>143</v>
      </c>
      <c r="V40">
        <v>93.923076923099998</v>
      </c>
      <c r="W40">
        <v>212</v>
      </c>
      <c r="X40">
        <v>94</v>
      </c>
      <c r="Y40">
        <v>314</v>
      </c>
      <c r="Z40">
        <v>150</v>
      </c>
      <c r="AA40">
        <v>12</v>
      </c>
      <c r="AB40">
        <v>11</v>
      </c>
      <c r="AC40">
        <v>9</v>
      </c>
      <c r="AD40">
        <v>6</v>
      </c>
      <c r="AE40">
        <v>40</v>
      </c>
      <c r="AF40">
        <v>21</v>
      </c>
      <c r="AH40" t="s">
        <v>413</v>
      </c>
      <c r="AI40">
        <v>7803</v>
      </c>
      <c r="AJ40">
        <v>441.477124183</v>
      </c>
      <c r="AK40">
        <v>4658</v>
      </c>
      <c r="AL40">
        <v>1206</v>
      </c>
      <c r="AM40">
        <v>10455</v>
      </c>
      <c r="AN40">
        <v>7834</v>
      </c>
      <c r="AO40">
        <v>3140</v>
      </c>
      <c r="AP40">
        <v>2625</v>
      </c>
      <c r="AQ40">
        <v>2688</v>
      </c>
      <c r="AR40">
        <v>1469</v>
      </c>
      <c r="AS40">
        <v>8</v>
      </c>
      <c r="AT40">
        <v>78</v>
      </c>
      <c r="AV40" t="s">
        <v>414</v>
      </c>
      <c r="AW40">
        <v>774</v>
      </c>
      <c r="AX40">
        <v>43.192506459900002</v>
      </c>
      <c r="AY40">
        <v>1352</v>
      </c>
      <c r="AZ40">
        <v>51</v>
      </c>
      <c r="BA40">
        <v>1186</v>
      </c>
      <c r="BB40">
        <v>51</v>
      </c>
      <c r="BC40">
        <v>9</v>
      </c>
      <c r="BD40">
        <v>7</v>
      </c>
      <c r="BE40">
        <v>61</v>
      </c>
      <c r="BF40">
        <v>36</v>
      </c>
      <c r="BG40">
        <v>1155</v>
      </c>
      <c r="BH40">
        <v>231</v>
      </c>
      <c r="BJ40" t="s">
        <v>539</v>
      </c>
      <c r="BK40" t="s">
        <v>373</v>
      </c>
      <c r="BL40">
        <v>10411</v>
      </c>
      <c r="BM40">
        <v>2346</v>
      </c>
      <c r="BN40">
        <v>94.366631447499998</v>
      </c>
      <c r="BO40">
        <v>9871</v>
      </c>
      <c r="BP40">
        <v>2290</v>
      </c>
      <c r="BQ40">
        <v>142.4484854625</v>
      </c>
      <c r="BR40">
        <v>130.6746724891</v>
      </c>
      <c r="BS40">
        <v>9954</v>
      </c>
      <c r="BT40">
        <v>2213</v>
      </c>
      <c r="BU40">
        <v>91.642656218599996</v>
      </c>
      <c r="BV40">
        <v>10080</v>
      </c>
      <c r="BW40">
        <v>2239</v>
      </c>
      <c r="BX40">
        <v>137.55704365080001</v>
      </c>
      <c r="BY40">
        <v>128.79231799909999</v>
      </c>
      <c r="CA40" t="s">
        <v>379</v>
      </c>
      <c r="CB40" t="s">
        <v>860</v>
      </c>
      <c r="CC40" t="s">
        <v>993</v>
      </c>
      <c r="CD40">
        <v>8441</v>
      </c>
      <c r="CE40">
        <v>2346</v>
      </c>
      <c r="CF40">
        <v>109.5447221893</v>
      </c>
      <c r="CG40">
        <v>9366</v>
      </c>
      <c r="CH40">
        <v>1871</v>
      </c>
      <c r="CI40">
        <v>146.75453768950001</v>
      </c>
      <c r="CJ40">
        <v>136.74826296099999</v>
      </c>
      <c r="CL40" t="s">
        <v>379</v>
      </c>
      <c r="CM40" t="s">
        <v>829</v>
      </c>
      <c r="CN40" t="s">
        <v>839</v>
      </c>
      <c r="CO40">
        <v>1535</v>
      </c>
      <c r="CP40">
        <v>156</v>
      </c>
      <c r="CQ40">
        <v>74.317263843600003</v>
      </c>
      <c r="CR40">
        <v>1790</v>
      </c>
      <c r="CS40">
        <v>319</v>
      </c>
      <c r="CT40">
        <v>84.411731843599995</v>
      </c>
      <c r="CU40">
        <v>98.081504702199993</v>
      </c>
      <c r="CW40" t="s">
        <v>379</v>
      </c>
      <c r="CX40" t="s">
        <v>845</v>
      </c>
      <c r="CY40" t="s">
        <v>855</v>
      </c>
      <c r="CZ40">
        <v>207</v>
      </c>
      <c r="DA40">
        <v>50</v>
      </c>
      <c r="DB40">
        <v>88.608695652199998</v>
      </c>
      <c r="DC40">
        <v>129</v>
      </c>
      <c r="DD40">
        <v>21</v>
      </c>
      <c r="DE40">
        <v>140.15503875970001</v>
      </c>
      <c r="DF40">
        <v>153.23809523809999</v>
      </c>
      <c r="DH40" t="s">
        <v>379</v>
      </c>
      <c r="DI40" t="s">
        <v>813</v>
      </c>
      <c r="DJ40" t="s">
        <v>823</v>
      </c>
      <c r="DK40">
        <v>127</v>
      </c>
      <c r="DL40">
        <v>27</v>
      </c>
      <c r="DM40">
        <v>84.448818897600006</v>
      </c>
      <c r="DN40">
        <v>130</v>
      </c>
      <c r="DO40">
        <v>30</v>
      </c>
      <c r="DP40">
        <v>131.55384615380001</v>
      </c>
      <c r="DQ40">
        <v>137.26666666669999</v>
      </c>
    </row>
    <row r="41" spans="2:121" x14ac:dyDescent="0.2">
      <c r="B41" t="s">
        <v>127</v>
      </c>
      <c r="C41">
        <v>207</v>
      </c>
      <c r="D41">
        <v>92</v>
      </c>
      <c r="F41" t="s">
        <v>25</v>
      </c>
      <c r="G41">
        <v>12980</v>
      </c>
      <c r="H41">
        <v>346.69853620959998</v>
      </c>
      <c r="I41">
        <v>16695</v>
      </c>
      <c r="J41">
        <v>4298</v>
      </c>
      <c r="K41">
        <v>18572</v>
      </c>
      <c r="L41">
        <v>13291</v>
      </c>
      <c r="M41">
        <v>7430</v>
      </c>
      <c r="N41">
        <v>5007</v>
      </c>
      <c r="O41">
        <v>10965</v>
      </c>
      <c r="P41">
        <v>9177</v>
      </c>
      <c r="Q41">
        <v>64</v>
      </c>
      <c r="R41">
        <v>6</v>
      </c>
      <c r="T41" t="s">
        <v>389</v>
      </c>
      <c r="U41">
        <v>1842</v>
      </c>
      <c r="V41">
        <v>44.258414766599998</v>
      </c>
      <c r="W41">
        <v>3187</v>
      </c>
      <c r="X41">
        <v>177</v>
      </c>
      <c r="Y41">
        <v>2682</v>
      </c>
      <c r="Z41">
        <v>135</v>
      </c>
      <c r="AA41">
        <v>22</v>
      </c>
      <c r="AB41">
        <v>18</v>
      </c>
      <c r="AC41">
        <v>164</v>
      </c>
      <c r="AD41">
        <v>60</v>
      </c>
      <c r="AE41">
        <v>2423</v>
      </c>
      <c r="AF41">
        <v>447</v>
      </c>
      <c r="AH41" t="s">
        <v>8</v>
      </c>
      <c r="AI41">
        <v>4209</v>
      </c>
      <c r="AJ41">
        <v>385.17106201000001</v>
      </c>
      <c r="AK41">
        <v>4124</v>
      </c>
      <c r="AL41">
        <v>1714</v>
      </c>
      <c r="AM41">
        <v>5808</v>
      </c>
      <c r="AN41">
        <v>4011</v>
      </c>
      <c r="AO41">
        <v>1473</v>
      </c>
      <c r="AP41">
        <v>822</v>
      </c>
      <c r="AQ41">
        <v>1874</v>
      </c>
      <c r="AR41">
        <v>1138</v>
      </c>
      <c r="AS41">
        <v>447</v>
      </c>
      <c r="AT41">
        <v>137</v>
      </c>
      <c r="AV41" t="s">
        <v>63</v>
      </c>
      <c r="AW41">
        <v>1269</v>
      </c>
      <c r="AX41">
        <v>94.037825059100001</v>
      </c>
      <c r="AY41">
        <v>2328</v>
      </c>
      <c r="AZ41">
        <v>530</v>
      </c>
      <c r="BA41">
        <v>1774</v>
      </c>
      <c r="BB41">
        <v>592</v>
      </c>
      <c r="BC41">
        <v>26</v>
      </c>
      <c r="BD41">
        <v>26</v>
      </c>
      <c r="BE41">
        <v>78</v>
      </c>
      <c r="BF41">
        <v>28</v>
      </c>
      <c r="BG41">
        <v>175</v>
      </c>
      <c r="BH41">
        <v>394</v>
      </c>
      <c r="BJ41" t="s">
        <v>631</v>
      </c>
      <c r="BK41" t="s">
        <v>373</v>
      </c>
      <c r="BL41">
        <v>1305</v>
      </c>
      <c r="BM41">
        <v>155</v>
      </c>
      <c r="BN41">
        <v>76.082758620700005</v>
      </c>
      <c r="BO41">
        <v>1417</v>
      </c>
      <c r="BP41">
        <v>214</v>
      </c>
      <c r="BQ41">
        <v>108.2844036697</v>
      </c>
      <c r="BR41">
        <v>114.56542056070001</v>
      </c>
      <c r="BS41">
        <v>5771</v>
      </c>
      <c r="BT41">
        <v>1331</v>
      </c>
      <c r="BU41">
        <v>96.723271530100007</v>
      </c>
      <c r="BV41">
        <v>5438</v>
      </c>
      <c r="BW41">
        <v>936</v>
      </c>
      <c r="BX41">
        <v>135.1020595807</v>
      </c>
      <c r="BY41">
        <v>143.69017094020001</v>
      </c>
      <c r="CA41" t="s">
        <v>376</v>
      </c>
      <c r="CB41" t="s">
        <v>860</v>
      </c>
      <c r="CC41" t="s">
        <v>994</v>
      </c>
      <c r="CD41">
        <v>876</v>
      </c>
      <c r="CE41">
        <v>192</v>
      </c>
      <c r="CF41">
        <v>92.437214611900004</v>
      </c>
      <c r="CG41">
        <v>966</v>
      </c>
      <c r="CH41">
        <v>180</v>
      </c>
      <c r="CI41">
        <v>117.0672877847</v>
      </c>
      <c r="CJ41">
        <v>133.03333333329999</v>
      </c>
      <c r="CL41" t="s">
        <v>376</v>
      </c>
      <c r="CM41" t="s">
        <v>829</v>
      </c>
      <c r="CN41" t="s">
        <v>840</v>
      </c>
      <c r="CO41">
        <v>100</v>
      </c>
      <c r="CP41">
        <v>7</v>
      </c>
      <c r="CQ41">
        <v>71.150000000000006</v>
      </c>
      <c r="CR41">
        <v>158</v>
      </c>
      <c r="CS41">
        <v>31</v>
      </c>
      <c r="CT41">
        <v>92.310126582300001</v>
      </c>
      <c r="CU41">
        <v>104.74193548389999</v>
      </c>
      <c r="CW41" t="s">
        <v>376</v>
      </c>
      <c r="CX41" t="s">
        <v>845</v>
      </c>
      <c r="CY41" t="s">
        <v>856</v>
      </c>
      <c r="CZ41">
        <v>12</v>
      </c>
      <c r="DA41">
        <v>6</v>
      </c>
      <c r="DB41">
        <v>116</v>
      </c>
      <c r="DC41">
        <v>8</v>
      </c>
      <c r="DD41">
        <v>0</v>
      </c>
      <c r="DE41">
        <v>157.625</v>
      </c>
      <c r="DF41">
        <v>0</v>
      </c>
      <c r="DH41" t="s">
        <v>376</v>
      </c>
      <c r="DI41" t="s">
        <v>813</v>
      </c>
      <c r="DJ41" t="s">
        <v>824</v>
      </c>
      <c r="DK41">
        <v>11</v>
      </c>
      <c r="DL41">
        <v>5</v>
      </c>
      <c r="DM41">
        <v>107.9090909091</v>
      </c>
      <c r="DN41">
        <v>9</v>
      </c>
      <c r="DO41">
        <v>0</v>
      </c>
      <c r="DP41">
        <v>121</v>
      </c>
      <c r="DQ41">
        <v>0</v>
      </c>
    </row>
    <row r="42" spans="2:121" x14ac:dyDescent="0.2">
      <c r="B42" t="s">
        <v>108</v>
      </c>
      <c r="C42">
        <v>7308</v>
      </c>
      <c r="D42">
        <v>5870</v>
      </c>
      <c r="F42" t="s">
        <v>35</v>
      </c>
      <c r="G42">
        <v>2007</v>
      </c>
      <c r="H42">
        <v>454.47633283509998</v>
      </c>
      <c r="I42">
        <v>1185</v>
      </c>
      <c r="J42">
        <v>311</v>
      </c>
      <c r="K42">
        <v>2733</v>
      </c>
      <c r="L42">
        <v>1975</v>
      </c>
      <c r="M42">
        <v>2145</v>
      </c>
      <c r="N42">
        <v>1843</v>
      </c>
      <c r="O42">
        <v>512</v>
      </c>
      <c r="P42">
        <v>232</v>
      </c>
      <c r="Q42">
        <v>0</v>
      </c>
      <c r="R42">
        <v>2</v>
      </c>
      <c r="T42" t="s">
        <v>408</v>
      </c>
      <c r="U42">
        <v>1587</v>
      </c>
      <c r="V42">
        <v>45.3648393195</v>
      </c>
      <c r="W42">
        <v>3291</v>
      </c>
      <c r="X42">
        <v>194</v>
      </c>
      <c r="Y42">
        <v>2243</v>
      </c>
      <c r="Z42">
        <v>103</v>
      </c>
      <c r="AA42">
        <v>17</v>
      </c>
      <c r="AB42">
        <v>11</v>
      </c>
      <c r="AC42">
        <v>145</v>
      </c>
      <c r="AD42">
        <v>68</v>
      </c>
      <c r="AE42">
        <v>2661</v>
      </c>
      <c r="AF42">
        <v>440</v>
      </c>
      <c r="AH42" t="s">
        <v>379</v>
      </c>
      <c r="AI42">
        <v>8003</v>
      </c>
      <c r="AJ42">
        <v>443.19067849560003</v>
      </c>
      <c r="AK42">
        <v>8833</v>
      </c>
      <c r="AL42">
        <v>2468</v>
      </c>
      <c r="AM42">
        <v>12167</v>
      </c>
      <c r="AN42">
        <v>8812</v>
      </c>
      <c r="AO42">
        <v>2069</v>
      </c>
      <c r="AP42">
        <v>1307</v>
      </c>
      <c r="AQ42">
        <v>6542</v>
      </c>
      <c r="AR42">
        <v>5109</v>
      </c>
      <c r="AS42">
        <v>1418</v>
      </c>
      <c r="AT42">
        <v>12</v>
      </c>
      <c r="AV42" t="s">
        <v>415</v>
      </c>
      <c r="AW42">
        <v>165</v>
      </c>
      <c r="AX42">
        <v>47.357575757600003</v>
      </c>
      <c r="AY42">
        <v>261</v>
      </c>
      <c r="AZ42">
        <v>30</v>
      </c>
      <c r="BA42">
        <v>260</v>
      </c>
      <c r="BB42">
        <v>20</v>
      </c>
      <c r="BC42">
        <v>5</v>
      </c>
      <c r="BD42">
        <v>4</v>
      </c>
      <c r="BE42">
        <v>14</v>
      </c>
      <c r="BF42">
        <v>2</v>
      </c>
      <c r="BG42">
        <v>80</v>
      </c>
      <c r="BH42">
        <v>29</v>
      </c>
      <c r="BJ42" t="s">
        <v>633</v>
      </c>
      <c r="BK42" t="s">
        <v>373</v>
      </c>
      <c r="BL42">
        <v>578</v>
      </c>
      <c r="BM42">
        <v>148</v>
      </c>
      <c r="BN42">
        <v>99.391003460199997</v>
      </c>
      <c r="BO42">
        <v>361</v>
      </c>
      <c r="BP42">
        <v>113</v>
      </c>
      <c r="BQ42">
        <v>142.19113573409999</v>
      </c>
      <c r="BR42">
        <v>138.6991150442</v>
      </c>
      <c r="BS42">
        <v>607</v>
      </c>
      <c r="BT42">
        <v>207</v>
      </c>
      <c r="BU42">
        <v>118.48434925860001</v>
      </c>
      <c r="BV42">
        <v>586</v>
      </c>
      <c r="BW42">
        <v>137</v>
      </c>
      <c r="BX42">
        <v>169.95904436859999</v>
      </c>
      <c r="BY42">
        <v>159.64233576640001</v>
      </c>
      <c r="CA42" t="s">
        <v>421</v>
      </c>
      <c r="CB42" t="s">
        <v>860</v>
      </c>
      <c r="CC42" t="s">
        <v>995</v>
      </c>
      <c r="CD42">
        <v>509</v>
      </c>
      <c r="CE42">
        <v>118</v>
      </c>
      <c r="CF42">
        <v>95.520628683699996</v>
      </c>
      <c r="CG42">
        <v>390</v>
      </c>
      <c r="CH42">
        <v>104</v>
      </c>
      <c r="CI42">
        <v>141.45641025640001</v>
      </c>
      <c r="CJ42">
        <v>140.89423076919999</v>
      </c>
      <c r="CL42" t="s">
        <v>421</v>
      </c>
      <c r="CM42" t="s">
        <v>829</v>
      </c>
      <c r="CN42" t="s">
        <v>841</v>
      </c>
      <c r="CO42">
        <v>51</v>
      </c>
      <c r="CP42">
        <v>7</v>
      </c>
      <c r="CQ42">
        <v>70.470588235299999</v>
      </c>
      <c r="CR42">
        <v>42</v>
      </c>
      <c r="CS42">
        <v>15</v>
      </c>
      <c r="CT42">
        <v>93.904761904799997</v>
      </c>
      <c r="CU42">
        <v>99.2</v>
      </c>
      <c r="CW42" t="s">
        <v>421</v>
      </c>
      <c r="CX42" t="s">
        <v>845</v>
      </c>
      <c r="CY42" t="s">
        <v>857</v>
      </c>
      <c r="CZ42">
        <v>4</v>
      </c>
      <c r="DA42">
        <v>2</v>
      </c>
      <c r="DB42">
        <v>98.5</v>
      </c>
      <c r="DC42">
        <v>4</v>
      </c>
      <c r="DD42">
        <v>1</v>
      </c>
      <c r="DE42">
        <v>124</v>
      </c>
      <c r="DF42">
        <v>172</v>
      </c>
      <c r="DH42" t="s">
        <v>421</v>
      </c>
      <c r="DI42" t="s">
        <v>813</v>
      </c>
      <c r="DJ42" t="s">
        <v>825</v>
      </c>
      <c r="DK42">
        <v>3</v>
      </c>
      <c r="DL42">
        <v>0</v>
      </c>
      <c r="DM42">
        <v>53</v>
      </c>
      <c r="DN42">
        <v>6</v>
      </c>
      <c r="DO42">
        <v>1</v>
      </c>
      <c r="DP42">
        <v>106</v>
      </c>
      <c r="DQ42">
        <v>170</v>
      </c>
    </row>
    <row r="43" spans="2:121" x14ac:dyDescent="0.2">
      <c r="B43" t="s">
        <v>116</v>
      </c>
      <c r="C43">
        <v>16327</v>
      </c>
      <c r="D43">
        <v>4328</v>
      </c>
      <c r="F43" t="s">
        <v>69</v>
      </c>
      <c r="G43">
        <v>7009</v>
      </c>
      <c r="H43">
        <v>445.773006135</v>
      </c>
      <c r="I43">
        <v>4327</v>
      </c>
      <c r="J43">
        <v>1133</v>
      </c>
      <c r="K43">
        <v>8525</v>
      </c>
      <c r="L43">
        <v>6428</v>
      </c>
      <c r="M43">
        <v>3122</v>
      </c>
      <c r="N43">
        <v>2738</v>
      </c>
      <c r="O43">
        <v>1902</v>
      </c>
      <c r="P43">
        <v>1142</v>
      </c>
      <c r="Q43">
        <v>0</v>
      </c>
      <c r="R43">
        <v>76</v>
      </c>
      <c r="AH43" t="s">
        <v>431</v>
      </c>
      <c r="AI43">
        <v>2014</v>
      </c>
      <c r="AJ43">
        <v>308.73833167830003</v>
      </c>
      <c r="AK43">
        <v>3336</v>
      </c>
      <c r="AL43">
        <v>963</v>
      </c>
      <c r="AM43">
        <v>4888</v>
      </c>
      <c r="AN43">
        <v>2634</v>
      </c>
      <c r="AO43">
        <v>930</v>
      </c>
      <c r="AP43">
        <v>680</v>
      </c>
      <c r="AQ43">
        <v>1549</v>
      </c>
      <c r="AR43">
        <v>1091</v>
      </c>
      <c r="AS43">
        <v>351</v>
      </c>
      <c r="AT43">
        <v>2</v>
      </c>
      <c r="AV43" t="s">
        <v>420</v>
      </c>
      <c r="AW43">
        <v>143</v>
      </c>
      <c r="AX43">
        <v>105.986013986</v>
      </c>
      <c r="AY43">
        <v>146</v>
      </c>
      <c r="AZ43">
        <v>29</v>
      </c>
      <c r="BA43">
        <v>184</v>
      </c>
      <c r="BB43">
        <v>64</v>
      </c>
      <c r="BC43">
        <v>3</v>
      </c>
      <c r="BD43">
        <v>3</v>
      </c>
      <c r="BE43">
        <v>9</v>
      </c>
      <c r="BF43">
        <v>3</v>
      </c>
      <c r="BG43">
        <v>32</v>
      </c>
      <c r="BH43">
        <v>36</v>
      </c>
      <c r="BJ43" t="s">
        <v>647</v>
      </c>
      <c r="BK43" t="s">
        <v>373</v>
      </c>
      <c r="BL43">
        <v>739</v>
      </c>
      <c r="BM43">
        <v>231</v>
      </c>
      <c r="BN43">
        <v>106.4817320704</v>
      </c>
      <c r="BO43">
        <v>766</v>
      </c>
      <c r="BP43">
        <v>150</v>
      </c>
      <c r="BQ43">
        <v>143.54960835509999</v>
      </c>
      <c r="BR43">
        <v>153.39333333330001</v>
      </c>
      <c r="BS43">
        <v>571</v>
      </c>
      <c r="BT43">
        <v>106</v>
      </c>
      <c r="BU43">
        <v>80.472854640999998</v>
      </c>
      <c r="BV43">
        <v>353</v>
      </c>
      <c r="BW43">
        <v>69</v>
      </c>
      <c r="BX43">
        <v>119.6657223796</v>
      </c>
      <c r="BY43">
        <v>131.78260869569999</v>
      </c>
      <c r="CA43" t="s">
        <v>382</v>
      </c>
      <c r="CB43" t="s">
        <v>860</v>
      </c>
      <c r="CC43" t="s">
        <v>996</v>
      </c>
      <c r="CD43">
        <v>10042</v>
      </c>
      <c r="CE43">
        <v>2307</v>
      </c>
      <c r="CF43">
        <v>95.645588528199994</v>
      </c>
      <c r="CG43">
        <v>10456</v>
      </c>
      <c r="CH43">
        <v>2369</v>
      </c>
      <c r="CI43">
        <v>137.69701606730001</v>
      </c>
      <c r="CJ43">
        <v>126.8868720979</v>
      </c>
      <c r="CL43" t="s">
        <v>382</v>
      </c>
      <c r="CM43" t="s">
        <v>829</v>
      </c>
      <c r="CN43" t="s">
        <v>842</v>
      </c>
      <c r="CO43">
        <v>795</v>
      </c>
      <c r="CP43">
        <v>101</v>
      </c>
      <c r="CQ43">
        <v>77.501886792500002</v>
      </c>
      <c r="CR43">
        <v>974</v>
      </c>
      <c r="CS43">
        <v>182</v>
      </c>
      <c r="CT43">
        <v>91.563655030800007</v>
      </c>
      <c r="CU43">
        <v>99.950549450500006</v>
      </c>
      <c r="CW43" t="s">
        <v>382</v>
      </c>
      <c r="CX43" t="s">
        <v>845</v>
      </c>
      <c r="CY43" t="s">
        <v>858</v>
      </c>
      <c r="CZ43">
        <v>683</v>
      </c>
      <c r="DA43">
        <v>189</v>
      </c>
      <c r="DB43">
        <v>96.786237188900003</v>
      </c>
      <c r="DC43">
        <v>370</v>
      </c>
      <c r="DD43">
        <v>89</v>
      </c>
      <c r="DE43">
        <v>166.07567567570001</v>
      </c>
      <c r="DF43">
        <v>167.80898876399999</v>
      </c>
      <c r="DH43" t="s">
        <v>382</v>
      </c>
      <c r="DI43" t="s">
        <v>813</v>
      </c>
      <c r="DJ43" t="s">
        <v>826</v>
      </c>
      <c r="DK43">
        <v>1184</v>
      </c>
      <c r="DL43">
        <v>346</v>
      </c>
      <c r="DM43">
        <v>98.813344594599997</v>
      </c>
      <c r="DN43">
        <v>623</v>
      </c>
      <c r="DO43">
        <v>164</v>
      </c>
      <c r="DP43">
        <v>152.5666131621</v>
      </c>
      <c r="DQ43">
        <v>156.51829268290001</v>
      </c>
    </row>
    <row r="44" spans="2:121" x14ac:dyDescent="0.2">
      <c r="B44" t="s">
        <v>115</v>
      </c>
      <c r="C44">
        <v>8519</v>
      </c>
      <c r="D44">
        <v>602</v>
      </c>
      <c r="F44" t="s">
        <v>78</v>
      </c>
      <c r="G44">
        <v>4678</v>
      </c>
      <c r="H44">
        <v>264.2597263788</v>
      </c>
      <c r="I44">
        <v>6019</v>
      </c>
      <c r="J44">
        <v>1125</v>
      </c>
      <c r="K44">
        <v>6363</v>
      </c>
      <c r="L44">
        <v>3997</v>
      </c>
      <c r="M44">
        <v>2434</v>
      </c>
      <c r="N44">
        <v>1929</v>
      </c>
      <c r="O44">
        <v>5613</v>
      </c>
      <c r="P44">
        <v>4800</v>
      </c>
      <c r="Q44">
        <v>0</v>
      </c>
      <c r="R44">
        <v>68</v>
      </c>
      <c r="AH44" t="s">
        <v>376</v>
      </c>
      <c r="AI44">
        <v>357</v>
      </c>
      <c r="AJ44">
        <v>259</v>
      </c>
      <c r="AK44">
        <v>876</v>
      </c>
      <c r="AL44">
        <v>204</v>
      </c>
      <c r="AM44">
        <v>684</v>
      </c>
      <c r="AN44">
        <v>367</v>
      </c>
      <c r="AO44">
        <v>290</v>
      </c>
      <c r="AP44">
        <v>201</v>
      </c>
      <c r="AQ44">
        <v>198</v>
      </c>
      <c r="AR44">
        <v>109</v>
      </c>
      <c r="AS44">
        <v>212</v>
      </c>
      <c r="AT44">
        <v>3</v>
      </c>
      <c r="AV44" t="s">
        <v>398</v>
      </c>
      <c r="AW44">
        <v>280</v>
      </c>
      <c r="AX44">
        <v>57.9142857143</v>
      </c>
      <c r="AY44">
        <v>890</v>
      </c>
      <c r="AZ44">
        <v>112</v>
      </c>
      <c r="BA44">
        <v>456</v>
      </c>
      <c r="BB44">
        <v>27</v>
      </c>
      <c r="BC44">
        <v>1</v>
      </c>
      <c r="BD44">
        <v>1</v>
      </c>
      <c r="BE44">
        <v>42</v>
      </c>
      <c r="BF44">
        <v>10</v>
      </c>
      <c r="BG44">
        <v>94</v>
      </c>
      <c r="BH44">
        <v>120</v>
      </c>
      <c r="BJ44" t="s">
        <v>547</v>
      </c>
      <c r="BK44" t="s">
        <v>373</v>
      </c>
      <c r="BL44">
        <v>16129</v>
      </c>
      <c r="BM44">
        <v>4361</v>
      </c>
      <c r="BN44">
        <v>102.53084506170001</v>
      </c>
      <c r="BO44">
        <v>16168</v>
      </c>
      <c r="BP44">
        <v>3046</v>
      </c>
      <c r="BQ44">
        <v>149.1619866403</v>
      </c>
      <c r="BR44">
        <v>148.32961260670001</v>
      </c>
      <c r="BS44">
        <v>11119</v>
      </c>
      <c r="BT44">
        <v>2044</v>
      </c>
      <c r="BU44">
        <v>86.108822735900006</v>
      </c>
      <c r="BV44">
        <v>10280</v>
      </c>
      <c r="BW44">
        <v>2011</v>
      </c>
      <c r="BX44">
        <v>140.88424124509999</v>
      </c>
      <c r="BY44">
        <v>135.23321730480001</v>
      </c>
      <c r="CA44" t="s">
        <v>383</v>
      </c>
      <c r="CB44" t="s">
        <v>860</v>
      </c>
      <c r="CC44" t="s">
        <v>997</v>
      </c>
      <c r="CD44">
        <v>2544</v>
      </c>
      <c r="CE44">
        <v>462</v>
      </c>
      <c r="CF44">
        <v>88.969732704400002</v>
      </c>
      <c r="CG44">
        <v>2614</v>
      </c>
      <c r="CH44">
        <v>484</v>
      </c>
      <c r="CI44">
        <v>120.4594491201</v>
      </c>
      <c r="CJ44">
        <v>119.5309917355</v>
      </c>
      <c r="CL44" t="s">
        <v>383</v>
      </c>
      <c r="CM44" t="s">
        <v>829</v>
      </c>
      <c r="CN44" t="s">
        <v>843</v>
      </c>
      <c r="CO44">
        <v>241</v>
      </c>
      <c r="CP44">
        <v>32</v>
      </c>
      <c r="CQ44">
        <v>74.925311203299998</v>
      </c>
      <c r="CR44">
        <v>337</v>
      </c>
      <c r="CS44">
        <v>65</v>
      </c>
      <c r="CT44">
        <v>89.735905044500001</v>
      </c>
      <c r="CU44">
        <v>98.061538461500007</v>
      </c>
      <c r="CW44" t="s">
        <v>383</v>
      </c>
      <c r="CX44" t="s">
        <v>845</v>
      </c>
      <c r="CY44" t="s">
        <v>859</v>
      </c>
      <c r="CZ44">
        <v>22</v>
      </c>
      <c r="DA44">
        <v>5</v>
      </c>
      <c r="DB44">
        <v>72.863636363599994</v>
      </c>
      <c r="DC44">
        <v>15</v>
      </c>
      <c r="DD44">
        <v>5</v>
      </c>
      <c r="DE44">
        <v>149.53333333329999</v>
      </c>
      <c r="DF44">
        <v>155.19999999999999</v>
      </c>
      <c r="DH44" t="s">
        <v>383</v>
      </c>
      <c r="DI44" t="s">
        <v>813</v>
      </c>
      <c r="DJ44" t="s">
        <v>827</v>
      </c>
      <c r="DK44">
        <v>30</v>
      </c>
      <c r="DL44">
        <v>11</v>
      </c>
      <c r="DM44">
        <v>109.5</v>
      </c>
      <c r="DN44">
        <v>19</v>
      </c>
      <c r="DO44">
        <v>5</v>
      </c>
      <c r="DP44">
        <v>138.1052631579</v>
      </c>
      <c r="DQ44">
        <v>185.2</v>
      </c>
    </row>
    <row r="45" spans="2:121" x14ac:dyDescent="0.2">
      <c r="B45" t="s">
        <v>130</v>
      </c>
      <c r="C45">
        <v>60221</v>
      </c>
      <c r="D45">
        <v>54232</v>
      </c>
      <c r="F45" t="s">
        <v>66</v>
      </c>
      <c r="G45">
        <v>6130</v>
      </c>
      <c r="H45">
        <v>388.60603588909999</v>
      </c>
      <c r="I45">
        <v>11201</v>
      </c>
      <c r="J45">
        <v>3055</v>
      </c>
      <c r="K45">
        <v>9235</v>
      </c>
      <c r="L45">
        <v>6650</v>
      </c>
      <c r="M45">
        <v>2171</v>
      </c>
      <c r="N45">
        <v>976</v>
      </c>
      <c r="O45">
        <v>7361</v>
      </c>
      <c r="P45">
        <v>6376</v>
      </c>
      <c r="Q45">
        <v>12585</v>
      </c>
      <c r="R45">
        <v>0</v>
      </c>
      <c r="AH45" t="s">
        <v>387</v>
      </c>
      <c r="AI45">
        <v>10409</v>
      </c>
      <c r="AJ45">
        <v>350.3804400038</v>
      </c>
      <c r="AK45">
        <v>9228</v>
      </c>
      <c r="AL45">
        <v>2786</v>
      </c>
      <c r="AM45">
        <v>14330</v>
      </c>
      <c r="AN45">
        <v>10578</v>
      </c>
      <c r="AO45">
        <v>2897</v>
      </c>
      <c r="AP45">
        <v>1805</v>
      </c>
      <c r="AQ45">
        <v>3175</v>
      </c>
      <c r="AR45">
        <v>1724</v>
      </c>
      <c r="AS45">
        <v>595</v>
      </c>
      <c r="AT45">
        <v>59</v>
      </c>
      <c r="AV45" t="s">
        <v>425</v>
      </c>
      <c r="AW45">
        <v>16</v>
      </c>
      <c r="AX45">
        <v>51.5</v>
      </c>
      <c r="AY45">
        <v>16</v>
      </c>
      <c r="AZ45">
        <v>2</v>
      </c>
      <c r="BA45">
        <v>26</v>
      </c>
      <c r="BB45">
        <v>3</v>
      </c>
      <c r="BC45">
        <v>0</v>
      </c>
      <c r="BE45">
        <v>1</v>
      </c>
      <c r="BF45">
        <v>1</v>
      </c>
      <c r="BG45">
        <v>59</v>
      </c>
      <c r="BH45">
        <v>3</v>
      </c>
      <c r="BJ45" t="s">
        <v>8</v>
      </c>
      <c r="BK45" t="s">
        <v>8</v>
      </c>
      <c r="BL45">
        <v>176</v>
      </c>
      <c r="BM45">
        <v>117</v>
      </c>
      <c r="BN45">
        <v>206.4147727273</v>
      </c>
      <c r="BO45">
        <v>388</v>
      </c>
      <c r="BP45">
        <v>41</v>
      </c>
      <c r="BQ45">
        <v>207.17525773200001</v>
      </c>
      <c r="BR45">
        <v>244.19512195120001</v>
      </c>
      <c r="BS45">
        <v>1027</v>
      </c>
      <c r="BT45">
        <v>334</v>
      </c>
      <c r="BU45">
        <v>114.04089581300001</v>
      </c>
      <c r="BV45">
        <v>467</v>
      </c>
      <c r="BW45">
        <v>3</v>
      </c>
      <c r="BX45">
        <v>147.53104925049999</v>
      </c>
      <c r="BY45">
        <v>55</v>
      </c>
      <c r="CA45" t="s">
        <v>373</v>
      </c>
      <c r="CB45" t="s">
        <v>860</v>
      </c>
      <c r="CD45">
        <v>65567</v>
      </c>
      <c r="CE45">
        <v>15798</v>
      </c>
      <c r="CF45">
        <v>98.809721353699999</v>
      </c>
      <c r="CG45">
        <v>67650</v>
      </c>
      <c r="CH45">
        <v>13089</v>
      </c>
      <c r="CI45">
        <v>137.99164818919999</v>
      </c>
      <c r="CJ45">
        <v>137.1634196654</v>
      </c>
      <c r="CL45" t="s">
        <v>373</v>
      </c>
      <c r="CM45" t="s">
        <v>829</v>
      </c>
      <c r="CO45">
        <v>7292</v>
      </c>
      <c r="CP45">
        <v>823</v>
      </c>
      <c r="CQ45">
        <v>74.835984640700005</v>
      </c>
      <c r="CR45">
        <v>8760</v>
      </c>
      <c r="CS45">
        <v>1643</v>
      </c>
      <c r="CT45">
        <v>85.994520547899995</v>
      </c>
      <c r="CU45">
        <v>98.481436396800007</v>
      </c>
      <c r="CW45" t="s">
        <v>373</v>
      </c>
      <c r="CX45" t="s">
        <v>845</v>
      </c>
      <c r="CZ45">
        <v>2443</v>
      </c>
      <c r="DA45">
        <v>675</v>
      </c>
      <c r="DB45">
        <v>94.103151862499999</v>
      </c>
      <c r="DC45">
        <v>1374</v>
      </c>
      <c r="DD45">
        <v>290</v>
      </c>
      <c r="DE45">
        <v>150.08806404660001</v>
      </c>
      <c r="DF45">
        <v>162.9551724138</v>
      </c>
      <c r="DH45" t="s">
        <v>373</v>
      </c>
      <c r="DI45" t="s">
        <v>813</v>
      </c>
      <c r="DK45">
        <v>3320</v>
      </c>
      <c r="DL45">
        <v>881</v>
      </c>
      <c r="DM45">
        <v>93.647289156599996</v>
      </c>
      <c r="DN45">
        <v>1921</v>
      </c>
      <c r="DO45">
        <v>425</v>
      </c>
      <c r="DP45">
        <v>145.73815720979999</v>
      </c>
      <c r="DQ45">
        <v>155.00941176469999</v>
      </c>
    </row>
    <row r="46" spans="2:121" x14ac:dyDescent="0.2">
      <c r="B46" t="s">
        <v>129</v>
      </c>
      <c r="C46">
        <v>10040</v>
      </c>
      <c r="D46">
        <v>7384</v>
      </c>
      <c r="F46" t="s">
        <v>81</v>
      </c>
      <c r="G46">
        <v>1481</v>
      </c>
      <c r="H46">
        <v>262.603646185</v>
      </c>
      <c r="I46">
        <v>1181</v>
      </c>
      <c r="J46">
        <v>151</v>
      </c>
      <c r="K46">
        <v>2193</v>
      </c>
      <c r="L46">
        <v>1370</v>
      </c>
      <c r="M46">
        <v>1262</v>
      </c>
      <c r="N46">
        <v>889</v>
      </c>
      <c r="O46">
        <v>393</v>
      </c>
      <c r="P46">
        <v>187</v>
      </c>
      <c r="Q46">
        <v>1</v>
      </c>
      <c r="R46">
        <v>0</v>
      </c>
      <c r="AH46" t="s">
        <v>424</v>
      </c>
      <c r="AI46">
        <v>388</v>
      </c>
      <c r="AJ46">
        <v>274.16237113400001</v>
      </c>
      <c r="AK46">
        <v>845</v>
      </c>
      <c r="AL46">
        <v>159</v>
      </c>
      <c r="AM46">
        <v>749</v>
      </c>
      <c r="AN46">
        <v>392</v>
      </c>
      <c r="AO46">
        <v>319</v>
      </c>
      <c r="AP46">
        <v>149</v>
      </c>
      <c r="AQ46">
        <v>140</v>
      </c>
      <c r="AR46">
        <v>80</v>
      </c>
      <c r="AS46">
        <v>1</v>
      </c>
      <c r="AT46">
        <v>1</v>
      </c>
      <c r="AV46" t="s">
        <v>393</v>
      </c>
      <c r="AW46">
        <v>173</v>
      </c>
      <c r="AX46">
        <v>38.716763005799997</v>
      </c>
      <c r="AY46">
        <v>305</v>
      </c>
      <c r="AZ46">
        <v>25</v>
      </c>
      <c r="BA46">
        <v>241</v>
      </c>
      <c r="BB46">
        <v>18</v>
      </c>
      <c r="BC46">
        <v>3</v>
      </c>
      <c r="BD46">
        <v>3</v>
      </c>
      <c r="BE46">
        <v>30</v>
      </c>
      <c r="BF46">
        <v>4</v>
      </c>
      <c r="BG46">
        <v>69</v>
      </c>
      <c r="BH46">
        <v>21</v>
      </c>
      <c r="BJ46" t="s">
        <v>690</v>
      </c>
      <c r="BK46" t="s">
        <v>8</v>
      </c>
      <c r="BL46">
        <v>176</v>
      </c>
      <c r="BM46">
        <v>117</v>
      </c>
      <c r="BN46">
        <v>206.4147727273</v>
      </c>
      <c r="BO46">
        <v>388</v>
      </c>
      <c r="BP46">
        <v>41</v>
      </c>
      <c r="BQ46">
        <v>207.17525773200001</v>
      </c>
      <c r="BR46">
        <v>244.19512195120001</v>
      </c>
      <c r="BS46">
        <v>1027</v>
      </c>
      <c r="BT46">
        <v>334</v>
      </c>
      <c r="BU46">
        <v>114.04089581300001</v>
      </c>
      <c r="BV46">
        <v>467</v>
      </c>
      <c r="BW46">
        <v>3</v>
      </c>
      <c r="BX46">
        <v>147.53104925049999</v>
      </c>
      <c r="BY46">
        <v>55</v>
      </c>
      <c r="CA46" t="s">
        <v>8</v>
      </c>
      <c r="CB46" t="s">
        <v>690</v>
      </c>
      <c r="CC46" t="s">
        <v>690</v>
      </c>
      <c r="CD46">
        <v>3408</v>
      </c>
      <c r="CE46">
        <v>1290</v>
      </c>
      <c r="CF46">
        <v>129.15199530519999</v>
      </c>
      <c r="CG46">
        <v>2914</v>
      </c>
      <c r="CH46">
        <v>573</v>
      </c>
      <c r="CI46">
        <v>181.96980096089999</v>
      </c>
      <c r="CJ46">
        <v>164.35951134379999</v>
      </c>
      <c r="CL46" t="s">
        <v>8</v>
      </c>
      <c r="CM46" t="s">
        <v>862</v>
      </c>
      <c r="CN46" t="s">
        <v>862</v>
      </c>
      <c r="CO46">
        <v>192</v>
      </c>
      <c r="CP46">
        <v>26</v>
      </c>
      <c r="CQ46">
        <v>77.994791666699996</v>
      </c>
      <c r="CR46">
        <v>278</v>
      </c>
      <c r="CS46">
        <v>48</v>
      </c>
      <c r="CT46">
        <v>89.791366906500002</v>
      </c>
      <c r="CU46">
        <v>98.875</v>
      </c>
      <c r="CW46" t="s">
        <v>8</v>
      </c>
      <c r="CX46" t="s">
        <v>863</v>
      </c>
      <c r="CY46" t="s">
        <v>863</v>
      </c>
      <c r="CZ46">
        <v>29</v>
      </c>
      <c r="DA46">
        <v>8</v>
      </c>
      <c r="DB46">
        <v>98.034482758600006</v>
      </c>
      <c r="DC46">
        <v>16</v>
      </c>
      <c r="DD46">
        <v>4</v>
      </c>
      <c r="DE46">
        <v>141.375</v>
      </c>
      <c r="DF46">
        <v>155.5</v>
      </c>
      <c r="DH46" t="s">
        <v>8</v>
      </c>
      <c r="DI46" t="s">
        <v>861</v>
      </c>
      <c r="DJ46" t="s">
        <v>861</v>
      </c>
      <c r="DK46">
        <v>77</v>
      </c>
      <c r="DL46">
        <v>8</v>
      </c>
      <c r="DM46">
        <v>81.623376623400006</v>
      </c>
      <c r="DN46">
        <v>44</v>
      </c>
      <c r="DO46">
        <v>7</v>
      </c>
      <c r="DP46">
        <v>116.2272727273</v>
      </c>
      <c r="DQ46">
        <v>140.57142857139999</v>
      </c>
    </row>
    <row r="47" spans="2:121" x14ac:dyDescent="0.2">
      <c r="B47" t="s">
        <v>111</v>
      </c>
      <c r="C47">
        <v>518</v>
      </c>
      <c r="D47">
        <v>434</v>
      </c>
      <c r="F47" t="s">
        <v>84</v>
      </c>
      <c r="G47">
        <v>1731</v>
      </c>
      <c r="H47">
        <v>182.51761987290001</v>
      </c>
      <c r="I47">
        <v>2670</v>
      </c>
      <c r="J47">
        <v>473</v>
      </c>
      <c r="K47">
        <v>2453</v>
      </c>
      <c r="L47">
        <v>1226</v>
      </c>
      <c r="M47">
        <v>1105</v>
      </c>
      <c r="N47">
        <v>452</v>
      </c>
      <c r="O47">
        <v>285</v>
      </c>
      <c r="P47">
        <v>100</v>
      </c>
      <c r="Q47">
        <v>0</v>
      </c>
      <c r="R47">
        <v>10</v>
      </c>
      <c r="AH47" t="s">
        <v>388</v>
      </c>
      <c r="AI47">
        <v>6470</v>
      </c>
      <c r="AJ47">
        <v>300.97820710970001</v>
      </c>
      <c r="AK47">
        <v>9725</v>
      </c>
      <c r="AL47">
        <v>2350</v>
      </c>
      <c r="AM47">
        <v>10920</v>
      </c>
      <c r="AN47">
        <v>5764</v>
      </c>
      <c r="AO47">
        <v>3525</v>
      </c>
      <c r="AP47">
        <v>2406</v>
      </c>
      <c r="AQ47">
        <v>2531</v>
      </c>
      <c r="AR47">
        <v>1549</v>
      </c>
      <c r="AS47">
        <v>566</v>
      </c>
      <c r="AT47">
        <v>256</v>
      </c>
      <c r="AV47" t="s">
        <v>427</v>
      </c>
      <c r="AW47">
        <v>55</v>
      </c>
      <c r="AX47">
        <v>92.709090909099999</v>
      </c>
      <c r="AY47">
        <v>109</v>
      </c>
      <c r="AZ47">
        <v>19</v>
      </c>
      <c r="BA47">
        <v>80</v>
      </c>
      <c r="BB47">
        <v>28</v>
      </c>
      <c r="BC47">
        <v>2</v>
      </c>
      <c r="BD47">
        <v>1</v>
      </c>
      <c r="BE47">
        <v>6</v>
      </c>
      <c r="BF47">
        <v>2</v>
      </c>
      <c r="BG47">
        <v>14</v>
      </c>
      <c r="BH47">
        <v>28</v>
      </c>
      <c r="BJ47" t="s">
        <v>590</v>
      </c>
      <c r="BK47" t="s">
        <v>408</v>
      </c>
      <c r="BL47">
        <v>3038</v>
      </c>
      <c r="BM47">
        <v>545</v>
      </c>
      <c r="BN47">
        <v>94.521395655000006</v>
      </c>
      <c r="BO47">
        <v>2799</v>
      </c>
      <c r="BP47">
        <v>639</v>
      </c>
      <c r="BQ47">
        <v>144.9531975706</v>
      </c>
      <c r="BR47">
        <v>138.14866979659999</v>
      </c>
      <c r="BS47">
        <v>2389</v>
      </c>
      <c r="BT47">
        <v>435</v>
      </c>
      <c r="BU47">
        <v>89.352867308499995</v>
      </c>
      <c r="BV47">
        <v>2275</v>
      </c>
      <c r="BW47">
        <v>463</v>
      </c>
      <c r="BX47">
        <v>145.78329670330001</v>
      </c>
      <c r="BY47">
        <v>143.7300215983</v>
      </c>
      <c r="CA47" t="s">
        <v>8</v>
      </c>
      <c r="CB47" t="s">
        <v>690</v>
      </c>
      <c r="CC47" t="s">
        <v>690</v>
      </c>
      <c r="CD47">
        <v>3408</v>
      </c>
      <c r="CE47">
        <v>1290</v>
      </c>
      <c r="CF47">
        <v>129.15199530519999</v>
      </c>
      <c r="CG47">
        <v>2914</v>
      </c>
      <c r="CH47">
        <v>573</v>
      </c>
      <c r="CI47">
        <v>181.96980096089999</v>
      </c>
      <c r="CJ47">
        <v>164.35951134379999</v>
      </c>
      <c r="CL47" t="s">
        <v>8</v>
      </c>
      <c r="CM47" t="s">
        <v>862</v>
      </c>
      <c r="CN47" t="s">
        <v>862</v>
      </c>
      <c r="CO47">
        <v>192</v>
      </c>
      <c r="CP47">
        <v>26</v>
      </c>
      <c r="CQ47">
        <v>77.994791666699996</v>
      </c>
      <c r="CR47">
        <v>278</v>
      </c>
      <c r="CS47">
        <v>48</v>
      </c>
      <c r="CT47">
        <v>89.791366906500002</v>
      </c>
      <c r="CU47">
        <v>98.875</v>
      </c>
      <c r="CW47" t="s">
        <v>8</v>
      </c>
      <c r="CX47" t="s">
        <v>863</v>
      </c>
      <c r="CY47" t="s">
        <v>863</v>
      </c>
      <c r="CZ47">
        <v>29</v>
      </c>
      <c r="DA47">
        <v>8</v>
      </c>
      <c r="DB47">
        <v>98.034482758600006</v>
      </c>
      <c r="DC47">
        <v>16</v>
      </c>
      <c r="DD47">
        <v>4</v>
      </c>
      <c r="DE47">
        <v>141.375</v>
      </c>
      <c r="DF47">
        <v>155.5</v>
      </c>
      <c r="DH47" t="s">
        <v>8</v>
      </c>
      <c r="DI47" t="s">
        <v>861</v>
      </c>
      <c r="DJ47" t="s">
        <v>861</v>
      </c>
      <c r="DK47">
        <v>77</v>
      </c>
      <c r="DL47">
        <v>8</v>
      </c>
      <c r="DM47">
        <v>81.623376623400006</v>
      </c>
      <c r="DN47">
        <v>44</v>
      </c>
      <c r="DO47">
        <v>7</v>
      </c>
      <c r="DP47">
        <v>116.2272727273</v>
      </c>
      <c r="DQ47">
        <v>140.57142857139999</v>
      </c>
    </row>
    <row r="48" spans="2:121" x14ac:dyDescent="0.2">
      <c r="B48" t="s">
        <v>21</v>
      </c>
      <c r="C48">
        <v>40071</v>
      </c>
      <c r="D48">
        <v>12946</v>
      </c>
      <c r="F48" t="s">
        <v>79</v>
      </c>
      <c r="G48">
        <v>7611</v>
      </c>
      <c r="H48">
        <v>386.68322165289999</v>
      </c>
      <c r="I48">
        <v>9010</v>
      </c>
      <c r="J48">
        <v>1716</v>
      </c>
      <c r="K48">
        <v>16331</v>
      </c>
      <c r="L48">
        <v>8125</v>
      </c>
      <c r="M48">
        <v>1257</v>
      </c>
      <c r="N48">
        <v>240</v>
      </c>
      <c r="O48">
        <v>1129</v>
      </c>
      <c r="P48">
        <v>621</v>
      </c>
      <c r="Q48">
        <v>31</v>
      </c>
      <c r="R48">
        <v>0</v>
      </c>
      <c r="AH48" t="s">
        <v>414</v>
      </c>
      <c r="AI48">
        <v>30033</v>
      </c>
      <c r="AJ48">
        <v>360.382679053</v>
      </c>
      <c r="AK48">
        <v>35046</v>
      </c>
      <c r="AL48">
        <v>7852</v>
      </c>
      <c r="AM48">
        <v>40837</v>
      </c>
      <c r="AN48">
        <v>26584</v>
      </c>
      <c r="AO48">
        <v>8895</v>
      </c>
      <c r="AP48">
        <v>5190</v>
      </c>
      <c r="AQ48">
        <v>13801</v>
      </c>
      <c r="AR48">
        <v>7320</v>
      </c>
      <c r="AS48">
        <v>31</v>
      </c>
      <c r="AT48">
        <v>409</v>
      </c>
      <c r="AV48" t="s">
        <v>423</v>
      </c>
      <c r="AW48">
        <v>28</v>
      </c>
      <c r="AX48">
        <v>32.071428571399998</v>
      </c>
      <c r="AY48">
        <v>35</v>
      </c>
      <c r="AZ48">
        <v>1</v>
      </c>
      <c r="BA48">
        <v>38</v>
      </c>
      <c r="BC48">
        <v>0</v>
      </c>
      <c r="BE48">
        <v>0</v>
      </c>
      <c r="BG48">
        <v>60</v>
      </c>
      <c r="BH48">
        <v>5</v>
      </c>
      <c r="BJ48" t="s">
        <v>649</v>
      </c>
      <c r="BK48" t="s">
        <v>408</v>
      </c>
      <c r="BL48">
        <v>1332</v>
      </c>
      <c r="BM48">
        <v>316</v>
      </c>
      <c r="BN48">
        <v>98.172672672700003</v>
      </c>
      <c r="BO48">
        <v>721</v>
      </c>
      <c r="BP48">
        <v>166</v>
      </c>
      <c r="BQ48">
        <v>143.00138696260001</v>
      </c>
      <c r="BR48">
        <v>143.71084337350001</v>
      </c>
      <c r="BS48">
        <v>1086</v>
      </c>
      <c r="BT48">
        <v>309</v>
      </c>
      <c r="BU48">
        <v>108.52025782690001</v>
      </c>
      <c r="BV48">
        <v>716</v>
      </c>
      <c r="BW48">
        <v>152</v>
      </c>
      <c r="BX48">
        <v>146.71229050279999</v>
      </c>
      <c r="BY48">
        <v>142.70394736840001</v>
      </c>
      <c r="CA48" t="s">
        <v>8</v>
      </c>
      <c r="CB48" t="s">
        <v>690</v>
      </c>
      <c r="CC48" t="s">
        <v>690</v>
      </c>
      <c r="CD48">
        <v>3408</v>
      </c>
      <c r="CE48">
        <v>1290</v>
      </c>
      <c r="CF48">
        <v>129.15199530519999</v>
      </c>
      <c r="CG48">
        <v>2914</v>
      </c>
      <c r="CH48">
        <v>573</v>
      </c>
      <c r="CI48">
        <v>181.96980096089999</v>
      </c>
      <c r="CJ48">
        <v>164.35951134379999</v>
      </c>
      <c r="CL48" t="s">
        <v>8</v>
      </c>
      <c r="CM48" t="s">
        <v>862</v>
      </c>
      <c r="CN48" t="s">
        <v>862</v>
      </c>
      <c r="CO48">
        <v>192</v>
      </c>
      <c r="CP48">
        <v>26</v>
      </c>
      <c r="CQ48">
        <v>77.994791666699996</v>
      </c>
      <c r="CR48">
        <v>278</v>
      </c>
      <c r="CS48">
        <v>48</v>
      </c>
      <c r="CT48">
        <v>89.791366906500002</v>
      </c>
      <c r="CU48">
        <v>98.875</v>
      </c>
      <c r="CW48" t="s">
        <v>8</v>
      </c>
      <c r="CX48" t="s">
        <v>863</v>
      </c>
      <c r="CY48" t="s">
        <v>863</v>
      </c>
      <c r="CZ48">
        <v>29</v>
      </c>
      <c r="DA48">
        <v>8</v>
      </c>
      <c r="DB48">
        <v>98.034482758600006</v>
      </c>
      <c r="DC48">
        <v>16</v>
      </c>
      <c r="DD48">
        <v>4</v>
      </c>
      <c r="DE48">
        <v>141.375</v>
      </c>
      <c r="DF48">
        <v>155.5</v>
      </c>
      <c r="DH48" t="s">
        <v>8</v>
      </c>
      <c r="DI48" t="s">
        <v>861</v>
      </c>
      <c r="DJ48" t="s">
        <v>861</v>
      </c>
      <c r="DK48">
        <v>77</v>
      </c>
      <c r="DL48">
        <v>8</v>
      </c>
      <c r="DM48">
        <v>81.623376623400006</v>
      </c>
      <c r="DN48">
        <v>44</v>
      </c>
      <c r="DO48">
        <v>7</v>
      </c>
      <c r="DP48">
        <v>116.2272727273</v>
      </c>
      <c r="DQ48">
        <v>140.57142857139999</v>
      </c>
    </row>
    <row r="49" spans="2:121" x14ac:dyDescent="0.2">
      <c r="B49" t="s">
        <v>105</v>
      </c>
      <c r="C49">
        <v>20049</v>
      </c>
      <c r="D49">
        <v>14658</v>
      </c>
      <c r="F49" t="s">
        <v>434</v>
      </c>
      <c r="G49">
        <v>24116</v>
      </c>
      <c r="H49">
        <v>577.3007132194</v>
      </c>
      <c r="I49">
        <v>1321</v>
      </c>
      <c r="J49">
        <v>489</v>
      </c>
      <c r="K49">
        <v>24588</v>
      </c>
      <c r="L49">
        <v>24060</v>
      </c>
      <c r="M49">
        <v>1084</v>
      </c>
      <c r="N49">
        <v>644</v>
      </c>
      <c r="O49">
        <v>1361</v>
      </c>
      <c r="P49">
        <v>1230</v>
      </c>
      <c r="Q49">
        <v>0</v>
      </c>
      <c r="R49">
        <v>0</v>
      </c>
      <c r="AH49" t="s">
        <v>410</v>
      </c>
      <c r="AI49">
        <v>2022</v>
      </c>
      <c r="AJ49">
        <v>301.34322453020002</v>
      </c>
      <c r="AK49">
        <v>2149</v>
      </c>
      <c r="AL49">
        <v>546</v>
      </c>
      <c r="AM49">
        <v>2680</v>
      </c>
      <c r="AN49">
        <v>1659</v>
      </c>
      <c r="AO49">
        <v>655</v>
      </c>
      <c r="AP49">
        <v>341</v>
      </c>
      <c r="AQ49">
        <v>398</v>
      </c>
      <c r="AR49">
        <v>181</v>
      </c>
      <c r="AS49">
        <v>0</v>
      </c>
      <c r="AT49">
        <v>1</v>
      </c>
      <c r="AV49" t="s">
        <v>382</v>
      </c>
      <c r="AW49">
        <v>823</v>
      </c>
      <c r="AX49">
        <v>91.147023086299995</v>
      </c>
      <c r="AY49">
        <v>867</v>
      </c>
      <c r="AZ49">
        <v>181</v>
      </c>
      <c r="BA49">
        <v>1093</v>
      </c>
      <c r="BB49">
        <v>342</v>
      </c>
      <c r="BC49">
        <v>146</v>
      </c>
      <c r="BD49">
        <v>146</v>
      </c>
      <c r="BE49">
        <v>61</v>
      </c>
      <c r="BF49">
        <v>28</v>
      </c>
      <c r="BG49">
        <v>182</v>
      </c>
      <c r="BH49">
        <v>332</v>
      </c>
      <c r="BJ49" t="s">
        <v>605</v>
      </c>
      <c r="BK49" t="s">
        <v>408</v>
      </c>
      <c r="BL49">
        <v>1378</v>
      </c>
      <c r="BM49">
        <v>280</v>
      </c>
      <c r="BN49">
        <v>86.492743106000006</v>
      </c>
      <c r="BO49">
        <v>1568</v>
      </c>
      <c r="BP49">
        <v>280</v>
      </c>
      <c r="BQ49">
        <v>119.0267857143</v>
      </c>
      <c r="BR49">
        <v>120.28928571429999</v>
      </c>
      <c r="BS49">
        <v>1734</v>
      </c>
      <c r="BT49">
        <v>361</v>
      </c>
      <c r="BU49">
        <v>87.167243367899999</v>
      </c>
      <c r="BV49">
        <v>1792</v>
      </c>
      <c r="BW49">
        <v>322</v>
      </c>
      <c r="BX49">
        <v>130.87109375</v>
      </c>
      <c r="BY49">
        <v>130.20186335400001</v>
      </c>
      <c r="CA49" t="s">
        <v>8</v>
      </c>
      <c r="CB49" t="s">
        <v>690</v>
      </c>
      <c r="CD49">
        <v>3408</v>
      </c>
      <c r="CE49">
        <v>1290</v>
      </c>
      <c r="CF49">
        <v>129.15199530519999</v>
      </c>
      <c r="CG49">
        <v>2914</v>
      </c>
      <c r="CH49">
        <v>573</v>
      </c>
      <c r="CI49">
        <v>181.96980096089999</v>
      </c>
      <c r="CJ49">
        <v>164.35951134379999</v>
      </c>
      <c r="CL49" t="s">
        <v>8</v>
      </c>
      <c r="CM49" t="s">
        <v>862</v>
      </c>
      <c r="CO49">
        <v>192</v>
      </c>
      <c r="CP49">
        <v>26</v>
      </c>
      <c r="CQ49">
        <v>77.994791666699996</v>
      </c>
      <c r="CR49">
        <v>278</v>
      </c>
      <c r="CS49">
        <v>48</v>
      </c>
      <c r="CT49">
        <v>89.791366906500002</v>
      </c>
      <c r="CU49">
        <v>98.875</v>
      </c>
      <c r="CW49" t="s">
        <v>8</v>
      </c>
      <c r="CX49" t="s">
        <v>863</v>
      </c>
      <c r="CZ49">
        <v>29</v>
      </c>
      <c r="DA49">
        <v>8</v>
      </c>
      <c r="DB49">
        <v>98.034482758600006</v>
      </c>
      <c r="DC49">
        <v>16</v>
      </c>
      <c r="DD49">
        <v>4</v>
      </c>
      <c r="DE49">
        <v>141.375</v>
      </c>
      <c r="DF49">
        <v>155.5</v>
      </c>
      <c r="DH49" t="s">
        <v>8</v>
      </c>
      <c r="DI49" t="s">
        <v>861</v>
      </c>
      <c r="DK49">
        <v>77</v>
      </c>
      <c r="DL49">
        <v>8</v>
      </c>
      <c r="DM49">
        <v>81.623376623400006</v>
      </c>
      <c r="DN49">
        <v>44</v>
      </c>
      <c r="DO49">
        <v>7</v>
      </c>
      <c r="DP49">
        <v>116.2272727273</v>
      </c>
      <c r="DQ49">
        <v>140.57142857139999</v>
      </c>
    </row>
    <row r="50" spans="2:121" x14ac:dyDescent="0.2">
      <c r="B50" t="s">
        <v>120</v>
      </c>
      <c r="C50">
        <v>4220</v>
      </c>
      <c r="D50">
        <v>857</v>
      </c>
      <c r="F50" t="s">
        <v>51</v>
      </c>
      <c r="G50">
        <v>7250</v>
      </c>
      <c r="H50">
        <v>585.68799999999999</v>
      </c>
      <c r="I50">
        <v>4683</v>
      </c>
      <c r="J50">
        <v>987</v>
      </c>
      <c r="K50">
        <v>11556</v>
      </c>
      <c r="L50">
        <v>8717</v>
      </c>
      <c r="M50">
        <v>1944</v>
      </c>
      <c r="N50">
        <v>1333</v>
      </c>
      <c r="O50">
        <v>1835</v>
      </c>
      <c r="P50">
        <v>1418</v>
      </c>
      <c r="Q50">
        <v>1</v>
      </c>
      <c r="R50">
        <v>199</v>
      </c>
      <c r="AH50" t="s">
        <v>421</v>
      </c>
      <c r="AI50">
        <v>442</v>
      </c>
      <c r="AJ50">
        <v>362.57013574659999</v>
      </c>
      <c r="AK50">
        <v>489</v>
      </c>
      <c r="AL50">
        <v>112</v>
      </c>
      <c r="AM50">
        <v>939</v>
      </c>
      <c r="AN50">
        <v>489</v>
      </c>
      <c r="AO50">
        <v>215</v>
      </c>
      <c r="AP50">
        <v>144</v>
      </c>
      <c r="AQ50">
        <v>123</v>
      </c>
      <c r="AR50">
        <v>82</v>
      </c>
      <c r="AS50">
        <v>87</v>
      </c>
      <c r="AT50">
        <v>1</v>
      </c>
      <c r="AV50" t="s">
        <v>410</v>
      </c>
      <c r="AW50">
        <v>68</v>
      </c>
      <c r="AX50">
        <v>49.970588235299999</v>
      </c>
      <c r="AY50">
        <v>149</v>
      </c>
      <c r="AZ50">
        <v>5</v>
      </c>
      <c r="BA50">
        <v>86</v>
      </c>
      <c r="BB50">
        <v>4</v>
      </c>
      <c r="BC50">
        <v>0</v>
      </c>
      <c r="BE50">
        <v>4</v>
      </c>
      <c r="BG50">
        <v>117</v>
      </c>
      <c r="BH50">
        <v>10</v>
      </c>
      <c r="BJ50" t="s">
        <v>645</v>
      </c>
      <c r="BK50" t="s">
        <v>408</v>
      </c>
      <c r="BL50">
        <v>1830</v>
      </c>
      <c r="BM50">
        <v>405</v>
      </c>
      <c r="BN50">
        <v>85.413661202200004</v>
      </c>
      <c r="BO50">
        <v>2420</v>
      </c>
      <c r="BP50">
        <v>419</v>
      </c>
      <c r="BQ50">
        <v>142.72892561980001</v>
      </c>
      <c r="BR50">
        <v>141.16706443909999</v>
      </c>
      <c r="BS50">
        <v>2058</v>
      </c>
      <c r="BT50">
        <v>312</v>
      </c>
      <c r="BU50">
        <v>78.715257531600002</v>
      </c>
      <c r="BV50">
        <v>1936</v>
      </c>
      <c r="BW50">
        <v>402</v>
      </c>
      <c r="BX50">
        <v>133.48295454550001</v>
      </c>
      <c r="BY50">
        <v>123.44776119399999</v>
      </c>
      <c r="CA50" t="s">
        <v>428</v>
      </c>
      <c r="CB50" t="s">
        <v>894</v>
      </c>
      <c r="CC50" t="s">
        <v>1019</v>
      </c>
      <c r="CD50">
        <v>1302</v>
      </c>
      <c r="CE50">
        <v>286</v>
      </c>
      <c r="CF50">
        <v>96.990783410099993</v>
      </c>
      <c r="CG50">
        <v>1000</v>
      </c>
      <c r="CH50">
        <v>215</v>
      </c>
      <c r="CI50">
        <v>106.89100000000001</v>
      </c>
      <c r="CJ50">
        <v>112.1441860465</v>
      </c>
      <c r="CL50" t="s">
        <v>428</v>
      </c>
      <c r="CM50" t="s">
        <v>875</v>
      </c>
      <c r="CN50" t="s">
        <v>874</v>
      </c>
      <c r="CO50">
        <v>44</v>
      </c>
      <c r="CP50">
        <v>4</v>
      </c>
      <c r="CQ50">
        <v>61.909090909100001</v>
      </c>
      <c r="CR50">
        <v>52</v>
      </c>
      <c r="CS50">
        <v>14</v>
      </c>
      <c r="CT50">
        <v>74.230769230799993</v>
      </c>
      <c r="CU50">
        <v>76.857142857100001</v>
      </c>
      <c r="CW50" t="s">
        <v>428</v>
      </c>
      <c r="CX50" t="s">
        <v>885</v>
      </c>
      <c r="CY50" t="s">
        <v>884</v>
      </c>
      <c r="CZ50">
        <v>23</v>
      </c>
      <c r="DA50">
        <v>2</v>
      </c>
      <c r="DB50">
        <v>76.608695652199998</v>
      </c>
      <c r="DC50">
        <v>13</v>
      </c>
      <c r="DD50">
        <v>3</v>
      </c>
      <c r="DE50">
        <v>130.30769230769999</v>
      </c>
      <c r="DF50">
        <v>161.3333333333</v>
      </c>
      <c r="DH50" t="s">
        <v>428</v>
      </c>
      <c r="DI50" t="s">
        <v>865</v>
      </c>
      <c r="DJ50" t="s">
        <v>864</v>
      </c>
      <c r="DK50">
        <v>37</v>
      </c>
      <c r="DL50">
        <v>4</v>
      </c>
      <c r="DM50">
        <v>80.945945945899993</v>
      </c>
      <c r="DN50">
        <v>32</v>
      </c>
      <c r="DO50">
        <v>7</v>
      </c>
      <c r="DP50">
        <v>129.3125</v>
      </c>
      <c r="DQ50">
        <v>140.57142857139999</v>
      </c>
    </row>
    <row r="51" spans="2:121" x14ac:dyDescent="0.2">
      <c r="B51" t="s">
        <v>104</v>
      </c>
      <c r="C51">
        <v>214522</v>
      </c>
      <c r="D51">
        <v>152839</v>
      </c>
      <c r="F51" t="s">
        <v>53</v>
      </c>
      <c r="G51">
        <v>1989</v>
      </c>
      <c r="H51">
        <v>150.48265460030001</v>
      </c>
      <c r="I51">
        <v>2188</v>
      </c>
      <c r="J51">
        <v>256</v>
      </c>
      <c r="K51">
        <v>3192</v>
      </c>
      <c r="L51">
        <v>1291</v>
      </c>
      <c r="M51">
        <v>813</v>
      </c>
      <c r="N51">
        <v>590</v>
      </c>
      <c r="O51">
        <v>618</v>
      </c>
      <c r="P51">
        <v>263</v>
      </c>
      <c r="Q51">
        <v>3</v>
      </c>
      <c r="R51">
        <v>16</v>
      </c>
      <c r="AH51" t="s">
        <v>382</v>
      </c>
      <c r="AI51">
        <v>16981</v>
      </c>
      <c r="AJ51">
        <v>455.31482244860001</v>
      </c>
      <c r="AK51">
        <v>12049</v>
      </c>
      <c r="AL51">
        <v>2896</v>
      </c>
      <c r="AM51">
        <v>21636</v>
      </c>
      <c r="AN51">
        <v>15294</v>
      </c>
      <c r="AO51">
        <v>8246</v>
      </c>
      <c r="AP51">
        <v>6061</v>
      </c>
      <c r="AQ51">
        <v>7022</v>
      </c>
      <c r="AR51">
        <v>5021</v>
      </c>
      <c r="AS51">
        <v>867</v>
      </c>
      <c r="AT51">
        <v>15</v>
      </c>
      <c r="AV51" t="s">
        <v>377</v>
      </c>
      <c r="AW51">
        <v>198</v>
      </c>
      <c r="AX51">
        <v>100.0050505051</v>
      </c>
      <c r="AY51">
        <v>393</v>
      </c>
      <c r="AZ51">
        <v>101</v>
      </c>
      <c r="BA51">
        <v>280</v>
      </c>
      <c r="BB51">
        <v>95</v>
      </c>
      <c r="BC51">
        <v>2</v>
      </c>
      <c r="BD51">
        <v>2</v>
      </c>
      <c r="BE51">
        <v>20</v>
      </c>
      <c r="BF51">
        <v>4</v>
      </c>
      <c r="BG51">
        <v>27</v>
      </c>
      <c r="BH51">
        <v>73</v>
      </c>
      <c r="BJ51" t="s">
        <v>597</v>
      </c>
      <c r="BK51" t="s">
        <v>408</v>
      </c>
      <c r="BL51">
        <v>8626</v>
      </c>
      <c r="BM51">
        <v>1853</v>
      </c>
      <c r="BN51">
        <v>92.090656155800005</v>
      </c>
      <c r="BO51">
        <v>9106</v>
      </c>
      <c r="BP51">
        <v>1583</v>
      </c>
      <c r="BQ51">
        <v>140.47562047</v>
      </c>
      <c r="BR51">
        <v>136.97220467470001</v>
      </c>
      <c r="BS51">
        <v>7791</v>
      </c>
      <c r="BT51">
        <v>1171</v>
      </c>
      <c r="BU51">
        <v>79.488769092499993</v>
      </c>
      <c r="BV51">
        <v>7328</v>
      </c>
      <c r="BW51">
        <v>1378</v>
      </c>
      <c r="BX51">
        <v>118.13359716159999</v>
      </c>
      <c r="BY51">
        <v>117.85123367200001</v>
      </c>
      <c r="CA51" t="s">
        <v>430</v>
      </c>
      <c r="CB51" t="s">
        <v>894</v>
      </c>
      <c r="CC51" t="s">
        <v>1020</v>
      </c>
      <c r="CD51">
        <v>6055</v>
      </c>
      <c r="CE51">
        <v>1304</v>
      </c>
      <c r="CF51">
        <v>94.713294797700001</v>
      </c>
      <c r="CG51">
        <v>6184</v>
      </c>
      <c r="CH51">
        <v>1441</v>
      </c>
      <c r="CI51">
        <v>135.0997736093</v>
      </c>
      <c r="CJ51">
        <v>135.24982650940001</v>
      </c>
      <c r="CL51" t="s">
        <v>430</v>
      </c>
      <c r="CM51" t="s">
        <v>875</v>
      </c>
      <c r="CN51" t="s">
        <v>876</v>
      </c>
      <c r="CO51">
        <v>460</v>
      </c>
      <c r="CP51">
        <v>56</v>
      </c>
      <c r="CQ51">
        <v>68</v>
      </c>
      <c r="CR51">
        <v>1063</v>
      </c>
      <c r="CS51">
        <v>184</v>
      </c>
      <c r="CT51">
        <v>64.122295390399998</v>
      </c>
      <c r="CU51">
        <v>58.826086956499999</v>
      </c>
      <c r="CW51" t="s">
        <v>430</v>
      </c>
      <c r="CX51" t="s">
        <v>885</v>
      </c>
      <c r="CY51" t="s">
        <v>886</v>
      </c>
      <c r="CZ51">
        <v>205</v>
      </c>
      <c r="DA51">
        <v>44</v>
      </c>
      <c r="DB51">
        <v>88.8</v>
      </c>
      <c r="DC51">
        <v>143</v>
      </c>
      <c r="DD51">
        <v>24</v>
      </c>
      <c r="DE51">
        <v>138.8461538462</v>
      </c>
      <c r="DF51">
        <v>152.5</v>
      </c>
      <c r="DH51" t="s">
        <v>430</v>
      </c>
      <c r="DI51" t="s">
        <v>865</v>
      </c>
      <c r="DJ51" t="s">
        <v>866</v>
      </c>
      <c r="DK51">
        <v>116</v>
      </c>
      <c r="DL51">
        <v>24</v>
      </c>
      <c r="DM51">
        <v>89.827586206899994</v>
      </c>
      <c r="DN51">
        <v>120</v>
      </c>
      <c r="DO51">
        <v>23</v>
      </c>
      <c r="DP51">
        <v>132.30000000000001</v>
      </c>
      <c r="DQ51">
        <v>150.6086956522</v>
      </c>
    </row>
    <row r="52" spans="2:121" x14ac:dyDescent="0.2">
      <c r="B52" t="s">
        <v>128</v>
      </c>
      <c r="C52">
        <v>28693</v>
      </c>
      <c r="D52">
        <v>6210</v>
      </c>
      <c r="F52" t="s">
        <v>43</v>
      </c>
      <c r="G52">
        <v>6379</v>
      </c>
      <c r="H52">
        <v>482.95986831789997</v>
      </c>
      <c r="I52">
        <v>8538</v>
      </c>
      <c r="J52">
        <v>2423</v>
      </c>
      <c r="K52">
        <v>8790</v>
      </c>
      <c r="L52">
        <v>6224</v>
      </c>
      <c r="M52">
        <v>3269</v>
      </c>
      <c r="N52">
        <v>2328</v>
      </c>
      <c r="O52">
        <v>821</v>
      </c>
      <c r="P52">
        <v>390</v>
      </c>
      <c r="Q52">
        <v>0</v>
      </c>
      <c r="R52">
        <v>56</v>
      </c>
      <c r="AH52" t="s">
        <v>83</v>
      </c>
      <c r="AI52">
        <v>12225</v>
      </c>
      <c r="AJ52">
        <v>393.92728016360002</v>
      </c>
      <c r="AK52">
        <v>6277</v>
      </c>
      <c r="AL52">
        <v>1188</v>
      </c>
      <c r="AM52">
        <v>18148</v>
      </c>
      <c r="AN52">
        <v>13295</v>
      </c>
      <c r="AO52">
        <v>4514</v>
      </c>
      <c r="AP52">
        <v>3264</v>
      </c>
      <c r="AQ52">
        <v>5968</v>
      </c>
      <c r="AR52">
        <v>4039</v>
      </c>
      <c r="AS52">
        <v>11</v>
      </c>
      <c r="AT52">
        <v>140</v>
      </c>
      <c r="AV52" t="s">
        <v>428</v>
      </c>
      <c r="AW52">
        <v>13</v>
      </c>
      <c r="AX52">
        <v>43.7692307692</v>
      </c>
      <c r="AY52">
        <v>18</v>
      </c>
      <c r="BA52">
        <v>23</v>
      </c>
      <c r="BB52">
        <v>1</v>
      </c>
      <c r="BC52">
        <v>0</v>
      </c>
      <c r="BE52">
        <v>0</v>
      </c>
      <c r="BG52">
        <v>29</v>
      </c>
      <c r="BH52">
        <v>4</v>
      </c>
      <c r="BJ52" t="s">
        <v>619</v>
      </c>
      <c r="BK52" t="s">
        <v>408</v>
      </c>
      <c r="BL52">
        <v>738</v>
      </c>
      <c r="BM52">
        <v>196</v>
      </c>
      <c r="BN52">
        <v>102.9132791328</v>
      </c>
      <c r="BO52">
        <v>893</v>
      </c>
      <c r="BP52">
        <v>202</v>
      </c>
      <c r="BQ52">
        <v>135.10302351620001</v>
      </c>
      <c r="BR52">
        <v>121.9851485149</v>
      </c>
      <c r="BS52">
        <v>1546</v>
      </c>
      <c r="BT52">
        <v>641</v>
      </c>
      <c r="BU52">
        <v>133.35769728330001</v>
      </c>
      <c r="BV52">
        <v>1828</v>
      </c>
      <c r="BW52">
        <v>399</v>
      </c>
      <c r="BX52">
        <v>183.4414660832</v>
      </c>
      <c r="BY52">
        <v>159.7644110276</v>
      </c>
      <c r="CA52" t="s">
        <v>411</v>
      </c>
      <c r="CB52" t="s">
        <v>894</v>
      </c>
      <c r="CC52" t="s">
        <v>1021</v>
      </c>
      <c r="CD52">
        <v>28903</v>
      </c>
      <c r="CE52">
        <v>6340</v>
      </c>
      <c r="CF52">
        <v>92.624606442200005</v>
      </c>
      <c r="CG52">
        <v>27715</v>
      </c>
      <c r="CH52">
        <v>5093</v>
      </c>
      <c r="CI52">
        <v>140.3543207649</v>
      </c>
      <c r="CJ52">
        <v>139.71077950130001</v>
      </c>
      <c r="CL52" t="s">
        <v>411</v>
      </c>
      <c r="CM52" t="s">
        <v>875</v>
      </c>
      <c r="CN52" t="s">
        <v>877</v>
      </c>
      <c r="CO52">
        <v>1872</v>
      </c>
      <c r="CP52">
        <v>183</v>
      </c>
      <c r="CQ52">
        <v>63.022435897400001</v>
      </c>
      <c r="CR52">
        <v>4551</v>
      </c>
      <c r="CS52">
        <v>802</v>
      </c>
      <c r="CT52">
        <v>63.688200395499997</v>
      </c>
      <c r="CU52">
        <v>64.793017456399994</v>
      </c>
      <c r="CW52" t="s">
        <v>411</v>
      </c>
      <c r="CX52" t="s">
        <v>885</v>
      </c>
      <c r="CY52" t="s">
        <v>887</v>
      </c>
      <c r="CZ52">
        <v>1475</v>
      </c>
      <c r="DA52">
        <v>300</v>
      </c>
      <c r="DB52">
        <v>86.004067796599998</v>
      </c>
      <c r="DC52">
        <v>914</v>
      </c>
      <c r="DD52">
        <v>160</v>
      </c>
      <c r="DE52">
        <v>135.48687089719999</v>
      </c>
      <c r="DF52">
        <v>152.26875000000001</v>
      </c>
      <c r="DH52" t="s">
        <v>411</v>
      </c>
      <c r="DI52" t="s">
        <v>865</v>
      </c>
      <c r="DJ52" t="s">
        <v>867</v>
      </c>
      <c r="DK52">
        <v>759</v>
      </c>
      <c r="DL52">
        <v>132</v>
      </c>
      <c r="DM52">
        <v>82.328063241099997</v>
      </c>
      <c r="DN52">
        <v>607</v>
      </c>
      <c r="DO52">
        <v>128</v>
      </c>
      <c r="DP52">
        <v>126.9275123558</v>
      </c>
      <c r="DQ52">
        <v>144.328125</v>
      </c>
    </row>
    <row r="53" spans="2:121" x14ac:dyDescent="0.2">
      <c r="B53" t="s">
        <v>123</v>
      </c>
      <c r="C53">
        <v>372</v>
      </c>
      <c r="D53">
        <v>369</v>
      </c>
      <c r="F53" t="s">
        <v>45</v>
      </c>
      <c r="G53">
        <v>3262</v>
      </c>
      <c r="H53">
        <v>283.10269773149997</v>
      </c>
      <c r="I53">
        <v>6654</v>
      </c>
      <c r="J53">
        <v>1703</v>
      </c>
      <c r="K53">
        <v>7401</v>
      </c>
      <c r="L53">
        <v>3732</v>
      </c>
      <c r="M53">
        <v>1479</v>
      </c>
      <c r="N53">
        <v>1052</v>
      </c>
      <c r="O53">
        <v>4908</v>
      </c>
      <c r="P53">
        <v>432</v>
      </c>
      <c r="Q53">
        <v>2</v>
      </c>
      <c r="R53">
        <v>201</v>
      </c>
      <c r="AH53" t="s">
        <v>383</v>
      </c>
      <c r="AI53">
        <v>2193</v>
      </c>
      <c r="AJ53">
        <v>270.15412676699998</v>
      </c>
      <c r="AK53">
        <v>2476</v>
      </c>
      <c r="AL53">
        <v>502</v>
      </c>
      <c r="AM53">
        <v>3619</v>
      </c>
      <c r="AN53">
        <v>2275</v>
      </c>
      <c r="AO53">
        <v>467</v>
      </c>
      <c r="AP53">
        <v>218</v>
      </c>
      <c r="AQ53">
        <v>1357</v>
      </c>
      <c r="AR53">
        <v>1001</v>
      </c>
      <c r="AS53">
        <v>371</v>
      </c>
      <c r="AT53">
        <v>13</v>
      </c>
      <c r="AV53" t="s">
        <v>396</v>
      </c>
      <c r="AW53">
        <v>196</v>
      </c>
      <c r="AX53">
        <v>60.448979591799997</v>
      </c>
      <c r="AY53">
        <v>611</v>
      </c>
      <c r="AZ53">
        <v>75</v>
      </c>
      <c r="BA53">
        <v>332</v>
      </c>
      <c r="BB53">
        <v>27</v>
      </c>
      <c r="BC53">
        <v>2</v>
      </c>
      <c r="BD53">
        <v>2</v>
      </c>
      <c r="BE53">
        <v>24</v>
      </c>
      <c r="BF53">
        <v>10</v>
      </c>
      <c r="BG53">
        <v>52</v>
      </c>
      <c r="BH53">
        <v>63</v>
      </c>
      <c r="BJ53" t="s">
        <v>595</v>
      </c>
      <c r="BK53" t="s">
        <v>408</v>
      </c>
      <c r="BL53">
        <v>11215</v>
      </c>
      <c r="BM53">
        <v>2952</v>
      </c>
      <c r="BN53">
        <v>100.07650468120001</v>
      </c>
      <c r="BO53">
        <v>8638</v>
      </c>
      <c r="BP53">
        <v>1603</v>
      </c>
      <c r="BQ53">
        <v>154.4467469322</v>
      </c>
      <c r="BR53">
        <v>153.2320648784</v>
      </c>
      <c r="BS53">
        <v>8567</v>
      </c>
      <c r="BT53">
        <v>2227</v>
      </c>
      <c r="BU53">
        <v>94.414614217299999</v>
      </c>
      <c r="BV53">
        <v>5373</v>
      </c>
      <c r="BW53">
        <v>1023</v>
      </c>
      <c r="BX53">
        <v>139.0971524288</v>
      </c>
      <c r="BY53">
        <v>153.2991202346</v>
      </c>
      <c r="CA53" t="s">
        <v>432</v>
      </c>
      <c r="CB53" t="s">
        <v>894</v>
      </c>
      <c r="CC53" t="s">
        <v>1022</v>
      </c>
      <c r="CD53">
        <v>1758</v>
      </c>
      <c r="CE53">
        <v>290</v>
      </c>
      <c r="CF53">
        <v>83.094425483500004</v>
      </c>
      <c r="CG53">
        <v>2317</v>
      </c>
      <c r="CH53">
        <v>449</v>
      </c>
      <c r="CI53">
        <v>121.2201122141</v>
      </c>
      <c r="CJ53">
        <v>116.9688195991</v>
      </c>
      <c r="CL53" t="s">
        <v>432</v>
      </c>
      <c r="CM53" t="s">
        <v>875</v>
      </c>
      <c r="CN53" t="s">
        <v>878</v>
      </c>
      <c r="CO53">
        <v>71</v>
      </c>
      <c r="CP53">
        <v>8</v>
      </c>
      <c r="CQ53">
        <v>70.014084507000007</v>
      </c>
      <c r="CR53">
        <v>137</v>
      </c>
      <c r="CS53">
        <v>22</v>
      </c>
      <c r="CT53">
        <v>63.941605839399998</v>
      </c>
      <c r="CU53">
        <v>63.636363636399999</v>
      </c>
      <c r="CW53" t="s">
        <v>432</v>
      </c>
      <c r="CX53" t="s">
        <v>885</v>
      </c>
      <c r="CY53" t="s">
        <v>888</v>
      </c>
      <c r="CZ53">
        <v>43</v>
      </c>
      <c r="DA53">
        <v>9</v>
      </c>
      <c r="DB53">
        <v>85.441860465100007</v>
      </c>
      <c r="DC53">
        <v>24</v>
      </c>
      <c r="DD53">
        <v>3</v>
      </c>
      <c r="DE53">
        <v>137.75</v>
      </c>
      <c r="DF53">
        <v>150</v>
      </c>
      <c r="DH53" t="s">
        <v>432</v>
      </c>
      <c r="DI53" t="s">
        <v>865</v>
      </c>
      <c r="DJ53" t="s">
        <v>868</v>
      </c>
      <c r="DK53">
        <v>109</v>
      </c>
      <c r="DL53">
        <v>12</v>
      </c>
      <c r="DM53">
        <v>70.183486238499995</v>
      </c>
      <c r="DN53">
        <v>54</v>
      </c>
      <c r="DO53">
        <v>12</v>
      </c>
      <c r="DP53">
        <v>120.7037037037</v>
      </c>
      <c r="DQ53">
        <v>142.9166666667</v>
      </c>
    </row>
    <row r="54" spans="2:121" x14ac:dyDescent="0.2">
      <c r="F54" t="s">
        <v>56</v>
      </c>
      <c r="G54">
        <v>7580</v>
      </c>
      <c r="H54">
        <v>497.50171503960001</v>
      </c>
      <c r="I54">
        <v>3984</v>
      </c>
      <c r="J54">
        <v>1032</v>
      </c>
      <c r="K54">
        <v>11786</v>
      </c>
      <c r="L54">
        <v>7927</v>
      </c>
      <c r="M54">
        <v>3461</v>
      </c>
      <c r="N54">
        <v>2976</v>
      </c>
      <c r="O54">
        <v>1077</v>
      </c>
      <c r="P54">
        <v>452</v>
      </c>
      <c r="Q54">
        <v>111</v>
      </c>
      <c r="R54">
        <v>261</v>
      </c>
      <c r="AH54" t="s">
        <v>400</v>
      </c>
      <c r="AI54">
        <v>4186</v>
      </c>
      <c r="AJ54">
        <v>290.67343526040003</v>
      </c>
      <c r="AK54">
        <v>3755</v>
      </c>
      <c r="AL54">
        <v>758</v>
      </c>
      <c r="AM54">
        <v>6214</v>
      </c>
      <c r="AN54">
        <v>3296</v>
      </c>
      <c r="AO54">
        <v>689</v>
      </c>
      <c r="AP54">
        <v>467</v>
      </c>
      <c r="AQ54">
        <v>910</v>
      </c>
      <c r="AR54">
        <v>516</v>
      </c>
      <c r="AS54">
        <v>423</v>
      </c>
      <c r="AT54">
        <v>6</v>
      </c>
      <c r="AV54" t="s">
        <v>405</v>
      </c>
      <c r="AW54">
        <v>166</v>
      </c>
      <c r="AX54">
        <v>40.030120481899999</v>
      </c>
      <c r="AY54">
        <v>273</v>
      </c>
      <c r="AZ54">
        <v>12</v>
      </c>
      <c r="BA54">
        <v>229</v>
      </c>
      <c r="BB54">
        <v>5</v>
      </c>
      <c r="BC54">
        <v>1</v>
      </c>
      <c r="BD54">
        <v>1</v>
      </c>
      <c r="BE54">
        <v>8</v>
      </c>
      <c r="BF54">
        <v>2</v>
      </c>
      <c r="BG54">
        <v>606</v>
      </c>
      <c r="BH54">
        <v>24</v>
      </c>
      <c r="BJ54" t="s">
        <v>408</v>
      </c>
      <c r="BK54" t="s">
        <v>408</v>
      </c>
      <c r="BL54">
        <v>57924</v>
      </c>
      <c r="BM54">
        <v>12289</v>
      </c>
      <c r="BN54">
        <v>91.993059871599996</v>
      </c>
      <c r="BO54">
        <v>66468</v>
      </c>
      <c r="BP54">
        <v>12717</v>
      </c>
      <c r="BQ54">
        <v>123.1704278751</v>
      </c>
      <c r="BR54">
        <v>123.3581033263</v>
      </c>
      <c r="BS54">
        <v>56912</v>
      </c>
      <c r="BT54">
        <v>11556</v>
      </c>
      <c r="BU54">
        <v>89.698165588999998</v>
      </c>
      <c r="BV54">
        <v>64160</v>
      </c>
      <c r="BW54">
        <v>12465</v>
      </c>
      <c r="BX54">
        <v>119.40456670819999</v>
      </c>
      <c r="BY54">
        <v>120.06971520259999</v>
      </c>
      <c r="CA54" t="s">
        <v>412</v>
      </c>
      <c r="CB54" t="s">
        <v>894</v>
      </c>
      <c r="CC54" t="s">
        <v>1023</v>
      </c>
      <c r="CD54">
        <v>1444</v>
      </c>
      <c r="CE54">
        <v>291</v>
      </c>
      <c r="CF54">
        <v>85.957756232700007</v>
      </c>
      <c r="CG54">
        <v>1694</v>
      </c>
      <c r="CH54">
        <v>303</v>
      </c>
      <c r="CI54">
        <v>117.17650531290001</v>
      </c>
      <c r="CJ54">
        <v>120.16171617160001</v>
      </c>
      <c r="CL54" t="s">
        <v>412</v>
      </c>
      <c r="CM54" t="s">
        <v>875</v>
      </c>
      <c r="CN54" t="s">
        <v>879</v>
      </c>
      <c r="CO54">
        <v>113</v>
      </c>
      <c r="CP54">
        <v>10</v>
      </c>
      <c r="CQ54">
        <v>70.796460177</v>
      </c>
      <c r="CR54">
        <v>246</v>
      </c>
      <c r="CS54">
        <v>49</v>
      </c>
      <c r="CT54">
        <v>55.357723577199998</v>
      </c>
      <c r="CU54">
        <v>57.081632653100002</v>
      </c>
      <c r="CW54" t="s">
        <v>412</v>
      </c>
      <c r="CX54" t="s">
        <v>885</v>
      </c>
      <c r="CY54" t="s">
        <v>889</v>
      </c>
      <c r="CZ54">
        <v>43</v>
      </c>
      <c r="DA54">
        <v>13</v>
      </c>
      <c r="DB54">
        <v>93.534883720899998</v>
      </c>
      <c r="DC54">
        <v>25</v>
      </c>
      <c r="DD54">
        <v>7</v>
      </c>
      <c r="DE54">
        <v>135.80000000000001</v>
      </c>
      <c r="DF54">
        <v>145.1428571429</v>
      </c>
      <c r="DH54" t="s">
        <v>412</v>
      </c>
      <c r="DI54" t="s">
        <v>865</v>
      </c>
      <c r="DJ54" t="s">
        <v>869</v>
      </c>
      <c r="DK54">
        <v>51</v>
      </c>
      <c r="DL54">
        <v>12</v>
      </c>
      <c r="DM54">
        <v>78.392156862700006</v>
      </c>
      <c r="DN54">
        <v>40</v>
      </c>
      <c r="DO54">
        <v>9</v>
      </c>
      <c r="DP54">
        <v>122.825</v>
      </c>
      <c r="DQ54">
        <v>140.8888888889</v>
      </c>
    </row>
    <row r="55" spans="2:121" x14ac:dyDescent="0.2">
      <c r="F55" t="s">
        <v>75</v>
      </c>
      <c r="G55">
        <v>1739</v>
      </c>
      <c r="H55">
        <v>311.07935595169999</v>
      </c>
      <c r="I55">
        <v>3298</v>
      </c>
      <c r="J55">
        <v>957</v>
      </c>
      <c r="K55">
        <v>2829</v>
      </c>
      <c r="L55">
        <v>2145</v>
      </c>
      <c r="M55">
        <v>840</v>
      </c>
      <c r="N55">
        <v>609</v>
      </c>
      <c r="O55">
        <v>1035</v>
      </c>
      <c r="P55">
        <v>775</v>
      </c>
      <c r="Q55">
        <v>0</v>
      </c>
      <c r="R55">
        <v>2</v>
      </c>
      <c r="AH55" t="s">
        <v>425</v>
      </c>
      <c r="AI55">
        <v>451</v>
      </c>
      <c r="AJ55">
        <v>331.79822616410002</v>
      </c>
      <c r="AK55">
        <v>853</v>
      </c>
      <c r="AL55">
        <v>112</v>
      </c>
      <c r="AM55">
        <v>803</v>
      </c>
      <c r="AN55">
        <v>447</v>
      </c>
      <c r="AO55">
        <v>175</v>
      </c>
      <c r="AP55">
        <v>94</v>
      </c>
      <c r="AQ55">
        <v>165</v>
      </c>
      <c r="AR55">
        <v>86</v>
      </c>
      <c r="AS55">
        <v>3</v>
      </c>
      <c r="AT55">
        <v>2</v>
      </c>
      <c r="AV55" t="s">
        <v>383</v>
      </c>
      <c r="AW55">
        <v>275</v>
      </c>
      <c r="AX55">
        <v>89.669090909100007</v>
      </c>
      <c r="AY55">
        <v>304</v>
      </c>
      <c r="AZ55">
        <v>61</v>
      </c>
      <c r="BA55">
        <v>353</v>
      </c>
      <c r="BB55">
        <v>108</v>
      </c>
      <c r="BC55">
        <v>2</v>
      </c>
      <c r="BD55">
        <v>2</v>
      </c>
      <c r="BE55">
        <v>18</v>
      </c>
      <c r="BF55">
        <v>9</v>
      </c>
      <c r="BG55">
        <v>55</v>
      </c>
      <c r="BH55">
        <v>76</v>
      </c>
      <c r="BJ55" t="s">
        <v>599</v>
      </c>
      <c r="BK55" t="s">
        <v>408</v>
      </c>
      <c r="BL55">
        <v>4586</v>
      </c>
      <c r="BM55">
        <v>1089</v>
      </c>
      <c r="BN55">
        <v>95.447884866999999</v>
      </c>
      <c r="BO55">
        <v>4810</v>
      </c>
      <c r="BP55">
        <v>1033</v>
      </c>
      <c r="BQ55">
        <v>139.641995842</v>
      </c>
      <c r="BR55">
        <v>144.98160697</v>
      </c>
      <c r="BS55">
        <v>6519</v>
      </c>
      <c r="BT55">
        <v>1655</v>
      </c>
      <c r="BU55">
        <v>99.577849363400006</v>
      </c>
      <c r="BV55">
        <v>6986</v>
      </c>
      <c r="BW55">
        <v>1440</v>
      </c>
      <c r="BX55">
        <v>147.17191525909999</v>
      </c>
      <c r="BY55">
        <v>144.18194444439999</v>
      </c>
      <c r="CA55" t="s">
        <v>417</v>
      </c>
      <c r="CB55" t="s">
        <v>894</v>
      </c>
      <c r="CC55" t="s">
        <v>1024</v>
      </c>
      <c r="CD55">
        <v>3325</v>
      </c>
      <c r="CE55">
        <v>772</v>
      </c>
      <c r="CF55">
        <v>95.686917293199997</v>
      </c>
      <c r="CG55">
        <v>3745</v>
      </c>
      <c r="CH55">
        <v>692</v>
      </c>
      <c r="CI55">
        <v>147.61468624829999</v>
      </c>
      <c r="CJ55">
        <v>141.3959537572</v>
      </c>
      <c r="CL55" t="s">
        <v>417</v>
      </c>
      <c r="CM55" t="s">
        <v>875</v>
      </c>
      <c r="CN55" t="s">
        <v>880</v>
      </c>
      <c r="CO55">
        <v>226</v>
      </c>
      <c r="CP55">
        <v>25</v>
      </c>
      <c r="CQ55">
        <v>66.699115044199999</v>
      </c>
      <c r="CR55">
        <v>481</v>
      </c>
      <c r="CS55">
        <v>91</v>
      </c>
      <c r="CT55">
        <v>60.9584199584</v>
      </c>
      <c r="CU55">
        <v>62.197802197800002</v>
      </c>
      <c r="CW55" t="s">
        <v>417</v>
      </c>
      <c r="CX55" t="s">
        <v>885</v>
      </c>
      <c r="CY55" t="s">
        <v>890</v>
      </c>
      <c r="CZ55">
        <v>110</v>
      </c>
      <c r="DA55">
        <v>21</v>
      </c>
      <c r="DB55">
        <v>84.7</v>
      </c>
      <c r="DC55">
        <v>70</v>
      </c>
      <c r="DD55">
        <v>18</v>
      </c>
      <c r="DE55">
        <v>146.44285714290001</v>
      </c>
      <c r="DF55">
        <v>145.7777777778</v>
      </c>
      <c r="DH55" t="s">
        <v>417</v>
      </c>
      <c r="DI55" t="s">
        <v>865</v>
      </c>
      <c r="DJ55" t="s">
        <v>870</v>
      </c>
      <c r="DK55">
        <v>106</v>
      </c>
      <c r="DL55">
        <v>13</v>
      </c>
      <c r="DM55">
        <v>77.5188679245</v>
      </c>
      <c r="DN55">
        <v>77</v>
      </c>
      <c r="DO55">
        <v>16</v>
      </c>
      <c r="DP55">
        <v>131.77922077919999</v>
      </c>
      <c r="DQ55">
        <v>127.5625</v>
      </c>
    </row>
    <row r="56" spans="2:121" x14ac:dyDescent="0.2">
      <c r="F56" t="s">
        <v>67</v>
      </c>
      <c r="G56">
        <v>4451</v>
      </c>
      <c r="H56">
        <v>254.39698944060001</v>
      </c>
      <c r="I56">
        <v>4124</v>
      </c>
      <c r="J56">
        <v>1062</v>
      </c>
      <c r="K56">
        <v>5501</v>
      </c>
      <c r="L56">
        <v>3184</v>
      </c>
      <c r="M56">
        <v>1091</v>
      </c>
      <c r="N56">
        <v>304</v>
      </c>
      <c r="O56">
        <v>2640</v>
      </c>
      <c r="P56">
        <v>2048</v>
      </c>
      <c r="Q56">
        <v>1</v>
      </c>
      <c r="R56">
        <v>70</v>
      </c>
      <c r="BJ56" t="s">
        <v>607</v>
      </c>
      <c r="BK56" t="s">
        <v>408</v>
      </c>
      <c r="BL56">
        <v>4610</v>
      </c>
      <c r="BM56">
        <v>1137</v>
      </c>
      <c r="BN56">
        <v>102.1041214751</v>
      </c>
      <c r="BO56">
        <v>4636</v>
      </c>
      <c r="BP56">
        <v>883</v>
      </c>
      <c r="BQ56">
        <v>142.72691975839999</v>
      </c>
      <c r="BR56">
        <v>140.68856172139999</v>
      </c>
      <c r="BS56">
        <v>4757</v>
      </c>
      <c r="BT56">
        <v>1095</v>
      </c>
      <c r="BU56">
        <v>97.270128232100006</v>
      </c>
      <c r="BV56">
        <v>4781</v>
      </c>
      <c r="BW56">
        <v>879</v>
      </c>
      <c r="BX56">
        <v>137.56766366869999</v>
      </c>
      <c r="BY56">
        <v>137.95790671220001</v>
      </c>
      <c r="CA56" t="s">
        <v>409</v>
      </c>
      <c r="CB56" t="s">
        <v>894</v>
      </c>
      <c r="CC56" t="s">
        <v>1025</v>
      </c>
      <c r="CD56">
        <v>2657</v>
      </c>
      <c r="CE56">
        <v>543</v>
      </c>
      <c r="CF56">
        <v>94.304478735399996</v>
      </c>
      <c r="CG56">
        <v>2685</v>
      </c>
      <c r="CH56">
        <v>518</v>
      </c>
      <c r="CI56">
        <v>148.15158286779999</v>
      </c>
      <c r="CJ56">
        <v>143.32432432429999</v>
      </c>
      <c r="CL56" t="s">
        <v>409</v>
      </c>
      <c r="CM56" t="s">
        <v>875</v>
      </c>
      <c r="CN56" t="s">
        <v>881</v>
      </c>
      <c r="CO56">
        <v>184</v>
      </c>
      <c r="CP56">
        <v>12</v>
      </c>
      <c r="CQ56">
        <v>56.722826087000001</v>
      </c>
      <c r="CR56">
        <v>357</v>
      </c>
      <c r="CS56">
        <v>64</v>
      </c>
      <c r="CT56">
        <v>57.112044817899999</v>
      </c>
      <c r="CU56">
        <v>46.34375</v>
      </c>
      <c r="CW56" t="s">
        <v>409</v>
      </c>
      <c r="CX56" t="s">
        <v>885</v>
      </c>
      <c r="CY56" t="s">
        <v>891</v>
      </c>
      <c r="CZ56">
        <v>68</v>
      </c>
      <c r="DA56">
        <v>16</v>
      </c>
      <c r="DB56">
        <v>80.323529411799996</v>
      </c>
      <c r="DC56">
        <v>41</v>
      </c>
      <c r="DD56">
        <v>7</v>
      </c>
      <c r="DE56">
        <v>174.9512195122</v>
      </c>
      <c r="DF56">
        <v>193.8571428571</v>
      </c>
      <c r="DH56" t="s">
        <v>409</v>
      </c>
      <c r="DI56" t="s">
        <v>865</v>
      </c>
      <c r="DJ56" t="s">
        <v>871</v>
      </c>
      <c r="DK56">
        <v>81</v>
      </c>
      <c r="DL56">
        <v>16</v>
      </c>
      <c r="DM56">
        <v>88.913580246899997</v>
      </c>
      <c r="DN56">
        <v>37</v>
      </c>
      <c r="DO56">
        <v>3</v>
      </c>
      <c r="DP56">
        <v>152.51351351349999</v>
      </c>
      <c r="DQ56">
        <v>263.3333333333</v>
      </c>
    </row>
    <row r="57" spans="2:121" x14ac:dyDescent="0.2">
      <c r="F57" t="s">
        <v>65</v>
      </c>
      <c r="G57">
        <v>9320</v>
      </c>
      <c r="H57">
        <v>432.47403433480002</v>
      </c>
      <c r="I57">
        <v>11212</v>
      </c>
      <c r="J57">
        <v>2902</v>
      </c>
      <c r="K57">
        <v>12264</v>
      </c>
      <c r="L57">
        <v>9511</v>
      </c>
      <c r="M57">
        <v>3836</v>
      </c>
      <c r="N57">
        <v>3168</v>
      </c>
      <c r="O57">
        <v>2298</v>
      </c>
      <c r="P57">
        <v>1737</v>
      </c>
      <c r="Q57">
        <v>0</v>
      </c>
      <c r="R57">
        <v>31</v>
      </c>
      <c r="BJ57" t="s">
        <v>615</v>
      </c>
      <c r="BK57" t="s">
        <v>408</v>
      </c>
      <c r="BL57">
        <v>3150</v>
      </c>
      <c r="BM57">
        <v>727</v>
      </c>
      <c r="BN57">
        <v>97.1374603175</v>
      </c>
      <c r="BO57">
        <v>3446</v>
      </c>
      <c r="BP57">
        <v>635</v>
      </c>
      <c r="BQ57">
        <v>150.86273940800001</v>
      </c>
      <c r="BR57">
        <v>143.65039370080001</v>
      </c>
      <c r="BS57">
        <v>2642</v>
      </c>
      <c r="BT57">
        <v>452</v>
      </c>
      <c r="BU57">
        <v>86.8675246026</v>
      </c>
      <c r="BV57">
        <v>2654</v>
      </c>
      <c r="BW57">
        <v>521</v>
      </c>
      <c r="BX57">
        <v>128.3643556895</v>
      </c>
      <c r="BY57">
        <v>131.5527831094</v>
      </c>
      <c r="CA57" t="s">
        <v>413</v>
      </c>
      <c r="CB57" t="s">
        <v>894</v>
      </c>
      <c r="CC57" t="s">
        <v>1026</v>
      </c>
      <c r="CD57">
        <v>4660</v>
      </c>
      <c r="CE57">
        <v>1151</v>
      </c>
      <c r="CF57">
        <v>101.74399141630001</v>
      </c>
      <c r="CG57">
        <v>4733</v>
      </c>
      <c r="CH57">
        <v>917</v>
      </c>
      <c r="CI57">
        <v>141.81893091059999</v>
      </c>
      <c r="CJ57">
        <v>141.5223555071</v>
      </c>
      <c r="CL57" t="s">
        <v>413</v>
      </c>
      <c r="CM57" t="s">
        <v>875</v>
      </c>
      <c r="CN57" t="s">
        <v>882</v>
      </c>
      <c r="CO57">
        <v>289</v>
      </c>
      <c r="CP57">
        <v>31</v>
      </c>
      <c r="CQ57">
        <v>67.685121107300006</v>
      </c>
      <c r="CR57">
        <v>723</v>
      </c>
      <c r="CS57">
        <v>124</v>
      </c>
      <c r="CT57">
        <v>66.835408022099998</v>
      </c>
      <c r="CU57">
        <v>60.669354838700002</v>
      </c>
      <c r="CW57" t="s">
        <v>413</v>
      </c>
      <c r="CX57" t="s">
        <v>885</v>
      </c>
      <c r="CY57" t="s">
        <v>892</v>
      </c>
      <c r="CZ57">
        <v>109</v>
      </c>
      <c r="DA57">
        <v>33</v>
      </c>
      <c r="DB57">
        <v>99.376146789000003</v>
      </c>
      <c r="DC57">
        <v>68</v>
      </c>
      <c r="DD57">
        <v>12</v>
      </c>
      <c r="DE57">
        <v>135.0588235294</v>
      </c>
      <c r="DF57">
        <v>187.75</v>
      </c>
      <c r="DH57" t="s">
        <v>413</v>
      </c>
      <c r="DI57" t="s">
        <v>865</v>
      </c>
      <c r="DJ57" t="s">
        <v>872</v>
      </c>
      <c r="DK57">
        <v>50</v>
      </c>
      <c r="DL57">
        <v>8</v>
      </c>
      <c r="DM57">
        <v>88.7</v>
      </c>
      <c r="DN57">
        <v>32</v>
      </c>
      <c r="DO57">
        <v>6</v>
      </c>
      <c r="DP57">
        <v>124.5</v>
      </c>
      <c r="DQ57">
        <v>112.1666666667</v>
      </c>
    </row>
    <row r="58" spans="2:121" x14ac:dyDescent="0.2">
      <c r="F58" t="s">
        <v>57</v>
      </c>
      <c r="G58">
        <v>1451</v>
      </c>
      <c r="H58">
        <v>386.255685734</v>
      </c>
      <c r="I58">
        <v>1043</v>
      </c>
      <c r="J58">
        <v>267</v>
      </c>
      <c r="K58">
        <v>1942</v>
      </c>
      <c r="L58">
        <v>1288</v>
      </c>
      <c r="M58">
        <v>378</v>
      </c>
      <c r="N58">
        <v>372</v>
      </c>
      <c r="O58">
        <v>96</v>
      </c>
      <c r="P58">
        <v>47</v>
      </c>
      <c r="Q58">
        <v>0</v>
      </c>
      <c r="R58">
        <v>1</v>
      </c>
      <c r="BJ58" t="s">
        <v>628</v>
      </c>
      <c r="BK58" t="s">
        <v>408</v>
      </c>
      <c r="BL58">
        <v>10098</v>
      </c>
      <c r="BM58">
        <v>1700</v>
      </c>
      <c r="BN58">
        <v>86.069023568999995</v>
      </c>
      <c r="BO58">
        <v>9725</v>
      </c>
      <c r="BP58">
        <v>1966</v>
      </c>
      <c r="BQ58">
        <v>135.92195372750001</v>
      </c>
      <c r="BR58">
        <v>140.15818921670001</v>
      </c>
      <c r="BS58">
        <v>9846</v>
      </c>
      <c r="BT58">
        <v>1776</v>
      </c>
      <c r="BU58">
        <v>89.155291488900005</v>
      </c>
      <c r="BV58">
        <v>10170</v>
      </c>
      <c r="BW58">
        <v>1977</v>
      </c>
      <c r="BX58">
        <v>144.85575221240001</v>
      </c>
      <c r="BY58">
        <v>143.34800202330001</v>
      </c>
      <c r="CA58" t="s">
        <v>83</v>
      </c>
      <c r="CB58" t="s">
        <v>894</v>
      </c>
      <c r="CC58" t="s">
        <v>1027</v>
      </c>
      <c r="CD58">
        <v>5550</v>
      </c>
      <c r="CE58">
        <v>1020</v>
      </c>
      <c r="CF58">
        <v>87.158378378400002</v>
      </c>
      <c r="CG58">
        <v>8113</v>
      </c>
      <c r="CH58">
        <v>1500</v>
      </c>
      <c r="CI58">
        <v>115.1453223222</v>
      </c>
      <c r="CJ58">
        <v>112.5973333333</v>
      </c>
      <c r="CL58" t="s">
        <v>83</v>
      </c>
      <c r="CM58" t="s">
        <v>875</v>
      </c>
      <c r="CN58" t="s">
        <v>883</v>
      </c>
      <c r="CO58">
        <v>521</v>
      </c>
      <c r="CP58">
        <v>46</v>
      </c>
      <c r="CQ58">
        <v>66.800383877200005</v>
      </c>
      <c r="CR58">
        <v>1057</v>
      </c>
      <c r="CS58">
        <v>173</v>
      </c>
      <c r="CT58">
        <v>67.061494796600002</v>
      </c>
      <c r="CU58">
        <v>69.485549132900005</v>
      </c>
      <c r="CW58" t="s">
        <v>83</v>
      </c>
      <c r="CX58" t="s">
        <v>885</v>
      </c>
      <c r="CY58" t="s">
        <v>893</v>
      </c>
      <c r="CZ58">
        <v>340</v>
      </c>
      <c r="DA58">
        <v>66</v>
      </c>
      <c r="DB58">
        <v>84.285294117600003</v>
      </c>
      <c r="DC58">
        <v>181</v>
      </c>
      <c r="DD58">
        <v>40</v>
      </c>
      <c r="DE58">
        <v>133.9226519337</v>
      </c>
      <c r="DF58">
        <v>147.42500000000001</v>
      </c>
      <c r="DH58" t="s">
        <v>83</v>
      </c>
      <c r="DI58" t="s">
        <v>865</v>
      </c>
      <c r="DJ58" t="s">
        <v>873</v>
      </c>
      <c r="DK58">
        <v>506</v>
      </c>
      <c r="DL58">
        <v>75</v>
      </c>
      <c r="DM58">
        <v>84.796442687699994</v>
      </c>
      <c r="DN58">
        <v>359</v>
      </c>
      <c r="DO58">
        <v>69</v>
      </c>
      <c r="DP58">
        <v>126.13649025070001</v>
      </c>
      <c r="DQ58">
        <v>149.02898550719999</v>
      </c>
    </row>
    <row r="59" spans="2:121" x14ac:dyDescent="0.2">
      <c r="F59" t="s">
        <v>49</v>
      </c>
      <c r="G59">
        <v>12968</v>
      </c>
      <c r="H59">
        <v>350.83867982729998</v>
      </c>
      <c r="I59">
        <v>15139</v>
      </c>
      <c r="J59">
        <v>3915</v>
      </c>
      <c r="K59">
        <v>16921</v>
      </c>
      <c r="L59">
        <v>11733</v>
      </c>
      <c r="M59">
        <v>3195</v>
      </c>
      <c r="N59">
        <v>1857</v>
      </c>
      <c r="O59">
        <v>3366</v>
      </c>
      <c r="P59">
        <v>2453</v>
      </c>
      <c r="Q59">
        <v>1</v>
      </c>
      <c r="R59">
        <v>225</v>
      </c>
      <c r="BJ59" t="s">
        <v>601</v>
      </c>
      <c r="BK59" t="s">
        <v>408</v>
      </c>
      <c r="BL59">
        <v>7323</v>
      </c>
      <c r="BM59">
        <v>1089</v>
      </c>
      <c r="BN59">
        <v>76.331558104600006</v>
      </c>
      <c r="BO59">
        <v>17706</v>
      </c>
      <c r="BP59">
        <v>3308</v>
      </c>
      <c r="BQ59">
        <v>69.864622162000003</v>
      </c>
      <c r="BR59">
        <v>71.318016928700004</v>
      </c>
      <c r="BS59">
        <v>7977</v>
      </c>
      <c r="BT59">
        <v>1122</v>
      </c>
      <c r="BU59">
        <v>76.085495800399997</v>
      </c>
      <c r="BV59">
        <v>18321</v>
      </c>
      <c r="BW59">
        <v>3509</v>
      </c>
      <c r="BX59">
        <v>70.042628677500005</v>
      </c>
      <c r="BY59">
        <v>72.124536905100001</v>
      </c>
      <c r="CA59" t="s">
        <v>408</v>
      </c>
      <c r="CB59" t="s">
        <v>894</v>
      </c>
      <c r="CD59">
        <v>55654</v>
      </c>
      <c r="CE59">
        <v>11997</v>
      </c>
      <c r="CF59">
        <v>92.961602041199995</v>
      </c>
      <c r="CG59">
        <v>58186</v>
      </c>
      <c r="CH59">
        <v>11128</v>
      </c>
      <c r="CI59">
        <v>135.2153267109</v>
      </c>
      <c r="CJ59">
        <v>133.91813443570001</v>
      </c>
      <c r="CL59" t="s">
        <v>408</v>
      </c>
      <c r="CM59" t="s">
        <v>875</v>
      </c>
      <c r="CO59">
        <v>3780</v>
      </c>
      <c r="CP59">
        <v>375</v>
      </c>
      <c r="CQ59">
        <v>64.769312169299994</v>
      </c>
      <c r="CR59">
        <v>8667</v>
      </c>
      <c r="CS59">
        <v>1523</v>
      </c>
      <c r="CT59">
        <v>63.8238144687</v>
      </c>
      <c r="CU59">
        <v>63.185160866700002</v>
      </c>
      <c r="CW59" t="s">
        <v>408</v>
      </c>
      <c r="CX59" t="s">
        <v>885</v>
      </c>
      <c r="CZ59">
        <v>2416</v>
      </c>
      <c r="DA59">
        <v>504</v>
      </c>
      <c r="DB59">
        <v>86.418046357600005</v>
      </c>
      <c r="DC59">
        <v>1479</v>
      </c>
      <c r="DD59">
        <v>274</v>
      </c>
      <c r="DE59">
        <v>137.2096010818</v>
      </c>
      <c r="DF59">
        <v>153.6642335766</v>
      </c>
      <c r="DH59" t="s">
        <v>408</v>
      </c>
      <c r="DI59" t="s">
        <v>865</v>
      </c>
      <c r="DK59">
        <v>1815</v>
      </c>
      <c r="DL59">
        <v>296</v>
      </c>
      <c r="DM59">
        <v>82.815977961399994</v>
      </c>
      <c r="DN59">
        <v>1358</v>
      </c>
      <c r="DO59">
        <v>273</v>
      </c>
      <c r="DP59">
        <v>127.7960235641</v>
      </c>
      <c r="DQ59">
        <v>145.39194139189999</v>
      </c>
    </row>
    <row r="60" spans="2:121" x14ac:dyDescent="0.2">
      <c r="F60" t="s">
        <v>138</v>
      </c>
      <c r="G60">
        <v>421</v>
      </c>
      <c r="H60">
        <v>348.3491686461</v>
      </c>
      <c r="I60">
        <v>510</v>
      </c>
      <c r="J60">
        <v>121</v>
      </c>
      <c r="K60">
        <v>639</v>
      </c>
      <c r="L60">
        <v>424</v>
      </c>
      <c r="M60">
        <v>105</v>
      </c>
      <c r="N60">
        <v>68</v>
      </c>
      <c r="O60">
        <v>117</v>
      </c>
      <c r="P60">
        <v>65</v>
      </c>
      <c r="Q60">
        <v>0</v>
      </c>
      <c r="R60">
        <v>1</v>
      </c>
      <c r="BJ60" t="s">
        <v>543</v>
      </c>
      <c r="BK60" t="s">
        <v>384</v>
      </c>
      <c r="BL60">
        <v>16268</v>
      </c>
      <c r="BM60">
        <v>4140</v>
      </c>
      <c r="BN60">
        <v>98.926112613699999</v>
      </c>
      <c r="BO60">
        <v>14376</v>
      </c>
      <c r="BP60">
        <v>2837</v>
      </c>
      <c r="BQ60">
        <v>153.94539510289999</v>
      </c>
      <c r="BR60">
        <v>157.45682058509999</v>
      </c>
      <c r="BS60">
        <v>15253</v>
      </c>
      <c r="BT60">
        <v>2991</v>
      </c>
      <c r="BU60">
        <v>89.296400708099995</v>
      </c>
      <c r="BV60">
        <v>10897</v>
      </c>
      <c r="BW60">
        <v>2333</v>
      </c>
      <c r="BX60">
        <v>148.34743507389999</v>
      </c>
      <c r="BY60">
        <v>146.08444063440001</v>
      </c>
      <c r="CA60" t="s">
        <v>392</v>
      </c>
      <c r="CB60" t="s">
        <v>919</v>
      </c>
      <c r="CC60" t="s">
        <v>1028</v>
      </c>
      <c r="CD60">
        <v>7007</v>
      </c>
      <c r="CE60">
        <v>1507</v>
      </c>
      <c r="CF60">
        <v>91.352932781500002</v>
      </c>
      <c r="CG60">
        <v>7687</v>
      </c>
      <c r="CH60">
        <v>1339</v>
      </c>
      <c r="CI60">
        <v>137.1594900481</v>
      </c>
      <c r="CJ60">
        <v>129.71844660190001</v>
      </c>
      <c r="CL60" t="s">
        <v>392</v>
      </c>
      <c r="CM60" t="s">
        <v>904</v>
      </c>
      <c r="CN60" t="s">
        <v>903</v>
      </c>
      <c r="CO60">
        <v>767</v>
      </c>
      <c r="CP60">
        <v>84</v>
      </c>
      <c r="CQ60">
        <v>68.981747066500006</v>
      </c>
      <c r="CR60">
        <v>1408</v>
      </c>
      <c r="CS60">
        <v>292</v>
      </c>
      <c r="CT60">
        <v>65.740767045499993</v>
      </c>
      <c r="CU60">
        <v>75.910958904099999</v>
      </c>
      <c r="CW60" t="s">
        <v>392</v>
      </c>
      <c r="CX60" t="s">
        <v>912</v>
      </c>
      <c r="CY60" t="s">
        <v>911</v>
      </c>
      <c r="CZ60">
        <v>224</v>
      </c>
      <c r="DA60">
        <v>68</v>
      </c>
      <c r="DB60">
        <v>99.299107142899999</v>
      </c>
      <c r="DC60">
        <v>80</v>
      </c>
      <c r="DD60">
        <v>19</v>
      </c>
      <c r="DE60">
        <v>149.85</v>
      </c>
      <c r="DF60">
        <v>153.94736842110001</v>
      </c>
      <c r="DH60" t="s">
        <v>392</v>
      </c>
      <c r="DI60" t="s">
        <v>896</v>
      </c>
      <c r="DJ60" t="s">
        <v>895</v>
      </c>
      <c r="DK60">
        <v>193</v>
      </c>
      <c r="DL60">
        <v>54</v>
      </c>
      <c r="DM60">
        <v>97.663212435199995</v>
      </c>
      <c r="DN60">
        <v>134</v>
      </c>
      <c r="DO60">
        <v>30</v>
      </c>
      <c r="DP60">
        <v>150.0970149254</v>
      </c>
      <c r="DQ60">
        <v>150.6</v>
      </c>
    </row>
    <row r="61" spans="2:121" x14ac:dyDescent="0.2">
      <c r="F61" t="s">
        <v>59</v>
      </c>
      <c r="G61">
        <v>8210</v>
      </c>
      <c r="H61">
        <v>338.96540803900001</v>
      </c>
      <c r="I61">
        <v>6156</v>
      </c>
      <c r="J61">
        <v>1178</v>
      </c>
      <c r="K61">
        <v>9432</v>
      </c>
      <c r="L61">
        <v>6453</v>
      </c>
      <c r="M61">
        <v>613</v>
      </c>
      <c r="N61">
        <v>399</v>
      </c>
      <c r="O61">
        <v>569</v>
      </c>
      <c r="P61">
        <v>284</v>
      </c>
      <c r="Q61">
        <v>5908</v>
      </c>
      <c r="R61">
        <v>0</v>
      </c>
      <c r="BJ61" t="s">
        <v>551</v>
      </c>
      <c r="BK61" t="s">
        <v>384</v>
      </c>
      <c r="BL61">
        <v>8378</v>
      </c>
      <c r="BM61">
        <v>2437</v>
      </c>
      <c r="BN61">
        <v>105.65075196940001</v>
      </c>
      <c r="BO61">
        <v>7999</v>
      </c>
      <c r="BP61">
        <v>1411</v>
      </c>
      <c r="BQ61">
        <v>137.42405300659999</v>
      </c>
      <c r="BR61">
        <v>138.10914245219999</v>
      </c>
      <c r="BS61">
        <v>8355</v>
      </c>
      <c r="BT61">
        <v>2439</v>
      </c>
      <c r="BU61">
        <v>105.04727707959999</v>
      </c>
      <c r="BV61">
        <v>8108</v>
      </c>
      <c r="BW61">
        <v>1455</v>
      </c>
      <c r="BX61">
        <v>137.5569807597</v>
      </c>
      <c r="BY61">
        <v>139.39312714779999</v>
      </c>
      <c r="CA61" t="s">
        <v>429</v>
      </c>
      <c r="CB61" t="s">
        <v>919</v>
      </c>
      <c r="CC61" t="s">
        <v>1029</v>
      </c>
      <c r="CD61">
        <v>21268</v>
      </c>
      <c r="CE61">
        <v>5492</v>
      </c>
      <c r="CF61">
        <v>101.9705661087</v>
      </c>
      <c r="CG61">
        <v>23354</v>
      </c>
      <c r="CH61">
        <v>4527</v>
      </c>
      <c r="CI61">
        <v>145.33000770749999</v>
      </c>
      <c r="CJ61">
        <v>141.53920918930001</v>
      </c>
      <c r="CL61" t="s">
        <v>429</v>
      </c>
      <c r="CM61" t="s">
        <v>904</v>
      </c>
      <c r="CN61" t="s">
        <v>905</v>
      </c>
      <c r="CO61">
        <v>2573</v>
      </c>
      <c r="CP61">
        <v>252</v>
      </c>
      <c r="CQ61">
        <v>70.349397590400002</v>
      </c>
      <c r="CR61">
        <v>3090</v>
      </c>
      <c r="CS61">
        <v>575</v>
      </c>
      <c r="CT61">
        <v>83.830097087400006</v>
      </c>
      <c r="CU61">
        <v>97.993043478299995</v>
      </c>
      <c r="CW61" t="s">
        <v>429</v>
      </c>
      <c r="CX61" t="s">
        <v>912</v>
      </c>
      <c r="CY61" t="s">
        <v>913</v>
      </c>
      <c r="CZ61">
        <v>870</v>
      </c>
      <c r="DA61">
        <v>229</v>
      </c>
      <c r="DB61">
        <v>95.163218390799997</v>
      </c>
      <c r="DC61">
        <v>452</v>
      </c>
      <c r="DD61">
        <v>97</v>
      </c>
      <c r="DE61">
        <v>154.78318584070001</v>
      </c>
      <c r="DF61">
        <v>169.71134020619999</v>
      </c>
      <c r="DH61" t="s">
        <v>429</v>
      </c>
      <c r="DI61" t="s">
        <v>896</v>
      </c>
      <c r="DJ61" t="s">
        <v>897</v>
      </c>
      <c r="DK61">
        <v>1057</v>
      </c>
      <c r="DL61">
        <v>298</v>
      </c>
      <c r="DM61">
        <v>95.888363292299999</v>
      </c>
      <c r="DN61">
        <v>649</v>
      </c>
      <c r="DO61">
        <v>103</v>
      </c>
      <c r="DP61">
        <v>143.14175654850001</v>
      </c>
      <c r="DQ61">
        <v>166.18446601939999</v>
      </c>
    </row>
    <row r="62" spans="2:121" x14ac:dyDescent="0.2">
      <c r="BJ62" t="s">
        <v>567</v>
      </c>
      <c r="BK62" t="s">
        <v>384</v>
      </c>
      <c r="BL62">
        <v>4102</v>
      </c>
      <c r="BM62">
        <v>895</v>
      </c>
      <c r="BN62">
        <v>103.72208678689999</v>
      </c>
      <c r="BO62">
        <v>5174</v>
      </c>
      <c r="BP62">
        <v>899</v>
      </c>
      <c r="BQ62">
        <v>148.8351372246</v>
      </c>
      <c r="BR62">
        <v>164.56729699670001</v>
      </c>
      <c r="BS62">
        <v>6393</v>
      </c>
      <c r="BT62">
        <v>2560</v>
      </c>
      <c r="BU62">
        <v>147.8773658689</v>
      </c>
      <c r="BV62">
        <v>6482</v>
      </c>
      <c r="BW62">
        <v>1202</v>
      </c>
      <c r="BX62">
        <v>171.76565874729999</v>
      </c>
      <c r="BY62">
        <v>202.6281198003</v>
      </c>
      <c r="CA62" t="s">
        <v>385</v>
      </c>
      <c r="CB62" t="s">
        <v>919</v>
      </c>
      <c r="CC62" t="s">
        <v>1030</v>
      </c>
      <c r="CD62">
        <v>17435</v>
      </c>
      <c r="CE62">
        <v>4237</v>
      </c>
      <c r="CF62">
        <v>96.251735015799994</v>
      </c>
      <c r="CG62">
        <v>15851</v>
      </c>
      <c r="CH62">
        <v>3161</v>
      </c>
      <c r="CI62">
        <v>144.5575042584</v>
      </c>
      <c r="CJ62">
        <v>147.79500158179999</v>
      </c>
      <c r="CL62" t="s">
        <v>385</v>
      </c>
      <c r="CM62" t="s">
        <v>904</v>
      </c>
      <c r="CN62" t="s">
        <v>906</v>
      </c>
      <c r="CO62">
        <v>1315</v>
      </c>
      <c r="CP62">
        <v>134</v>
      </c>
      <c r="CQ62">
        <v>71.672243346000002</v>
      </c>
      <c r="CR62">
        <v>1547</v>
      </c>
      <c r="CS62">
        <v>261</v>
      </c>
      <c r="CT62">
        <v>87.762120232699999</v>
      </c>
      <c r="CU62">
        <v>94.103448275900007</v>
      </c>
      <c r="CW62" t="s">
        <v>385</v>
      </c>
      <c r="CX62" t="s">
        <v>912</v>
      </c>
      <c r="CY62" t="s">
        <v>914</v>
      </c>
      <c r="CZ62">
        <v>489</v>
      </c>
      <c r="DA62">
        <v>125</v>
      </c>
      <c r="DB62">
        <v>95.308793456000004</v>
      </c>
      <c r="DC62">
        <v>274</v>
      </c>
      <c r="DD62">
        <v>58</v>
      </c>
      <c r="DE62">
        <v>156.7189781022</v>
      </c>
      <c r="DF62">
        <v>165.03448275860001</v>
      </c>
      <c r="DH62" t="s">
        <v>385</v>
      </c>
      <c r="DI62" t="s">
        <v>896</v>
      </c>
      <c r="DJ62" t="s">
        <v>898</v>
      </c>
      <c r="DK62">
        <v>531</v>
      </c>
      <c r="DL62">
        <v>140</v>
      </c>
      <c r="DM62">
        <v>94.645951035799996</v>
      </c>
      <c r="DN62">
        <v>345</v>
      </c>
      <c r="DO62">
        <v>65</v>
      </c>
      <c r="DP62">
        <v>148.24057971010001</v>
      </c>
      <c r="DQ62">
        <v>162.5692307692</v>
      </c>
    </row>
    <row r="63" spans="2:121" x14ac:dyDescent="0.2">
      <c r="BJ63" t="s">
        <v>557</v>
      </c>
      <c r="BK63" t="s">
        <v>384</v>
      </c>
      <c r="BL63">
        <v>7186</v>
      </c>
      <c r="BM63">
        <v>1450</v>
      </c>
      <c r="BN63">
        <v>86.868633453900003</v>
      </c>
      <c r="BO63">
        <v>7310</v>
      </c>
      <c r="BP63">
        <v>1255</v>
      </c>
      <c r="BQ63">
        <v>140.17400820789999</v>
      </c>
      <c r="BR63">
        <v>130.9992031873</v>
      </c>
      <c r="BS63">
        <v>6907</v>
      </c>
      <c r="BT63">
        <v>1176</v>
      </c>
      <c r="BU63">
        <v>81.3547126104</v>
      </c>
      <c r="BV63">
        <v>6644</v>
      </c>
      <c r="BW63">
        <v>1156</v>
      </c>
      <c r="BX63">
        <v>139.23073449730001</v>
      </c>
      <c r="BY63">
        <v>125.7932525952</v>
      </c>
      <c r="CA63" t="s">
        <v>397</v>
      </c>
      <c r="CB63" t="s">
        <v>919</v>
      </c>
      <c r="CC63" t="s">
        <v>1031</v>
      </c>
      <c r="CD63">
        <v>3848</v>
      </c>
      <c r="CE63">
        <v>715</v>
      </c>
      <c r="CF63">
        <v>93.337837837799995</v>
      </c>
      <c r="CG63">
        <v>5143</v>
      </c>
      <c r="CH63">
        <v>885</v>
      </c>
      <c r="CI63">
        <v>129.94555706790001</v>
      </c>
      <c r="CJ63">
        <v>128.72429378530001</v>
      </c>
      <c r="CL63" t="s">
        <v>397</v>
      </c>
      <c r="CM63" t="s">
        <v>904</v>
      </c>
      <c r="CN63" t="s">
        <v>907</v>
      </c>
      <c r="CO63">
        <v>384</v>
      </c>
      <c r="CP63">
        <v>57</v>
      </c>
      <c r="CQ63">
        <v>76.653645833300004</v>
      </c>
      <c r="CR63">
        <v>720</v>
      </c>
      <c r="CS63">
        <v>136</v>
      </c>
      <c r="CT63">
        <v>74.129166666700002</v>
      </c>
      <c r="CU63">
        <v>80</v>
      </c>
      <c r="CW63" t="s">
        <v>397</v>
      </c>
      <c r="CX63" t="s">
        <v>912</v>
      </c>
      <c r="CY63" t="s">
        <v>915</v>
      </c>
      <c r="CZ63">
        <v>109</v>
      </c>
      <c r="DA63">
        <v>25</v>
      </c>
      <c r="DB63">
        <v>97.412844036699994</v>
      </c>
      <c r="DC63">
        <v>59</v>
      </c>
      <c r="DD63">
        <v>11</v>
      </c>
      <c r="DE63">
        <v>147.7457627119</v>
      </c>
      <c r="DF63">
        <v>178.1818181818</v>
      </c>
      <c r="DH63" t="s">
        <v>397</v>
      </c>
      <c r="DI63" t="s">
        <v>896</v>
      </c>
      <c r="DJ63" t="s">
        <v>899</v>
      </c>
      <c r="DK63">
        <v>192</v>
      </c>
      <c r="DL63">
        <v>42</v>
      </c>
      <c r="DM63">
        <v>90.239583333300004</v>
      </c>
      <c r="DN63">
        <v>87</v>
      </c>
      <c r="DO63">
        <v>15</v>
      </c>
      <c r="DP63">
        <v>137.367816092</v>
      </c>
      <c r="DQ63">
        <v>140.4</v>
      </c>
    </row>
    <row r="64" spans="2:121" x14ac:dyDescent="0.2">
      <c r="BJ64" t="s">
        <v>553</v>
      </c>
      <c r="BK64" t="s">
        <v>384</v>
      </c>
      <c r="BL64">
        <v>10147</v>
      </c>
      <c r="BM64">
        <v>2283</v>
      </c>
      <c r="BN64">
        <v>98.946388095000003</v>
      </c>
      <c r="BO64">
        <v>8863</v>
      </c>
      <c r="BP64">
        <v>1654</v>
      </c>
      <c r="BQ64">
        <v>134.3727857385</v>
      </c>
      <c r="BR64">
        <v>138.46735187420001</v>
      </c>
      <c r="BS64">
        <v>10120</v>
      </c>
      <c r="BT64">
        <v>2394</v>
      </c>
      <c r="BU64">
        <v>100.9484189723</v>
      </c>
      <c r="BV64">
        <v>9530</v>
      </c>
      <c r="BW64">
        <v>1724</v>
      </c>
      <c r="BX64">
        <v>141.3477439664</v>
      </c>
      <c r="BY64">
        <v>141.4524361949</v>
      </c>
      <c r="CA64" t="s">
        <v>431</v>
      </c>
      <c r="CB64" t="s">
        <v>919</v>
      </c>
      <c r="CC64" t="s">
        <v>1032</v>
      </c>
      <c r="CD64">
        <v>3288</v>
      </c>
      <c r="CE64">
        <v>959</v>
      </c>
      <c r="CF64">
        <v>108.94647201950001</v>
      </c>
      <c r="CG64">
        <v>2391</v>
      </c>
      <c r="CH64">
        <v>481</v>
      </c>
      <c r="CI64">
        <v>162.6649937265</v>
      </c>
      <c r="CJ64">
        <v>160.1372141372</v>
      </c>
      <c r="CL64" t="s">
        <v>431</v>
      </c>
      <c r="CM64" t="s">
        <v>904</v>
      </c>
      <c r="CN64" t="s">
        <v>908</v>
      </c>
      <c r="CO64">
        <v>498</v>
      </c>
      <c r="CP64">
        <v>61</v>
      </c>
      <c r="CQ64">
        <v>78.869477911600001</v>
      </c>
      <c r="CR64">
        <v>543</v>
      </c>
      <c r="CS64">
        <v>88</v>
      </c>
      <c r="CT64">
        <v>93.639042357299999</v>
      </c>
      <c r="CU64">
        <v>112.9431818182</v>
      </c>
      <c r="CW64" t="s">
        <v>431</v>
      </c>
      <c r="CX64" t="s">
        <v>912</v>
      </c>
      <c r="CY64" t="s">
        <v>916</v>
      </c>
      <c r="CZ64">
        <v>14</v>
      </c>
      <c r="DA64">
        <v>1</v>
      </c>
      <c r="DB64">
        <v>73.428571428599994</v>
      </c>
      <c r="DC64">
        <v>4</v>
      </c>
      <c r="DD64">
        <v>1</v>
      </c>
      <c r="DE64">
        <v>144.5</v>
      </c>
      <c r="DF64">
        <v>134</v>
      </c>
      <c r="DH64" t="s">
        <v>431</v>
      </c>
      <c r="DI64" t="s">
        <v>896</v>
      </c>
      <c r="DJ64" t="s">
        <v>900</v>
      </c>
      <c r="DK64">
        <v>15</v>
      </c>
      <c r="DL64">
        <v>4</v>
      </c>
      <c r="DM64">
        <v>91.2</v>
      </c>
      <c r="DN64">
        <v>14</v>
      </c>
      <c r="DO64">
        <v>6</v>
      </c>
      <c r="DP64">
        <v>107.5</v>
      </c>
      <c r="DQ64">
        <v>134.3333333333</v>
      </c>
    </row>
    <row r="65" spans="62:121" x14ac:dyDescent="0.2">
      <c r="BJ65" t="s">
        <v>617</v>
      </c>
      <c r="BK65" t="s">
        <v>384</v>
      </c>
      <c r="BL65">
        <v>3343</v>
      </c>
      <c r="BM65">
        <v>985</v>
      </c>
      <c r="BN65">
        <v>109.5387376608</v>
      </c>
      <c r="BO65">
        <v>2332</v>
      </c>
      <c r="BP65">
        <v>478</v>
      </c>
      <c r="BQ65">
        <v>166.29974271009999</v>
      </c>
      <c r="BR65">
        <v>165.75523012549999</v>
      </c>
      <c r="BS65">
        <v>3261</v>
      </c>
      <c r="BT65">
        <v>913</v>
      </c>
      <c r="BU65">
        <v>111.6145354186</v>
      </c>
      <c r="BV65">
        <v>2338</v>
      </c>
      <c r="BW65">
        <v>419</v>
      </c>
      <c r="BX65">
        <v>183.38751069290001</v>
      </c>
      <c r="BY65">
        <v>172.38186157519999</v>
      </c>
      <c r="CA65" t="s">
        <v>387</v>
      </c>
      <c r="CB65" t="s">
        <v>919</v>
      </c>
      <c r="CC65" t="s">
        <v>1033</v>
      </c>
      <c r="CD65">
        <v>8652</v>
      </c>
      <c r="CE65">
        <v>2560</v>
      </c>
      <c r="CF65">
        <v>106.83784096159999</v>
      </c>
      <c r="CG65">
        <v>8629</v>
      </c>
      <c r="CH65">
        <v>1508</v>
      </c>
      <c r="CI65">
        <v>134.60122841579999</v>
      </c>
      <c r="CJ65">
        <v>135.21750663130001</v>
      </c>
      <c r="CL65" t="s">
        <v>387</v>
      </c>
      <c r="CM65" t="s">
        <v>904</v>
      </c>
      <c r="CN65" t="s">
        <v>909</v>
      </c>
      <c r="CO65">
        <v>734</v>
      </c>
      <c r="CP65">
        <v>104</v>
      </c>
      <c r="CQ65">
        <v>75.843324250699993</v>
      </c>
      <c r="CR65">
        <v>957</v>
      </c>
      <c r="CS65">
        <v>164</v>
      </c>
      <c r="CT65">
        <v>84.322884012499998</v>
      </c>
      <c r="CU65">
        <v>89.268292682899997</v>
      </c>
      <c r="CW65" t="s">
        <v>387</v>
      </c>
      <c r="CX65" t="s">
        <v>912</v>
      </c>
      <c r="CY65" t="s">
        <v>917</v>
      </c>
      <c r="CZ65">
        <v>265</v>
      </c>
      <c r="DA65">
        <v>90</v>
      </c>
      <c r="DB65">
        <v>102.6264150943</v>
      </c>
      <c r="DC65">
        <v>154</v>
      </c>
      <c r="DD65">
        <v>33</v>
      </c>
      <c r="DE65">
        <v>155.75974025970001</v>
      </c>
      <c r="DF65">
        <v>174.51515151519999</v>
      </c>
      <c r="DH65" t="s">
        <v>387</v>
      </c>
      <c r="DI65" t="s">
        <v>896</v>
      </c>
      <c r="DJ65" t="s">
        <v>901</v>
      </c>
      <c r="DK65">
        <v>295</v>
      </c>
      <c r="DL65">
        <v>78</v>
      </c>
      <c r="DM65">
        <v>95.711864406800004</v>
      </c>
      <c r="DN65">
        <v>160</v>
      </c>
      <c r="DO65">
        <v>36</v>
      </c>
      <c r="DP65">
        <v>139.54374999999999</v>
      </c>
      <c r="DQ65">
        <v>154.8333333333</v>
      </c>
    </row>
    <row r="66" spans="62:121" x14ac:dyDescent="0.2">
      <c r="BJ66" t="s">
        <v>384</v>
      </c>
      <c r="BK66" t="s">
        <v>384</v>
      </c>
      <c r="BL66">
        <v>69494</v>
      </c>
      <c r="BM66">
        <v>17418</v>
      </c>
      <c r="BN66">
        <v>100.5709701557</v>
      </c>
      <c r="BO66">
        <v>67458</v>
      </c>
      <c r="BP66">
        <v>12712</v>
      </c>
      <c r="BQ66">
        <v>146.2884609683</v>
      </c>
      <c r="BR66">
        <v>146.22057898049999</v>
      </c>
      <c r="BS66">
        <v>69176</v>
      </c>
      <c r="BT66">
        <v>16604</v>
      </c>
      <c r="BU66">
        <v>99.835463166400004</v>
      </c>
      <c r="BV66">
        <v>62974</v>
      </c>
      <c r="BW66">
        <v>12173</v>
      </c>
      <c r="BX66">
        <v>145.03204497089999</v>
      </c>
      <c r="BY66">
        <v>145.1652838249</v>
      </c>
      <c r="CA66" t="s">
        <v>388</v>
      </c>
      <c r="CB66" t="s">
        <v>919</v>
      </c>
      <c r="CC66" t="s">
        <v>1034</v>
      </c>
      <c r="CD66">
        <v>9703</v>
      </c>
      <c r="CE66">
        <v>2145</v>
      </c>
      <c r="CF66">
        <v>98.379882510599998</v>
      </c>
      <c r="CG66">
        <v>9172</v>
      </c>
      <c r="CH66">
        <v>1704</v>
      </c>
      <c r="CI66">
        <v>130.65983427820001</v>
      </c>
      <c r="CJ66">
        <v>133.26173708920001</v>
      </c>
      <c r="CL66" t="s">
        <v>388</v>
      </c>
      <c r="CM66" t="s">
        <v>904</v>
      </c>
      <c r="CN66" t="s">
        <v>910</v>
      </c>
      <c r="CO66">
        <v>690</v>
      </c>
      <c r="CP66">
        <v>90</v>
      </c>
      <c r="CQ66">
        <v>72.071014492800003</v>
      </c>
      <c r="CR66">
        <v>1259</v>
      </c>
      <c r="CS66">
        <v>232</v>
      </c>
      <c r="CT66">
        <v>66.494837172399997</v>
      </c>
      <c r="CU66">
        <v>75.258620689699995</v>
      </c>
      <c r="CW66" t="s">
        <v>388</v>
      </c>
      <c r="CX66" t="s">
        <v>912</v>
      </c>
      <c r="CY66" t="s">
        <v>918</v>
      </c>
      <c r="CZ66">
        <v>272</v>
      </c>
      <c r="DA66">
        <v>71</v>
      </c>
      <c r="DB66">
        <v>94.404411764700001</v>
      </c>
      <c r="DC66">
        <v>125</v>
      </c>
      <c r="DD66">
        <v>25</v>
      </c>
      <c r="DE66">
        <v>151.816</v>
      </c>
      <c r="DF66">
        <v>169.4</v>
      </c>
      <c r="DH66" t="s">
        <v>388</v>
      </c>
      <c r="DI66" t="s">
        <v>896</v>
      </c>
      <c r="DJ66" t="s">
        <v>902</v>
      </c>
      <c r="DK66">
        <v>425</v>
      </c>
      <c r="DL66">
        <v>97</v>
      </c>
      <c r="DM66">
        <v>94.12</v>
      </c>
      <c r="DN66">
        <v>275</v>
      </c>
      <c r="DO66">
        <v>43</v>
      </c>
      <c r="DP66">
        <v>144.83636363639999</v>
      </c>
      <c r="DQ66">
        <v>153.23255813949999</v>
      </c>
    </row>
    <row r="67" spans="62:121" x14ac:dyDescent="0.2">
      <c r="BJ67" t="s">
        <v>545</v>
      </c>
      <c r="BK67" t="s">
        <v>384</v>
      </c>
      <c r="BL67">
        <v>20070</v>
      </c>
      <c r="BM67">
        <v>5228</v>
      </c>
      <c r="BN67">
        <v>103.37339312410001</v>
      </c>
      <c r="BO67">
        <v>21404</v>
      </c>
      <c r="BP67">
        <v>4178</v>
      </c>
      <c r="BQ67">
        <v>148.68487198650001</v>
      </c>
      <c r="BR67">
        <v>142.78913355669999</v>
      </c>
      <c r="BS67">
        <v>18887</v>
      </c>
      <c r="BT67">
        <v>4131</v>
      </c>
      <c r="BU67">
        <v>93.907979033199993</v>
      </c>
      <c r="BV67">
        <v>18975</v>
      </c>
      <c r="BW67">
        <v>3884</v>
      </c>
      <c r="BX67">
        <v>136.34550724639999</v>
      </c>
      <c r="BY67">
        <v>133.46987641609999</v>
      </c>
      <c r="CA67" t="s">
        <v>384</v>
      </c>
      <c r="CB67" t="s">
        <v>919</v>
      </c>
      <c r="CD67">
        <v>71201</v>
      </c>
      <c r="CE67">
        <v>17615</v>
      </c>
      <c r="CF67">
        <v>99.483012879</v>
      </c>
      <c r="CG67">
        <v>72227</v>
      </c>
      <c r="CH67">
        <v>13605</v>
      </c>
      <c r="CI67">
        <v>140.62457252830001</v>
      </c>
      <c r="CJ67">
        <v>139.91576626240001</v>
      </c>
      <c r="CL67" t="s">
        <v>384</v>
      </c>
      <c r="CM67" t="s">
        <v>904</v>
      </c>
      <c r="CO67">
        <v>6961</v>
      </c>
      <c r="CP67">
        <v>782</v>
      </c>
      <c r="CQ67">
        <v>72.155868409700005</v>
      </c>
      <c r="CR67">
        <v>9524</v>
      </c>
      <c r="CS67">
        <v>1748</v>
      </c>
      <c r="CT67">
        <v>79.378307433900005</v>
      </c>
      <c r="CU67">
        <v>89.240274599499998</v>
      </c>
      <c r="CW67" t="s">
        <v>384</v>
      </c>
      <c r="CX67" t="s">
        <v>912</v>
      </c>
      <c r="CZ67">
        <v>2243</v>
      </c>
      <c r="DA67">
        <v>609</v>
      </c>
      <c r="DB67">
        <v>96.371377619300006</v>
      </c>
      <c r="DC67">
        <v>1148</v>
      </c>
      <c r="DD67">
        <v>244</v>
      </c>
      <c r="DE67">
        <v>154.31184668989999</v>
      </c>
      <c r="DF67">
        <v>168.2254098361</v>
      </c>
      <c r="DH67" t="s">
        <v>384</v>
      </c>
      <c r="DI67" t="s">
        <v>896</v>
      </c>
      <c r="DK67">
        <v>2708</v>
      </c>
      <c r="DL67">
        <v>713</v>
      </c>
      <c r="DM67">
        <v>95.0480059084</v>
      </c>
      <c r="DN67">
        <v>1664</v>
      </c>
      <c r="DO67">
        <v>298</v>
      </c>
      <c r="DP67">
        <v>144.0913461538</v>
      </c>
      <c r="DQ67">
        <v>158.64765100669999</v>
      </c>
    </row>
    <row r="68" spans="62:121" x14ac:dyDescent="0.2">
      <c r="BJ68" t="s">
        <v>311</v>
      </c>
      <c r="BK68" t="s">
        <v>699</v>
      </c>
      <c r="BL68">
        <v>9352</v>
      </c>
      <c r="BM68">
        <v>1936</v>
      </c>
      <c r="BN68">
        <v>89.407292557700003</v>
      </c>
      <c r="BO68">
        <v>5872</v>
      </c>
      <c r="BP68">
        <v>1180</v>
      </c>
      <c r="BQ68">
        <v>134.32595367850001</v>
      </c>
      <c r="BR68">
        <v>147.29152542369999</v>
      </c>
      <c r="BS68">
        <v>737</v>
      </c>
      <c r="BT68">
        <v>375</v>
      </c>
      <c r="BU68">
        <v>120.3229308005</v>
      </c>
      <c r="BV68">
        <v>984</v>
      </c>
      <c r="BW68">
        <v>227</v>
      </c>
      <c r="BX68">
        <v>127.54979674800001</v>
      </c>
      <c r="BY68">
        <v>148.66079295150001</v>
      </c>
      <c r="CA68" t="s">
        <v>702</v>
      </c>
      <c r="CD68">
        <v>357440</v>
      </c>
      <c r="CE68">
        <v>79295</v>
      </c>
      <c r="CF68">
        <v>93.9570557296</v>
      </c>
      <c r="CG68">
        <v>379169</v>
      </c>
      <c r="CH68">
        <v>71467</v>
      </c>
      <c r="CI68">
        <v>128.5056346906</v>
      </c>
      <c r="CJ68">
        <v>129.2833335665</v>
      </c>
      <c r="CL68" t="s">
        <v>702</v>
      </c>
      <c r="CO68">
        <v>357440</v>
      </c>
      <c r="CP68">
        <v>79295</v>
      </c>
      <c r="CQ68">
        <v>93.9570557296</v>
      </c>
      <c r="CR68">
        <v>379169</v>
      </c>
      <c r="CS68">
        <v>71467</v>
      </c>
      <c r="CT68">
        <v>128.5056346906</v>
      </c>
      <c r="CU68">
        <v>129.2833335665</v>
      </c>
      <c r="CW68" t="s">
        <v>702</v>
      </c>
      <c r="CZ68">
        <v>357440</v>
      </c>
      <c r="DA68">
        <v>79295</v>
      </c>
      <c r="DB68">
        <v>93.9570557296</v>
      </c>
      <c r="DC68">
        <v>379169</v>
      </c>
      <c r="DD68">
        <v>71467</v>
      </c>
      <c r="DE68">
        <v>128.5056346906</v>
      </c>
      <c r="DF68">
        <v>129.2833335665</v>
      </c>
      <c r="DH68" t="s">
        <v>702</v>
      </c>
      <c r="DK68">
        <v>357440</v>
      </c>
      <c r="DL68">
        <v>79295</v>
      </c>
      <c r="DM68">
        <v>93.9570557296</v>
      </c>
      <c r="DN68">
        <v>379169</v>
      </c>
      <c r="DO68">
        <v>71467</v>
      </c>
      <c r="DP68">
        <v>128.5056346906</v>
      </c>
      <c r="DQ68">
        <v>129.2833335665</v>
      </c>
    </row>
    <row r="69" spans="62:121" x14ac:dyDescent="0.2">
      <c r="BJ69" t="s">
        <v>214</v>
      </c>
      <c r="BK69" t="s">
        <v>699</v>
      </c>
      <c r="BL69">
        <v>65</v>
      </c>
      <c r="BM69">
        <v>18</v>
      </c>
      <c r="BN69">
        <v>97.661538461500001</v>
      </c>
      <c r="BO69">
        <v>52</v>
      </c>
      <c r="BP69">
        <v>14</v>
      </c>
      <c r="BQ69">
        <v>150.23076923080001</v>
      </c>
      <c r="BR69">
        <v>151.21428571429999</v>
      </c>
      <c r="BS69">
        <v>4404</v>
      </c>
      <c r="BT69">
        <v>628</v>
      </c>
      <c r="BU69">
        <v>82.801544050900006</v>
      </c>
      <c r="BV69">
        <v>3144</v>
      </c>
      <c r="BW69">
        <v>616</v>
      </c>
      <c r="BX69">
        <v>124.54707379129999</v>
      </c>
      <c r="BY69">
        <v>137.94155844159999</v>
      </c>
    </row>
    <row r="70" spans="62:121" x14ac:dyDescent="0.2">
      <c r="BJ70" t="s">
        <v>699</v>
      </c>
      <c r="BK70" t="s">
        <v>699</v>
      </c>
      <c r="BL70">
        <v>11162</v>
      </c>
      <c r="BM70">
        <v>2454</v>
      </c>
      <c r="BN70">
        <v>89.722540763300003</v>
      </c>
      <c r="BO70">
        <v>7329</v>
      </c>
      <c r="BP70">
        <v>1442</v>
      </c>
      <c r="BQ70">
        <v>136.54714149270001</v>
      </c>
      <c r="BR70">
        <v>148.94174757280001</v>
      </c>
      <c r="BS70">
        <v>11162</v>
      </c>
      <c r="BT70">
        <v>2454</v>
      </c>
      <c r="BU70">
        <v>89.722540763300003</v>
      </c>
      <c r="BV70">
        <v>7329</v>
      </c>
      <c r="BW70">
        <v>1442</v>
      </c>
      <c r="BX70">
        <v>136.54714149270001</v>
      </c>
      <c r="BY70">
        <v>148.94174757280001</v>
      </c>
    </row>
    <row r="71" spans="62:121" x14ac:dyDescent="0.2">
      <c r="BJ71" t="s">
        <v>216</v>
      </c>
      <c r="BK71" t="s">
        <v>699</v>
      </c>
      <c r="BL71">
        <v>1745</v>
      </c>
      <c r="BM71">
        <v>500</v>
      </c>
      <c r="BN71">
        <v>91.116332378199999</v>
      </c>
      <c r="BO71">
        <v>1405</v>
      </c>
      <c r="BP71">
        <v>248</v>
      </c>
      <c r="BQ71">
        <v>145.3238434164</v>
      </c>
      <c r="BR71">
        <v>156.66532258059999</v>
      </c>
      <c r="BS71">
        <v>6021</v>
      </c>
      <c r="BT71">
        <v>1451</v>
      </c>
      <c r="BU71">
        <v>91.039196146799995</v>
      </c>
      <c r="BV71">
        <v>3201</v>
      </c>
      <c r="BW71">
        <v>599</v>
      </c>
      <c r="BX71">
        <v>151.09934395499999</v>
      </c>
      <c r="BY71">
        <v>160.36060100169999</v>
      </c>
    </row>
    <row r="72" spans="62:121" x14ac:dyDescent="0.2">
      <c r="BJ72" t="s">
        <v>212</v>
      </c>
      <c r="BK72" t="s">
        <v>700</v>
      </c>
      <c r="BL72">
        <v>6704</v>
      </c>
      <c r="BM72">
        <v>759</v>
      </c>
      <c r="BN72">
        <v>69.266557279200001</v>
      </c>
      <c r="BO72">
        <v>12319</v>
      </c>
      <c r="BP72">
        <v>2281</v>
      </c>
      <c r="BQ72">
        <v>70.235571069100004</v>
      </c>
      <c r="BR72">
        <v>79.091626479599995</v>
      </c>
      <c r="BS72">
        <v>6711</v>
      </c>
      <c r="BT72">
        <v>756</v>
      </c>
      <c r="BU72">
        <v>69.013410818099999</v>
      </c>
      <c r="BV72">
        <v>12373</v>
      </c>
      <c r="BW72">
        <v>2299</v>
      </c>
      <c r="BX72">
        <v>70.444273822</v>
      </c>
      <c r="BY72">
        <v>79.436711613699998</v>
      </c>
    </row>
    <row r="73" spans="62:121" x14ac:dyDescent="0.2">
      <c r="BJ73" t="s">
        <v>227</v>
      </c>
      <c r="BK73" t="s">
        <v>700</v>
      </c>
      <c r="BL73">
        <v>709</v>
      </c>
      <c r="BM73">
        <v>332</v>
      </c>
      <c r="BN73">
        <v>165.35119887170001</v>
      </c>
      <c r="BO73">
        <v>1608</v>
      </c>
      <c r="BP73">
        <v>317</v>
      </c>
      <c r="BQ73">
        <v>53.768034825900003</v>
      </c>
      <c r="BR73">
        <v>59.561514195599997</v>
      </c>
      <c r="BS73">
        <v>610</v>
      </c>
      <c r="BT73">
        <v>328</v>
      </c>
      <c r="BU73">
        <v>184.66885245899999</v>
      </c>
      <c r="BV73">
        <v>1366</v>
      </c>
      <c r="BW73">
        <v>266</v>
      </c>
      <c r="BX73">
        <v>42.021961932700002</v>
      </c>
      <c r="BY73">
        <v>48.364661654099997</v>
      </c>
    </row>
    <row r="74" spans="62:121" x14ac:dyDescent="0.2">
      <c r="BJ74" t="s">
        <v>213</v>
      </c>
      <c r="BK74" t="s">
        <v>700</v>
      </c>
      <c r="BL74">
        <v>12175</v>
      </c>
      <c r="BM74">
        <v>1210</v>
      </c>
      <c r="BN74">
        <v>70.989979466099996</v>
      </c>
      <c r="BO74">
        <v>13962</v>
      </c>
      <c r="BP74">
        <v>2609</v>
      </c>
      <c r="BQ74">
        <v>86.405887408699996</v>
      </c>
      <c r="BR74">
        <v>99.032962820999998</v>
      </c>
      <c r="BS74">
        <v>12231</v>
      </c>
      <c r="BT74">
        <v>1223</v>
      </c>
      <c r="BU74">
        <v>71.132695609500004</v>
      </c>
      <c r="BV74">
        <v>14050</v>
      </c>
      <c r="BW74">
        <v>2623</v>
      </c>
      <c r="BX74">
        <v>86.855516014200006</v>
      </c>
      <c r="BY74">
        <v>99.219977125400007</v>
      </c>
    </row>
    <row r="75" spans="62:121" x14ac:dyDescent="0.2">
      <c r="BJ75" t="s">
        <v>215</v>
      </c>
      <c r="BK75" t="s">
        <v>700</v>
      </c>
      <c r="BL75">
        <v>7173</v>
      </c>
      <c r="BM75">
        <v>659</v>
      </c>
      <c r="BN75">
        <v>63.109298759200001</v>
      </c>
      <c r="BO75">
        <v>16425</v>
      </c>
      <c r="BP75">
        <v>2914</v>
      </c>
      <c r="BQ75">
        <v>65.076773211599999</v>
      </c>
      <c r="BR75">
        <v>64.192518874399994</v>
      </c>
      <c r="BS75">
        <v>7209</v>
      </c>
      <c r="BT75">
        <v>653</v>
      </c>
      <c r="BU75">
        <v>62.8051047302</v>
      </c>
      <c r="BV75">
        <v>16525</v>
      </c>
      <c r="BW75">
        <v>2933</v>
      </c>
      <c r="BX75">
        <v>65.213131618800006</v>
      </c>
      <c r="BY75">
        <v>64.431980906899994</v>
      </c>
    </row>
    <row r="76" spans="62:121" x14ac:dyDescent="0.2">
      <c r="BJ76" t="s">
        <v>700</v>
      </c>
      <c r="BK76" t="s">
        <v>700</v>
      </c>
      <c r="BL76">
        <v>26761</v>
      </c>
      <c r="BM76">
        <v>2960</v>
      </c>
      <c r="BN76">
        <v>70.9458914091</v>
      </c>
      <c r="BO76">
        <v>44314</v>
      </c>
      <c r="BP76">
        <v>8121</v>
      </c>
      <c r="BQ76">
        <v>72.820688721400003</v>
      </c>
      <c r="BR76">
        <v>79.3896071912</v>
      </c>
      <c r="BS76">
        <v>26761</v>
      </c>
      <c r="BT76">
        <v>2960</v>
      </c>
      <c r="BU76">
        <v>70.9458914091</v>
      </c>
      <c r="BV76">
        <v>44314</v>
      </c>
      <c r="BW76">
        <v>8121</v>
      </c>
      <c r="BX76">
        <v>72.820688721400003</v>
      </c>
      <c r="BY76">
        <v>79.3896071912</v>
      </c>
    </row>
    <row r="77" spans="62:121" x14ac:dyDescent="0.2">
      <c r="BJ77" t="s">
        <v>310</v>
      </c>
      <c r="BK77" t="s">
        <v>701</v>
      </c>
      <c r="BL77">
        <v>7181</v>
      </c>
      <c r="BM77">
        <v>1577</v>
      </c>
      <c r="BN77">
        <v>90.381980225600003</v>
      </c>
      <c r="BO77">
        <v>3559</v>
      </c>
      <c r="BP77">
        <v>744</v>
      </c>
      <c r="BQ77">
        <v>147.19949424000001</v>
      </c>
      <c r="BR77">
        <v>162.56854838710001</v>
      </c>
      <c r="BS77">
        <v>412</v>
      </c>
      <c r="BT77">
        <v>44</v>
      </c>
      <c r="BU77">
        <v>51.754854368899998</v>
      </c>
      <c r="BV77">
        <v>148</v>
      </c>
      <c r="BW77">
        <v>16</v>
      </c>
      <c r="BX77">
        <v>130.9662162162</v>
      </c>
      <c r="BY77">
        <v>202</v>
      </c>
    </row>
    <row r="78" spans="62:121" x14ac:dyDescent="0.2">
      <c r="BJ78" t="s">
        <v>960</v>
      </c>
      <c r="BK78" t="s">
        <v>701</v>
      </c>
      <c r="BL78">
        <v>1758</v>
      </c>
      <c r="BM78">
        <v>391</v>
      </c>
      <c r="BN78">
        <v>86.391922639399993</v>
      </c>
      <c r="BO78">
        <v>1311</v>
      </c>
      <c r="BP78">
        <v>244</v>
      </c>
      <c r="BQ78">
        <v>127.6292906178</v>
      </c>
      <c r="BR78">
        <v>146.59426229510001</v>
      </c>
      <c r="BS78">
        <v>4861</v>
      </c>
      <c r="BT78">
        <v>828</v>
      </c>
      <c r="BU78">
        <v>84.762188850000001</v>
      </c>
      <c r="BV78">
        <v>2924</v>
      </c>
      <c r="BW78">
        <v>566</v>
      </c>
      <c r="BX78">
        <v>130.2441860465</v>
      </c>
      <c r="BY78">
        <v>146.76325088339999</v>
      </c>
    </row>
    <row r="79" spans="62:121" x14ac:dyDescent="0.2">
      <c r="BJ79" t="s">
        <v>701</v>
      </c>
      <c r="BK79" t="s">
        <v>701</v>
      </c>
      <c r="BL79">
        <v>10678</v>
      </c>
      <c r="BM79">
        <v>2499</v>
      </c>
      <c r="BN79">
        <v>90.566679153400003</v>
      </c>
      <c r="BO79">
        <v>5929</v>
      </c>
      <c r="BP79">
        <v>1193</v>
      </c>
      <c r="BQ79">
        <v>144.1583740934</v>
      </c>
      <c r="BR79">
        <v>159.5565800503</v>
      </c>
      <c r="BS79">
        <v>10678</v>
      </c>
      <c r="BT79">
        <v>2499</v>
      </c>
      <c r="BU79">
        <v>90.566679153400003</v>
      </c>
      <c r="BV79">
        <v>5929</v>
      </c>
      <c r="BW79">
        <v>1193</v>
      </c>
      <c r="BX79">
        <v>144.1583740934</v>
      </c>
      <c r="BY79">
        <v>159.5565800503</v>
      </c>
    </row>
    <row r="80" spans="62:121" x14ac:dyDescent="0.2">
      <c r="BJ80" t="s">
        <v>961</v>
      </c>
      <c r="BK80" t="s">
        <v>701</v>
      </c>
      <c r="BL80">
        <v>1739</v>
      </c>
      <c r="BM80">
        <v>531</v>
      </c>
      <c r="BN80">
        <v>95.549741230600006</v>
      </c>
      <c r="BO80">
        <v>1059</v>
      </c>
      <c r="BP80">
        <v>205</v>
      </c>
      <c r="BQ80">
        <v>154.40037771479999</v>
      </c>
      <c r="BR80">
        <v>164.05365853660001</v>
      </c>
      <c r="BS80">
        <v>5405</v>
      </c>
      <c r="BT80">
        <v>1627</v>
      </c>
      <c r="BU80">
        <v>98.745420906600003</v>
      </c>
      <c r="BV80">
        <v>2857</v>
      </c>
      <c r="BW80">
        <v>611</v>
      </c>
      <c r="BX80">
        <v>159.08225411270001</v>
      </c>
      <c r="BY80">
        <v>170.29623567920001</v>
      </c>
    </row>
    <row r="81" spans="62:77" x14ac:dyDescent="0.2">
      <c r="BJ81" t="s">
        <v>702</v>
      </c>
      <c r="BL81">
        <v>357440</v>
      </c>
      <c r="BM81">
        <v>79295</v>
      </c>
      <c r="BN81" s="153">
        <v>93.9570557296</v>
      </c>
      <c r="BO81">
        <v>379169</v>
      </c>
      <c r="BP81">
        <v>71467</v>
      </c>
      <c r="BQ81">
        <v>128.5056346906</v>
      </c>
      <c r="BR81">
        <v>129.2833335665</v>
      </c>
      <c r="BS81">
        <v>357440</v>
      </c>
      <c r="BT81">
        <v>79295</v>
      </c>
      <c r="BU81">
        <v>93.9570557296</v>
      </c>
      <c r="BV81">
        <v>379169</v>
      </c>
      <c r="BW81">
        <v>71467</v>
      </c>
      <c r="BX81">
        <v>128.5056346906</v>
      </c>
      <c r="BY81">
        <v>129.2833335665</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357440</CP_Inventory>
    <Fiscal_Year xmlns="c9744be7-b815-40bc-84fa-afc9c406d9bc">2016</Fiscal_Year>
    <CP_Backlog xmlns="c9744be7-b815-40bc-84fa-afc9c406d9bc">79295</CP_Backlog>
    <Creation_date xmlns="c9744be7-b815-40bc-84fa-afc9c406d9bc">2016-01-25T00:00:00</Creation_date>
    <Data_date xmlns="c9744be7-b815-40bc-84fa-afc9c406d9bc">2016-01-23T00:00:00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957D3-0785-447F-B2B9-DE4BF4DA9AC1}">
  <ds:schemaRefs>
    <ds:schemaRef ds:uri="http://www.w3.org/XML/1998/namespace"/>
    <ds:schemaRef ds:uri="http://schemas.microsoft.com/office/infopath/2007/PartnerControls"/>
    <ds:schemaRef ds:uri="fef9c9dc-374b-4157-9e06-089f148416e5"/>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c9744be7-b815-40bc-84fa-afc9c406d9bc"/>
    <ds:schemaRef ds:uri="http://purl.org/dc/term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25,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2016-01-25T13:42:52Z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