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<sst xmlns="http://schemas.openxmlformats.org/spreadsheetml/2006/main" count="4090" uniqueCount="1065">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</sst>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306</v>
      </c>
      <c r="B1" s="275"/>
      <c r="C1" s="275"/>
      <c r="D1" s="275"/>
      <c r="E1" s="275"/>
      <c r="F1" s="275"/>
      <c r="G1" s="275"/>
      <c r="H1" s="275"/>
      <c r="I1" s="275"/>
      <c r="J1" s="275"/>
      <c r="K1" s="275"/>
      <c r="L1" s="275"/>
      <c r="M1" s="275"/>
      <c r="N1" s="275"/>
      <c r="O1" s="275"/>
      <c r="P1" s="276"/>
    </row>
    <row r="2" spans="1:16" ht="29.25" customHeight="1" x14ac:dyDescent="0.2">
      <c r="A2" s="268" t="s">
        <v>308</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304</v>
      </c>
      <c r="B8" s="266"/>
      <c r="C8" s="266"/>
      <c r="D8" s="266"/>
      <c r="E8" s="266"/>
      <c r="F8" s="266"/>
      <c r="G8" s="267"/>
      <c r="H8" s="265" t="s">
        <v>305</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90" zoomScaleNormal="9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983</v>
      </c>
      <c r="C2" s="325"/>
      <c r="D2" s="325"/>
      <c r="E2" s="325"/>
      <c r="F2" s="325"/>
      <c r="G2" s="326"/>
      <c r="H2" s="135" t="s">
        <v>5</v>
      </c>
      <c r="I2" s="136" t="s">
        <v>2</v>
      </c>
      <c r="J2" s="136" t="s">
        <v>231</v>
      </c>
      <c r="K2" s="134"/>
    </row>
    <row r="3" spans="1:11" ht="59.25" customHeight="1" x14ac:dyDescent="0.2">
      <c r="A3" s="130"/>
      <c r="B3" s="327"/>
      <c r="C3" s="328"/>
      <c r="D3" s="328"/>
      <c r="E3" s="328"/>
      <c r="F3" s="328"/>
      <c r="G3" s="328"/>
      <c r="H3" s="320">
        <f>SUM(H5,H10)</f>
        <v>352666</v>
      </c>
      <c r="I3" s="320">
        <f>SUM(I5,I10)</f>
        <v>77437</v>
      </c>
      <c r="J3" s="322">
        <f>ROUND(I3/H3,5)</f>
        <v>0.21958</v>
      </c>
      <c r="K3" s="134"/>
    </row>
    <row r="4" spans="1:11" ht="33" customHeight="1" thickBot="1" x14ac:dyDescent="0.25">
      <c r="A4" s="130"/>
      <c r="B4" s="329" t="str">
        <f>"As of: "&amp;TEXT(INDEX(MMWR_DATES[],1,1),"MMMM DD, YYYY")</f>
        <v>As of: January 30, 2016</v>
      </c>
      <c r="C4" s="330"/>
      <c r="D4" s="330"/>
      <c r="E4" s="330"/>
      <c r="F4" s="330"/>
      <c r="G4" s="331"/>
      <c r="H4" s="321"/>
      <c r="I4" s="321"/>
      <c r="J4" s="323"/>
      <c r="K4" s="137"/>
    </row>
    <row r="5" spans="1:11" ht="16.5" customHeight="1" thickBot="1" x14ac:dyDescent="0.25">
      <c r="A5" s="130"/>
      <c r="B5" s="318" t="s">
        <v>236</v>
      </c>
      <c r="C5" s="319"/>
      <c r="D5" s="319"/>
      <c r="E5" s="319"/>
      <c r="F5" s="319"/>
      <c r="G5" s="138" t="s">
        <v>247</v>
      </c>
      <c r="H5" s="158">
        <f>SUM(H6:H9)</f>
        <v>134288</v>
      </c>
      <c r="I5" s="158">
        <f>SUM(I6:I9)</f>
        <v>34518</v>
      </c>
      <c r="J5" s="159">
        <f t="shared" ref="J5:J15" si="0">IF(H5=0, 0,I5/H5)</f>
        <v>0.25704456094364353</v>
      </c>
      <c r="K5" s="134"/>
    </row>
    <row r="6" spans="1:11" ht="16.5" customHeight="1" x14ac:dyDescent="0.2">
      <c r="A6" s="130"/>
      <c r="B6" s="283" t="s">
        <v>16</v>
      </c>
      <c r="C6" s="284"/>
      <c r="D6" s="284"/>
      <c r="E6" s="284"/>
      <c r="F6" s="284"/>
      <c r="G6" s="139" t="s">
        <v>193</v>
      </c>
      <c r="H6" s="160">
        <f>IFERROR(VLOOKUP(MID($G6,4,3),MMWR_TRAD_AGG_NATIONAL[],2,0),0)</f>
        <v>39561</v>
      </c>
      <c r="I6" s="160">
        <f>IFERROR(VLOOKUP(MID($G6,4,3),MMWR_TRAD_AGG_NATIONAL[],3,0),0)</f>
        <v>12307</v>
      </c>
      <c r="J6" s="161">
        <f t="shared" si="0"/>
        <v>0.31108920401405427</v>
      </c>
      <c r="K6" s="134"/>
    </row>
    <row r="7" spans="1:11" ht="16.5" customHeight="1" x14ac:dyDescent="0.2">
      <c r="A7" s="130"/>
      <c r="B7" s="285" t="s">
        <v>0</v>
      </c>
      <c r="C7" s="286"/>
      <c r="D7" s="286"/>
      <c r="E7" s="286"/>
      <c r="F7" s="286"/>
      <c r="G7" s="140" t="s">
        <v>194</v>
      </c>
      <c r="H7" s="160">
        <f>IFERROR(VLOOKUP(MID($G7,4,3),MMWR_TRAD_AGG_NATIONAL[],2,0),0)</f>
        <v>78111</v>
      </c>
      <c r="I7" s="160">
        <f>IFERROR(VLOOKUP(MID($G7,4,3),MMWR_TRAD_AGG_NATIONAL[],3,0),0)</f>
        <v>20099</v>
      </c>
      <c r="J7" s="161">
        <f t="shared" si="0"/>
        <v>0.2573133105452497</v>
      </c>
      <c r="K7" s="134"/>
    </row>
    <row r="8" spans="1:11" ht="16.5" customHeight="1" x14ac:dyDescent="0.2">
      <c r="A8" s="130"/>
      <c r="B8" s="287" t="s">
        <v>237</v>
      </c>
      <c r="C8" s="288"/>
      <c r="D8" s="288"/>
      <c r="E8" s="288"/>
      <c r="F8" s="288"/>
      <c r="G8" s="141" t="s">
        <v>196</v>
      </c>
      <c r="H8" s="160">
        <f>IFERROR(VLOOKUP(MID($G8,4,3),MMWR_TRAD_AGG_NATIONAL[],2,0),0)</f>
        <v>8233</v>
      </c>
      <c r="I8" s="160">
        <f>IFERROR(VLOOKUP(MID($G8,4,3),MMWR_TRAD_AGG_NATIONAL[],3,0),0)</f>
        <v>582</v>
      </c>
      <c r="J8" s="161">
        <f t="shared" si="0"/>
        <v>7.0691121098020157E-2</v>
      </c>
      <c r="K8" s="134"/>
    </row>
    <row r="9" spans="1:11" ht="16.5" customHeight="1" thickBot="1" x14ac:dyDescent="0.25">
      <c r="A9" s="130"/>
      <c r="B9" s="292" t="s">
        <v>17</v>
      </c>
      <c r="C9" s="293"/>
      <c r="D9" s="293"/>
      <c r="E9" s="293"/>
      <c r="F9" s="293"/>
      <c r="G9" s="140" t="s">
        <v>198</v>
      </c>
      <c r="H9" s="160">
        <f>IFERROR(VLOOKUP(MID($G9,4,3),MMWR_TRAD_AGG_NATIONAL[],2,0),0)</f>
        <v>8383</v>
      </c>
      <c r="I9" s="160">
        <f>IFERROR(VLOOKUP(MID($G9,4,3),MMWR_TRAD_AGG_NATIONAL[],3,0),0)</f>
        <v>1530</v>
      </c>
      <c r="J9" s="161">
        <f t="shared" si="0"/>
        <v>0.18251222712632709</v>
      </c>
      <c r="K9" s="134"/>
    </row>
    <row r="10" spans="1:11" ht="17.25" thickBot="1" x14ac:dyDescent="0.25">
      <c r="A10" s="130"/>
      <c r="B10" s="318" t="s">
        <v>1</v>
      </c>
      <c r="C10" s="319"/>
      <c r="D10" s="319"/>
      <c r="E10" s="319"/>
      <c r="F10" s="319"/>
      <c r="G10" s="138" t="s">
        <v>247</v>
      </c>
      <c r="H10" s="158">
        <f>SUM(H11:H18)</f>
        <v>218378</v>
      </c>
      <c r="I10" s="158">
        <f>SUM(I11:I18)</f>
        <v>42919</v>
      </c>
      <c r="J10" s="159">
        <f t="shared" si="0"/>
        <v>0.19653536528404875</v>
      </c>
      <c r="K10" s="134"/>
    </row>
    <row r="11" spans="1:11" ht="16.5" customHeight="1" x14ac:dyDescent="0.2">
      <c r="A11" s="130"/>
      <c r="B11" s="283" t="s">
        <v>202</v>
      </c>
      <c r="C11" s="284"/>
      <c r="D11" s="284"/>
      <c r="E11" s="284"/>
      <c r="F11" s="284"/>
      <c r="G11" s="142" t="s">
        <v>197</v>
      </c>
      <c r="H11" s="162">
        <f>IFERROR(VLOOKUP(MID($G11,4,3),MMWR_TRAD_AGG_NATIONAL[],2,0),0)</f>
        <v>7845</v>
      </c>
      <c r="I11" s="160">
        <f>IFERROR(VLOOKUP(MID($G11,4,3),MMWR_TRAD_AGG_NATIONAL[],3,0),0)</f>
        <v>440</v>
      </c>
      <c r="J11" s="161">
        <f t="shared" si="0"/>
        <v>5.6086679413639262E-2</v>
      </c>
      <c r="K11" s="134"/>
    </row>
    <row r="12" spans="1:11" ht="16.5" customHeight="1" x14ac:dyDescent="0.2">
      <c r="A12" s="130"/>
      <c r="B12" s="285" t="s">
        <v>18</v>
      </c>
      <c r="C12" s="286"/>
      <c r="D12" s="286"/>
      <c r="E12" s="286"/>
      <c r="F12" s="286"/>
      <c r="G12" s="143" t="s">
        <v>195</v>
      </c>
      <c r="H12" s="163">
        <f>IFERROR(VLOOKUP(MID($G12,4,3),MMWR_TRAD_AGG_NATIONAL[],2,0),0)</f>
        <v>194724</v>
      </c>
      <c r="I12" s="160">
        <f>IFERROR(VLOOKUP(MID($G12,4,3),MMWR_TRAD_AGG_NATIONAL[],3,0),0)</f>
        <v>40143</v>
      </c>
      <c r="J12" s="161">
        <f t="shared" si="0"/>
        <v>0.20615332470573736</v>
      </c>
      <c r="K12" s="134"/>
    </row>
    <row r="13" spans="1:11" ht="16.5" customHeight="1" x14ac:dyDescent="0.2">
      <c r="A13" s="130"/>
      <c r="B13" s="285" t="s">
        <v>14</v>
      </c>
      <c r="C13" s="286"/>
      <c r="D13" s="286"/>
      <c r="E13" s="286"/>
      <c r="F13" s="286"/>
      <c r="G13" s="143" t="s">
        <v>199</v>
      </c>
      <c r="H13" s="163">
        <f>IFERROR(VLOOKUP(MID($G13,4,3),MMWR_TRAD_AGG_NATIONAL[],2,0),0)</f>
        <v>14582</v>
      </c>
      <c r="I13" s="160">
        <f>IFERROR(VLOOKUP(MID($G13,4,3),MMWR_TRAD_AGG_NATIONAL[],3,0),0)</f>
        <v>1744</v>
      </c>
      <c r="J13" s="161">
        <f t="shared" si="0"/>
        <v>0.11959950624057057</v>
      </c>
      <c r="K13" s="134"/>
    </row>
    <row r="14" spans="1:11" ht="16.5" customHeight="1" x14ac:dyDescent="0.2">
      <c r="A14" s="130"/>
      <c r="B14" s="287" t="s">
        <v>19</v>
      </c>
      <c r="C14" s="288"/>
      <c r="D14" s="288"/>
      <c r="E14" s="288"/>
      <c r="F14" s="288"/>
      <c r="G14" s="142" t="s">
        <v>200</v>
      </c>
      <c r="H14" s="163">
        <f>IFERROR(VLOOKUP(MID($G14,4,3),MMWR_TRAD_AGG_NATIONAL[],2,0),0)</f>
        <v>1207</v>
      </c>
      <c r="I14" s="160">
        <f>IFERROR(VLOOKUP(MID($G14,4,3),MMWR_TRAD_AGG_NATIONAL[],3,0),0)</f>
        <v>588</v>
      </c>
      <c r="J14" s="161">
        <f t="shared" si="0"/>
        <v>0.4871582435791218</v>
      </c>
      <c r="K14" s="134"/>
    </row>
    <row r="15" spans="1:11" ht="16.5" customHeight="1" x14ac:dyDescent="0.2">
      <c r="A15" s="130"/>
      <c r="B15" s="287" t="s">
        <v>87</v>
      </c>
      <c r="C15" s="288"/>
      <c r="D15" s="288"/>
      <c r="E15" s="288"/>
      <c r="F15" s="288"/>
      <c r="G15" s="142" t="s">
        <v>203</v>
      </c>
      <c r="H15" s="163">
        <f>IFERROR(VLOOKUP(MID($G15,4,3),MMWR_TRAD_AGG_NATIONAL[],2,0),0)</f>
        <v>14</v>
      </c>
      <c r="I15" s="160">
        <f>IFERROR(VLOOKUP(MID($G15,4,3),MMWR_TRAD_AGG_NATIONAL[],3,0),0)</f>
        <v>4</v>
      </c>
      <c r="J15" s="161">
        <f t="shared" si="0"/>
        <v>0.2857142857142857</v>
      </c>
      <c r="K15" s="134"/>
    </row>
    <row r="16" spans="1:11" ht="15" x14ac:dyDescent="0.2">
      <c r="A16" s="130"/>
      <c r="B16" s="287" t="s">
        <v>88</v>
      </c>
      <c r="C16" s="288"/>
      <c r="D16" s="288"/>
      <c r="E16" s="288"/>
      <c r="F16" s="288"/>
      <c r="G16" s="142" t="s">
        <v>204</v>
      </c>
      <c r="H16" s="163">
        <f>IFERROR(VLOOKUP(MID($G16,4,3),MMWR_TRAD_AGG_NATIONAL[],2,0),0)</f>
        <v>2</v>
      </c>
      <c r="I16" s="160">
        <f>IFERROR(VLOOKUP(MID($G16,4,3),MMWR_TRAD_AGG_NATIONAL[],3,0),0)</f>
        <v>0</v>
      </c>
      <c r="J16" s="161">
        <f>IF(H16=0, 0,I16/H16)</f>
        <v>0</v>
      </c>
      <c r="K16" s="134"/>
    </row>
    <row r="17" spans="1:11" ht="16.5" customHeight="1" x14ac:dyDescent="0.2">
      <c r="A17" s="130"/>
      <c r="B17" s="287" t="s">
        <v>90</v>
      </c>
      <c r="C17" s="288"/>
      <c r="D17" s="288"/>
      <c r="E17" s="288"/>
      <c r="F17" s="288"/>
      <c r="G17" s="142" t="s">
        <v>205</v>
      </c>
      <c r="H17" s="163">
        <f>IFERROR(VLOOKUP(MID($G17,4,3),MMWR_TRAD_AGG_NATIONAL[],2,0),0)</f>
        <v>3</v>
      </c>
      <c r="I17" s="160">
        <f>IFERROR(VLOOKUP(MID($G17,4,3),MMWR_TRAD_AGG_NATIONAL[],3,0),0)</f>
        <v>0</v>
      </c>
      <c r="J17" s="161">
        <f>IF(H17=0, 0,I17/H17)</f>
        <v>0</v>
      </c>
      <c r="K17" s="134"/>
    </row>
    <row r="18" spans="1:11" ht="16.5" customHeight="1" thickBot="1" x14ac:dyDescent="0.25">
      <c r="A18" s="130"/>
      <c r="B18" s="292" t="s">
        <v>89</v>
      </c>
      <c r="C18" s="293"/>
      <c r="D18" s="293"/>
      <c r="E18" s="293"/>
      <c r="F18" s="293"/>
      <c r="G18" s="142" t="s">
        <v>206</v>
      </c>
      <c r="H18" s="164">
        <f>IFERROR(VLOOKUP(MID($G18,4,3),MMWR_TRAD_AGG_NATIONAL[],2,0),0)</f>
        <v>1</v>
      </c>
      <c r="I18" s="160">
        <f>IFERROR(VLOOKUP(MID($G18,4,3),MMWR_TRAD_AGG_NATIONAL[],3,0),0)</f>
        <v>0</v>
      </c>
      <c r="J18" s="165">
        <f>IF(H18=0, 0,I18/H18)</f>
        <v>0</v>
      </c>
      <c r="K18" s="134"/>
    </row>
    <row r="19" spans="1:11" ht="16.5" customHeight="1" x14ac:dyDescent="0.2">
      <c r="A19" s="130"/>
      <c r="B19" s="297" t="s">
        <v>973</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964</v>
      </c>
      <c r="C21" s="313"/>
      <c r="D21" s="314"/>
      <c r="E21" s="312" t="s">
        <v>965</v>
      </c>
      <c r="F21" s="313"/>
      <c r="G21" s="314"/>
      <c r="H21" s="312" t="s">
        <v>966</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958</v>
      </c>
      <c r="C23" s="313"/>
      <c r="D23" s="314"/>
      <c r="E23" s="312" t="s">
        <v>959</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8"/>
      <c r="D26" s="338"/>
      <c r="E26" s="338"/>
      <c r="F26" s="339"/>
      <c r="G26" s="263" t="s">
        <v>28</v>
      </c>
      <c r="H26" s="263" t="s">
        <v>29</v>
      </c>
      <c r="I26" s="263" t="s">
        <v>30</v>
      </c>
      <c r="J26" s="264" t="s">
        <v>31</v>
      </c>
      <c r="K26" s="134"/>
    </row>
    <row r="27" spans="1:11" ht="16.5" customHeight="1" x14ac:dyDescent="0.2">
      <c r="A27" s="130"/>
      <c r="B27" s="294" t="s">
        <v>967</v>
      </c>
      <c r="C27" s="295"/>
      <c r="D27" s="295"/>
      <c r="E27" s="295"/>
      <c r="F27" s="296"/>
      <c r="G27" s="256">
        <v>7862</v>
      </c>
      <c r="H27" s="256">
        <v>9402</v>
      </c>
      <c r="I27" s="256">
        <v>-1540</v>
      </c>
      <c r="J27" s="260">
        <v>-0.16400000000000001</v>
      </c>
      <c r="K27" s="134"/>
    </row>
    <row r="28" spans="1:11" ht="15" x14ac:dyDescent="0.2">
      <c r="A28" s="130"/>
      <c r="B28" s="332" t="s">
        <v>24</v>
      </c>
      <c r="C28" s="333"/>
      <c r="D28" s="333"/>
      <c r="E28" s="333"/>
      <c r="F28" s="334"/>
      <c r="G28" s="257">
        <v>1741</v>
      </c>
      <c r="H28" s="257">
        <v>1877</v>
      </c>
      <c r="I28" s="257">
        <v>-136</v>
      </c>
      <c r="J28" s="253">
        <v>-7.1999999999999995E-2</v>
      </c>
      <c r="K28" s="134"/>
    </row>
    <row r="29" spans="1:11" ht="15" x14ac:dyDescent="0.2">
      <c r="A29" s="130"/>
      <c r="B29" s="303" t="s">
        <v>25</v>
      </c>
      <c r="C29" s="304"/>
      <c r="D29" s="304"/>
      <c r="E29" s="304"/>
      <c r="F29" s="305"/>
      <c r="G29" s="258">
        <v>769</v>
      </c>
      <c r="H29" s="258">
        <v>808</v>
      </c>
      <c r="I29" s="258">
        <v>-39</v>
      </c>
      <c r="J29" s="254">
        <v>-4.8000000000000001E-2</v>
      </c>
      <c r="K29" s="134"/>
    </row>
    <row r="30" spans="1:11" ht="15" x14ac:dyDescent="0.2">
      <c r="A30" s="130"/>
      <c r="B30" s="306" t="s">
        <v>26</v>
      </c>
      <c r="C30" s="307"/>
      <c r="D30" s="307"/>
      <c r="E30" s="307"/>
      <c r="F30" s="308"/>
      <c r="G30" s="258">
        <v>2230</v>
      </c>
      <c r="H30" s="258">
        <v>2270</v>
      </c>
      <c r="I30" s="258">
        <v>-40</v>
      </c>
      <c r="J30" s="254">
        <v>-1.7999999999999999E-2</v>
      </c>
      <c r="K30" s="134"/>
    </row>
    <row r="31" spans="1:11" ht="15" x14ac:dyDescent="0.2">
      <c r="A31" s="130"/>
      <c r="B31" s="335" t="s">
        <v>27</v>
      </c>
      <c r="C31" s="336"/>
      <c r="D31" s="336"/>
      <c r="E31" s="336"/>
      <c r="F31" s="337"/>
      <c r="G31" s="259">
        <v>3122</v>
      </c>
      <c r="H31" s="259">
        <v>4447</v>
      </c>
      <c r="I31" s="259">
        <v>-1325</v>
      </c>
      <c r="J31" s="255">
        <v>-0.29799999999999999</v>
      </c>
      <c r="K31" s="134"/>
    </row>
    <row r="32" spans="1:11" ht="16.5" customHeight="1" x14ac:dyDescent="0.2">
      <c r="A32" s="130"/>
      <c r="B32" s="294" t="s">
        <v>238</v>
      </c>
      <c r="C32" s="295"/>
      <c r="D32" s="295"/>
      <c r="E32" s="295"/>
      <c r="F32" s="296"/>
      <c r="G32" s="256">
        <v>91919</v>
      </c>
      <c r="H32" s="256">
        <v>88068</v>
      </c>
      <c r="I32" s="256">
        <v>3851</v>
      </c>
      <c r="J32" s="260">
        <v>4.3999999999999997E-2</v>
      </c>
      <c r="K32" s="134"/>
    </row>
    <row r="33" spans="1:11" ht="15" x14ac:dyDescent="0.2">
      <c r="A33" s="130"/>
      <c r="B33" s="332" t="s">
        <v>24</v>
      </c>
      <c r="C33" s="333"/>
      <c r="D33" s="333"/>
      <c r="E33" s="333"/>
      <c r="F33" s="334"/>
      <c r="G33" s="257">
        <v>20915</v>
      </c>
      <c r="H33" s="257">
        <v>18317</v>
      </c>
      <c r="I33" s="257">
        <v>2598</v>
      </c>
      <c r="J33" s="253">
        <v>0.14199999999999999</v>
      </c>
      <c r="K33" s="134"/>
    </row>
    <row r="34" spans="1:11" ht="15" x14ac:dyDescent="0.2">
      <c r="A34" s="130"/>
      <c r="B34" s="303" t="s">
        <v>25</v>
      </c>
      <c r="C34" s="304"/>
      <c r="D34" s="304"/>
      <c r="E34" s="304"/>
      <c r="F34" s="305"/>
      <c r="G34" s="258">
        <v>8258</v>
      </c>
      <c r="H34" s="258">
        <v>9064</v>
      </c>
      <c r="I34" s="258">
        <v>-806</v>
      </c>
      <c r="J34" s="254">
        <v>-8.8999999999999996E-2</v>
      </c>
      <c r="K34" s="134"/>
    </row>
    <row r="35" spans="1:11" ht="15" x14ac:dyDescent="0.2">
      <c r="A35" s="130"/>
      <c r="B35" s="306" t="s">
        <v>26</v>
      </c>
      <c r="C35" s="307"/>
      <c r="D35" s="307"/>
      <c r="E35" s="307"/>
      <c r="F35" s="308"/>
      <c r="G35" s="258">
        <v>34229</v>
      </c>
      <c r="H35" s="258">
        <v>33798</v>
      </c>
      <c r="I35" s="258">
        <v>431</v>
      </c>
      <c r="J35" s="254">
        <v>1.2999999999999999E-2</v>
      </c>
      <c r="K35" s="134"/>
    </row>
    <row r="36" spans="1:11" ht="15.75" thickBot="1" x14ac:dyDescent="0.25">
      <c r="A36" s="130"/>
      <c r="B36" s="309" t="s">
        <v>27</v>
      </c>
      <c r="C36" s="310"/>
      <c r="D36" s="310"/>
      <c r="E36" s="310"/>
      <c r="F36" s="311"/>
      <c r="G36" s="258">
        <v>28517</v>
      </c>
      <c r="H36" s="258">
        <v>26889</v>
      </c>
      <c r="I36" s="258">
        <v>1628</v>
      </c>
      <c r="J36" s="254">
        <v>6.0999999999999999E-2</v>
      </c>
      <c r="K36" s="134"/>
    </row>
    <row r="37" spans="1:11" ht="15.75" customHeight="1" thickBot="1" x14ac:dyDescent="0.25">
      <c r="A37" s="130"/>
      <c r="B37" s="289" t="s">
        <v>972</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90" zoomScaleNormal="9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298</v>
      </c>
      <c r="D2" s="350"/>
      <c r="E2" s="350"/>
      <c r="F2" s="350"/>
      <c r="G2" s="350"/>
      <c r="H2" s="350"/>
      <c r="I2" s="350"/>
      <c r="J2" s="350"/>
      <c r="K2" s="351"/>
      <c r="L2" s="349" t="s">
        <v>303</v>
      </c>
      <c r="M2" s="350"/>
      <c r="N2" s="350"/>
      <c r="O2" s="351"/>
      <c r="P2" s="28"/>
    </row>
    <row r="3" spans="1:16" ht="24" customHeight="1" thickBot="1" x14ac:dyDescent="0.4">
      <c r="A3" s="25"/>
      <c r="B3" s="29"/>
      <c r="C3" s="352"/>
      <c r="D3" s="353"/>
      <c r="E3" s="353"/>
      <c r="F3" s="353"/>
      <c r="G3" s="353"/>
      <c r="H3" s="353"/>
      <c r="I3" s="353"/>
      <c r="J3" s="353"/>
      <c r="K3" s="354"/>
      <c r="L3" s="352" t="str">
        <f>Transformation!B4</f>
        <v>As of: January 30, 2016</v>
      </c>
      <c r="M3" s="353"/>
      <c r="N3" s="353"/>
      <c r="O3" s="354"/>
      <c r="P3" s="28"/>
    </row>
    <row r="4" spans="1:16" ht="51.75" customHeight="1" thickBot="1" x14ac:dyDescent="0.35">
      <c r="A4" s="30"/>
      <c r="B4" s="246" t="s">
        <v>459</v>
      </c>
      <c r="C4" s="355" t="s">
        <v>307</v>
      </c>
      <c r="D4" s="356"/>
      <c r="E4" s="356"/>
      <c r="F4" s="356"/>
      <c r="G4" s="356"/>
      <c r="H4" s="356"/>
      <c r="I4" s="356"/>
      <c r="J4" s="356"/>
      <c r="K4" s="356"/>
      <c r="L4" s="356"/>
      <c r="M4" s="356"/>
      <c r="N4" s="356"/>
      <c r="O4" s="357"/>
      <c r="P4" s="28"/>
    </row>
    <row r="5" spans="1:16" ht="27" customHeight="1" thickBot="1" x14ac:dyDescent="0.25">
      <c r="A5" s="30"/>
      <c r="B5" s="26"/>
      <c r="C5" s="358" t="s">
        <v>1046</v>
      </c>
      <c r="D5" s="359"/>
      <c r="E5" s="359"/>
      <c r="F5" s="359"/>
      <c r="G5" s="359"/>
      <c r="H5" s="359"/>
      <c r="I5" s="359"/>
      <c r="J5" s="359"/>
      <c r="K5" s="359"/>
      <c r="L5" s="359"/>
      <c r="M5" s="359"/>
      <c r="N5" s="359"/>
      <c r="O5" s="360"/>
      <c r="P5" s="28"/>
    </row>
    <row r="6" spans="1:16" ht="55.5" customHeight="1" x14ac:dyDescent="0.2">
      <c r="A6" s="30"/>
      <c r="B6" s="31"/>
      <c r="C6" s="32" t="s">
        <v>193</v>
      </c>
      <c r="D6" s="361" t="s">
        <v>16</v>
      </c>
      <c r="E6" s="362"/>
      <c r="F6" s="33" t="s">
        <v>196</v>
      </c>
      <c r="G6" s="361" t="s">
        <v>201</v>
      </c>
      <c r="H6" s="363"/>
      <c r="I6" s="33" t="s">
        <v>199</v>
      </c>
      <c r="J6" s="367" t="s">
        <v>14</v>
      </c>
      <c r="K6" s="368"/>
      <c r="L6" s="33" t="s">
        <v>204</v>
      </c>
      <c r="M6" s="364" t="s">
        <v>88</v>
      </c>
      <c r="N6" s="365"/>
      <c r="O6" s="366"/>
      <c r="P6" s="28"/>
    </row>
    <row r="7" spans="1:16" ht="51.75" customHeight="1" x14ac:dyDescent="0.2">
      <c r="A7" s="30"/>
      <c r="B7" s="34"/>
      <c r="C7" s="35" t="s">
        <v>194</v>
      </c>
      <c r="D7" s="379" t="s">
        <v>0</v>
      </c>
      <c r="E7" s="380"/>
      <c r="F7" s="36" t="s">
        <v>197</v>
      </c>
      <c r="G7" s="381" t="s">
        <v>202</v>
      </c>
      <c r="H7" s="381"/>
      <c r="I7" s="36" t="s">
        <v>200</v>
      </c>
      <c r="J7" s="369" t="s">
        <v>19</v>
      </c>
      <c r="K7" s="370"/>
      <c r="L7" s="36" t="s">
        <v>205</v>
      </c>
      <c r="M7" s="373" t="s">
        <v>90</v>
      </c>
      <c r="N7" s="374"/>
      <c r="O7" s="375"/>
      <c r="P7" s="28"/>
    </row>
    <row r="8" spans="1:16" ht="51.75" customHeight="1" thickBot="1" x14ac:dyDescent="0.25">
      <c r="A8" s="25"/>
      <c r="B8" s="28"/>
      <c r="C8" s="37" t="s">
        <v>195</v>
      </c>
      <c r="D8" s="382" t="s">
        <v>18</v>
      </c>
      <c r="E8" s="383"/>
      <c r="F8" s="38" t="s">
        <v>198</v>
      </c>
      <c r="G8" s="384" t="s">
        <v>17</v>
      </c>
      <c r="H8" s="384"/>
      <c r="I8" s="38" t="s">
        <v>203</v>
      </c>
      <c r="J8" s="371" t="s">
        <v>87</v>
      </c>
      <c r="K8" s="372"/>
      <c r="L8" s="38" t="s">
        <v>206</v>
      </c>
      <c r="M8" s="346" t="s">
        <v>89</v>
      </c>
      <c r="N8" s="347"/>
      <c r="O8" s="348"/>
      <c r="P8" s="28"/>
    </row>
    <row r="9" spans="1:16" x14ac:dyDescent="0.2">
      <c r="A9" s="28"/>
      <c r="B9" s="28"/>
      <c r="C9" s="39" t="s">
        <v>708</v>
      </c>
      <c r="D9" s="39" t="s">
        <v>710</v>
      </c>
      <c r="E9" s="39" t="s">
        <v>709</v>
      </c>
      <c r="F9" s="39" t="s">
        <v>712</v>
      </c>
      <c r="G9" s="39" t="s">
        <v>711</v>
      </c>
      <c r="H9" s="39" t="s">
        <v>714</v>
      </c>
      <c r="I9" s="39" t="s">
        <v>713</v>
      </c>
      <c r="J9" s="39" t="s">
        <v>924</v>
      </c>
      <c r="K9" s="39" t="s">
        <v>925</v>
      </c>
      <c r="L9" s="39" t="s">
        <v>927</v>
      </c>
      <c r="M9" s="39" t="s">
        <v>1047</v>
      </c>
      <c r="N9" s="39" t="s">
        <v>928</v>
      </c>
      <c r="O9" s="39" t="s">
        <v>929</v>
      </c>
      <c r="P9" s="28"/>
    </row>
    <row r="10" spans="1:16" ht="15.75" customHeight="1" x14ac:dyDescent="0.2">
      <c r="A10" s="25"/>
      <c r="B10" s="26"/>
      <c r="C10" s="385" t="s">
        <v>296</v>
      </c>
      <c r="D10" s="385"/>
      <c r="E10" s="385"/>
      <c r="F10" s="385"/>
      <c r="G10" s="385"/>
      <c r="H10" s="385"/>
      <c r="I10" s="385"/>
      <c r="J10" s="385"/>
      <c r="K10" s="385"/>
      <c r="L10" s="385"/>
      <c r="M10" s="385"/>
      <c r="N10" s="385"/>
      <c r="O10" s="385"/>
      <c r="P10" s="28"/>
    </row>
    <row r="11" spans="1:16" ht="32.25" customHeight="1" x14ac:dyDescent="0.2">
      <c r="A11" s="25"/>
      <c r="B11" s="26"/>
      <c r="C11" s="340" t="s">
        <v>229</v>
      </c>
      <c r="D11" s="340" t="s">
        <v>137</v>
      </c>
      <c r="E11" s="340" t="s">
        <v>230</v>
      </c>
      <c r="F11" s="340" t="s">
        <v>192</v>
      </c>
      <c r="G11" s="340" t="s">
        <v>207</v>
      </c>
      <c r="H11" s="340" t="s">
        <v>209</v>
      </c>
      <c r="I11" s="340" t="s">
        <v>210</v>
      </c>
      <c r="J11" s="344" t="s">
        <v>1058</v>
      </c>
      <c r="K11" s="344" t="s">
        <v>1059</v>
      </c>
      <c r="L11" s="342" t="s">
        <v>1056</v>
      </c>
      <c r="M11" s="343"/>
      <c r="N11" s="342" t="s">
        <v>1057</v>
      </c>
      <c r="O11" s="343"/>
      <c r="P11" s="28"/>
    </row>
    <row r="12" spans="1:16" ht="32.25" customHeight="1" x14ac:dyDescent="0.2">
      <c r="A12" s="25"/>
      <c r="B12" s="26"/>
      <c r="C12" s="341"/>
      <c r="D12" s="341"/>
      <c r="E12" s="341"/>
      <c r="F12" s="341"/>
      <c r="G12" s="341"/>
      <c r="H12" s="341"/>
      <c r="I12" s="341"/>
      <c r="J12" s="345"/>
      <c r="K12" s="345"/>
      <c r="L12" s="40" t="s">
        <v>930</v>
      </c>
      <c r="M12" s="40" t="s">
        <v>935</v>
      </c>
      <c r="N12" s="40" t="s">
        <v>930</v>
      </c>
      <c r="O12" s="40" t="s">
        <v>935</v>
      </c>
      <c r="P12" s="28"/>
    </row>
    <row r="13" spans="1:16" x14ac:dyDescent="0.2">
      <c r="A13" s="25"/>
      <c r="B13" s="41" t="s">
        <v>1054</v>
      </c>
      <c r="C13" s="154">
        <f>IF($B13=" ","",IFERROR(INDEX(MMWR_RATING_RO_ROLLUP[],MATCH($B13,MMWR_RATING_RO_ROLLUP[MMWR_RATING_RO_ROLLUP],0),MATCH(C$9,MMWR_RATING_RO_ROLLUP[#Headers],0)),"ERROR"))</f>
        <v>352666</v>
      </c>
      <c r="D13" s="155">
        <f>IF($B13=" ","",IFERROR(INDEX(MMWR_RATING_RO_ROLLUP[],MATCH($B13,MMWR_RATING_RO_ROLLUP[MMWR_RATING_RO_ROLLUP],0),MATCH(D$9,MMWR_RATING_RO_ROLLUP[#Headers],0)),"ERROR"))</f>
        <v>92.8550526561</v>
      </c>
      <c r="E13" s="156">
        <f>IF($B13=" ","",IFERROR(INDEX(MMWR_RATING_RO_ROLLUP[],MATCH($B13,MMWR_RATING_RO_ROLLUP[MMWR_RATING_RO_ROLLUP],0),MATCH(E$9,MMWR_RATING_RO_ROLLUP[#Headers],0))/$C13,"ERROR"))</f>
        <v>0.21957602944429006</v>
      </c>
      <c r="F13" s="154">
        <f>IF($B13=" ","",IFERROR(INDEX(MMWR_RATING_RO_ROLLUP[],MATCH($B13,MMWR_RATING_RO_ROLLUP[MMWR_RATING_RO_ROLLUP],0),MATCH(F$9,MMWR_RATING_RO_ROLLUP[#Headers],0)),"ERROR"))</f>
        <v>101376</v>
      </c>
      <c r="G13" s="154">
        <f>IF($B13=" ","",IFERROR(INDEX(MMWR_RATING_RO_ROLLUP[],MATCH($B13,MMWR_RATING_RO_ROLLUP[MMWR_RATING_RO_ROLLUP],0),MATCH(G$9,MMWR_RATING_RO_ROLLUP[#Headers],0)),"ERROR"))</f>
        <v>409078</v>
      </c>
      <c r="H13" s="155">
        <f>IF($B13=" ","",IFERROR(INDEX(MMWR_RATING_RO_ROLLUP[],MATCH($B13,MMWR_RATING_RO_ROLLUP[MMWR_RATING_RO_ROLLUP],0),MATCH(H$9,MMWR_RATING_RO_ROLLUP[#Headers],0)),"ERROR"))</f>
        <v>127.7264835859</v>
      </c>
      <c r="I13" s="155">
        <f>IF($B13=" ","",IFERROR(INDEX(MMWR_RATING_RO_ROLLUP[],MATCH($B13,MMWR_RATING_RO_ROLLUP[MMWR_RATING_RO_ROLLUP],0),MATCH(I$9,MMWR_RATING_RO_ROLLUP[#Headers],0)),"ERROR"))</f>
        <v>128.1766826864</v>
      </c>
      <c r="J13" s="42"/>
      <c r="K13" s="42"/>
      <c r="L13" s="42"/>
      <c r="M13" s="42"/>
      <c r="N13" s="42"/>
      <c r="O13" s="42"/>
      <c r="P13" s="28"/>
    </row>
    <row r="14" spans="1:16" x14ac:dyDescent="0.2">
      <c r="A14" s="25"/>
      <c r="B14" s="377" t="s">
        <v>736</v>
      </c>
      <c r="C14" s="378"/>
      <c r="D14" s="378"/>
      <c r="E14" s="378"/>
      <c r="F14" s="378"/>
      <c r="G14" s="378"/>
      <c r="H14" s="378"/>
      <c r="I14" s="378"/>
      <c r="J14" s="378"/>
      <c r="K14" s="378"/>
      <c r="L14" s="378"/>
      <c r="M14" s="378"/>
      <c r="N14" s="378"/>
      <c r="O14" s="378"/>
      <c r="P14" s="28"/>
    </row>
    <row r="15" spans="1:16" x14ac:dyDescent="0.2">
      <c r="A15" s="25"/>
      <c r="B15" s="41" t="s">
        <v>732</v>
      </c>
      <c r="C15" s="154">
        <f>IF($B15=" ","",IFERROR(INDEX(MMWR_RATING_RO_ROLLUP[],MATCH($B15,MMWR_RATING_RO_ROLLUP[MMWR_RATING_RO_ROLLUP],0),MATCH(C$9,MMWR_RATING_RO_ROLLUP[#Headers],0)),"ERROR"))</f>
        <v>305447</v>
      </c>
      <c r="D15" s="155">
        <f>IF($B15=" ","",IFERROR(INDEX(MMWR_RATING_RO_ROLLUP[],MATCH($B15,MMWR_RATING_RO_ROLLUP[MMWR_RATING_RO_ROLLUP],0),MATCH(D$9,MMWR_RATING_RO_ROLLUP[#Headers],0)),"ERROR"))</f>
        <v>94.873703130199999</v>
      </c>
      <c r="E15" s="156">
        <f>IF($B15=" ","",IFERROR(INDEX(MMWR_RATING_RO_ROLLUP[],MATCH($B15,MMWR_RATING_RO_ROLLUP[MMWR_RATING_RO_ROLLUP],0),MATCH(E$9,MMWR_RATING_RO_ROLLUP[#Headers],0))/$C15,"ERROR"))</f>
        <v>0.23008246929909282</v>
      </c>
      <c r="F15" s="154">
        <f>IF($B15=" ","",IFERROR(INDEX(MMWR_RATING_RO_ROLLUP[],MATCH($B15,MMWR_RATING_RO_ROLLUP[MMWR_RATING_RO_ROLLUP],0),MATCH(F$9,MMWR_RATING_RO_ROLLUP[#Headers],0)),"ERROR"))</f>
        <v>85911</v>
      </c>
      <c r="G15" s="154">
        <f>IF($B15=" ","",IFERROR(INDEX(MMWR_RATING_RO_ROLLUP[],MATCH($B15,MMWR_RATING_RO_ROLLUP[MMWR_RATING_RO_ROLLUP],0),MATCH(G$9,MMWR_RATING_RO_ROLLUP[#Headers],0)),"ERROR"))</f>
        <v>346797</v>
      </c>
      <c r="H15" s="155">
        <f>IF($B15=" ","",IFERROR(INDEX(MMWR_RATING_RO_ROLLUP[],MATCH($B15,MMWR_RATING_RO_ROLLUP[MMWR_RATING_RO_ROLLUP],0),MATCH(H$9,MMWR_RATING_RO_ROLLUP[#Headers],0)),"ERROR"))</f>
        <v>132.9565014957</v>
      </c>
      <c r="I15" s="155">
        <f>IF($B15=" ","",IFERROR(INDEX(MMWR_RATING_RO_ROLLUP[],MATCH($B15,MMWR_RATING_RO_ROLLUP[MMWR_RATING_RO_ROLLUP],0),MATCH(I$9,MMWR_RATING_RO_ROLLUP[#Headers],0)),"ERROR"))</f>
        <v>135.1675187502</v>
      </c>
      <c r="J15" s="157">
        <f>VLOOKUP($B$13,MMWR_ACCURACY_RO[],MATCH(J$9,MMWR_ACCURACY_RO[#Headers],0),0)</f>
        <v>0.95793074625683206</v>
      </c>
      <c r="K15" s="157">
        <f>VLOOKUP($B$13,MMWR_ACCURACY_RO[],MATCH(K$9,MMWR_ACCURACY_RO[#Headers],0),0)</f>
        <v>0.89500092594819125</v>
      </c>
      <c r="L15" s="157">
        <f>VLOOKUP($B$13,MMWR_ACCURACY_RO[],MATCH(L$9,MMWR_ACCURACY_RO[#Headers],0),0)</f>
        <v>0.90338038648447916</v>
      </c>
      <c r="M15" s="157">
        <f>VLOOKUP($B$13,MMWR_ACCURACY_RO[],MATCH(M$9,MMWR_ACCURACY_RO[#Headers],0),0)</f>
        <v>7.5234859257471247E-3</v>
      </c>
      <c r="N15" s="157">
        <f>VLOOKUP($B$13,MMWR_ACCURACY_RO[],MATCH(N$9,MMWR_ACCURACY_RO[#Headers],0),0)</f>
        <v>0.9085906670232986</v>
      </c>
      <c r="O15" s="157">
        <f>VLOOKUP($B$13,MMWR_ACCURACY_RO[],MATCH(O$9,MMWR_ACCURACY_RO[#Headers],0),0)</f>
        <v>8.7967662163893571E-3</v>
      </c>
      <c r="P15" s="28"/>
    </row>
    <row r="16" spans="1:16" x14ac:dyDescent="0.2">
      <c r="A16" s="25"/>
      <c r="B16" s="247" t="s">
        <v>373</v>
      </c>
      <c r="C16" s="154">
        <f>IF($B16=" ","",IFERROR(INDEX(MMWR_RATING_RO_ROLLUP[],MATCH($B16,MMWR_RATING_RO_ROLLUP[MMWR_RATING_RO_ROLLUP],0),MATCH(C$9,MMWR_RATING_RO_ROLLUP[#Headers],0)),"ERROR"))</f>
        <v>66897</v>
      </c>
      <c r="D16" s="155">
        <f>IF($B16=" ","",IFERROR(INDEX(MMWR_RATING_RO_ROLLUP[],MATCH($B16,MMWR_RATING_RO_ROLLUP[MMWR_RATING_RO_ROLLUP],0),MATCH(D$9,MMWR_RATING_RO_ROLLUP[#Headers],0)),"ERROR"))</f>
        <v>95.432784728800002</v>
      </c>
      <c r="E16" s="156">
        <f>IF($B16=" ","",IFERROR(INDEX(MMWR_RATING_RO_ROLLUP[],MATCH($B16,MMWR_RATING_RO_ROLLUP[MMWR_RATING_RO_ROLLUP],0),MATCH(E$9,MMWR_RATING_RO_ROLLUP[#Headers],0))/$C16,"ERROR"))</f>
        <v>0.23392678296485642</v>
      </c>
      <c r="F16" s="154">
        <f>IF($B16=" ","",IFERROR(INDEX(MMWR_RATING_RO_ROLLUP[],MATCH($B16,MMWR_RATING_RO_ROLLUP[MMWR_RATING_RO_ROLLUP],0),MATCH(F$9,MMWR_RATING_RO_ROLLUP[#Headers],0)),"ERROR"))</f>
        <v>18386</v>
      </c>
      <c r="G16" s="154">
        <f>IF($B16=" ","",IFERROR(INDEX(MMWR_RATING_RO_ROLLUP[],MATCH($B16,MMWR_RATING_RO_ROLLUP[MMWR_RATING_RO_ROLLUP],0),MATCH(G$9,MMWR_RATING_RO_ROLLUP[#Headers],0)),"ERROR"))</f>
        <v>74498</v>
      </c>
      <c r="H16" s="155">
        <f>IF($B16=" ","",IFERROR(INDEX(MMWR_RATING_RO_ROLLUP[],MATCH($B16,MMWR_RATING_RO_ROLLUP[MMWR_RATING_RO_ROLLUP],0),MATCH(H$9,MMWR_RATING_RO_ROLLUP[#Headers],0)),"ERROR"))</f>
        <v>131.3803437398</v>
      </c>
      <c r="I16" s="155">
        <f>IF($B16=" ","",IFERROR(INDEX(MMWR_RATING_RO_ROLLUP[],MATCH($B16,MMWR_RATING_RO_ROLLUP[MMWR_RATING_RO_ROLLUP],0),MATCH(I$9,MMWR_RATING_RO_ROLLUP[#Headers],0)),"ERROR"))</f>
        <v>134.5479610191</v>
      </c>
      <c r="J16" s="157">
        <f>IF($B16=" ","",IFERROR(VLOOKUP($B16,MMWR_ACCURACY_RO[],MATCH(J$9,MMWR_ACCURACY_RO[#Headers],0),0),"ERROR"))</f>
        <v>0.9602834708770337</v>
      </c>
      <c r="K16" s="157">
        <f>IF($B16=" ","",IFERROR(VLOOKUP($B16,MMWR_ACCURACY_RO[],MATCH(K$9,MMWR_ACCURACY_RO[#Headers],0),0),"ERROR"))</f>
        <v>0.88343657779439999</v>
      </c>
      <c r="L16" s="157">
        <f>IF($B16=" ","",IFERROR(VLOOKUP($B16,MMWR_ACCURACY_RO[],MATCH(L$9,MMWR_ACCURACY_RO[#Headers],0),0),"ERROR"))</f>
        <v>0.87075523409242972</v>
      </c>
      <c r="M16" s="157">
        <f>IF($B16=" ","",IFERROR(VLOOKUP($B16,MMWR_ACCURACY_RO[],MATCH(M$9,MMWR_ACCURACY_RO[#Headers],0),0),"ERROR"))</f>
        <v>1.6770998241114582E-2</v>
      </c>
      <c r="N16" s="157">
        <f>IF($B16=" ","",IFERROR(VLOOKUP($B16,MMWR_ACCURACY_RO[],MATCH(N$9,MMWR_ACCURACY_RO[#Headers],0),0),"ERROR"))</f>
        <v>0.89397814954597565</v>
      </c>
      <c r="O16" s="157">
        <f>IF($B16=" ","",IFERROR(VLOOKUP($B16,MMWR_ACCURACY_RO[],MATCH(O$9,MMWR_ACCURACY_RO[#Headers],0),0),"ERROR"))</f>
        <v>1.5886202338098201E-2</v>
      </c>
      <c r="P16" s="28"/>
    </row>
    <row r="17" spans="1:16" x14ac:dyDescent="0.2">
      <c r="A17" s="25"/>
      <c r="B17" s="8" t="str">
        <f>VLOOKUP($B$16,DISTRICT_RO[],2,0)</f>
        <v>Baltimore VSC</v>
      </c>
      <c r="C17" s="154">
        <f>IF($B17=" ","",IFERROR(INDEX(MMWR_RATING_RO_ROLLUP[],MATCH($B17,MMWR_RATING_RO_ROLLUP[MMWR_RATING_RO_ROLLUP],0),MATCH(C$9,MMWR_RATING_RO_ROLLUP[#Headers],0)),"ERROR"))</f>
        <v>2026</v>
      </c>
      <c r="D17" s="155">
        <f>IF($B17=" ","",IFERROR(INDEX(MMWR_RATING_RO_ROLLUP[],MATCH($B17,MMWR_RATING_RO_ROLLUP[MMWR_RATING_RO_ROLLUP],0),MATCH(D$9,MMWR_RATING_RO_ROLLUP[#Headers],0)),"ERROR"))</f>
        <v>111.0138203356</v>
      </c>
      <c r="E17" s="156">
        <f>IF($B17=" ","",IFERROR(INDEX(MMWR_RATING_RO_ROLLUP[],MATCH($B17,MMWR_RATING_RO_ROLLUP[MMWR_RATING_RO_ROLLUP],0),MATCH(E$9,MMWR_RATING_RO_ROLLUP[#Headers],0))/$C17,"ERROR"))</f>
        <v>0.30848963474827246</v>
      </c>
      <c r="F17" s="154">
        <f>IF($B17=" ","",IFERROR(INDEX(MMWR_RATING_RO_ROLLUP[],MATCH($B17,MMWR_RATING_RO_ROLLUP[MMWR_RATING_RO_ROLLUP],0),MATCH(F$9,MMWR_RATING_RO_ROLLUP[#Headers],0)),"ERROR"))</f>
        <v>583</v>
      </c>
      <c r="G17" s="154">
        <f>IF($B17=" ","",IFERROR(INDEX(MMWR_RATING_RO_ROLLUP[],MATCH($B17,MMWR_RATING_RO_ROLLUP[MMWR_RATING_RO_ROLLUP],0),MATCH(G$9,MMWR_RATING_RO_ROLLUP[#Headers],0)),"ERROR"))</f>
        <v>3099</v>
      </c>
      <c r="H17" s="155">
        <f>IF($B17=" ","",IFERROR(INDEX(MMWR_RATING_RO_ROLLUP[],MATCH($B17,MMWR_RATING_RO_ROLLUP[MMWR_RATING_RO_ROLLUP],0),MATCH(H$9,MMWR_RATING_RO_ROLLUP[#Headers],0)),"ERROR"))</f>
        <v>141.0274442539</v>
      </c>
      <c r="I17" s="155">
        <f>IF($B17=" ","",IFERROR(INDEX(MMWR_RATING_RO_ROLLUP[],MATCH($B17,MMWR_RATING_RO_ROLLUP[MMWR_RATING_RO_ROLLUP],0),MATCH(I$9,MMWR_RATING_RO_ROLLUP[#Headers],0)),"ERROR"))</f>
        <v>132.25943852859999</v>
      </c>
      <c r="J17" s="157">
        <f>IF($B17=" ","",IFERROR(VLOOKUP($B17,MMWR_ACCURACY_RO[],MATCH(J$9,MMWR_ACCURACY_RO[#Headers],0),0),"ERROR"))</f>
        <v>0.94157351218992869</v>
      </c>
      <c r="K17" s="157">
        <f>IF($B17=" ","",IFERROR(VLOOKUP($B17,MMWR_ACCURACY_RO[],MATCH(K$9,MMWR_ACCURACY_RO[#Headers],0),0),"ERROR"))</f>
        <v>0.80943291179511645</v>
      </c>
      <c r="L17" s="157">
        <f>IF($B17=" ","",IFERROR(VLOOKUP($B17,MMWR_ACCURACY_RO[],MATCH(L$9,MMWR_ACCURACY_RO[#Headers],0),0),"ERROR"))</f>
        <v>0.82536168293808887</v>
      </c>
      <c r="M17" s="157">
        <f>IF($B17=" ","",IFERROR(VLOOKUP($B17,MMWR_ACCURACY_RO[],MATCH(M$9,MMWR_ACCURACY_RO[#Headers],0),0),"ERROR"))</f>
        <v>4.7654090220379572E-2</v>
      </c>
      <c r="N17" s="157">
        <f>IF($B17=" ","",IFERROR(VLOOKUP($B17,MMWR_ACCURACY_RO[],MATCH(N$9,MMWR_ACCURACY_RO[#Headers],0),0),"ERROR"))</f>
        <v>0.8816617572068699</v>
      </c>
      <c r="O17" s="157">
        <f>IF($B17=" ","",IFERROR(VLOOKUP($B17,MMWR_ACCURACY_RO[],MATCH(O$9,MMWR_ACCURACY_RO[#Headers],0),0),"ERROR"))</f>
        <v>4.8696534231277649E-2</v>
      </c>
      <c r="P17" s="28"/>
    </row>
    <row r="18" spans="1:16" x14ac:dyDescent="0.2">
      <c r="A18" s="25"/>
      <c r="B18" s="8" t="str">
        <f>VLOOKUP($B$16,DISTRICT_RO[],3,0)</f>
        <v>Boston VSC</v>
      </c>
      <c r="C18" s="154">
        <f>IF($B18=" ","",IFERROR(INDEX(MMWR_RATING_RO_ROLLUP[],MATCH($B18,MMWR_RATING_RO_ROLLUP[MMWR_RATING_RO_ROLLUP],0),MATCH(C$9,MMWR_RATING_RO_ROLLUP[#Headers],0)),"ERROR"))</f>
        <v>3403</v>
      </c>
      <c r="D18" s="155">
        <f>IF($B18=" ","",IFERROR(INDEX(MMWR_RATING_RO_ROLLUP[],MATCH($B18,MMWR_RATING_RO_ROLLUP[MMWR_RATING_RO_ROLLUP],0),MATCH(D$9,MMWR_RATING_RO_ROLLUP[#Headers],0)),"ERROR"))</f>
        <v>87.8386717602</v>
      </c>
      <c r="E18" s="156">
        <f>IF($B18=" ","",IFERROR(INDEX(MMWR_RATING_RO_ROLLUP[],MATCH($B18,MMWR_RATING_RO_ROLLUP[MMWR_RATING_RO_ROLLUP],0),MATCH(E$9,MMWR_RATING_RO_ROLLUP[#Headers],0))/$C18,"ERROR"))</f>
        <v>0.21951219512195122</v>
      </c>
      <c r="F18" s="154">
        <f>IF($B18=" ","",IFERROR(INDEX(MMWR_RATING_RO_ROLLUP[],MATCH($B18,MMWR_RATING_RO_ROLLUP[MMWR_RATING_RO_ROLLUP],0),MATCH(F$9,MMWR_RATING_RO_ROLLUP[#Headers],0)),"ERROR"))</f>
        <v>684</v>
      </c>
      <c r="G18" s="154">
        <f>IF($B18=" ","",IFERROR(INDEX(MMWR_RATING_RO_ROLLUP[],MATCH($B18,MMWR_RATING_RO_ROLLUP[MMWR_RATING_RO_ROLLUP],0),MATCH(G$9,MMWR_RATING_RO_ROLLUP[#Headers],0)),"ERROR"))</f>
        <v>3318</v>
      </c>
      <c r="H18" s="155">
        <f>IF($B18=" ","",IFERROR(INDEX(MMWR_RATING_RO_ROLLUP[],MATCH($B18,MMWR_RATING_RO_ROLLUP[MMWR_RATING_RO_ROLLUP],0),MATCH(H$9,MMWR_RATING_RO_ROLLUP[#Headers],0)),"ERROR"))</f>
        <v>142.64035087720001</v>
      </c>
      <c r="I18" s="155">
        <f>IF($B18=" ","",IFERROR(INDEX(MMWR_RATING_RO_ROLLUP[],MATCH($B18,MMWR_RATING_RO_ROLLUP[MMWR_RATING_RO_ROLLUP],0),MATCH(I$9,MMWR_RATING_RO_ROLLUP[#Headers],0)),"ERROR"))</f>
        <v>121.1308016878</v>
      </c>
      <c r="J18" s="157">
        <f>IF($B18=" ","",IFERROR(VLOOKUP($B18,MMWR_ACCURACY_RO[],MATCH(J$9,MMWR_ACCURACY_RO[#Headers],0),0),"ERROR"))</f>
        <v>0.91513510284542288</v>
      </c>
      <c r="K18" s="157">
        <f>IF($B18=" ","",IFERROR(VLOOKUP($B18,MMWR_ACCURACY_RO[],MATCH(K$9,MMWR_ACCURACY_RO[#Headers],0),0),"ERROR"))</f>
        <v>0.80435773543622924</v>
      </c>
      <c r="L18" s="157">
        <f>IF($B18=" ","",IFERROR(VLOOKUP($B18,MMWR_ACCURACY_RO[],MATCH(L$9,MMWR_ACCURACY_RO[#Headers],0),0),"ERROR"))</f>
        <v>0.81629668055524851</v>
      </c>
      <c r="M18" s="157">
        <f>IF($B18=" ","",IFERROR(VLOOKUP($B18,MMWR_ACCURACY_RO[],MATCH(M$9,MMWR_ACCURACY_RO[#Headers],0),0),"ERROR"))</f>
        <v>5.9557789657780587E-2</v>
      </c>
      <c r="N18" s="157">
        <f>IF($B18=" ","",IFERROR(VLOOKUP($B18,MMWR_ACCURACY_RO[],MATCH(N$9,MMWR_ACCURACY_RO[#Headers],0),0),"ERROR"))</f>
        <v>0.91326802427234399</v>
      </c>
      <c r="O18" s="157">
        <f>IF($B18=" ","",IFERROR(VLOOKUP($B18,MMWR_ACCURACY_RO[],MATCH(O$9,MMWR_ACCURACY_RO[#Headers],0),0),"ERROR"))</f>
        <v>5.7198828226144943E-2</v>
      </c>
      <c r="P18" s="28"/>
    </row>
    <row r="19" spans="1:16" x14ac:dyDescent="0.2">
      <c r="A19" s="25"/>
      <c r="B19" s="8" t="str">
        <f>VLOOKUP($B$16,DISTRICT_RO[],4,0)</f>
        <v>Buffalo VSC</v>
      </c>
      <c r="C19" s="154">
        <f>IF($B19=" ","",IFERROR(INDEX(MMWR_RATING_RO_ROLLUP[],MATCH($B19,MMWR_RATING_RO_ROLLUP[MMWR_RATING_RO_ROLLUP],0),MATCH(C$9,MMWR_RATING_RO_ROLLUP[#Headers],0)),"ERROR"))</f>
        <v>3148</v>
      </c>
      <c r="D19" s="155">
        <f>IF($B19=" ","",IFERROR(INDEX(MMWR_RATING_RO_ROLLUP[],MATCH($B19,MMWR_RATING_RO_ROLLUP[MMWR_RATING_RO_ROLLUP],0),MATCH(D$9,MMWR_RATING_RO_ROLLUP[#Headers],0)),"ERROR"))</f>
        <v>75.302414231300006</v>
      </c>
      <c r="E19" s="156">
        <f>IF($B19=" ","",IFERROR(INDEX(MMWR_RATING_RO_ROLLUP[],MATCH($B19,MMWR_RATING_RO_ROLLUP[MMWR_RATING_RO_ROLLUP],0),MATCH(E$9,MMWR_RATING_RO_ROLLUP[#Headers],0))/$C19,"ERROR"))</f>
        <v>0.11499364675984752</v>
      </c>
      <c r="F19" s="154">
        <f>IF($B19=" ","",IFERROR(INDEX(MMWR_RATING_RO_ROLLUP[],MATCH($B19,MMWR_RATING_RO_ROLLUP[MMWR_RATING_RO_ROLLUP],0),MATCH(F$9,MMWR_RATING_RO_ROLLUP[#Headers],0)),"ERROR"))</f>
        <v>842</v>
      </c>
      <c r="G19" s="154">
        <f>IF($B19=" ","",IFERROR(INDEX(MMWR_RATING_RO_ROLLUP[],MATCH($B19,MMWR_RATING_RO_ROLLUP[MMWR_RATING_RO_ROLLUP],0),MATCH(G$9,MMWR_RATING_RO_ROLLUP[#Headers],0)),"ERROR"))</f>
        <v>3258</v>
      </c>
      <c r="H19" s="155">
        <f>IF($B19=" ","",IFERROR(INDEX(MMWR_RATING_RO_ROLLUP[],MATCH($B19,MMWR_RATING_RO_ROLLUP[MMWR_RATING_RO_ROLLUP],0),MATCH(H$9,MMWR_RATING_RO_ROLLUP[#Headers],0)),"ERROR"))</f>
        <v>134.622327791</v>
      </c>
      <c r="I19" s="155">
        <f>IF($B19=" ","",IFERROR(INDEX(MMWR_RATING_RO_ROLLUP[],MATCH($B19,MMWR_RATING_RO_ROLLUP[MMWR_RATING_RO_ROLLUP],0),MATCH(I$9,MMWR_RATING_RO_ROLLUP[#Headers],0)),"ERROR"))</f>
        <v>144.36126457949999</v>
      </c>
      <c r="J19" s="157">
        <f>IF($B19=" ","",IFERROR(VLOOKUP($B19,MMWR_ACCURACY_RO[],MATCH(J$9,MMWR_ACCURACY_RO[#Headers],0),0),"ERROR"))</f>
        <v>0.97290082364303454</v>
      </c>
      <c r="K19" s="157">
        <f>IF($B19=" ","",IFERROR(VLOOKUP($B19,MMWR_ACCURACY_RO[],MATCH(K$9,MMWR_ACCURACY_RO[#Headers],0),0),"ERROR"))</f>
        <v>0.9210423079244372</v>
      </c>
      <c r="L19" s="157">
        <f>IF($B19=" ","",IFERROR(VLOOKUP($B19,MMWR_ACCURACY_RO[],MATCH(L$9,MMWR_ACCURACY_RO[#Headers],0),0),"ERROR"))</f>
        <v>0.88971425818285677</v>
      </c>
      <c r="M19" s="157">
        <f>IF($B19=" ","",IFERROR(VLOOKUP($B19,MMWR_ACCURACY_RO[],MATCH(M$9,MMWR_ACCURACY_RO[#Headers],0),0),"ERROR"))</f>
        <v>4.9253196543825976E-2</v>
      </c>
      <c r="N19" s="157">
        <f>IF($B19=" ","",IFERROR(VLOOKUP($B19,MMWR_ACCURACY_RO[],MATCH(N$9,MMWR_ACCURACY_RO[#Headers],0),0),"ERROR"))</f>
        <v>0.88066854899574309</v>
      </c>
      <c r="O19" s="157">
        <f>IF($B19=" ","",IFERROR(VLOOKUP($B19,MMWR_ACCURACY_RO[],MATCH(O$9,MMWR_ACCURACY_RO[#Headers],0),0),"ERROR"))</f>
        <v>4.7145725771360392E-2</v>
      </c>
      <c r="P19" s="28"/>
    </row>
    <row r="20" spans="1:16" x14ac:dyDescent="0.2">
      <c r="A20" s="25"/>
      <c r="B20" s="8" t="str">
        <f>VLOOKUP($B$16,DISTRICT_RO[],5,0)</f>
        <v>Hartford VSC</v>
      </c>
      <c r="C20" s="154">
        <f>IF($B20=" ","",IFERROR(INDEX(MMWR_RATING_RO_ROLLUP[],MATCH($B20,MMWR_RATING_RO_ROLLUP[MMWR_RATING_RO_ROLLUP],0),MATCH(C$9,MMWR_RATING_RO_ROLLUP[#Headers],0)),"ERROR"))</f>
        <v>2789</v>
      </c>
      <c r="D20" s="155">
        <f>IF($B20=" ","",IFERROR(INDEX(MMWR_RATING_RO_ROLLUP[],MATCH($B20,MMWR_RATING_RO_ROLLUP[MMWR_RATING_RO_ROLLUP],0),MATCH(D$9,MMWR_RATING_RO_ROLLUP[#Headers],0)),"ERROR"))</f>
        <v>97.303334528500002</v>
      </c>
      <c r="E20" s="156">
        <f>IF($B20=" ","",IFERROR(INDEX(MMWR_RATING_RO_ROLLUP[],MATCH($B20,MMWR_RATING_RO_ROLLUP[MMWR_RATING_RO_ROLLUP],0),MATCH(E$9,MMWR_RATING_RO_ROLLUP[#Headers],0))/$C20,"ERROR"))</f>
        <v>0.22732162065256364</v>
      </c>
      <c r="F20" s="154">
        <f>IF($B20=" ","",IFERROR(INDEX(MMWR_RATING_RO_ROLLUP[],MATCH($B20,MMWR_RATING_RO_ROLLUP[MMWR_RATING_RO_ROLLUP],0),MATCH(F$9,MMWR_RATING_RO_ROLLUP[#Headers],0)),"ERROR"))</f>
        <v>738</v>
      </c>
      <c r="G20" s="154">
        <f>IF($B20=" ","",IFERROR(INDEX(MMWR_RATING_RO_ROLLUP[],MATCH($B20,MMWR_RATING_RO_ROLLUP[MMWR_RATING_RO_ROLLUP],0),MATCH(G$9,MMWR_RATING_RO_ROLLUP[#Headers],0)),"ERROR"))</f>
        <v>3007</v>
      </c>
      <c r="H20" s="155">
        <f>IF($B20=" ","",IFERROR(INDEX(MMWR_RATING_RO_ROLLUP[],MATCH($B20,MMWR_RATING_RO_ROLLUP[MMWR_RATING_RO_ROLLUP],0),MATCH(H$9,MMWR_RATING_RO_ROLLUP[#Headers],0)),"ERROR"))</f>
        <v>141.20596205960001</v>
      </c>
      <c r="I20" s="155">
        <f>IF($B20=" ","",IFERROR(INDEX(MMWR_RATING_RO_ROLLUP[],MATCH($B20,MMWR_RATING_RO_ROLLUP[MMWR_RATING_RO_ROLLUP],0),MATCH(I$9,MMWR_RATING_RO_ROLLUP[#Headers],0)),"ERROR"))</f>
        <v>139.55703358829999</v>
      </c>
      <c r="J20" s="157">
        <f>IF($B20=" ","",IFERROR(VLOOKUP($B20,MMWR_ACCURACY_RO[],MATCH(J$9,MMWR_ACCURACY_RO[#Headers],0),0),"ERROR"))</f>
        <v>0.99294266353007277</v>
      </c>
      <c r="K20" s="157">
        <f>IF($B20=" ","",IFERROR(VLOOKUP($B20,MMWR_ACCURACY_RO[],MATCH(K$9,MMWR_ACCURACY_RO[#Headers],0),0),"ERROR"))</f>
        <v>0.96322722283205264</v>
      </c>
      <c r="L20" s="157">
        <f>IF($B20=" ","",IFERROR(VLOOKUP($B20,MMWR_ACCURACY_RO[],MATCH(L$9,MMWR_ACCURACY_RO[#Headers],0),0),"ERROR"))</f>
        <v>0.92046869333413084</v>
      </c>
      <c r="M20" s="157">
        <f>IF($B20=" ","",IFERROR(VLOOKUP($B20,MMWR_ACCURACY_RO[],MATCH(M$9,MMWR_ACCURACY_RO[#Headers],0),0),"ERROR"))</f>
        <v>4.3251515963425573E-2</v>
      </c>
      <c r="N20" s="157">
        <f>IF($B20=" ","",IFERROR(VLOOKUP($B20,MMWR_ACCURACY_RO[],MATCH(N$9,MMWR_ACCURACY_RO[#Headers],0),0),"ERROR"))</f>
        <v>0.96695884760400896</v>
      </c>
      <c r="O20" s="157">
        <f>IF($B20=" ","",IFERROR(VLOOKUP($B20,MMWR_ACCURACY_RO[],MATCH(O$9,MMWR_ACCURACY_RO[#Headers],0),0),"ERROR"))</f>
        <v>3.3365891722760568E-2</v>
      </c>
      <c r="P20" s="28"/>
    </row>
    <row r="21" spans="1:16" x14ac:dyDescent="0.2">
      <c r="A21" s="25"/>
      <c r="B21" s="8" t="str">
        <f>VLOOKUP($B$16,DISTRICT_RO[],6,0)</f>
        <v>Huntington VSC</v>
      </c>
      <c r="C21" s="154">
        <f>IF($B21=" ","",IFERROR(INDEX(MMWR_RATING_RO_ROLLUP[],MATCH($B21,MMWR_RATING_RO_ROLLUP[MMWR_RATING_RO_ROLLUP],0),MATCH(C$9,MMWR_RATING_RO_ROLLUP[#Headers],0)),"ERROR"))</f>
        <v>5461</v>
      </c>
      <c r="D21" s="155">
        <f>IF($B21=" ","",IFERROR(INDEX(MMWR_RATING_RO_ROLLUP[],MATCH($B21,MMWR_RATING_RO_ROLLUP[MMWR_RATING_RO_ROLLUP],0),MATCH(D$9,MMWR_RATING_RO_ROLLUP[#Headers],0)),"ERROR"))</f>
        <v>98.336385277399998</v>
      </c>
      <c r="E21" s="156">
        <f>IF($B21=" ","",IFERROR(INDEX(MMWR_RATING_RO_ROLLUP[],MATCH($B21,MMWR_RATING_RO_ROLLUP[MMWR_RATING_RO_ROLLUP],0),MATCH(E$9,MMWR_RATING_RO_ROLLUP[#Headers],0))/$C21,"ERROR"))</f>
        <v>0.25105292071049257</v>
      </c>
      <c r="F21" s="154">
        <f>IF($B21=" ","",IFERROR(INDEX(MMWR_RATING_RO_ROLLUP[],MATCH($B21,MMWR_RATING_RO_ROLLUP[MMWR_RATING_RO_ROLLUP],0),MATCH(F$9,MMWR_RATING_RO_ROLLUP[#Headers],0)),"ERROR"))</f>
        <v>1389</v>
      </c>
      <c r="G21" s="154">
        <f>IF($B21=" ","",IFERROR(INDEX(MMWR_RATING_RO_ROLLUP[],MATCH($B21,MMWR_RATING_RO_ROLLUP[MMWR_RATING_RO_ROLLUP],0),MATCH(G$9,MMWR_RATING_RO_ROLLUP[#Headers],0)),"ERROR"))</f>
        <v>5897</v>
      </c>
      <c r="H21" s="155">
        <f>IF($B21=" ","",IFERROR(INDEX(MMWR_RATING_RO_ROLLUP[],MATCH($B21,MMWR_RATING_RO_ROLLUP[MMWR_RATING_RO_ROLLUP],0),MATCH(H$9,MMWR_RATING_RO_ROLLUP[#Headers],0)),"ERROR"))</f>
        <v>133.9150467963</v>
      </c>
      <c r="I21" s="155">
        <f>IF($B21=" ","",IFERROR(INDEX(MMWR_RATING_RO_ROLLUP[],MATCH($B21,MMWR_RATING_RO_ROLLUP[MMWR_RATING_RO_ROLLUP],0),MATCH(I$9,MMWR_RATING_RO_ROLLUP[#Headers],0)),"ERROR"))</f>
        <v>136.08258436489999</v>
      </c>
      <c r="J21" s="157">
        <f>IF($B21=" ","",IFERROR(VLOOKUP($B21,MMWR_ACCURACY_RO[],MATCH(J$9,MMWR_ACCURACY_RO[#Headers],0),0),"ERROR"))</f>
        <v>0.97382659623017243</v>
      </c>
      <c r="K21" s="157">
        <f>IF($B21=" ","",IFERROR(VLOOKUP($B21,MMWR_ACCURACY_RO[],MATCH(K$9,MMWR_ACCURACY_RO[#Headers],0),0),"ERROR"))</f>
        <v>0.93293431553100059</v>
      </c>
      <c r="L21" s="157">
        <f>IF($B21=" ","",IFERROR(VLOOKUP($B21,MMWR_ACCURACY_RO[],MATCH(L$9,MMWR_ACCURACY_RO[#Headers],0),0),"ERROR"))</f>
        <v>0.90171809874766351</v>
      </c>
      <c r="M21" s="157">
        <f>IF($B21=" ","",IFERROR(VLOOKUP($B21,MMWR_ACCURACY_RO[],MATCH(M$9,MMWR_ACCURACY_RO[#Headers],0),0),"ERROR"))</f>
        <v>4.3704081920787986E-2</v>
      </c>
      <c r="N21" s="157">
        <f>IF($B21=" ","",IFERROR(VLOOKUP($B21,MMWR_ACCURACY_RO[],MATCH(N$9,MMWR_ACCURACY_RO[#Headers],0),0),"ERROR"))</f>
        <v>0.89575342716306783</v>
      </c>
      <c r="O21" s="157">
        <f>IF($B21=" ","",IFERROR(VLOOKUP($B21,MMWR_ACCURACY_RO[],MATCH(O$9,MMWR_ACCURACY_RO[#Headers],0),0),"ERROR"))</f>
        <v>5.1571207049398993E-2</v>
      </c>
      <c r="P21" s="28"/>
    </row>
    <row r="22" spans="1:16" x14ac:dyDescent="0.2">
      <c r="A22" s="25"/>
      <c r="B22" s="8" t="str">
        <f>VLOOKUP($B$16,DISTRICT_RO[],7,0)</f>
        <v>Manchester VSC</v>
      </c>
      <c r="C22" s="154">
        <f>IF($B22=" ","",IFERROR(INDEX(MMWR_RATING_RO_ROLLUP[],MATCH($B22,MMWR_RATING_RO_ROLLUP[MMWR_RATING_RO_ROLLUP],0),MATCH(C$9,MMWR_RATING_RO_ROLLUP[#Headers],0)),"ERROR"))</f>
        <v>1114</v>
      </c>
      <c r="D22" s="155">
        <f>IF($B22=" ","",IFERROR(INDEX(MMWR_RATING_RO_ROLLUP[],MATCH($B22,MMWR_RATING_RO_ROLLUP[MMWR_RATING_RO_ROLLUP],0),MATCH(D$9,MMWR_RATING_RO_ROLLUP[#Headers],0)),"ERROR"))</f>
        <v>97.564631956900001</v>
      </c>
      <c r="E22" s="156">
        <f>IF($B22=" ","",IFERROR(INDEX(MMWR_RATING_RO_ROLLUP[],MATCH($B22,MMWR_RATING_RO_ROLLUP[MMWR_RATING_RO_ROLLUP],0),MATCH(E$9,MMWR_RATING_RO_ROLLUP[#Headers],0))/$C22,"ERROR"))</f>
        <v>0.22621184919210055</v>
      </c>
      <c r="F22" s="154">
        <f>IF($B22=" ","",IFERROR(INDEX(MMWR_RATING_RO_ROLLUP[],MATCH($B22,MMWR_RATING_RO_ROLLUP[MMWR_RATING_RO_ROLLUP],0),MATCH(F$9,MMWR_RATING_RO_ROLLUP[#Headers],0)),"ERROR"))</f>
        <v>320</v>
      </c>
      <c r="G22" s="154">
        <f>IF($B22=" ","",IFERROR(INDEX(MMWR_RATING_RO_ROLLUP[],MATCH($B22,MMWR_RATING_RO_ROLLUP[MMWR_RATING_RO_ROLLUP],0),MATCH(G$9,MMWR_RATING_RO_ROLLUP[#Headers],0)),"ERROR"))</f>
        <v>1301</v>
      </c>
      <c r="H22" s="155">
        <f>IF($B22=" ","",IFERROR(INDEX(MMWR_RATING_RO_ROLLUP[],MATCH($B22,MMWR_RATING_RO_ROLLUP[MMWR_RATING_RO_ROLLUP],0),MATCH(H$9,MMWR_RATING_RO_ROLLUP[#Headers],0)),"ERROR"))</f>
        <v>155.32187500000001</v>
      </c>
      <c r="I22" s="155">
        <f>IF($B22=" ","",IFERROR(INDEX(MMWR_RATING_RO_ROLLUP[],MATCH($B22,MMWR_RATING_RO_ROLLUP[MMWR_RATING_RO_ROLLUP],0),MATCH(I$9,MMWR_RATING_RO_ROLLUP[#Headers],0)),"ERROR"))</f>
        <v>141.3412759416</v>
      </c>
      <c r="J22" s="157">
        <f>IF($B22=" ","",IFERROR(VLOOKUP($B22,MMWR_ACCURACY_RO[],MATCH(J$9,MMWR_ACCURACY_RO[#Headers],0),0),"ERROR"))</f>
        <v>0.97083819419625006</v>
      </c>
      <c r="K22" s="157">
        <f>IF($B22=" ","",IFERROR(VLOOKUP($B22,MMWR_ACCURACY_RO[],MATCH(K$9,MMWR_ACCURACY_RO[#Headers],0),0),"ERROR"))</f>
        <v>0.95297951582867779</v>
      </c>
      <c r="L22" s="157">
        <f>IF($B22=" ","",IFERROR(VLOOKUP($B22,MMWR_ACCURACY_RO[],MATCH(L$9,MMWR_ACCURACY_RO[#Headers],0),0),"ERROR"))</f>
        <v>0.91828318006920673</v>
      </c>
      <c r="M22" s="157">
        <f>IF($B22=" ","",IFERROR(VLOOKUP($B22,MMWR_ACCURACY_RO[],MATCH(M$9,MMWR_ACCURACY_RO[#Headers],0),0),"ERROR"))</f>
        <v>3.998971318316457E-2</v>
      </c>
      <c r="N22" s="157">
        <f>IF($B22=" ","",IFERROR(VLOOKUP($B22,MMWR_ACCURACY_RO[],MATCH(N$9,MMWR_ACCURACY_RO[#Headers],0),0),"ERROR"))</f>
        <v>0.91904552613265944</v>
      </c>
      <c r="O22" s="157">
        <f>IF($B22=" ","",IFERROR(VLOOKUP($B22,MMWR_ACCURACY_RO[],MATCH(O$9,MMWR_ACCURACY_RO[#Headers],0),0),"ERROR"))</f>
        <v>4.5578205498796438E-2</v>
      </c>
      <c r="P22" s="28"/>
    </row>
    <row r="23" spans="1:16" x14ac:dyDescent="0.2">
      <c r="A23" s="25"/>
      <c r="B23" s="8" t="str">
        <f>VLOOKUP($B$16,DISTRICT_RO[],8,0)</f>
        <v>New York VSC</v>
      </c>
      <c r="C23" s="154">
        <f>IF($B23=" ","",IFERROR(INDEX(MMWR_RATING_RO_ROLLUP[],MATCH($B23,MMWR_RATING_RO_ROLLUP[MMWR_RATING_RO_ROLLUP],0),MATCH(C$9,MMWR_RATING_RO_ROLLUP[#Headers],0)),"ERROR"))</f>
        <v>3682</v>
      </c>
      <c r="D23" s="155">
        <f>IF($B23=" ","",IFERROR(INDEX(MMWR_RATING_RO_ROLLUP[],MATCH($B23,MMWR_RATING_RO_ROLLUP[MMWR_RATING_RO_ROLLUP],0),MATCH(D$9,MMWR_RATING_RO_ROLLUP[#Headers],0)),"ERROR"))</f>
        <v>93.479087452499996</v>
      </c>
      <c r="E23" s="156">
        <f>IF($B23=" ","",IFERROR(INDEX(MMWR_RATING_RO_ROLLUP[],MATCH($B23,MMWR_RATING_RO_ROLLUP[MMWR_RATING_RO_ROLLUP],0),MATCH(E$9,MMWR_RATING_RO_ROLLUP[#Headers],0))/$C23,"ERROR"))</f>
        <v>0.26588810429114612</v>
      </c>
      <c r="F23" s="154">
        <f>IF($B23=" ","",IFERROR(INDEX(MMWR_RATING_RO_ROLLUP[],MATCH($B23,MMWR_RATING_RO_ROLLUP[MMWR_RATING_RO_ROLLUP],0),MATCH(F$9,MMWR_RATING_RO_ROLLUP[#Headers],0)),"ERROR"))</f>
        <v>964</v>
      </c>
      <c r="G23" s="154">
        <f>IF($B23=" ","",IFERROR(INDEX(MMWR_RATING_RO_ROLLUP[],MATCH($B23,MMWR_RATING_RO_ROLLUP[MMWR_RATING_RO_ROLLUP],0),MATCH(G$9,MMWR_RATING_RO_ROLLUP[#Headers],0)),"ERROR"))</f>
        <v>3771</v>
      </c>
      <c r="H23" s="155">
        <f>IF($B23=" ","",IFERROR(INDEX(MMWR_RATING_RO_ROLLUP[],MATCH($B23,MMWR_RATING_RO_ROLLUP[MMWR_RATING_RO_ROLLUP],0),MATCH(H$9,MMWR_RATING_RO_ROLLUP[#Headers],0)),"ERROR"))</f>
        <v>133.9325726141</v>
      </c>
      <c r="I23" s="155">
        <f>IF($B23=" ","",IFERROR(INDEX(MMWR_RATING_RO_ROLLUP[],MATCH($B23,MMWR_RATING_RO_ROLLUP[MMWR_RATING_RO_ROLLUP],0),MATCH(I$9,MMWR_RATING_RO_ROLLUP[#Headers],0)),"ERROR"))</f>
        <v>132.77326968969999</v>
      </c>
      <c r="J23" s="157">
        <f>IF($B23=" ","",IFERROR(VLOOKUP($B23,MMWR_ACCURACY_RO[],MATCH(J$9,MMWR_ACCURACY_RO[#Headers],0),0),"ERROR"))</f>
        <v>0.9309579048110056</v>
      </c>
      <c r="K23" s="157">
        <f>IF($B23=" ","",IFERROR(VLOOKUP($B23,MMWR_ACCURACY_RO[],MATCH(K$9,MMWR_ACCURACY_RO[#Headers],0),0),"ERROR"))</f>
        <v>0.82271031855864396</v>
      </c>
      <c r="L23" s="157">
        <f>IF($B23=" ","",IFERROR(VLOOKUP($B23,MMWR_ACCURACY_RO[],MATCH(L$9,MMWR_ACCURACY_RO[#Headers],0),0),"ERROR"))</f>
        <v>0.90256916498993978</v>
      </c>
      <c r="M23" s="157">
        <f>IF($B23=" ","",IFERROR(VLOOKUP($B23,MMWR_ACCURACY_RO[],MATCH(M$9,MMWR_ACCURACY_RO[#Headers],0),0),"ERROR"))</f>
        <v>4.8066180689815712E-2</v>
      </c>
      <c r="N23" s="157">
        <f>IF($B23=" ","",IFERROR(VLOOKUP($B23,MMWR_ACCURACY_RO[],MATCH(N$9,MMWR_ACCURACY_RO[#Headers],0),0),"ERROR"))</f>
        <v>0.92324390080204044</v>
      </c>
      <c r="O23" s="157">
        <f>IF($B23=" ","",IFERROR(VLOOKUP($B23,MMWR_ACCURACY_RO[],MATCH(O$9,MMWR_ACCURACY_RO[#Headers],0),0),"ERROR"))</f>
        <v>4.1670066440340679E-2</v>
      </c>
      <c r="P23" s="28"/>
    </row>
    <row r="24" spans="1:16" x14ac:dyDescent="0.2">
      <c r="A24" s="25"/>
      <c r="B24" s="8" t="str">
        <f>VLOOKUP($B$16,DISTRICT_RO[],9,0)</f>
        <v>Newark VSC</v>
      </c>
      <c r="C24" s="154">
        <f>IF($B24=" ","",IFERROR(INDEX(MMWR_RATING_RO_ROLLUP[],MATCH($B24,MMWR_RATING_RO_ROLLUP[MMWR_RATING_RO_ROLLUP],0),MATCH(C$9,MMWR_RATING_RO_ROLLUP[#Headers],0)),"ERROR"))</f>
        <v>2138</v>
      </c>
      <c r="D24" s="155">
        <f>IF($B24=" ","",IFERROR(INDEX(MMWR_RATING_RO_ROLLUP[],MATCH($B24,MMWR_RATING_RO_ROLLUP[MMWR_RATING_RO_ROLLUP],0),MATCH(D$9,MMWR_RATING_RO_ROLLUP[#Headers],0)),"ERROR"))</f>
        <v>77.7736202058</v>
      </c>
      <c r="E24" s="156">
        <f>IF($B24=" ","",IFERROR(INDEX(MMWR_RATING_RO_ROLLUP[],MATCH($B24,MMWR_RATING_RO_ROLLUP[MMWR_RATING_RO_ROLLUP],0),MATCH(E$9,MMWR_RATING_RO_ROLLUP[#Headers],0))/$C24,"ERROR"))</f>
        <v>0.15622076707202995</v>
      </c>
      <c r="F24" s="154">
        <f>IF($B24=" ","",IFERROR(INDEX(MMWR_RATING_RO_ROLLUP[],MATCH($B24,MMWR_RATING_RO_ROLLUP[MMWR_RATING_RO_ROLLUP],0),MATCH(F$9,MMWR_RATING_RO_ROLLUP[#Headers],0)),"ERROR"))</f>
        <v>518</v>
      </c>
      <c r="G24" s="154">
        <f>IF($B24=" ","",IFERROR(INDEX(MMWR_RATING_RO_ROLLUP[],MATCH($B24,MMWR_RATING_RO_ROLLUP[MMWR_RATING_RO_ROLLUP],0),MATCH(G$9,MMWR_RATING_RO_ROLLUP[#Headers],0)),"ERROR"))</f>
        <v>2088</v>
      </c>
      <c r="H24" s="155">
        <f>IF($B24=" ","",IFERROR(INDEX(MMWR_RATING_RO_ROLLUP[],MATCH($B24,MMWR_RATING_RO_ROLLUP[MMWR_RATING_RO_ROLLUP],0),MATCH(H$9,MMWR_RATING_RO_ROLLUP[#Headers],0)),"ERROR"))</f>
        <v>120.2702702703</v>
      </c>
      <c r="I24" s="155">
        <f>IF($B24=" ","",IFERROR(INDEX(MMWR_RATING_RO_ROLLUP[],MATCH($B24,MMWR_RATING_RO_ROLLUP[MMWR_RATING_RO_ROLLUP],0),MATCH(I$9,MMWR_RATING_RO_ROLLUP[#Headers],0)),"ERROR"))</f>
        <v>137.5153256705</v>
      </c>
      <c r="J24" s="157">
        <f>IF($B24=" ","",IFERROR(VLOOKUP($B24,MMWR_ACCURACY_RO[],MATCH(J$9,MMWR_ACCURACY_RO[#Headers],0),0),"ERROR"))</f>
        <v>0.93767883533000007</v>
      </c>
      <c r="K24" s="157">
        <f>IF($B24=" ","",IFERROR(VLOOKUP($B24,MMWR_ACCURACY_RO[],MATCH(K$9,MMWR_ACCURACY_RO[#Headers],0),0),"ERROR"))</f>
        <v>0.88166404474742177</v>
      </c>
      <c r="L24" s="157">
        <f>IF($B24=" ","",IFERROR(VLOOKUP($B24,MMWR_ACCURACY_RO[],MATCH(L$9,MMWR_ACCURACY_RO[#Headers],0),0),"ERROR"))</f>
        <v>0.87932553351546094</v>
      </c>
      <c r="M24" s="157">
        <f>IF($B24=" ","",IFERROR(VLOOKUP($B24,MMWR_ACCURACY_RO[],MATCH(M$9,MMWR_ACCURACY_RO[#Headers],0),0),"ERROR"))</f>
        <v>4.375571969644497E-2</v>
      </c>
      <c r="N24" s="157">
        <f>IF($B24=" ","",IFERROR(VLOOKUP($B24,MMWR_ACCURACY_RO[],MATCH(N$9,MMWR_ACCURACY_RO[#Headers],0),0),"ERROR"))</f>
        <v>0.85503522570817581</v>
      </c>
      <c r="O24" s="157">
        <f>IF($B24=" ","",IFERROR(VLOOKUP($B24,MMWR_ACCURACY_RO[],MATCH(O$9,MMWR_ACCURACY_RO[#Headers],0),0),"ERROR"))</f>
        <v>5.1176209522065225E-2</v>
      </c>
      <c r="P24" s="28"/>
    </row>
    <row r="25" spans="1:16" x14ac:dyDescent="0.2">
      <c r="A25" s="25"/>
      <c r="B25" s="8" t="str">
        <f>VLOOKUP($B$16,DISTRICT_RO[],10,0)</f>
        <v>Philadelphia VSC</v>
      </c>
      <c r="C25" s="154">
        <f>IF($B25=" ","",IFERROR(INDEX(MMWR_RATING_RO_ROLLUP[],MATCH($B25,MMWR_RATING_RO_ROLLUP[MMWR_RATING_RO_ROLLUP],0),MATCH(C$9,MMWR_RATING_RO_ROLLUP[#Headers],0)),"ERROR"))</f>
        <v>6966</v>
      </c>
      <c r="D25" s="155">
        <f>IF($B25=" ","",IFERROR(INDEX(MMWR_RATING_RO_ROLLUP[],MATCH($B25,MMWR_RATING_RO_ROLLUP[MMWR_RATING_RO_ROLLUP],0),MATCH(D$9,MMWR_RATING_RO_ROLLUP[#Headers],0)),"ERROR"))</f>
        <v>114.0111972438</v>
      </c>
      <c r="E25" s="156">
        <f>IF($B25=" ","",IFERROR(INDEX(MMWR_RATING_RO_ROLLUP[],MATCH($B25,MMWR_RATING_RO_ROLLUP[MMWR_RATING_RO_ROLLUP],0),MATCH(E$9,MMWR_RATING_RO_ROLLUP[#Headers],0))/$C25,"ERROR"))</f>
        <v>0.31065173700832616</v>
      </c>
      <c r="F25" s="154">
        <f>IF($B25=" ","",IFERROR(INDEX(MMWR_RATING_RO_ROLLUP[],MATCH($B25,MMWR_RATING_RO_ROLLUP[MMWR_RATING_RO_ROLLUP],0),MATCH(F$9,MMWR_RATING_RO_ROLLUP[#Headers],0)),"ERROR"))</f>
        <v>2233</v>
      </c>
      <c r="G25" s="154">
        <f>IF($B25=" ","",IFERROR(INDEX(MMWR_RATING_RO_ROLLUP[],MATCH($B25,MMWR_RATING_RO_ROLLUP[MMWR_RATING_RO_ROLLUP],0),MATCH(G$9,MMWR_RATING_RO_ROLLUP[#Headers],0)),"ERROR"))</f>
        <v>8642</v>
      </c>
      <c r="H25" s="155">
        <f>IF($B25=" ","",IFERROR(INDEX(MMWR_RATING_RO_ROLLUP[],MATCH($B25,MMWR_RATING_RO_ROLLUP[MMWR_RATING_RO_ROLLUP],0),MATCH(H$9,MMWR_RATING_RO_ROLLUP[#Headers],0)),"ERROR"))</f>
        <v>141.68114643979999</v>
      </c>
      <c r="I25" s="155">
        <f>IF($B25=" ","",IFERROR(INDEX(MMWR_RATING_RO_ROLLUP[],MATCH($B25,MMWR_RATING_RO_ROLLUP[MMWR_RATING_RO_ROLLUP],0),MATCH(I$9,MMWR_RATING_RO_ROLLUP[#Headers],0)),"ERROR"))</f>
        <v>151.6275167785</v>
      </c>
      <c r="J25" s="157">
        <f>IF($B25=" ","",IFERROR(VLOOKUP($B25,MMWR_ACCURACY_RO[],MATCH(J$9,MMWR_ACCURACY_RO[#Headers],0),0),"ERROR"))</f>
        <v>0.96772408735050564</v>
      </c>
      <c r="K25" s="157">
        <f>IF($B25=" ","",IFERROR(VLOOKUP($B25,MMWR_ACCURACY_RO[],MATCH(K$9,MMWR_ACCURACY_RO[#Headers],0),0),"ERROR"))</f>
        <v>0.93488888053247077</v>
      </c>
      <c r="L25" s="157">
        <f>IF($B25=" ","",IFERROR(VLOOKUP($B25,MMWR_ACCURACY_RO[],MATCH(L$9,MMWR_ACCURACY_RO[#Headers],0),0),"ERROR"))</f>
        <v>0.86094930004569425</v>
      </c>
      <c r="M25" s="157">
        <f>IF($B25=" ","",IFERROR(VLOOKUP($B25,MMWR_ACCURACY_RO[],MATCH(M$9,MMWR_ACCURACY_RO[#Headers],0),0),"ERROR"))</f>
        <v>5.1128656528516031E-2</v>
      </c>
      <c r="N25" s="157">
        <f>IF($B25=" ","",IFERROR(VLOOKUP($B25,MMWR_ACCURACY_RO[],MATCH(N$9,MMWR_ACCURACY_RO[#Headers],0),0),"ERROR"))</f>
        <v>0.89468325884570687</v>
      </c>
      <c r="O25" s="157">
        <f>IF($B25=" ","",IFERROR(VLOOKUP($B25,MMWR_ACCURACY_RO[],MATCH(O$9,MMWR_ACCURACY_RO[#Headers],0),0),"ERROR"))</f>
        <v>5.2004402500186231E-2</v>
      </c>
      <c r="P25" s="28"/>
    </row>
    <row r="26" spans="1:16" x14ac:dyDescent="0.2">
      <c r="A26" s="25"/>
      <c r="B26" s="8" t="str">
        <f>VLOOKUP($B$16,DISTRICT_RO[],11,0)</f>
        <v>Pittsburgh VSC</v>
      </c>
      <c r="C26" s="154">
        <f>IF($B26=" ","",IFERROR(INDEX(MMWR_RATING_RO_ROLLUP[],MATCH($B26,MMWR_RATING_RO_ROLLUP[MMWR_RATING_RO_ROLLUP],0),MATCH(C$9,MMWR_RATING_RO_ROLLUP[#Headers],0)),"ERROR"))</f>
        <v>3717</v>
      </c>
      <c r="D26" s="155">
        <f>IF($B26=" ","",IFERROR(INDEX(MMWR_RATING_RO_ROLLUP[],MATCH($B26,MMWR_RATING_RO_ROLLUP[MMWR_RATING_RO_ROLLUP],0),MATCH(D$9,MMWR_RATING_RO_ROLLUP[#Headers],0)),"ERROR"))</f>
        <v>131.92924401400001</v>
      </c>
      <c r="E26" s="156">
        <f>IF($B26=" ","",IFERROR(INDEX(MMWR_RATING_RO_ROLLUP[],MATCH($B26,MMWR_RATING_RO_ROLLUP[MMWR_RATING_RO_ROLLUP],0),MATCH(E$9,MMWR_RATING_RO_ROLLUP[#Headers],0))/$C26,"ERROR"))</f>
        <v>0.39521119182136133</v>
      </c>
      <c r="F26" s="154">
        <f>IF($B26=" ","",IFERROR(INDEX(MMWR_RATING_RO_ROLLUP[],MATCH($B26,MMWR_RATING_RO_ROLLUP[MMWR_RATING_RO_ROLLUP],0),MATCH(F$9,MMWR_RATING_RO_ROLLUP[#Headers],0)),"ERROR"))</f>
        <v>937</v>
      </c>
      <c r="G26" s="154">
        <f>IF($B26=" ","",IFERROR(INDEX(MMWR_RATING_RO_ROLLUP[],MATCH($B26,MMWR_RATING_RO_ROLLUP[MMWR_RATING_RO_ROLLUP],0),MATCH(G$9,MMWR_RATING_RO_ROLLUP[#Headers],0)),"ERROR"))</f>
        <v>3556</v>
      </c>
      <c r="H26" s="155">
        <f>IF($B26=" ","",IFERROR(INDEX(MMWR_RATING_RO_ROLLUP[],MATCH($B26,MMWR_RATING_RO_ROLLUP[MMWR_RATING_RO_ROLLUP],0),MATCH(H$9,MMWR_RATING_RO_ROLLUP[#Headers],0)),"ERROR"))</f>
        <v>162.40661686230001</v>
      </c>
      <c r="I26" s="155">
        <f>IF($B26=" ","",IFERROR(INDEX(MMWR_RATING_RO_ROLLUP[],MATCH($B26,MMWR_RATING_RO_ROLLUP[MMWR_RATING_RO_ROLLUP],0),MATCH(I$9,MMWR_RATING_RO_ROLLUP[#Headers],0)),"ERROR"))</f>
        <v>178.82817772780001</v>
      </c>
      <c r="J26" s="157">
        <f>IF($B26=" ","",IFERROR(VLOOKUP($B26,MMWR_ACCURACY_RO[],MATCH(J$9,MMWR_ACCURACY_RO[#Headers],0),0),"ERROR"))</f>
        <v>0.89264644170719065</v>
      </c>
      <c r="K26" s="157">
        <f>IF($B26=" ","",IFERROR(VLOOKUP($B26,MMWR_ACCURACY_RO[],MATCH(K$9,MMWR_ACCURACY_RO[#Headers],0),0),"ERROR"))</f>
        <v>0.86267918932278809</v>
      </c>
      <c r="L26" s="157">
        <f>IF($B26=" ","",IFERROR(VLOOKUP($B26,MMWR_ACCURACY_RO[],MATCH(L$9,MMWR_ACCURACY_RO[#Headers],0),0),"ERROR"))</f>
        <v>0.89501628148136447</v>
      </c>
      <c r="M26" s="157">
        <f>IF($B26=" ","",IFERROR(VLOOKUP($B26,MMWR_ACCURACY_RO[],MATCH(M$9,MMWR_ACCURACY_RO[#Headers],0),0),"ERROR"))</f>
        <v>4.7987089016772587E-2</v>
      </c>
      <c r="N26" s="157">
        <f>IF($B26=" ","",IFERROR(VLOOKUP($B26,MMWR_ACCURACY_RO[],MATCH(N$9,MMWR_ACCURACY_RO[#Headers],0),0),"ERROR"))</f>
        <v>0.89272950754772717</v>
      </c>
      <c r="O26" s="157">
        <f>IF($B26=" ","",IFERROR(VLOOKUP($B26,MMWR_ACCURACY_RO[],MATCH(O$9,MMWR_ACCURACY_RO[#Headers],0),0),"ERROR"))</f>
        <v>6.1393887445169708E-2</v>
      </c>
      <c r="P26" s="28"/>
    </row>
    <row r="27" spans="1:16" x14ac:dyDescent="0.2">
      <c r="A27" s="25"/>
      <c r="B27" s="8" t="str">
        <f>VLOOKUP($B$16,DISTRICT_RO[],12,0)</f>
        <v>Providence VSC</v>
      </c>
      <c r="C27" s="154">
        <f>IF($B27=" ","",IFERROR(INDEX(MMWR_RATING_RO_ROLLUP[],MATCH($B27,MMWR_RATING_RO_ROLLUP[MMWR_RATING_RO_ROLLUP],0),MATCH(C$9,MMWR_RATING_RO_ROLLUP[#Headers],0)),"ERROR"))</f>
        <v>4001</v>
      </c>
      <c r="D27" s="155">
        <f>IF($B27=" ","",IFERROR(INDEX(MMWR_RATING_RO_ROLLUP[],MATCH($B27,MMWR_RATING_RO_ROLLUP[MMWR_RATING_RO_ROLLUP],0),MATCH(D$9,MMWR_RATING_RO_ROLLUP[#Headers],0)),"ERROR"))</f>
        <v>90.648087978000007</v>
      </c>
      <c r="E27" s="156">
        <f>IF($B27=" ","",IFERROR(INDEX(MMWR_RATING_RO_ROLLUP[],MATCH($B27,MMWR_RATING_RO_ROLLUP[MMWR_RATING_RO_ROLLUP],0),MATCH(E$9,MMWR_RATING_RO_ROLLUP[#Headers],0))/$C27,"ERROR"))</f>
        <v>0.19745063734066484</v>
      </c>
      <c r="F27" s="154">
        <f>IF($B27=" ","",IFERROR(INDEX(MMWR_RATING_RO_ROLLUP[],MATCH($B27,MMWR_RATING_RO_ROLLUP[MMWR_RATING_RO_ROLLUP],0),MATCH(F$9,MMWR_RATING_RO_ROLLUP[#Headers],0)),"ERROR"))</f>
        <v>2113</v>
      </c>
      <c r="G27" s="154">
        <f>IF($B27=" ","",IFERROR(INDEX(MMWR_RATING_RO_ROLLUP[],MATCH($B27,MMWR_RATING_RO_ROLLUP[MMWR_RATING_RO_ROLLUP],0),MATCH(G$9,MMWR_RATING_RO_ROLLUP[#Headers],0)),"ERROR"))</f>
        <v>8151</v>
      </c>
      <c r="H27" s="155">
        <f>IF($B27=" ","",IFERROR(INDEX(MMWR_RATING_RO_ROLLUP[],MATCH($B27,MMWR_RATING_RO_ROLLUP[MMWR_RATING_RO_ROLLUP],0),MATCH(H$9,MMWR_RATING_RO_ROLLUP[#Headers],0)),"ERROR"))</f>
        <v>83.823946994799996</v>
      </c>
      <c r="I27" s="155">
        <f>IF($B27=" ","",IFERROR(INDEX(MMWR_RATING_RO_ROLLUP[],MATCH($B27,MMWR_RATING_RO_ROLLUP[MMWR_RATING_RO_ROLLUP],0),MATCH(I$9,MMWR_RATING_RO_ROLLUP[#Headers],0)),"ERROR"))</f>
        <v>82.235308551100005</v>
      </c>
      <c r="J27" s="157">
        <f>IF($B27=" ","",IFERROR(VLOOKUP($B27,MMWR_ACCURACY_RO[],MATCH(J$9,MMWR_ACCURACY_RO[#Headers],0),0),"ERROR"))</f>
        <v>0.97846077807786269</v>
      </c>
      <c r="K27" s="157">
        <f>IF($B27=" ","",IFERROR(VLOOKUP($B27,MMWR_ACCURACY_RO[],MATCH(K$9,MMWR_ACCURACY_RO[#Headers],0),0),"ERROR"))</f>
        <v>0.9234382194934766</v>
      </c>
      <c r="L27" s="157">
        <f>IF($B27=" ","",IFERROR(VLOOKUP($B27,MMWR_ACCURACY_RO[],MATCH(L$9,MMWR_ACCURACY_RO[#Headers],0),0),"ERROR"))</f>
        <v>0.86546179515091071</v>
      </c>
      <c r="M27" s="157">
        <f>IF($B27=" ","",IFERROR(VLOOKUP($B27,MMWR_ACCURACY_RO[],MATCH(M$9,MMWR_ACCURACY_RO[#Headers],0),0),"ERROR"))</f>
        <v>6.1458675408162765E-2</v>
      </c>
      <c r="N27" s="157">
        <f>IF($B27=" ","",IFERROR(VLOOKUP($B27,MMWR_ACCURACY_RO[],MATCH(N$9,MMWR_ACCURACY_RO[#Headers],0),0),"ERROR"))</f>
        <v>0.96440821256038634</v>
      </c>
      <c r="O27" s="157">
        <f>IF($B27=" ","",IFERROR(VLOOKUP($B27,MMWR_ACCURACY_RO[],MATCH(O$9,MMWR_ACCURACY_RO[#Headers],0),0),"ERROR"))</f>
        <v>2.9057881010602388E-2</v>
      </c>
      <c r="P27" s="28"/>
    </row>
    <row r="28" spans="1:16" x14ac:dyDescent="0.2">
      <c r="A28" s="25"/>
      <c r="B28" s="8" t="str">
        <f>VLOOKUP($B$16,DISTRICT_RO[],13,0)</f>
        <v>Roanoke VSC</v>
      </c>
      <c r="C28" s="154">
        <f>IF($B28=" ","",IFERROR(INDEX(MMWR_RATING_RO_ROLLUP[],MATCH($B28,MMWR_RATING_RO_ROLLUP[MMWR_RATING_RO_ROLLUP],0),MATCH(C$9,MMWR_RATING_RO_ROLLUP[#Headers],0)),"ERROR"))</f>
        <v>10092</v>
      </c>
      <c r="D28" s="155">
        <f>IF($B28=" ","",IFERROR(INDEX(MMWR_RATING_RO_ROLLUP[],MATCH($B28,MMWR_RATING_RO_ROLLUP[MMWR_RATING_RO_ROLLUP],0),MATCH(D$9,MMWR_RATING_RO_ROLLUP[#Headers],0)),"ERROR"))</f>
        <v>90.890110978999999</v>
      </c>
      <c r="E28" s="156">
        <f>IF($B28=" ","",IFERROR(INDEX(MMWR_RATING_RO_ROLLUP[],MATCH($B28,MMWR_RATING_RO_ROLLUP[MMWR_RATING_RO_ROLLUP],0),MATCH(E$9,MMWR_RATING_RO_ROLLUP[#Headers],0))/$C28,"ERROR"))</f>
        <v>0.2321640903686088</v>
      </c>
      <c r="F28" s="154">
        <f>IF($B28=" ","",IFERROR(INDEX(MMWR_RATING_RO_ROLLUP[],MATCH($B28,MMWR_RATING_RO_ROLLUP[MMWR_RATING_RO_ROLLUP],0),MATCH(F$9,MMWR_RATING_RO_ROLLUP[#Headers],0)),"ERROR"))</f>
        <v>2852</v>
      </c>
      <c r="G28" s="154">
        <f>IF($B28=" ","",IFERROR(INDEX(MMWR_RATING_RO_ROLLUP[],MATCH($B28,MMWR_RATING_RO_ROLLUP[MMWR_RATING_RO_ROLLUP],0),MATCH(G$9,MMWR_RATING_RO_ROLLUP[#Headers],0)),"ERROR"))</f>
        <v>10693</v>
      </c>
      <c r="H28" s="155">
        <f>IF($B28=" ","",IFERROR(INDEX(MMWR_RATING_RO_ROLLUP[],MATCH($B28,MMWR_RATING_RO_ROLLUP[MMWR_RATING_RO_ROLLUP],0),MATCH(H$9,MMWR_RATING_RO_ROLLUP[#Headers],0)),"ERROR"))</f>
        <v>127.8180224404</v>
      </c>
      <c r="I28" s="155">
        <f>IF($B28=" ","",IFERROR(INDEX(MMWR_RATING_RO_ROLLUP[],MATCH($B28,MMWR_RATING_RO_ROLLUP[MMWR_RATING_RO_ROLLUP],0),MATCH(I$9,MMWR_RATING_RO_ROLLUP[#Headers],0)),"ERROR"))</f>
        <v>136.79472552140001</v>
      </c>
      <c r="J28" s="157">
        <f>IF($B28=" ","",IFERROR(VLOOKUP($B28,MMWR_ACCURACY_RO[],MATCH(J$9,MMWR_ACCURACY_RO[#Headers],0),0),"ERROR"))</f>
        <v>0.95152562622882364</v>
      </c>
      <c r="K28" s="157">
        <f>IF($B28=" ","",IFERROR(VLOOKUP($B28,MMWR_ACCURACY_RO[],MATCH(K$9,MMWR_ACCURACY_RO[#Headers],0),0),"ERROR"))</f>
        <v>0.82786320862979113</v>
      </c>
      <c r="L28" s="157">
        <f>IF($B28=" ","",IFERROR(VLOOKUP($B28,MMWR_ACCURACY_RO[],MATCH(L$9,MMWR_ACCURACY_RO[#Headers],0),0),"ERROR"))</f>
        <v>0.90482226030999069</v>
      </c>
      <c r="M28" s="157">
        <f>IF($B28=" ","",IFERROR(VLOOKUP($B28,MMWR_ACCURACY_RO[],MATCH(M$9,MMWR_ACCURACY_RO[#Headers],0),0),"ERROR"))</f>
        <v>4.7945896177201491E-2</v>
      </c>
      <c r="N28" s="157">
        <f>IF($B28=" ","",IFERROR(VLOOKUP($B28,MMWR_ACCURACY_RO[],MATCH(N$9,MMWR_ACCURACY_RO[#Headers],0),0),"ERROR"))</f>
        <v>0.91252981744131167</v>
      </c>
      <c r="O28" s="157">
        <f>IF($B28=" ","",IFERROR(VLOOKUP($B28,MMWR_ACCURACY_RO[],MATCH(O$9,MMWR_ACCURACY_RO[#Headers],0),0),"ERROR"))</f>
        <v>4.3477177312269008E-2</v>
      </c>
      <c r="P28" s="28"/>
    </row>
    <row r="29" spans="1:16" x14ac:dyDescent="0.2">
      <c r="A29" s="25"/>
      <c r="B29" s="8" t="str">
        <f>VLOOKUP($B$16,DISTRICT_RO[],14,0)</f>
        <v>Togus VSC</v>
      </c>
      <c r="C29" s="154">
        <f>IF($B29=" ","",IFERROR(INDEX(MMWR_RATING_RO_ROLLUP[],MATCH($B29,MMWR_RATING_RO_ROLLUP[MMWR_RATING_RO_ROLLUP],0),MATCH(C$9,MMWR_RATING_RO_ROLLUP[#Headers],0)),"ERROR"))</f>
        <v>5489</v>
      </c>
      <c r="D29" s="155">
        <f>IF($B29=" ","",IFERROR(INDEX(MMWR_RATING_RO_ROLLUP[],MATCH($B29,MMWR_RATING_RO_ROLLUP[MMWR_RATING_RO_ROLLUP],0),MATCH(D$9,MMWR_RATING_RO_ROLLUP[#Headers],0)),"ERROR"))</f>
        <v>99.516123155399995</v>
      </c>
      <c r="E29" s="156">
        <f>IF($B29=" ","",IFERROR(INDEX(MMWR_RATING_RO_ROLLUP[],MATCH($B29,MMWR_RATING_RO_ROLLUP[MMWR_RATING_RO_ROLLUP],0),MATCH(E$9,MMWR_RATING_RO_ROLLUP[#Headers],0))/$C29,"ERROR"))</f>
        <v>0.24266715248679177</v>
      </c>
      <c r="F29" s="154">
        <f>IF($B29=" ","",IFERROR(INDEX(MMWR_RATING_RO_ROLLUP[],MATCH($B29,MMWR_RATING_RO_ROLLUP[MMWR_RATING_RO_ROLLUP],0),MATCH(F$9,MMWR_RATING_RO_ROLLUP[#Headers],0)),"ERROR"))</f>
        <v>1289</v>
      </c>
      <c r="G29" s="154">
        <f>IF($B29=" ","",IFERROR(INDEX(MMWR_RATING_RO_ROLLUP[],MATCH($B29,MMWR_RATING_RO_ROLLUP[MMWR_RATING_RO_ROLLUP],0),MATCH(G$9,MMWR_RATING_RO_ROLLUP[#Headers],0)),"ERROR"))</f>
        <v>5791</v>
      </c>
      <c r="H29" s="155">
        <f>IF($B29=" ","",IFERROR(INDEX(MMWR_RATING_RO_ROLLUP[],MATCH($B29,MMWR_RATING_RO_ROLLUP[MMWR_RATING_RO_ROLLUP],0),MATCH(H$9,MMWR_RATING_RO_ROLLUP[#Headers],0)),"ERROR"))</f>
        <v>142.3258339798</v>
      </c>
      <c r="I29" s="155">
        <f>IF($B29=" ","",IFERROR(INDEX(MMWR_RATING_RO_ROLLUP[],MATCH($B29,MMWR_RATING_RO_ROLLUP[MMWR_RATING_RO_ROLLUP],0),MATCH(I$9,MMWR_RATING_RO_ROLLUP[#Headers],0)),"ERROR"))</f>
        <v>135.3218787774</v>
      </c>
      <c r="J29" s="157">
        <f>IF($B29=" ","",IFERROR(VLOOKUP($B29,MMWR_ACCURACY_RO[],MATCH(J$9,MMWR_ACCURACY_RO[#Headers],0),0),"ERROR"))</f>
        <v>0.97482626361856239</v>
      </c>
      <c r="K29" s="157">
        <f>IF($B29=" ","",IFERROR(VLOOKUP($B29,MMWR_ACCURACY_RO[],MATCH(K$9,MMWR_ACCURACY_RO[#Headers],0),0),"ERROR"))</f>
        <v>0.93310924369747905</v>
      </c>
      <c r="L29" s="157">
        <f>IF($B29=" ","",IFERROR(VLOOKUP($B29,MMWR_ACCURACY_RO[],MATCH(L$9,MMWR_ACCURACY_RO[#Headers],0),0),"ERROR"))</f>
        <v>0.87728844491403335</v>
      </c>
      <c r="M29" s="157">
        <f>IF($B29=" ","",IFERROR(VLOOKUP($B29,MMWR_ACCURACY_RO[],MATCH(M$9,MMWR_ACCURACY_RO[#Headers],0),0),"ERROR"))</f>
        <v>5.8404860319807954E-2</v>
      </c>
      <c r="N29" s="157">
        <f>IF($B29=" ","",IFERROR(VLOOKUP($B29,MMWR_ACCURACY_RO[],MATCH(N$9,MMWR_ACCURACY_RO[#Headers],0),0),"ERROR"))</f>
        <v>0.96138227536418208</v>
      </c>
      <c r="O29" s="157">
        <f>IF($B29=" ","",IFERROR(VLOOKUP($B29,MMWR_ACCURACY_RO[],MATCH(O$9,MMWR_ACCURACY_RO[#Headers],0),0),"ERROR"))</f>
        <v>3.768486353500286E-2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699</v>
      </c>
      <c r="D30" s="155">
        <f>IF($B30=" ","",IFERROR(INDEX(MMWR_RATING_RO_ROLLUP[],MATCH($B30,MMWR_RATING_RO_ROLLUP[MMWR_RATING_RO_ROLLUP],0),MATCH(D$9,MMWR_RATING_RO_ROLLUP[#Headers],0)),"ERROR"))</f>
        <v>102.6223175966</v>
      </c>
      <c r="E30" s="156">
        <f>IF($B30=" ","",IFERROR(INDEX(MMWR_RATING_RO_ROLLUP[],MATCH($B30,MMWR_RATING_RO_ROLLUP[MMWR_RATING_RO_ROLLUP],0),MATCH(E$9,MMWR_RATING_RO_ROLLUP[#Headers],0))/$C30,"ERROR"))</f>
        <v>0.27610872675250359</v>
      </c>
      <c r="F30" s="154">
        <f>IF($B30=" ","",IFERROR(INDEX(MMWR_RATING_RO_ROLLUP[],MATCH($B30,MMWR_RATING_RO_ROLLUP[MMWR_RATING_RO_ROLLUP],0),MATCH(F$9,MMWR_RATING_RO_ROLLUP[#Headers],0)),"ERROR"))</f>
        <v>190</v>
      </c>
      <c r="G30" s="154">
        <f>IF($B30=" ","",IFERROR(INDEX(MMWR_RATING_RO_ROLLUP[],MATCH($B30,MMWR_RATING_RO_ROLLUP[MMWR_RATING_RO_ROLLUP],0),MATCH(G$9,MMWR_RATING_RO_ROLLUP[#Headers],0)),"ERROR"))</f>
        <v>639</v>
      </c>
      <c r="H30" s="155">
        <f>IF($B30=" ","",IFERROR(INDEX(MMWR_RATING_RO_ROLLUP[],MATCH($B30,MMWR_RATING_RO_ROLLUP[MMWR_RATING_RO_ROLLUP],0),MATCH(H$9,MMWR_RATING_RO_ROLLUP[#Headers],0)),"ERROR"))</f>
        <v>157.20526315789999</v>
      </c>
      <c r="I30" s="155">
        <f>IF($B30=" ","",IFERROR(INDEX(MMWR_RATING_RO_ROLLUP[],MATCH($B30,MMWR_RATING_RO_ROLLUP[MMWR_RATING_RO_ROLLUP],0),MATCH(I$9,MMWR_RATING_RO_ROLLUP[#Headers],0)),"ERROR"))</f>
        <v>168.3787167449</v>
      </c>
      <c r="J30" s="157">
        <f>IF($B30=" ","",IFERROR(VLOOKUP($B30,MMWR_ACCURACY_RO[],MATCH(J$9,MMWR_ACCURACY_RO[#Headers],0),0),"ERROR"))</f>
        <v>0.89788239917700241</v>
      </c>
      <c r="K30" s="157">
        <f>IF($B30=" ","",IFERROR(VLOOKUP($B30,MMWR_ACCURACY_RO[],MATCH(K$9,MMWR_ACCURACY_RO[#Headers],0),0),"ERROR"))</f>
        <v>0.81767887878042766</v>
      </c>
      <c r="L30" s="157">
        <f>IF($B30=" ","",IFERROR(VLOOKUP($B30,MMWR_ACCURACY_RO[],MATCH(L$9,MMWR_ACCURACY_RO[#Headers],0),0),"ERROR"))</f>
        <v>0.82574129396003926</v>
      </c>
      <c r="M30" s="157">
        <f>IF($B30=" ","",IFERROR(VLOOKUP($B30,MMWR_ACCURACY_RO[],MATCH(M$9,MMWR_ACCURACY_RO[#Headers],0),0),"ERROR"))</f>
        <v>5.3492724060872091E-2</v>
      </c>
      <c r="N30" s="157">
        <f>IF($B30=" ","",IFERROR(VLOOKUP($B30,MMWR_ACCURACY_RO[],MATCH(N$9,MMWR_ACCURACY_RO[#Headers],0),0),"ERROR"))</f>
        <v>0.89697304195543626</v>
      </c>
      <c r="O30" s="157">
        <f>IF($B30=" ","",IFERROR(VLOOKUP($B30,MMWR_ACCURACY_RO[],MATCH(O$9,MMWR_ACCURACY_RO[#Headers],0),0),"ERROR"))</f>
        <v>3.9208575895078542E-2</v>
      </c>
      <c r="P30" s="28"/>
    </row>
    <row r="31" spans="1:16" x14ac:dyDescent="0.2">
      <c r="A31" s="25"/>
      <c r="B31" s="8" t="str">
        <f>VLOOKUP($B$16,DISTRICT_RO[],16,0)</f>
        <v>Wilmington VSC</v>
      </c>
      <c r="C31" s="154">
        <f>IF($B31=" ","",IFERROR(INDEX(MMWR_RATING_RO_ROLLUP[],MATCH($B31,MMWR_RATING_RO_ROLLUP[MMWR_RATING_RO_ROLLUP],0),MATCH(C$9,MMWR_RATING_RO_ROLLUP[#Headers],0)),"ERROR"))</f>
        <v>575</v>
      </c>
      <c r="D31" s="155">
        <f>IF($B31=" ","",IFERROR(INDEX(MMWR_RATING_RO_ROLLUP[],MATCH($B31,MMWR_RATING_RO_ROLLUP[MMWR_RATING_RO_ROLLUP],0),MATCH(D$9,MMWR_RATING_RO_ROLLUP[#Headers],0)),"ERROR"))</f>
        <v>80.2139130435</v>
      </c>
      <c r="E31" s="156">
        <f>IF($B31=" ","",IFERROR(INDEX(MMWR_RATING_RO_ROLLUP[],MATCH($B31,MMWR_RATING_RO_ROLLUP[MMWR_RATING_RO_ROLLUP],0),MATCH(E$9,MMWR_RATING_RO_ROLLUP[#Headers],0))/$C31,"ERROR"))</f>
        <v>0.18260869565217391</v>
      </c>
      <c r="F31" s="154">
        <f>IF($B31=" ","",IFERROR(INDEX(MMWR_RATING_RO_ROLLUP[],MATCH($B31,MMWR_RATING_RO_ROLLUP[MMWR_RATING_RO_ROLLUP],0),MATCH(F$9,MMWR_RATING_RO_ROLLUP[#Headers],0)),"ERROR"))</f>
        <v>100</v>
      </c>
      <c r="G31" s="154">
        <f>IF($B31=" ","",IFERROR(INDEX(MMWR_RATING_RO_ROLLUP[],MATCH($B31,MMWR_RATING_RO_ROLLUP[MMWR_RATING_RO_ROLLUP],0),MATCH(G$9,MMWR_RATING_RO_ROLLUP[#Headers],0)),"ERROR"))</f>
        <v>384</v>
      </c>
      <c r="H31" s="155">
        <f>IF($B31=" ","",IFERROR(INDEX(MMWR_RATING_RO_ROLLUP[],MATCH($B31,MMWR_RATING_RO_ROLLUP[MMWR_RATING_RO_ROLLUP],0),MATCH(H$9,MMWR_RATING_RO_ROLLUP[#Headers],0)),"ERROR"))</f>
        <v>131.19999999999999</v>
      </c>
      <c r="I31" s="155">
        <f>IF($B31=" ","",IFERROR(INDEX(MMWR_RATING_RO_ROLLUP[],MATCH($B31,MMWR_RATING_RO_ROLLUP[MMWR_RATING_RO_ROLLUP],0),MATCH(I$9,MMWR_RATING_RO_ROLLUP[#Headers],0)),"ERROR"))</f>
        <v>120.4921875</v>
      </c>
      <c r="J31" s="157">
        <f>IF($B31=" ","",IFERROR(VLOOKUP($B31,MMWR_ACCURACY_RO[],MATCH(J$9,MMWR_ACCURACY_RO[#Headers],0),0),"ERROR"))</f>
        <v>0.92686134555715871</v>
      </c>
      <c r="K31" s="157">
        <f>IF($B31=" ","",IFERROR(VLOOKUP($B31,MMWR_ACCURACY_RO[],MATCH(K$9,MMWR_ACCURACY_RO[#Headers],0),0),"ERROR"))</f>
        <v>0.82216603455541515</v>
      </c>
      <c r="L31" s="157">
        <f>IF($B31=" ","",IFERROR(VLOOKUP($B31,MMWR_ACCURACY_RO[],MATCH(L$9,MMWR_ACCURACY_RO[#Headers],0),0),"ERROR"))</f>
        <v>0.86779042182519106</v>
      </c>
      <c r="M31" s="157">
        <f>IF($B31=" ","",IFERROR(VLOOKUP($B31,MMWR_ACCURACY_RO[],MATCH(M$9,MMWR_ACCURACY_RO[#Headers],0),0),"ERROR"))</f>
        <v>4.6849540436246569E-2</v>
      </c>
      <c r="N31" s="157">
        <f>IF($B31=" ","",IFERROR(VLOOKUP($B31,MMWR_ACCURACY_RO[],MATCH(N$9,MMWR_ACCURACY_RO[#Headers],0),0),"ERROR"))</f>
        <v>0.88755736108471039</v>
      </c>
      <c r="O31" s="157">
        <f>IF($B31=" ","",IFERROR(VLOOKUP($B31,MMWR_ACCURACY_RO[],MATCH(O$9,MMWR_ACCURACY_RO[#Headers],0),0),"ERROR"))</f>
        <v>5.0868954657902206E-2</v>
      </c>
      <c r="P31" s="28"/>
    </row>
    <row r="32" spans="1:16" x14ac:dyDescent="0.2">
      <c r="A32" s="25"/>
      <c r="B32" s="8" t="str">
        <f>VLOOKUP($B$16,DISTRICT_RO[],17,0)</f>
        <v>Winston-Salem VSC</v>
      </c>
      <c r="C32" s="154">
        <f>IF($B32=" ","",IFERROR(INDEX(MMWR_RATING_RO_ROLLUP[],MATCH($B32,MMWR_RATING_RO_ROLLUP[MMWR_RATING_RO_ROLLUP],0),MATCH(C$9,MMWR_RATING_RO_ROLLUP[#Headers],0)),"ERROR"))</f>
        <v>11597</v>
      </c>
      <c r="D32" s="155">
        <f>IF($B32=" ","",IFERROR(INDEX(MMWR_RATING_RO_ROLLUP[],MATCH($B32,MMWR_RATING_RO_ROLLUP[MMWR_RATING_RO_ROLLUP],0),MATCH(D$9,MMWR_RATING_RO_ROLLUP[#Headers],0)),"ERROR"))</f>
        <v>83.392773993299997</v>
      </c>
      <c r="E32" s="156">
        <f>IF($B32=" ","",IFERROR(INDEX(MMWR_RATING_RO_ROLLUP[],MATCH($B32,MMWR_RATING_RO_ROLLUP[MMWR_RATING_RO_ROLLUP],0),MATCH(E$9,MMWR_RATING_RO_ROLLUP[#Headers],0))/$C32,"ERROR"))</f>
        <v>0.16806070535483314</v>
      </c>
      <c r="F32" s="154">
        <f>IF($B32=" ","",IFERROR(INDEX(MMWR_RATING_RO_ROLLUP[],MATCH($B32,MMWR_RATING_RO_ROLLUP[MMWR_RATING_RO_ROLLUP],0),MATCH(F$9,MMWR_RATING_RO_ROLLUP[#Headers],0)),"ERROR"))</f>
        <v>2634</v>
      </c>
      <c r="G32" s="154">
        <f>IF($B32=" ","",IFERROR(INDEX(MMWR_RATING_RO_ROLLUP[],MATCH($B32,MMWR_RATING_RO_ROLLUP[MMWR_RATING_RO_ROLLUP],0),MATCH(G$9,MMWR_RATING_RO_ROLLUP[#Headers],0)),"ERROR"))</f>
        <v>10903</v>
      </c>
      <c r="H32" s="155">
        <f>IF($B32=" ","",IFERROR(INDEX(MMWR_RATING_RO_ROLLUP[],MATCH($B32,MMWR_RATING_RO_ROLLUP[MMWR_RATING_RO_ROLLUP],0),MATCH(H$9,MMWR_RATING_RO_ROLLUP[#Headers],0)),"ERROR"))</f>
        <v>134.56226271829999</v>
      </c>
      <c r="I32" s="155">
        <f>IF($B32=" ","",IFERROR(INDEX(MMWR_RATING_RO_ROLLUP[],MATCH($B32,MMWR_RATING_RO_ROLLUP[MMWR_RATING_RO_ROLLUP],0),MATCH(I$9,MMWR_RATING_RO_ROLLUP[#Headers],0)),"ERROR"))</f>
        <v>140.39924791339999</v>
      </c>
      <c r="J32" s="157">
        <f>IF($B32=" ","",IFERROR(VLOOKUP($B32,MMWR_ACCURACY_RO[],MATCH(J$9,MMWR_ACCURACY_RO[#Headers],0),0),"ERROR"))</f>
        <v>0.96590175676835222</v>
      </c>
      <c r="K32" s="157">
        <f>IF($B32=" ","",IFERROR(VLOOKUP($B32,MMWR_ACCURACY_RO[],MATCH(K$9,MMWR_ACCURACY_RO[#Headers],0),0),"ERROR"))</f>
        <v>0.85800305184114367</v>
      </c>
      <c r="L32" s="157">
        <f>IF($B32=" ","",IFERROR(VLOOKUP($B32,MMWR_ACCURACY_RO[],MATCH(L$9,MMWR_ACCURACY_RO[#Headers],0),0),"ERROR"))</f>
        <v>0.82970171691976191</v>
      </c>
      <c r="M32" s="157">
        <f>IF($B32=" ","",IFERROR(VLOOKUP($B32,MMWR_ACCURACY_RO[],MATCH(M$9,MMWR_ACCURACY_RO[#Headers],0),0),"ERROR"))</f>
        <v>5.3853925693320551E-2</v>
      </c>
      <c r="N32" s="157">
        <f>IF($B32=" ","",IFERROR(VLOOKUP($B32,MMWR_ACCURACY_RO[],MATCH(N$9,MMWR_ACCURACY_RO[#Headers],0),0),"ERROR"))</f>
        <v>0.94813896229333006</v>
      </c>
      <c r="O32" s="157">
        <f>IF($B32=" ","",IFERROR(VLOOKUP($B32,MMWR_ACCURACY_RO[],MATCH(O$9,MMWR_ACCURACY_RO[#Headers],0),0),"ERROR"))</f>
        <v>3.6797931644336403E-2</v>
      </c>
      <c r="P32" s="28"/>
    </row>
    <row r="33" spans="1:16" x14ac:dyDescent="0.2">
      <c r="A33" s="25"/>
      <c r="B33" s="377" t="s">
        <v>737</v>
      </c>
      <c r="C33" s="378"/>
      <c r="D33" s="378"/>
      <c r="E33" s="378"/>
      <c r="F33" s="378"/>
      <c r="G33" s="378"/>
      <c r="H33" s="378"/>
      <c r="I33" s="378"/>
      <c r="J33" s="378"/>
      <c r="K33" s="378"/>
      <c r="L33" s="378"/>
      <c r="M33" s="378"/>
      <c r="N33" s="378"/>
      <c r="O33" s="378"/>
      <c r="P33" s="28"/>
    </row>
    <row r="34" spans="1:16" x14ac:dyDescent="0.2">
      <c r="A34" s="25"/>
      <c r="B34" s="11" t="s">
        <v>700</v>
      </c>
      <c r="C34" s="154">
        <f>IF($B34=" ","",IFERROR(INDEX(MMWR_RATING_RO_ROLLUP[],MATCH($B34,MMWR_RATING_RO_ROLLUP[MMWR_RATING_RO_ROLLUP],0),MATCH(C$9,MMWR_RATING_RO_ROLLUP[#Headers],0)),"ERROR"))</f>
        <v>26231</v>
      </c>
      <c r="D34" s="155">
        <f>IF($B34=" ","",IFERROR(INDEX(MMWR_RATING_RO_ROLLUP[],MATCH($B34,MMWR_RATING_RO_ROLLUP[MMWR_RATING_RO_ROLLUP],0),MATCH(D$9,MMWR_RATING_RO_ROLLUP[#Headers],0)),"ERROR"))</f>
        <v>70.008387022999997</v>
      </c>
      <c r="E34" s="156">
        <f>IF($B34=" ","",IFERROR(INDEX(MMWR_RATING_RO_ROLLUP[],MATCH($B34,MMWR_RATING_RO_ROLLUP[MMWR_RATING_RO_ROLLUP],0),MATCH(E$9,MMWR_RATING_RO_ROLLUP[#Headers],0))/$C34,"ERROR"))</f>
        <v>0.10971750981662919</v>
      </c>
      <c r="F34" s="154">
        <f>IF($B34=" ","",IFERROR(INDEX(MMWR_RATING_RO_ROLLUP[],MATCH($B34,MMWR_RATING_RO_ROLLUP[MMWR_RATING_RO_ROLLUP],0),MATCH(F$9,MMWR_RATING_RO_ROLLUP[#Headers],0)),"ERROR"))</f>
        <v>11594</v>
      </c>
      <c r="G34" s="154">
        <f>IF($B34=" ","",IFERROR(INDEX(MMWR_RATING_RO_ROLLUP[],MATCH($B34,MMWR_RATING_RO_ROLLUP[MMWR_RATING_RO_ROLLUP],0),MATCH(G$9,MMWR_RATING_RO_ROLLUP[#Headers],0)),"ERROR"))</f>
        <v>47787</v>
      </c>
      <c r="H34" s="155">
        <f>IF($B34=" ","",IFERROR(INDEX(MMWR_RATING_RO_ROLLUP[],MATCH($B34,MMWR_RATING_RO_ROLLUP[MMWR_RATING_RO_ROLLUP],0),MATCH(H$9,MMWR_RATING_RO_ROLLUP[#Headers],0)),"ERROR"))</f>
        <v>80.569691219600003</v>
      </c>
      <c r="I34" s="155">
        <f>IF($B34=" ","",IFERROR(INDEX(MMWR_RATING_RO_ROLLUP[],MATCH($B34,MMWR_RATING_RO_ROLLUP[MMWR_RATING_RO_ROLLUP],0),MATCH(I$9,MMWR_RATING_RO_ROLLUP[#Headers],0)),"ERROR"))</f>
        <v>73.584405800699997</v>
      </c>
      <c r="J34" s="42"/>
      <c r="K34" s="262">
        <f>IF($B34=" ","",IFERROR(VLOOKUP($B34,MMWR_ACCURACY_RO[],MATCH(K$50,MMWR_ACCURACY_RO[#Headers],0),0),"ERROR"))</f>
        <v>0.97160112937304843</v>
      </c>
      <c r="L34" s="262">
        <f>IF($B34=" ","",IFERROR(VLOOKUP($B34,MMWR_ACCURACY_RO[],MATCH(L$50,MMWR_ACCURACY_RO[#Headers],0),0),"ERROR"))</f>
        <v>0.96163913115719257</v>
      </c>
      <c r="M34" s="262">
        <f>IF($B34=" ","",IFERROR(VLOOKUP($B34,MMWR_ACCURACY_RO[],MATCH(M$50,MMWR_ACCURACY_RO[#Headers],0),0),"ERROR"))</f>
        <v>1.7703075779040064E-2</v>
      </c>
      <c r="N34" s="262">
        <f>IF($B34=" ","",IFERROR(VLOOKUP($B34,MMWR_ACCURACY_RO[],MATCH(N$50,MMWR_ACCURACY_RO[#Headers],0),0),"ERROR"))</f>
        <v>0.96424101944600116</v>
      </c>
      <c r="O34" s="262">
        <f>IF($B34=" ","",IFERROR(VLOOKUP($B34,MMWR_ACCURACY_RO[],MATCH(O$50,MMWR_ACCURACY_RO[#Headers],0),0),"ERROR"))</f>
        <v>1.8811832979832133E-2</v>
      </c>
      <c r="P34" s="28"/>
    </row>
    <row r="35" spans="1:16" x14ac:dyDescent="0.2">
      <c r="A35" s="25"/>
      <c r="B35" s="12" t="s">
        <v>213</v>
      </c>
      <c r="C35" s="154">
        <f>IF($B35=" ","",IFERROR(INDEX(MMWR_RATING_RO_ROLLUP[],MATCH($B35,MMWR_RATING_RO_ROLLUP[MMWR_RATING_RO_ROLLUP],0),MATCH(C$9,MMWR_RATING_RO_ROLLUP[#Headers],0)),"ERROR"))</f>
        <v>12209</v>
      </c>
      <c r="D35" s="155">
        <f>IF($B35=" ","",IFERROR(INDEX(MMWR_RATING_RO_ROLLUP[],MATCH($B35,MMWR_RATING_RO_ROLLUP[MMWR_RATING_RO_ROLLUP],0),MATCH(D$9,MMWR_RATING_RO_ROLLUP[#Headers],0)),"ERROR"))</f>
        <v>69.968547792600006</v>
      </c>
      <c r="E35" s="156">
        <f>IF($B35=" ","",IFERROR(INDEX(MMWR_RATING_RO_ROLLUP[],MATCH($B35,MMWR_RATING_RO_ROLLUP[MMWR_RATING_RO_ROLLUP],0),MATCH(E$9,MMWR_RATING_RO_ROLLUP[#Headers],0))/$C35,"ERROR"))</f>
        <v>0.10058153820951757</v>
      </c>
      <c r="F35" s="154">
        <f>IF($B35=" ","",IFERROR(INDEX(MMWR_RATING_RO_ROLLUP[],MATCH($B35,MMWR_RATING_RO_ROLLUP[MMWR_RATING_RO_ROLLUP],0),MATCH(F$9,MMWR_RATING_RO_ROLLUP[#Headers],0)),"ERROR"))</f>
        <v>3684</v>
      </c>
      <c r="G35" s="154">
        <f>IF($B35=" ","",IFERROR(INDEX(MMWR_RATING_RO_ROLLUP[],MATCH($B35,MMWR_RATING_RO_ROLLUP[MMWR_RATING_RO_ROLLUP],0),MATCH(G$9,MMWR_RATING_RO_ROLLUP[#Headers],0)),"ERROR"))</f>
        <v>15111</v>
      </c>
      <c r="H35" s="155">
        <f>IF($B35=" ","",IFERROR(INDEX(MMWR_RATING_RO_ROLLUP[],MATCH($B35,MMWR_RATING_RO_ROLLUP[MMWR_RATING_RO_ROLLUP],0),MATCH(H$9,MMWR_RATING_RO_ROLLUP[#Headers],0)),"ERROR"))</f>
        <v>100.8642779587</v>
      </c>
      <c r="I35" s="155">
        <f>IF($B35=" ","",IFERROR(INDEX(MMWR_RATING_RO_ROLLUP[],MATCH($B35,MMWR_RATING_RO_ROLLUP[MMWR_RATING_RO_ROLLUP],0),MATCH(I$9,MMWR_RATING_RO_ROLLUP[#Headers],0)),"ERROR"))</f>
        <v>88.124545033399997</v>
      </c>
      <c r="J35" s="42"/>
      <c r="K35" s="251">
        <f>IF($B35=" ","",IFERROR(VLOOKUP($B35,MMWR_ACCURACY_RO[],MATCH(K$50,MMWR_ACCURACY_RO[#Headers],0),0),"ERROR"))</f>
        <v>0.91294528988622348</v>
      </c>
      <c r="L35" s="251">
        <f>IF($B35=" ","",IFERROR(VLOOKUP($B35,MMWR_ACCURACY_RO[],MATCH(L$50,MMWR_ACCURACY_RO[#Headers],0),0),"ERROR"))</f>
        <v>0.93017667772598667</v>
      </c>
      <c r="M35" s="251">
        <f>IF($B35=" ","",IFERROR(VLOOKUP($B35,MMWR_ACCURACY_RO[],MATCH(M$50,MMWR_ACCURACY_RO[#Headers],0),0),"ERROR"))</f>
        <v>4.3386517725416809E-2</v>
      </c>
      <c r="N35" s="251">
        <f>IF($B35=" ","",IFERROR(VLOOKUP($B35,MMWR_ACCURACY_RO[],MATCH(N$50,MMWR_ACCURACY_RO[#Headers],0),0),"ERROR"))</f>
        <v>0.92519699830758606</v>
      </c>
      <c r="O35" s="251">
        <f>IF($B35=" ","",IFERROR(VLOOKUP($B35,MMWR_ACCURACY_RO[],MATCH(O$50,MMWR_ACCURACY_RO[#Headers],0),0),"ERROR"))</f>
        <v>4.881325786853296E-2</v>
      </c>
      <c r="P35" s="28"/>
    </row>
    <row r="36" spans="1:16" x14ac:dyDescent="0.2">
      <c r="A36" s="43"/>
      <c r="B36" s="12" t="s">
        <v>212</v>
      </c>
      <c r="C36" s="154">
        <f>IF($B36=" ","",IFERROR(INDEX(MMWR_RATING_RO_ROLLUP[],MATCH($B36,MMWR_RATING_RO_ROLLUP[MMWR_RATING_RO_ROLLUP],0),MATCH(C$9,MMWR_RATING_RO_ROLLUP[#Headers],0)),"ERROR"))</f>
        <v>6313</v>
      </c>
      <c r="D36" s="155">
        <f>IF($B36=" ","",IFERROR(INDEX(MMWR_RATING_RO_ROLLUP[],MATCH($B36,MMWR_RATING_RO_ROLLUP[MMWR_RATING_RO_ROLLUP],0),MATCH(D$9,MMWR_RATING_RO_ROLLUP[#Headers],0)),"ERROR"))</f>
        <v>68.370822113100004</v>
      </c>
      <c r="E36" s="156">
        <f>IF($B36=" ","",IFERROR(INDEX(MMWR_RATING_RO_ROLLUP[],MATCH($B36,MMWR_RATING_RO_ROLLUP[MMWR_RATING_RO_ROLLUP],0),MATCH(E$9,MMWR_RATING_RO_ROLLUP[#Headers],0))/$C36,"ERROR"))</f>
        <v>0.12149532710280374</v>
      </c>
      <c r="F36" s="154">
        <f>IF($B36=" ","",IFERROR(INDEX(MMWR_RATING_RO_ROLLUP[],MATCH($B36,MMWR_RATING_RO_ROLLUP[MMWR_RATING_RO_ROLLUP],0),MATCH(F$9,MMWR_RATING_RO_ROLLUP[#Headers],0)),"ERROR"))</f>
        <v>3608</v>
      </c>
      <c r="G36" s="154">
        <f>IF($B36=" ","",IFERROR(INDEX(MMWR_RATING_RO_ROLLUP[],MATCH($B36,MMWR_RATING_RO_ROLLUP[MMWR_RATING_RO_ROLLUP],0),MATCH(G$9,MMWR_RATING_RO_ROLLUP[#Headers],0)),"ERROR"))</f>
        <v>13682</v>
      </c>
      <c r="H36" s="155">
        <f>IF($B36=" ","",IFERROR(INDEX(MMWR_RATING_RO_ROLLUP[],MATCH($B36,MMWR_RATING_RO_ROLLUP[MMWR_RATING_RO_ROLLUP],0),MATCH(H$9,MMWR_RATING_RO_ROLLUP[#Headers],0)),"ERROR"))</f>
        <v>76.527993348099997</v>
      </c>
      <c r="I36" s="155">
        <f>IF($B36=" ","",IFERROR(INDEX(MMWR_RATING_RO_ROLLUP[],MATCH($B36,MMWR_RATING_RO_ROLLUP[MMWR_RATING_RO_ROLLUP],0),MATCH(I$9,MMWR_RATING_RO_ROLLUP[#Headers],0)),"ERROR"))</f>
        <v>70.537567607100002</v>
      </c>
      <c r="J36" s="42"/>
      <c r="K36" s="251">
        <f>IF($B36=" ","",IFERROR(VLOOKUP($B36,MMWR_ACCURACY_RO[],MATCH(K$50,MMWR_ACCURACY_RO[#Headers],0),0),"ERROR"))</f>
        <v>1</v>
      </c>
      <c r="L36" s="251">
        <f>IF($B36=" ","",IFERROR(VLOOKUP($B36,MMWR_ACCURACY_RO[],MATCH(L$50,MMWR_ACCURACY_RO[#Headers],0),0),"ERROR"))</f>
        <v>0.9527406412662911</v>
      </c>
      <c r="M36" s="251">
        <f>IF($B36=" ","",IFERROR(VLOOKUP($B36,MMWR_ACCURACY_RO[],MATCH(M$50,MMWR_ACCURACY_RO[#Headers],0),0),"ERROR"))</f>
        <v>3.4903923101055979E-2</v>
      </c>
      <c r="N36" s="251">
        <f>IF($B36=" ","",IFERROR(VLOOKUP($B36,MMWR_ACCURACY_RO[],MATCH(N$50,MMWR_ACCURACY_RO[#Headers],0),0),"ERROR"))</f>
        <v>0.97667166653509119</v>
      </c>
      <c r="O36" s="251">
        <f>IF($B36=" ","",IFERROR(VLOOKUP($B36,MMWR_ACCURACY_RO[],MATCH(O$50,MMWR_ACCURACY_RO[#Headers],0),0),"ERROR"))</f>
        <v>2.2442018434798996E-2</v>
      </c>
      <c r="P36" s="28"/>
    </row>
    <row r="37" spans="1:16" x14ac:dyDescent="0.2">
      <c r="A37" s="25"/>
      <c r="B37" s="12" t="s">
        <v>215</v>
      </c>
      <c r="C37" s="154">
        <f>IF($B37=" ","",IFERROR(INDEX(MMWR_RATING_RO_ROLLUP[],MATCH($B37,MMWR_RATING_RO_ROLLUP[MMWR_RATING_RO_ROLLUP],0),MATCH(C$9,MMWR_RATING_RO_ROLLUP[#Headers],0)),"ERROR"))</f>
        <v>7086</v>
      </c>
      <c r="D37" s="155">
        <f>IF($B37=" ","",IFERROR(INDEX(MMWR_RATING_RO_ROLLUP[],MATCH($B37,MMWR_RATING_RO_ROLLUP[MMWR_RATING_RO_ROLLUP],0),MATCH(D$9,MMWR_RATING_RO_ROLLUP[#Headers],0)),"ERROR"))</f>
        <v>61.613886536800003</v>
      </c>
      <c r="E37" s="156">
        <f>IF($B37=" ","",IFERROR(INDEX(MMWR_RATING_RO_ROLLUP[],MATCH($B37,MMWR_RATING_RO_ROLLUP[MMWR_RATING_RO_ROLLUP],0),MATCH(E$9,MMWR_RATING_RO_ROLLUP[#Headers],0))/$C37,"ERROR"))</f>
        <v>7.7900084674005082E-2</v>
      </c>
      <c r="F37" s="154">
        <f>IF($B37=" ","",IFERROR(INDEX(MMWR_RATING_RO_ROLLUP[],MATCH($B37,MMWR_RATING_RO_ROLLUP[MMWR_RATING_RO_ROLLUP],0),MATCH(F$9,MMWR_RATING_RO_ROLLUP[#Headers],0)),"ERROR"))</f>
        <v>3941</v>
      </c>
      <c r="G37" s="154">
        <f>IF($B37=" ","",IFERROR(INDEX(MMWR_RATING_RO_ROLLUP[],MATCH($B37,MMWR_RATING_RO_ROLLUP[MMWR_RATING_RO_ROLLUP],0),MATCH(G$9,MMWR_RATING_RO_ROLLUP[#Headers],0)),"ERROR"))</f>
        <v>17533</v>
      </c>
      <c r="H37" s="155">
        <f>IF($B37=" ","",IFERROR(INDEX(MMWR_RATING_RO_ROLLUP[],MATCH($B37,MMWR_RATING_RO_ROLLUP[MMWR_RATING_RO_ROLLUP],0),MATCH(H$9,MMWR_RATING_RO_ROLLUP[#Headers],0)),"ERROR"))</f>
        <v>68.2301446333</v>
      </c>
      <c r="I37" s="155">
        <f>IF($B37=" ","",IFERROR(INDEX(MMWR_RATING_RO_ROLLUP[],MATCH($B37,MMWR_RATING_RO_ROLLUP[MMWR_RATING_RO_ROLLUP],0),MATCH(I$9,MMWR_RATING_RO_ROLLUP[#Headers],0)),"ERROR"))</f>
        <v>66.021958592399997</v>
      </c>
      <c r="J37" s="42"/>
      <c r="K37" s="251">
        <f>IF($B37=" ","",IFERROR(VLOOKUP($B37,MMWR_ACCURACY_RO[],MATCH(K$50,MMWR_ACCURACY_RO[#Headers],0),0),"ERROR"))</f>
        <v>1</v>
      </c>
      <c r="L37" s="251">
        <f>IF($B37=" ","",IFERROR(VLOOKUP($B37,MMWR_ACCURACY_RO[],MATCH(L$50,MMWR_ACCURACY_RO[#Headers],0),0),"ERROR"))</f>
        <v>0.99564297054154172</v>
      </c>
      <c r="M37" s="251">
        <f>IF($B37=" ","",IFERROR(VLOOKUP($B37,MMWR_ACCURACY_RO[],MATCH(M$50,MMWR_ACCURACY_RO[#Headers],0),0),"ERROR"))</f>
        <v>6.4823634343978394E-3</v>
      </c>
      <c r="N37" s="251">
        <f>IF($B37=" ","",IFERROR(VLOOKUP($B37,MMWR_ACCURACY_RO[],MATCH(N$50,MMWR_ACCURACY_RO[#Headers],0),0),"ERROR"))</f>
        <v>0.99094843130183918</v>
      </c>
      <c r="O37" s="251">
        <f>IF($B37=" ","",IFERROR(VLOOKUP($B37,MMWR_ACCURACY_RO[],MATCH(O$50,MMWR_ACCURACY_RO[#Headers],0),0),"ERROR"))</f>
        <v>1.3483231278089036E-2</v>
      </c>
      <c r="P37" s="28"/>
    </row>
    <row r="38" spans="1:16" x14ac:dyDescent="0.2">
      <c r="A38" s="25"/>
      <c r="B38" s="13" t="s">
        <v>227</v>
      </c>
      <c r="C38" s="154">
        <f>IF($B38=" ","",IFERROR(INDEX(MMWR_RATING_RO_ROLLUP[],MATCH($B38,MMWR_RATING_RO_ROLLUP[MMWR_RATING_RO_ROLLUP],0),MATCH(C$9,MMWR_RATING_RO_ROLLUP[#Headers],0)),"ERROR"))</f>
        <v>623</v>
      </c>
      <c r="D38" s="155">
        <f>IF($B38=" ","",IFERROR(INDEX(MMWR_RATING_RO_ROLLUP[],MATCH($B38,MMWR_RATING_RO_ROLLUP[MMWR_RATING_RO_ROLLUP],0),MATCH(D$9,MMWR_RATING_RO_ROLLUP[#Headers],0)),"ERROR"))</f>
        <v>182.86195826650001</v>
      </c>
      <c r="E38" s="156">
        <f>IF($B38=" ","",IFERROR(INDEX(MMWR_RATING_RO_ROLLUP[],MATCH($B38,MMWR_RATING_RO_ROLLUP[MMWR_RATING_RO_ROLLUP],0),MATCH(E$9,MMWR_RATING_RO_ROLLUP[#Headers],0))/$C38,"ERROR"))</f>
        <v>0.5313001605136437</v>
      </c>
      <c r="F38" s="154">
        <f>IF($B38=" ","",IFERROR(INDEX(MMWR_RATING_RO_ROLLUP[],MATCH($B38,MMWR_RATING_RO_ROLLUP[MMWR_RATING_RO_ROLLUP],0),MATCH(F$9,MMWR_RATING_RO_ROLLUP[#Headers],0)),"ERROR"))</f>
        <v>361</v>
      </c>
      <c r="G38" s="154">
        <f>IF($B38=" ","",IFERROR(INDEX(MMWR_RATING_RO_ROLLUP[],MATCH($B38,MMWR_RATING_RO_ROLLUP[MMWR_RATING_RO_ROLLUP],0),MATCH(G$9,MMWR_RATING_RO_ROLLUP[#Headers],0)),"ERROR"))</f>
        <v>1461</v>
      </c>
      <c r="H38" s="155">
        <f>IF($B38=" ","",IFERROR(INDEX(MMWR_RATING_RO_ROLLUP[],MATCH($B38,MMWR_RATING_RO_ROLLUP[MMWR_RATING_RO_ROLLUP],0),MATCH(H$9,MMWR_RATING_RO_ROLLUP[#Headers],0)),"ERROR"))</f>
        <v>48.567867036000003</v>
      </c>
      <c r="I38" s="155">
        <f>IF($B38=" ","",IFERROR(INDEX(MMWR_RATING_RO_ROLLUP[],MATCH($B38,MMWR_RATING_RO_ROLLUP[MMWR_RATING_RO_ROLLUP],0),MATCH(I$9,MMWR_RATING_RO_ROLLUP[#Headers],0)),"ERROR"))</f>
        <v>42.484599589299997</v>
      </c>
      <c r="J38" s="42"/>
      <c r="K38" s="42"/>
      <c r="L38" s="42"/>
      <c r="M38" s="42"/>
      <c r="N38" s="42"/>
      <c r="O38" s="42"/>
      <c r="P38" s="28"/>
    </row>
    <row r="39" spans="1:16" x14ac:dyDescent="0.2">
      <c r="A39" s="25"/>
      <c r="B39" s="377" t="s">
        <v>920</v>
      </c>
      <c r="C39" s="378"/>
      <c r="D39" s="378"/>
      <c r="E39" s="378"/>
      <c r="F39" s="378"/>
      <c r="G39" s="378"/>
      <c r="H39" s="378"/>
      <c r="I39" s="378"/>
      <c r="J39" s="378"/>
      <c r="K39" s="378"/>
      <c r="L39" s="378"/>
      <c r="M39" s="378"/>
      <c r="N39" s="378"/>
      <c r="O39" s="378"/>
      <c r="P39" s="28"/>
    </row>
    <row r="40" spans="1:16" x14ac:dyDescent="0.2">
      <c r="A40" s="25"/>
      <c r="B40" s="44" t="s">
        <v>701</v>
      </c>
      <c r="C40" s="154">
        <f>IF($B40=" ","",IFERROR(INDEX(MMWR_RATING_RO_ROLLUP[],MATCH($B40,MMWR_RATING_RO_ROLLUP[MMWR_RATING_RO_ROLLUP],0),MATCH(C$9,MMWR_RATING_RO_ROLLUP[#Headers],0)),"ERROR"))</f>
        <v>10427</v>
      </c>
      <c r="D40" s="155">
        <f>IF($B40=" ","",IFERROR(INDEX(MMWR_RATING_RO_ROLLUP[],MATCH($B40,MMWR_RATING_RO_ROLLUP[MMWR_RATING_RO_ROLLUP],0),MATCH(D$9,MMWR_RATING_RO_ROLLUP[#Headers],0)),"ERROR"))</f>
        <v>92.282056200200003</v>
      </c>
      <c r="E40" s="156">
        <f>IF($B40=" ","",IFERROR(INDEX(MMWR_RATING_RO_ROLLUP[],MATCH($B40,MMWR_RATING_RO_ROLLUP[MMWR_RATING_RO_ROLLUP],0),MATCH(E$9,MMWR_RATING_RO_ROLLUP[#Headers],0))/$C40,"ERROR"))</f>
        <v>0.21521051117291648</v>
      </c>
      <c r="F40" s="154">
        <f>IF($B40=" ","",IFERROR(INDEX(MMWR_RATING_RO_ROLLUP[],MATCH($B40,MMWR_RATING_RO_ROLLUP[MMWR_RATING_RO_ROLLUP],0),MATCH(F$9,MMWR_RATING_RO_ROLLUP[#Headers],0)),"ERROR"))</f>
        <v>1698</v>
      </c>
      <c r="G40" s="154">
        <f>IF($B40=" ","",IFERROR(INDEX(MMWR_RATING_RO_ROLLUP[],MATCH($B40,MMWR_RATING_RO_ROLLUP[MMWR_RATING_RO_ROLLUP],0),MATCH(G$9,MMWR_RATING_RO_ROLLUP[#Headers],0)),"ERROR"))</f>
        <v>6434</v>
      </c>
      <c r="H40" s="155">
        <f>IF($B40=" ","",IFERROR(INDEX(MMWR_RATING_RO_ROLLUP[],MATCH($B40,MMWR_RATING_RO_ROLLUP[MMWR_RATING_RO_ROLLUP],0),MATCH(H$9,MMWR_RATING_RO_ROLLUP[#Headers],0)),"ERROR"))</f>
        <v>158.8733804476</v>
      </c>
      <c r="I40" s="155">
        <f>IF($B40=" ","",IFERROR(INDEX(MMWR_RATING_RO_ROLLUP[],MATCH($B40,MMWR_RATING_RO_ROLLUP[MMWR_RATING_RO_ROLLUP],0),MATCH(I$9,MMWR_RATING_RO_ROLLUP[#Headers],0)),"ERROR"))</f>
        <v>145.1866645943</v>
      </c>
      <c r="J40" s="42"/>
      <c r="K40" s="42"/>
      <c r="L40" s="42"/>
      <c r="M40" s="42"/>
      <c r="N40" s="42"/>
      <c r="O40" s="42"/>
      <c r="P40" s="28"/>
    </row>
    <row r="41" spans="1:16" x14ac:dyDescent="0.2">
      <c r="A41" s="25"/>
      <c r="B41" s="45" t="s">
        <v>960</v>
      </c>
      <c r="C41" s="154">
        <f>IF($B41=" ","",IFERROR(INDEX(MMWR_RATING_RO_ROLLUP[],MATCH($B41,MMWR_RATING_RO_ROLLUP[MMWR_RATING_RO_ROLLUP],0),MATCH(C$9,MMWR_RATING_RO_ROLLUP[#Headers],0)),"ERROR"))</f>
        <v>4739</v>
      </c>
      <c r="D41" s="155">
        <f>IF($B41=" ","",IFERROR(INDEX(MMWR_RATING_RO_ROLLUP[],MATCH($B41,MMWR_RATING_RO_ROLLUP[MMWR_RATING_RO_ROLLUP],0),MATCH(D$9,MMWR_RATING_RO_ROLLUP[#Headers],0)),"ERROR"))</f>
        <v>86.464866005499999</v>
      </c>
      <c r="E41" s="156">
        <f>IF($B41=" ","",IFERROR(INDEX(MMWR_RATING_RO_ROLLUP[],MATCH($B41,MMWR_RATING_RO_ROLLUP[MMWR_RATING_RO_ROLLUP],0),MATCH(E$9,MMWR_RATING_RO_ROLLUP[#Headers],0))/$C41,"ERROR"))</f>
        <v>0.14792150242667229</v>
      </c>
      <c r="F41" s="154">
        <f>IF($B41=" ","",IFERROR(INDEX(MMWR_RATING_RO_ROLLUP[],MATCH($B41,MMWR_RATING_RO_ROLLUP[MMWR_RATING_RO_ROLLUP],0),MATCH(F$9,MMWR_RATING_RO_ROLLUP[#Headers],0)),"ERROR"))</f>
        <v>824</v>
      </c>
      <c r="G41" s="154">
        <f>IF($B41=" ","",IFERROR(INDEX(MMWR_RATING_RO_ROLLUP[],MATCH($B41,MMWR_RATING_RO_ROLLUP[MMWR_RATING_RO_ROLLUP],0),MATCH(G$9,MMWR_RATING_RO_ROLLUP[#Headers],0)),"ERROR"))</f>
        <v>3182</v>
      </c>
      <c r="H41" s="155">
        <f>IF($B41=" ","",IFERROR(INDEX(MMWR_RATING_RO_ROLLUP[],MATCH($B41,MMWR_RATING_RO_ROLLUP[MMWR_RATING_RO_ROLLUP],0),MATCH(H$9,MMWR_RATING_RO_ROLLUP[#Headers],0)),"ERROR"))</f>
        <v>145.4053398058</v>
      </c>
      <c r="I41" s="155">
        <f>IF($B41=" ","",IFERROR(INDEX(MMWR_RATING_RO_ROLLUP[],MATCH($B41,MMWR_RATING_RO_ROLLUP[MMWR_RATING_RO_ROLLUP],0),MATCH(I$9,MMWR_RATING_RO_ROLLUP[#Headers],0)),"ERROR"))</f>
        <v>131.23192960399999</v>
      </c>
      <c r="J41" s="42"/>
      <c r="K41" s="42"/>
      <c r="L41" s="42"/>
      <c r="M41" s="42"/>
      <c r="N41" s="42"/>
      <c r="O41" s="42"/>
      <c r="P41" s="28"/>
    </row>
    <row r="42" spans="1:16" x14ac:dyDescent="0.2">
      <c r="A42" s="25"/>
      <c r="B42" s="45" t="s">
        <v>961</v>
      </c>
      <c r="C42" s="154">
        <f>IF($B42=" ","",IFERROR(INDEX(MMWR_RATING_RO_ROLLUP[],MATCH($B42,MMWR_RATING_RO_ROLLUP[MMWR_RATING_RO_ROLLUP],0),MATCH(C$9,MMWR_RATING_RO_ROLLUP[#Headers],0)),"ERROR"))</f>
        <v>5285</v>
      </c>
      <c r="D42" s="155">
        <f>IF($B42=" ","",IFERROR(INDEX(MMWR_RATING_RO_ROLLUP[],MATCH($B42,MMWR_RATING_RO_ROLLUP[MMWR_RATING_RO_ROLLUP],0),MATCH(D$9,MMWR_RATING_RO_ROLLUP[#Headers],0)),"ERROR"))</f>
        <v>100.4891201514</v>
      </c>
      <c r="E42" s="156">
        <f>IF($B42=" ","",IFERROR(INDEX(MMWR_RATING_RO_ROLLUP[],MATCH($B42,MMWR_RATING_RO_ROLLUP[MMWR_RATING_RO_ROLLUP],0),MATCH(E$9,MMWR_RATING_RO_ROLLUP[#Headers],0))/$C42,"ERROR"))</f>
        <v>0.28420056764427626</v>
      </c>
      <c r="F42" s="154">
        <f>IF($B42=" ","",IFERROR(INDEX(MMWR_RATING_RO_ROLLUP[],MATCH($B42,MMWR_RATING_RO_ROLLUP[MMWR_RATING_RO_ROLLUP],0),MATCH(F$9,MMWR_RATING_RO_ROLLUP[#Headers],0)),"ERROR"))</f>
        <v>851</v>
      </c>
      <c r="G42" s="154">
        <f>IF($B42=" ","",IFERROR(INDEX(MMWR_RATING_RO_ROLLUP[],MATCH($B42,MMWR_RATING_RO_ROLLUP[MMWR_RATING_RO_ROLLUP],0),MATCH(G$9,MMWR_RATING_RO_ROLLUP[#Headers],0)),"ERROR"))</f>
        <v>3097</v>
      </c>
      <c r="H42" s="155">
        <f>IF($B42=" ","",IFERROR(INDEX(MMWR_RATING_RO_ROLLUP[],MATCH($B42,MMWR_RATING_RO_ROLLUP[MMWR_RATING_RO_ROLLUP],0),MATCH(H$9,MMWR_RATING_RO_ROLLUP[#Headers],0)),"ERROR"))</f>
        <v>170.330199765</v>
      </c>
      <c r="I42" s="155">
        <f>IF($B42=" ","",IFERROR(INDEX(MMWR_RATING_RO_ROLLUP[],MATCH($B42,MMWR_RATING_RO_ROLLUP[MMWR_RATING_RO_ROLLUP],0),MATCH(I$9,MMWR_RATING_RO_ROLLUP[#Headers],0)),"ERROR"))</f>
        <v>159.96060703910001</v>
      </c>
      <c r="J42" s="42"/>
      <c r="K42" s="42"/>
      <c r="L42" s="42"/>
      <c r="M42" s="42"/>
      <c r="N42" s="42"/>
      <c r="O42" s="42"/>
      <c r="P42" s="28"/>
    </row>
    <row r="43" spans="1:16" x14ac:dyDescent="0.2">
      <c r="A43" s="25"/>
      <c r="B43" s="46" t="s">
        <v>310</v>
      </c>
      <c r="C43" s="154">
        <f>IF($B43=" ","",IFERROR(INDEX(MMWR_RATING_RO_ROLLUP[],MATCH($B43,MMWR_RATING_RO_ROLLUP[MMWR_RATING_RO_ROLLUP],0),MATCH(C$9,MMWR_RATING_RO_ROLLUP[#Headers],0)),"ERROR"))</f>
        <v>403</v>
      </c>
      <c r="D43" s="155">
        <f>IF($B43=" ","",IFERROR(INDEX(MMWR_RATING_RO_ROLLUP[],MATCH($B43,MMWR_RATING_RO_ROLLUP[MMWR_RATING_RO_ROLLUP],0),MATCH(D$9,MMWR_RATING_RO_ROLLUP[#Headers],0)),"ERROR"))</f>
        <v>53.0595533499</v>
      </c>
      <c r="E43" s="156">
        <f>IF($B43=" ","",IFERROR(INDEX(MMWR_RATING_RO_ROLLUP[],MATCH($B43,MMWR_RATING_RO_ROLLUP[MMWR_RATING_RO_ROLLUP],0),MATCH(E$9,MMWR_RATING_RO_ROLLUP[#Headers],0))/$C43,"ERROR"))</f>
        <v>0.10173697270471464</v>
      </c>
      <c r="F43" s="154">
        <f>IF($B43=" ","",IFERROR(INDEX(MMWR_RATING_RO_ROLLUP[],MATCH($B43,MMWR_RATING_RO_ROLLUP[MMWR_RATING_RO_ROLLUP],0),MATCH(F$9,MMWR_RATING_RO_ROLLUP[#Headers],0)),"ERROR"))</f>
        <v>23</v>
      </c>
      <c r="G43" s="154">
        <f>IF($B43=" ","",IFERROR(INDEX(MMWR_RATING_RO_ROLLUP[],MATCH($B43,MMWR_RATING_RO_ROLLUP[MMWR_RATING_RO_ROLLUP],0),MATCH(G$9,MMWR_RATING_RO_ROLLUP[#Headers],0)),"ERROR"))</f>
        <v>155</v>
      </c>
      <c r="H43" s="155">
        <f>IF($B43=" ","",IFERROR(INDEX(MMWR_RATING_RO_ROLLUP[],MATCH($B43,MMWR_RATING_RO_ROLLUP[MMWR_RATING_RO_ROLLUP],0),MATCH(H$9,MMWR_RATING_RO_ROLLUP[#Headers],0)),"ERROR"))</f>
        <v>217.47826086960001</v>
      </c>
      <c r="I43" s="155">
        <f>IF($B43=" ","",IFERROR(INDEX(MMWR_RATING_RO_ROLLUP[],MATCH($B43,MMWR_RATING_RO_ROLLUP[MMWR_RATING_RO_ROLLUP],0),MATCH(I$9,MMWR_RATING_RO_ROLLUP[#Headers],0)),"ERROR"))</f>
        <v>136.47096774190001</v>
      </c>
      <c r="J43" s="42"/>
      <c r="K43" s="42"/>
      <c r="L43" s="42"/>
      <c r="M43" s="42"/>
      <c r="N43" s="42"/>
      <c r="O43" s="42"/>
      <c r="P43" s="28"/>
    </row>
    <row r="44" spans="1:16" x14ac:dyDescent="0.2">
      <c r="A44" s="25"/>
      <c r="B44" s="377" t="s">
        <v>738</v>
      </c>
      <c r="C44" s="378"/>
      <c r="D44" s="378"/>
      <c r="E44" s="378"/>
      <c r="F44" s="378"/>
      <c r="G44" s="378"/>
      <c r="H44" s="378"/>
      <c r="I44" s="378"/>
      <c r="J44" s="378"/>
      <c r="K44" s="378"/>
      <c r="L44" s="378"/>
      <c r="M44" s="378"/>
      <c r="N44" s="378"/>
      <c r="O44" s="378"/>
      <c r="P44" s="28"/>
    </row>
    <row r="45" spans="1:16" x14ac:dyDescent="0.2">
      <c r="A45" s="25"/>
      <c r="B45" s="44" t="s">
        <v>699</v>
      </c>
      <c r="C45" s="154">
        <f>IF($B45=" ","",IFERROR(INDEX(MMWR_RATING_RO_ROLLUP[],MATCH($B45,MMWR_RATING_RO_ROLLUP[MMWR_RATING_RO_ROLLUP],0),MATCH(C$9,MMWR_RATING_RO_ROLLUP[#Headers],0)),"ERROR"))</f>
        <v>10561</v>
      </c>
      <c r="D45" s="155">
        <f>IF($B45=" ","",IFERROR(INDEX(MMWR_RATING_RO_ROLLUP[],MATCH($B45,MMWR_RATING_RO_ROLLUP[MMWR_RATING_RO_ROLLUP],0),MATCH(D$9,MMWR_RATING_RO_ROLLUP[#Headers],0)),"ERROR"))</f>
        <v>91.782691033000006</v>
      </c>
      <c r="E45" s="156">
        <f>IF($B45=" ","",IFERROR(INDEX(MMWR_RATING_RO_ROLLUP[],MATCH($B45,MMWR_RATING_RO_ROLLUP[MMWR_RATING_RO_ROLLUP],0),MATCH(E$9,MMWR_RATING_RO_ROLLUP[#Headers],0))/$C45,"ERROR"))</f>
        <v>0.1928794621721428</v>
      </c>
      <c r="F45" s="154">
        <f>IF($B45=" ","",IFERROR(INDEX(MMWR_RATING_RO_ROLLUP[],MATCH($B45,MMWR_RATING_RO_ROLLUP[MMWR_RATING_RO_ROLLUP],0),MATCH(F$9,MMWR_RATING_RO_ROLLUP[#Headers],0)),"ERROR"))</f>
        <v>2173</v>
      </c>
      <c r="G45" s="154">
        <f>IF($B45=" ","",IFERROR(INDEX(MMWR_RATING_RO_ROLLUP[],MATCH($B45,MMWR_RATING_RO_ROLLUP[MMWR_RATING_RO_ROLLUP],0),MATCH(G$9,MMWR_RATING_RO_ROLLUP[#Headers],0)),"ERROR"))</f>
        <v>8060</v>
      </c>
      <c r="H45" s="155">
        <f>IF($B45=" ","",IFERROR(INDEX(MMWR_RATING_RO_ROLLUP[],MATCH($B45,MMWR_RATING_RO_ROLLUP[MMWR_RATING_RO_ROLLUP],0),MATCH(H$9,MMWR_RATING_RO_ROLLUP[#Headers],0)),"ERROR"))</f>
        <v>148.21997238840001</v>
      </c>
      <c r="I45" s="155">
        <f>IF($B45=" ","",IFERROR(INDEX(MMWR_RATING_RO_ROLLUP[],MATCH($B45,MMWR_RATING_RO_ROLLUP[MMWR_RATING_RO_ROLLUP],0),MATCH(I$9,MMWR_RATING_RO_ROLLUP[#Headers],0)),"ERROR"))</f>
        <v>137.476674938</v>
      </c>
      <c r="J45" s="42"/>
      <c r="K45" s="42"/>
      <c r="L45" s="42"/>
      <c r="M45" s="42"/>
      <c r="N45" s="42"/>
      <c r="O45" s="42"/>
      <c r="P45" s="28"/>
    </row>
    <row r="46" spans="1:16" x14ac:dyDescent="0.2">
      <c r="A46" s="25"/>
      <c r="B46" s="45" t="s">
        <v>214</v>
      </c>
      <c r="C46" s="154">
        <f>IF($B46=" ","",IFERROR(INDEX(MMWR_RATING_RO_ROLLUP[],MATCH($B46,MMWR_RATING_RO_ROLLUP[MMWR_RATING_RO_ROLLUP],0),MATCH(C$9,MMWR_RATING_RO_ROLLUP[#Headers],0)),"ERROR"))</f>
        <v>4109</v>
      </c>
      <c r="D46" s="155">
        <f>IF($B46=" ","",IFERROR(INDEX(MMWR_RATING_RO_ROLLUP[],MATCH($B46,MMWR_RATING_RO_ROLLUP[MMWR_RATING_RO_ROLLUP],0),MATCH(D$9,MMWR_RATING_RO_ROLLUP[#Headers],0)),"ERROR"))</f>
        <v>83.867364322200004</v>
      </c>
      <c r="E46" s="156">
        <f>IF($B46=" ","",IFERROR(INDEX(MMWR_RATING_RO_ROLLUP[],MATCH($B46,MMWR_RATING_RO_ROLLUP[MMWR_RATING_RO_ROLLUP],0),MATCH(E$9,MMWR_RATING_RO_ROLLUP[#Headers],0))/$C46,"ERROR"))</f>
        <v>0.11486979800438063</v>
      </c>
      <c r="F46" s="154">
        <f>IF($B46=" ","",IFERROR(INDEX(MMWR_RATING_RO_ROLLUP[],MATCH($B46,MMWR_RATING_RO_ROLLUP[MMWR_RATING_RO_ROLLUP],0),MATCH(F$9,MMWR_RATING_RO_ROLLUP[#Headers],0)),"ERROR"))</f>
        <v>984</v>
      </c>
      <c r="G46" s="154">
        <f>IF($B46=" ","",IFERROR(INDEX(MMWR_RATING_RO_ROLLUP[],MATCH($B46,MMWR_RATING_RO_ROLLUP[MMWR_RATING_RO_ROLLUP],0),MATCH(G$9,MMWR_RATING_RO_ROLLUP[#Headers],0)),"ERROR"))</f>
        <v>3512</v>
      </c>
      <c r="H46" s="155">
        <f>IF($B46=" ","",IFERROR(INDEX(MMWR_RATING_RO_ROLLUP[],MATCH($B46,MMWR_RATING_RO_ROLLUP[MMWR_RATING_RO_ROLLUP],0),MATCH(H$9,MMWR_RATING_RO_ROLLUP[#Headers],0)),"ERROR"))</f>
        <v>137.412601626</v>
      </c>
      <c r="I46" s="155">
        <f>IF($B46=" ","",IFERROR(INDEX(MMWR_RATING_RO_ROLLUP[],MATCH($B46,MMWR_RATING_RO_ROLLUP[MMWR_RATING_RO_ROLLUP],0),MATCH(I$9,MMWR_RATING_RO_ROLLUP[#Headers],0)),"ERROR"))</f>
        <v>125.8023917995</v>
      </c>
      <c r="J46" s="42"/>
      <c r="K46" s="42"/>
      <c r="L46" s="42"/>
      <c r="M46" s="42"/>
      <c r="N46" s="42"/>
      <c r="O46" s="42"/>
      <c r="P46" s="28"/>
    </row>
    <row r="47" spans="1:16" x14ac:dyDescent="0.2">
      <c r="A47" s="25"/>
      <c r="B47" s="45" t="s">
        <v>216</v>
      </c>
      <c r="C47" s="154">
        <f>IF($B47=" ","",IFERROR(INDEX(MMWR_RATING_RO_ROLLUP[],MATCH($B47,MMWR_RATING_RO_ROLLUP[MMWR_RATING_RO_ROLLUP],0),MATCH(C$9,MMWR_RATING_RO_ROLLUP[#Headers],0)),"ERROR"))</f>
        <v>5768</v>
      </c>
      <c r="D47" s="155">
        <f>IF($B47=" ","",IFERROR(INDEX(MMWR_RATING_RO_ROLLUP[],MATCH($B47,MMWR_RATING_RO_ROLLUP[MMWR_RATING_RO_ROLLUP],0),MATCH(D$9,MMWR_RATING_RO_ROLLUP[#Headers],0)),"ERROR"))</f>
        <v>94.14129681</v>
      </c>
      <c r="E47" s="156">
        <f>IF($B47=" ","",IFERROR(INDEX(MMWR_RATING_RO_ROLLUP[],MATCH($B47,MMWR_RATING_RO_ROLLUP[MMWR_RATING_RO_ROLLUP],0),MATCH(E$9,MMWR_RATING_RO_ROLLUP[#Headers],0))/$C47,"ERROR"))</f>
        <v>0.21411234396671289</v>
      </c>
      <c r="F47" s="154">
        <f>IF($B47=" ","",IFERROR(INDEX(MMWR_RATING_RO_ROLLUP[],MATCH($B47,MMWR_RATING_RO_ROLLUP[MMWR_RATING_RO_ROLLUP],0),MATCH(F$9,MMWR_RATING_RO_ROLLUP[#Headers],0)),"ERROR"))</f>
        <v>894</v>
      </c>
      <c r="G47" s="154">
        <f>IF($B47=" ","",IFERROR(INDEX(MMWR_RATING_RO_ROLLUP[],MATCH($B47,MMWR_RATING_RO_ROLLUP[MMWR_RATING_RO_ROLLUP],0),MATCH(G$9,MMWR_RATING_RO_ROLLUP[#Headers],0)),"ERROR"))</f>
        <v>3496</v>
      </c>
      <c r="H47" s="155">
        <f>IF($B47=" ","",IFERROR(INDEX(MMWR_RATING_RO_ROLLUP[],MATCH($B47,MMWR_RATING_RO_ROLLUP[MMWR_RATING_RO_ROLLUP],0),MATCH(H$9,MMWR_RATING_RO_ROLLUP[#Headers],0)),"ERROR"))</f>
        <v>158.1185682327</v>
      </c>
      <c r="I47" s="155">
        <f>IF($B47=" ","",IFERROR(INDEX(MMWR_RATING_RO_ROLLUP[],MATCH($B47,MMWR_RATING_RO_ROLLUP[MMWR_RATING_RO_ROLLUP],0),MATCH(I$9,MMWR_RATING_RO_ROLLUP[#Headers],0)),"ERROR"))</f>
        <v>151.3074942792</v>
      </c>
      <c r="J47" s="42"/>
      <c r="K47" s="42"/>
      <c r="L47" s="42"/>
      <c r="M47" s="42"/>
      <c r="N47" s="42"/>
      <c r="O47" s="42"/>
      <c r="P47" s="28"/>
    </row>
    <row r="48" spans="1:16" x14ac:dyDescent="0.2">
      <c r="A48" s="25"/>
      <c r="B48" s="47" t="s">
        <v>311</v>
      </c>
      <c r="C48" s="154">
        <f>IF($B48=" ","",IFERROR(INDEX(MMWR_RATING_RO_ROLLUP[],MATCH($B48,MMWR_RATING_RO_ROLLUP[MMWR_RATING_RO_ROLLUP],0),MATCH(C$9,MMWR_RATING_RO_ROLLUP[#Headers],0)),"ERROR"))</f>
        <v>684</v>
      </c>
      <c r="D48" s="155">
        <f>IF($B48=" ","",IFERROR(INDEX(MMWR_RATING_RO_ROLLUP[],MATCH($B48,MMWR_RATING_RO_ROLLUP[MMWR_RATING_RO_ROLLUP],0),MATCH(D$9,MMWR_RATING_RO_ROLLUP[#Headers],0)),"ERROR"))</f>
        <v>119.4429824561</v>
      </c>
      <c r="E48" s="156">
        <f>IF($B48=" ","",IFERROR(INDEX(MMWR_RATING_RO_ROLLUP[],MATCH($B48,MMWR_RATING_RO_ROLLUP[MMWR_RATING_RO_ROLLUP],0),MATCH(E$9,MMWR_RATING_RO_ROLLUP[#Headers],0))/$C48,"ERROR"))</f>
        <v>0.48245614035087719</v>
      </c>
      <c r="F48" s="154">
        <f>IF($B48=" ","",IFERROR(INDEX(MMWR_RATING_RO_ROLLUP[],MATCH($B48,MMWR_RATING_RO_ROLLUP[MMWR_RATING_RO_ROLLUP],0),MATCH(F$9,MMWR_RATING_RO_ROLLUP[#Headers],0)),"ERROR"))</f>
        <v>295</v>
      </c>
      <c r="G48" s="154">
        <f>IF($B48=" ","",IFERROR(INDEX(MMWR_RATING_RO_ROLLUP[],MATCH($B48,MMWR_RATING_RO_ROLLUP[MMWR_RATING_RO_ROLLUP],0),MATCH(G$9,MMWR_RATING_RO_ROLLUP[#Headers],0)),"ERROR"))</f>
        <v>1052</v>
      </c>
      <c r="H48" s="155">
        <f>IF($B48=" ","",IFERROR(INDEX(MMWR_RATING_RO_ROLLUP[],MATCH($B48,MMWR_RATING_RO_ROLLUP[MMWR_RATING_RO_ROLLUP],0),MATCH(H$9,MMWR_RATING_RO_ROLLUP[#Headers],0)),"ERROR"))</f>
        <v>154.27118644070001</v>
      </c>
      <c r="I48" s="155">
        <f>IF($B48=" ","",IFERROR(INDEX(MMWR_RATING_RO_ROLLUP[],MATCH($B48,MMWR_RATING_RO_ROLLUP[MMWR_RATING_RO_ROLLUP],0),MATCH(I$9,MMWR_RATING_RO_ROLLUP[#Headers],0)),"ERROR"))</f>
        <v>130.48764258560001</v>
      </c>
      <c r="J48" s="42"/>
      <c r="K48" s="42"/>
      <c r="L48" s="42"/>
      <c r="M48" s="42"/>
      <c r="N48" s="42"/>
      <c r="O48" s="42"/>
      <c r="P48" s="28"/>
    </row>
    <row r="49" spans="1:16" ht="15.75" x14ac:dyDescent="0.25">
      <c r="A49" s="25"/>
      <c r="B49" s="376" t="s">
        <v>1055</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926</v>
      </c>
      <c r="L50" s="27" t="s">
        <v>931</v>
      </c>
      <c r="M50" s="27" t="s">
        <v>932</v>
      </c>
      <c r="N50" s="27" t="s">
        <v>933</v>
      </c>
      <c r="O50" s="27" t="s">
        <v>934</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297</v>
      </c>
      <c r="D2" s="350"/>
      <c r="E2" s="350"/>
      <c r="F2" s="350"/>
      <c r="G2" s="350"/>
      <c r="H2" s="350"/>
      <c r="I2" s="350"/>
      <c r="J2" s="349" t="s">
        <v>303</v>
      </c>
      <c r="K2" s="350"/>
      <c r="L2" s="350"/>
      <c r="M2" s="351"/>
      <c r="N2" s="28"/>
    </row>
    <row r="3" spans="1:16" ht="24" customHeight="1" thickBot="1" x14ac:dyDescent="0.4">
      <c r="A3" s="25"/>
      <c r="B3" s="29"/>
      <c r="C3" s="352"/>
      <c r="D3" s="353"/>
      <c r="E3" s="353"/>
      <c r="F3" s="353"/>
      <c r="G3" s="353"/>
      <c r="H3" s="353"/>
      <c r="I3" s="353"/>
      <c r="J3" s="352" t="str">
        <f>Transformation!B4</f>
        <v>As of: January 30, 2016</v>
      </c>
      <c r="K3" s="353"/>
      <c r="L3" s="353"/>
      <c r="M3" s="354"/>
      <c r="N3" s="28"/>
    </row>
    <row r="4" spans="1:16" ht="51" customHeight="1" thickBot="1" x14ac:dyDescent="0.35">
      <c r="A4" s="30"/>
      <c r="B4" s="246" t="s">
        <v>459</v>
      </c>
      <c r="C4" s="355" t="s">
        <v>974</v>
      </c>
      <c r="D4" s="356"/>
      <c r="E4" s="356"/>
      <c r="F4" s="356"/>
      <c r="G4" s="356"/>
      <c r="H4" s="356"/>
      <c r="I4" s="356"/>
      <c r="J4" s="356"/>
      <c r="K4" s="356"/>
      <c r="L4" s="356"/>
      <c r="M4" s="357"/>
      <c r="N4" s="28"/>
      <c r="O4" s="22"/>
      <c r="P4" s="23"/>
    </row>
    <row r="5" spans="1:16" ht="27" customHeight="1" thickBot="1" x14ac:dyDescent="0.25">
      <c r="A5" s="30"/>
      <c r="B5" s="48"/>
      <c r="C5" s="358" t="s">
        <v>1046</v>
      </c>
      <c r="D5" s="359"/>
      <c r="E5" s="359"/>
      <c r="F5" s="359"/>
      <c r="G5" s="359"/>
      <c r="H5" s="359"/>
      <c r="I5" s="359"/>
      <c r="J5" s="359"/>
      <c r="K5" s="359"/>
      <c r="L5" s="359"/>
      <c r="M5" s="359"/>
      <c r="N5" s="359"/>
      <c r="O5" s="360"/>
    </row>
    <row r="6" spans="1:16" ht="55.5" customHeight="1" x14ac:dyDescent="0.2">
      <c r="A6" s="30"/>
      <c r="B6" s="31"/>
      <c r="C6" s="32" t="s">
        <v>193</v>
      </c>
      <c r="D6" s="361" t="s">
        <v>16</v>
      </c>
      <c r="E6" s="362"/>
      <c r="F6" s="33" t="s">
        <v>196</v>
      </c>
      <c r="G6" s="361" t="s">
        <v>201</v>
      </c>
      <c r="H6" s="363"/>
      <c r="I6" s="33" t="s">
        <v>199</v>
      </c>
      <c r="J6" s="49" t="s">
        <v>14</v>
      </c>
      <c r="K6" s="33" t="s">
        <v>204</v>
      </c>
      <c r="L6" s="367" t="s">
        <v>88</v>
      </c>
      <c r="M6" s="395"/>
      <c r="N6" s="28"/>
    </row>
    <row r="7" spans="1:16" ht="51.75" customHeight="1" x14ac:dyDescent="0.2">
      <c r="A7" s="30"/>
      <c r="B7" s="34"/>
      <c r="C7" s="35" t="s">
        <v>194</v>
      </c>
      <c r="D7" s="379" t="s">
        <v>0</v>
      </c>
      <c r="E7" s="380"/>
      <c r="F7" s="36" t="s">
        <v>197</v>
      </c>
      <c r="G7" s="381" t="s">
        <v>202</v>
      </c>
      <c r="H7" s="381"/>
      <c r="I7" s="36" t="s">
        <v>200</v>
      </c>
      <c r="J7" s="50" t="s">
        <v>19</v>
      </c>
      <c r="K7" s="36" t="s">
        <v>205</v>
      </c>
      <c r="L7" s="391" t="s">
        <v>90</v>
      </c>
      <c r="M7" s="392"/>
      <c r="N7" s="28"/>
    </row>
    <row r="8" spans="1:16" ht="51.75" customHeight="1" thickBot="1" x14ac:dyDescent="0.25">
      <c r="A8" s="25"/>
      <c r="B8" s="28"/>
      <c r="C8" s="37" t="s">
        <v>195</v>
      </c>
      <c r="D8" s="382" t="s">
        <v>18</v>
      </c>
      <c r="E8" s="383"/>
      <c r="F8" s="38" t="s">
        <v>198</v>
      </c>
      <c r="G8" s="384" t="s">
        <v>17</v>
      </c>
      <c r="H8" s="384"/>
      <c r="I8" s="38" t="s">
        <v>203</v>
      </c>
      <c r="J8" s="51" t="s">
        <v>87</v>
      </c>
      <c r="K8" s="38" t="s">
        <v>206</v>
      </c>
      <c r="L8" s="393" t="s">
        <v>89</v>
      </c>
      <c r="M8" s="394"/>
      <c r="N8" s="28"/>
    </row>
    <row r="9" spans="1:16" x14ac:dyDescent="0.2">
      <c r="A9" s="28"/>
      <c r="B9" s="28"/>
      <c r="C9" s="39" t="s">
        <v>703</v>
      </c>
      <c r="D9" s="39" t="s">
        <v>705</v>
      </c>
      <c r="E9" s="39" t="s">
        <v>704</v>
      </c>
      <c r="F9" s="39" t="s">
        <v>707</v>
      </c>
      <c r="G9" s="39" t="s">
        <v>706</v>
      </c>
      <c r="H9" s="39" t="s">
        <v>717</v>
      </c>
      <c r="I9" s="39" t="s">
        <v>716</v>
      </c>
      <c r="J9" s="39"/>
      <c r="K9" s="39"/>
      <c r="L9" s="39"/>
      <c r="M9" s="39"/>
      <c r="N9" s="28"/>
    </row>
    <row r="10" spans="1:16" ht="15.75" customHeight="1" x14ac:dyDescent="0.2">
      <c r="A10" s="25"/>
      <c r="B10" s="26"/>
      <c r="C10" s="385" t="s">
        <v>296</v>
      </c>
      <c r="D10" s="385"/>
      <c r="E10" s="385"/>
      <c r="F10" s="385"/>
      <c r="G10" s="385"/>
      <c r="H10" s="385"/>
      <c r="I10" s="385"/>
      <c r="J10" s="385"/>
      <c r="K10" s="385"/>
      <c r="L10" s="385"/>
      <c r="M10" s="386"/>
      <c r="N10" s="28"/>
    </row>
    <row r="11" spans="1:16" ht="64.5" customHeight="1" x14ac:dyDescent="0.2">
      <c r="A11" s="25"/>
      <c r="B11" s="26"/>
      <c r="C11" s="52" t="s">
        <v>229</v>
      </c>
      <c r="D11" s="52" t="s">
        <v>137</v>
      </c>
      <c r="E11" s="52" t="s">
        <v>230</v>
      </c>
      <c r="F11" s="52" t="s">
        <v>192</v>
      </c>
      <c r="G11" s="52" t="s">
        <v>207</v>
      </c>
      <c r="H11" s="52" t="s">
        <v>209</v>
      </c>
      <c r="I11" s="52" t="s">
        <v>210</v>
      </c>
      <c r="J11" s="388" t="s">
        <v>975</v>
      </c>
      <c r="K11" s="389"/>
      <c r="L11" s="389"/>
      <c r="M11" s="390"/>
      <c r="N11" s="28"/>
    </row>
    <row r="12" spans="1:16" x14ac:dyDescent="0.2">
      <c r="A12" s="25"/>
      <c r="B12" s="41" t="s">
        <v>733</v>
      </c>
      <c r="C12" s="154">
        <f>IF($B12=" ","",IFERROR(INDEX(MMWR_RATING_RO_ROLLUP[],MATCH($B12,MMWR_RATING_RO_ROLLUP[MMWR_RATING_RO_ROLLUP],0),MATCH(C$9,MMWR_RATING_RO_ROLLUP[#Headers],0)),"ERROR"))</f>
        <v>352666</v>
      </c>
      <c r="D12" s="155">
        <f>IF($B12=" ","",IFERROR(INDEX(MMWR_RATING_RO_ROLLUP[],MATCH($B12,MMWR_RATING_RO_ROLLUP[MMWR_RATING_RO_ROLLUP],0),MATCH(D$9,MMWR_RATING_RO_ROLLUP[#Headers],0)),"ERROR"))</f>
        <v>92.8550526561</v>
      </c>
      <c r="E12" s="156">
        <f>IF($B12=" ","",IFERROR(INDEX(MMWR_RATING_RO_ROLLUP[],MATCH($B12,MMWR_RATING_RO_ROLLUP[MMWR_RATING_RO_ROLLUP],0),MATCH(E$9,MMWR_RATING_RO_ROLLUP[#Headers],0))/$C12,"ERROR"))</f>
        <v>0.21957602944429006</v>
      </c>
      <c r="F12" s="154">
        <f>IF($B12=" ","",IFERROR(INDEX(MMWR_RATING_RO_ROLLUP[],MATCH($B12,MMWR_RATING_RO_ROLLUP[MMWR_RATING_RO_ROLLUP],0),MATCH(F$9,MMWR_RATING_RO_ROLLUP[#Headers],0)),"ERROR"))</f>
        <v>101376</v>
      </c>
      <c r="G12" s="154">
        <f>IF($B12=" ","",IFERROR(INDEX(MMWR_RATING_RO_ROLLUP[],MATCH($B12,MMWR_RATING_RO_ROLLUP[MMWR_RATING_RO_ROLLUP],0),MATCH(G$9,MMWR_RATING_RO_ROLLUP[#Headers],0)),"ERROR"))</f>
        <v>409078</v>
      </c>
      <c r="H12" s="155">
        <f>IF($B12=" ","",IFERROR(INDEX(MMWR_RATING_RO_ROLLUP[],MATCH($B12,MMWR_RATING_RO_ROLLUP[MMWR_RATING_RO_ROLLUP],0),MATCH(H$9,MMWR_RATING_RO_ROLLUP[#Headers],0)),"ERROR"))</f>
        <v>127.7264835859</v>
      </c>
      <c r="I12" s="155">
        <f>IF($B12=" ","",IFERROR(INDEX(MMWR_RATING_RO_ROLLUP[],MATCH($B12,MMWR_RATING_RO_ROLLUP[MMWR_RATING_RO_ROLLUP],0),MATCH(I$9,MMWR_RATING_RO_ROLLUP[#Headers],0)),"ERROR"))</f>
        <v>128.1766826864</v>
      </c>
      <c r="J12" s="42"/>
      <c r="K12" s="42"/>
      <c r="L12" s="42"/>
      <c r="M12" s="42"/>
      <c r="N12" s="28"/>
    </row>
    <row r="13" spans="1:16" x14ac:dyDescent="0.2">
      <c r="A13" s="25"/>
      <c r="B13" s="377" t="s">
        <v>736</v>
      </c>
      <c r="C13" s="378"/>
      <c r="D13" s="378"/>
      <c r="E13" s="378"/>
      <c r="F13" s="378"/>
      <c r="G13" s="378"/>
      <c r="H13" s="378"/>
      <c r="I13" s="378"/>
      <c r="J13" s="378"/>
      <c r="K13" s="378"/>
      <c r="L13" s="378"/>
      <c r="M13" s="387"/>
      <c r="N13" s="28"/>
    </row>
    <row r="14" spans="1:16" x14ac:dyDescent="0.2">
      <c r="A14" s="25"/>
      <c r="B14" s="41" t="s">
        <v>732</v>
      </c>
      <c r="C14" s="154">
        <f>IF($B14=" ","",IFERROR(INDEX(MMWR_RATING_RO_ROLLUP[],MATCH($B14,MMWR_RATING_RO_ROLLUP[MMWR_RATING_RO_ROLLUP],0),MATCH(C$9,MMWR_RATING_RO_ROLLUP[#Headers],0)),"ERROR"))</f>
        <v>305447</v>
      </c>
      <c r="D14" s="155">
        <f>IF($B14=" ","",IFERROR(INDEX(MMWR_RATING_RO_ROLLUP[],MATCH($B14,MMWR_RATING_RO_ROLLUP[MMWR_RATING_RO_ROLLUP],0),MATCH(D$9,MMWR_RATING_RO_ROLLUP[#Headers],0)),"ERROR"))</f>
        <v>94.873703130199999</v>
      </c>
      <c r="E14" s="156">
        <f>IF($B14=" ","",IFERROR(INDEX(MMWR_RATING_RO_ROLLUP[],MATCH($B14,MMWR_RATING_RO_ROLLUP[MMWR_RATING_RO_ROLLUP],0),MATCH(E$9,MMWR_RATING_RO_ROLLUP[#Headers],0))/$C14,"ERROR"))</f>
        <v>0.23008246929909282</v>
      </c>
      <c r="F14" s="154">
        <f>IF($B14=" ","",IFERROR(INDEX(MMWR_RATING_RO_ROLLUP[],MATCH($B14,MMWR_RATING_RO_ROLLUP[MMWR_RATING_RO_ROLLUP],0),MATCH(F$9,MMWR_RATING_RO_ROLLUP[#Headers],0)),"ERROR"))</f>
        <v>85911</v>
      </c>
      <c r="G14" s="154">
        <f>IF($B14=" ","",IFERROR(INDEX(MMWR_RATING_RO_ROLLUP[],MATCH($B14,MMWR_RATING_RO_ROLLUP[MMWR_RATING_RO_ROLLUP],0),MATCH(G$9,MMWR_RATING_RO_ROLLUP[#Headers],0)),"ERROR"))</f>
        <v>346797</v>
      </c>
      <c r="H14" s="155">
        <f>IF($B14=" ","",IFERROR(INDEX(MMWR_RATING_RO_ROLLUP[],MATCH($B14,MMWR_RATING_RO_ROLLUP[MMWR_RATING_RO_ROLLUP],0),MATCH(H$9,MMWR_RATING_RO_ROLLUP[#Headers],0)),"ERROR"))</f>
        <v>132.9565014957</v>
      </c>
      <c r="I14" s="155">
        <f>IF($B14=" ","",IFERROR(INDEX(MMWR_RATING_RO_ROLLUP[],MATCH($B14,MMWR_RATING_RO_ROLLUP[MMWR_RATING_RO_ROLLUP],0),MATCH(I$9,MMWR_RATING_RO_ROLLUP[#Headers],0)),"ERROR"))</f>
        <v>135.1675187502</v>
      </c>
      <c r="J14" s="42"/>
      <c r="K14" s="42"/>
      <c r="L14" s="42"/>
      <c r="M14" s="42"/>
      <c r="N14" s="28"/>
    </row>
    <row r="15" spans="1:16" x14ac:dyDescent="0.2">
      <c r="A15" s="25"/>
      <c r="B15" s="247" t="s">
        <v>373</v>
      </c>
      <c r="C15" s="154">
        <f>IF($B15=" ","",IFERROR(INDEX(MMWR_RATING_RO_ROLLUP[],MATCH($B15,MMWR_RATING_RO_ROLLUP[MMWR_RATING_RO_ROLLUP],0),MATCH(C$9,MMWR_RATING_RO_ROLLUP[#Headers],0)),"ERROR"))</f>
        <v>68229</v>
      </c>
      <c r="D15" s="155">
        <f>IF($B15=" ","",IFERROR(INDEX(MMWR_RATING_RO_ROLLUP[],MATCH($B15,MMWR_RATING_RO_ROLLUP[MMWR_RATING_RO_ROLLUP],0),MATCH(D$9,MMWR_RATING_RO_ROLLUP[#Headers],0)),"ERROR"))</f>
        <v>97.702091486</v>
      </c>
      <c r="E15" s="156">
        <f>IF($B15=" ","",IFERROR(INDEX(MMWR_RATING_RO_ROLLUP[],MATCH($B15,MMWR_RATING_RO_ROLLUP[MMWR_RATING_RO_ROLLUP],0),MATCH(E$9,MMWR_RATING_RO_ROLLUP[#Headers],0))/$C15,"ERROR"))</f>
        <v>0.24231631710856089</v>
      </c>
      <c r="F15" s="154">
        <f>IF($B15=" ","",IFERROR(INDEX(MMWR_RATING_RO_ROLLUP[],MATCH($B15,MMWR_RATING_RO_ROLLUP[MMWR_RATING_RO_ROLLUP],0),MATCH(F$9,MMWR_RATING_RO_ROLLUP[#Headers],0)),"ERROR"))</f>
        <v>18778</v>
      </c>
      <c r="G15" s="154">
        <f>IF($B15=" ","",IFERROR(INDEX(MMWR_RATING_RO_ROLLUP[],MATCH($B15,MMWR_RATING_RO_ROLLUP[MMWR_RATING_RO_ROLLUP],0),MATCH(G$9,MMWR_RATING_RO_ROLLUP[#Headers],0)),"ERROR"))</f>
        <v>75775</v>
      </c>
      <c r="H15" s="155">
        <f>IF($B15=" ","",IFERROR(INDEX(MMWR_RATING_RO_ROLLUP[],MATCH($B15,MMWR_RATING_RO_ROLLUP[MMWR_RATING_RO_ROLLUP],0),MATCH(H$9,MMWR_RATING_RO_ROLLUP[#Headers],0)),"ERROR"))</f>
        <v>134.33576525719999</v>
      </c>
      <c r="I15" s="155">
        <f>IF($B15=" ","",IFERROR(INDEX(MMWR_RATING_RO_ROLLUP[],MATCH($B15,MMWR_RATING_RO_ROLLUP[MMWR_RATING_RO_ROLLUP],0),MATCH(I$9,MMWR_RATING_RO_ROLLUP[#Headers],0)),"ERROR"))</f>
        <v>136.1837677334</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4481</v>
      </c>
      <c r="D16" s="155">
        <f>IF($B16=" ","",IFERROR(INDEX(MMWR_RATING_RO_ROLLUP[],MATCH($B16,MMWR_RATING_RO_ROLLUP[MMWR_RATING_RO_ROLLUP],0),MATCH(D$9,MMWR_RATING_RO_ROLLUP[#Headers],0)),"ERROR"))</f>
        <v>99.204195492099998</v>
      </c>
      <c r="E16" s="156">
        <f>IF($B16=" ","",IFERROR(INDEX(MMWR_RATING_RO_ROLLUP[],MATCH($B16,MMWR_RATING_RO_ROLLUP[MMWR_RATING_RO_ROLLUP],0),MATCH(E$9,MMWR_RATING_RO_ROLLUP[#Headers],0))/$C16,"ERROR"))</f>
        <v>0.22673510377147957</v>
      </c>
      <c r="F16" s="154">
        <f>IF($B16=" ","",IFERROR(INDEX(MMWR_RATING_RO_ROLLUP[],MATCH($B16,MMWR_RATING_RO_ROLLUP[MMWR_RATING_RO_ROLLUP],0),MATCH(F$9,MMWR_RATING_RO_ROLLUP[#Headers],0)),"ERROR"))</f>
        <v>934</v>
      </c>
      <c r="G16" s="154">
        <f>IF($B16=" ","",IFERROR(INDEX(MMWR_RATING_RO_ROLLUP[],MATCH($B16,MMWR_RATING_RO_ROLLUP[MMWR_RATING_RO_ROLLUP],0),MATCH(G$9,MMWR_RATING_RO_ROLLUP[#Headers],0)),"ERROR"))</f>
        <v>4890</v>
      </c>
      <c r="H16" s="155">
        <f>IF($B16=" ","",IFERROR(INDEX(MMWR_RATING_RO_ROLLUP[],MATCH($B16,MMWR_RATING_RO_ROLLUP[MMWR_RATING_RO_ROLLUP],0),MATCH(H$9,MMWR_RATING_RO_ROLLUP[#Headers],0)),"ERROR"))</f>
        <v>156.29014989289999</v>
      </c>
      <c r="I16" s="155">
        <f>IF($B16=" ","",IFERROR(INDEX(MMWR_RATING_RO_ROLLUP[],MATCH($B16,MMWR_RATING_RO_ROLLUP[MMWR_RATING_RO_ROLLUP],0),MATCH(I$9,MMWR_RATING_RO_ROLLUP[#Headers],0)),"ERROR"))</f>
        <v>145.7734151329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3661</v>
      </c>
      <c r="D17" s="155">
        <f>IF($B17=" ","",IFERROR(INDEX(MMWR_RATING_RO_ROLLUP[],MATCH($B17,MMWR_RATING_RO_ROLLUP[MMWR_RATING_RO_ROLLUP],0),MATCH(D$9,MMWR_RATING_RO_ROLLUP[#Headers],0)),"ERROR"))</f>
        <v>93.097514340299995</v>
      </c>
      <c r="E17" s="156">
        <f>IF($B17=" ","",IFERROR(INDEX(MMWR_RATING_RO_ROLLUP[],MATCH($B17,MMWR_RATING_RO_ROLLUP[MMWR_RATING_RO_ROLLUP],0),MATCH(E$9,MMWR_RATING_RO_ROLLUP[#Headers],0))/$C17,"ERROR"))</f>
        <v>0.23709369024856597</v>
      </c>
      <c r="F17" s="154">
        <f>IF($B17=" ","",IFERROR(INDEX(MMWR_RATING_RO_ROLLUP[],MATCH($B17,MMWR_RATING_RO_ROLLUP[MMWR_RATING_RO_ROLLUP],0),MATCH(F$9,MMWR_RATING_RO_ROLLUP[#Headers],0)),"ERROR"))</f>
        <v>719</v>
      </c>
      <c r="G17" s="154">
        <f>IF($B17=" ","",IFERROR(INDEX(MMWR_RATING_RO_ROLLUP[],MATCH($B17,MMWR_RATING_RO_ROLLUP[MMWR_RATING_RO_ROLLUP],0),MATCH(G$9,MMWR_RATING_RO_ROLLUP[#Headers],0)),"ERROR"))</f>
        <v>3595</v>
      </c>
      <c r="H17" s="155">
        <f>IF($B17=" ","",IFERROR(INDEX(MMWR_RATING_RO_ROLLUP[],MATCH($B17,MMWR_RATING_RO_ROLLUP[MMWR_RATING_RO_ROLLUP],0),MATCH(H$9,MMWR_RATING_RO_ROLLUP[#Headers],0)),"ERROR"))</f>
        <v>159.26842837269999</v>
      </c>
      <c r="I17" s="155">
        <f>IF($B17=" ","",IFERROR(INDEX(MMWR_RATING_RO_ROLLUP[],MATCH($B17,MMWR_RATING_RO_ROLLUP[MMWR_RATING_RO_ROLLUP],0),MATCH(I$9,MMWR_RATING_RO_ROLLUP[#Headers],0)),"ERROR"))</f>
        <v>131.13657858139999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3758</v>
      </c>
      <c r="D18" s="155">
        <f>IF($B18=" ","",IFERROR(INDEX(MMWR_RATING_RO_ROLLUP[],MATCH($B18,MMWR_RATING_RO_ROLLUP[MMWR_RATING_RO_ROLLUP],0),MATCH(D$9,MMWR_RATING_RO_ROLLUP[#Headers],0)),"ERROR"))</f>
        <v>87.048430015999998</v>
      </c>
      <c r="E18" s="156">
        <f>IF($B18=" ","",IFERROR(INDEX(MMWR_RATING_RO_ROLLUP[],MATCH($B18,MMWR_RATING_RO_ROLLUP[MMWR_RATING_RO_ROLLUP],0),MATCH(E$9,MMWR_RATING_RO_ROLLUP[#Headers],0))/$C18,"ERROR"))</f>
        <v>0.17110164981373072</v>
      </c>
      <c r="F18" s="154">
        <f>IF($B18=" ","",IFERROR(INDEX(MMWR_RATING_RO_ROLLUP[],MATCH($B18,MMWR_RATING_RO_ROLLUP[MMWR_RATING_RO_ROLLUP],0),MATCH(F$9,MMWR_RATING_RO_ROLLUP[#Headers],0)),"ERROR"))</f>
        <v>1103</v>
      </c>
      <c r="G18" s="154">
        <f>IF($B18=" ","",IFERROR(INDEX(MMWR_RATING_RO_ROLLUP[],MATCH($B18,MMWR_RATING_RO_ROLLUP[MMWR_RATING_RO_ROLLUP],0),MATCH(G$9,MMWR_RATING_RO_ROLLUP[#Headers],0)),"ERROR"))</f>
        <v>4225</v>
      </c>
      <c r="H18" s="155">
        <f>IF($B18=" ","",IFERROR(INDEX(MMWR_RATING_RO_ROLLUP[],MATCH($B18,MMWR_RATING_RO_ROLLUP[MMWR_RATING_RO_ROLLUP],0),MATCH(H$9,MMWR_RATING_RO_ROLLUP[#Headers],0)),"ERROR"))</f>
        <v>140.98277425200001</v>
      </c>
      <c r="I18" s="155">
        <f>IF($B18=" ","",IFERROR(INDEX(MMWR_RATING_RO_ROLLUP[],MATCH($B18,MMWR_RATING_RO_ROLLUP[MMWR_RATING_RO_ROLLUP],0),MATCH(I$9,MMWR_RATING_RO_ROLLUP[#Headers],0)),"ERROR"))</f>
        <v>148.06532544379999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1982</v>
      </c>
      <c r="D19" s="155">
        <f>IF($B19=" ","",IFERROR(INDEX(MMWR_RATING_RO_ROLLUP[],MATCH($B19,MMWR_RATING_RO_ROLLUP[MMWR_RATING_RO_ROLLUP],0),MATCH(D$9,MMWR_RATING_RO_ROLLUP[#Headers],0)),"ERROR"))</f>
        <v>87.785065590299993</v>
      </c>
      <c r="E19" s="156">
        <f>IF($B19=" ","",IFERROR(INDEX(MMWR_RATING_RO_ROLLUP[],MATCH($B19,MMWR_RATING_RO_ROLLUP[MMWR_RATING_RO_ROLLUP],0),MATCH(E$9,MMWR_RATING_RO_ROLLUP[#Headers],0))/$C19,"ERROR"))</f>
        <v>0.1846619576185671</v>
      </c>
      <c r="F19" s="154">
        <f>IF($B19=" ","",IFERROR(INDEX(MMWR_RATING_RO_ROLLUP[],MATCH($B19,MMWR_RATING_RO_ROLLUP[MMWR_RATING_RO_ROLLUP],0),MATCH(F$9,MMWR_RATING_RO_ROLLUP[#Headers],0)),"ERROR"))</f>
        <v>477</v>
      </c>
      <c r="G19" s="154">
        <f>IF($B19=" ","",IFERROR(INDEX(MMWR_RATING_RO_ROLLUP[],MATCH($B19,MMWR_RATING_RO_ROLLUP[MMWR_RATING_RO_ROLLUP],0),MATCH(G$9,MMWR_RATING_RO_ROLLUP[#Headers],0)),"ERROR"))</f>
        <v>1954</v>
      </c>
      <c r="H19" s="155">
        <f>IF($B19=" ","",IFERROR(INDEX(MMWR_RATING_RO_ROLLUP[],MATCH($B19,MMWR_RATING_RO_ROLLUP[MMWR_RATING_RO_ROLLUP],0),MATCH(H$9,MMWR_RATING_RO_ROLLUP[#Headers],0)),"ERROR"))</f>
        <v>128.0251572327</v>
      </c>
      <c r="I19" s="155">
        <f>IF($B19=" ","",IFERROR(INDEX(MMWR_RATING_RO_ROLLUP[],MATCH($B19,MMWR_RATING_RO_ROLLUP[MMWR_RATING_RO_ROLLUP],0),MATCH(I$9,MMWR_RATING_RO_ROLLUP[#Headers],0)),"ERROR"))</f>
        <v>118.20777891500001</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2648</v>
      </c>
      <c r="D20" s="155">
        <f>IF($B20=" ","",IFERROR(INDEX(MMWR_RATING_RO_ROLLUP[],MATCH($B20,MMWR_RATING_RO_ROLLUP[MMWR_RATING_RO_ROLLUP],0),MATCH(D$9,MMWR_RATING_RO_ROLLUP[#Headers],0)),"ERROR"))</f>
        <v>84.490558912400004</v>
      </c>
      <c r="E20" s="156">
        <f>IF($B20=" ","",IFERROR(INDEX(MMWR_RATING_RO_ROLLUP[],MATCH($B20,MMWR_RATING_RO_ROLLUP[MMWR_RATING_RO_ROLLUP],0),MATCH(E$9,MMWR_RATING_RO_ROLLUP[#Headers],0))/$C20,"ERROR"))</f>
        <v>0.16767371601208458</v>
      </c>
      <c r="F20" s="154">
        <f>IF($B20=" ","",IFERROR(INDEX(MMWR_RATING_RO_ROLLUP[],MATCH($B20,MMWR_RATING_RO_ROLLUP[MMWR_RATING_RO_ROLLUP],0),MATCH(F$9,MMWR_RATING_RO_ROLLUP[#Headers],0)),"ERROR"))</f>
        <v>622</v>
      </c>
      <c r="G20" s="154">
        <f>IF($B20=" ","",IFERROR(INDEX(MMWR_RATING_RO_ROLLUP[],MATCH($B20,MMWR_RATING_RO_ROLLUP[MMWR_RATING_RO_ROLLUP],0),MATCH(G$9,MMWR_RATING_RO_ROLLUP[#Headers],0)),"ERROR"))</f>
        <v>2712</v>
      </c>
      <c r="H20" s="155">
        <f>IF($B20=" ","",IFERROR(INDEX(MMWR_RATING_RO_ROLLUP[],MATCH($B20,MMWR_RATING_RO_ROLLUP[MMWR_RATING_RO_ROLLUP],0),MATCH(H$9,MMWR_RATING_RO_ROLLUP[#Headers],0)),"ERROR"))</f>
        <v>121.3954983923</v>
      </c>
      <c r="I20" s="155">
        <f>IF($B20=" ","",IFERROR(INDEX(MMWR_RATING_RO_ROLLUP[],MATCH($B20,MMWR_RATING_RO_ROLLUP[MMWR_RATING_RO_ROLLUP],0),MATCH(I$9,MMWR_RATING_RO_ROLLUP[#Headers],0)),"ERROR"))</f>
        <v>118.11209439530001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1128</v>
      </c>
      <c r="D21" s="155">
        <f>IF($B21=" ","",IFERROR(INDEX(MMWR_RATING_RO_ROLLUP[],MATCH($B21,MMWR_RATING_RO_ROLLUP[MMWR_RATING_RO_ROLLUP],0),MATCH(D$9,MMWR_RATING_RO_ROLLUP[#Headers],0)),"ERROR"))</f>
        <v>96.2934397163</v>
      </c>
      <c r="E21" s="156">
        <f>IF($B21=" ","",IFERROR(INDEX(MMWR_RATING_RO_ROLLUP[],MATCH($B21,MMWR_RATING_RO_ROLLUP[MMWR_RATING_RO_ROLLUP],0),MATCH(E$9,MMWR_RATING_RO_ROLLUP[#Headers],0))/$C21,"ERROR"))</f>
        <v>0.22163120567375885</v>
      </c>
      <c r="F21" s="154">
        <f>IF($B21=" ","",IFERROR(INDEX(MMWR_RATING_RO_ROLLUP[],MATCH($B21,MMWR_RATING_RO_ROLLUP[MMWR_RATING_RO_ROLLUP],0),MATCH(F$9,MMWR_RATING_RO_ROLLUP[#Headers],0)),"ERROR"))</f>
        <v>311</v>
      </c>
      <c r="G21" s="154">
        <f>IF($B21=" ","",IFERROR(INDEX(MMWR_RATING_RO_ROLLUP[],MATCH($B21,MMWR_RATING_RO_ROLLUP[MMWR_RATING_RO_ROLLUP],0),MATCH(G$9,MMWR_RATING_RO_ROLLUP[#Headers],0)),"ERROR"))</f>
        <v>1282</v>
      </c>
      <c r="H21" s="155">
        <f>IF($B21=" ","",IFERROR(INDEX(MMWR_RATING_RO_ROLLUP[],MATCH($B21,MMWR_RATING_RO_ROLLUP[MMWR_RATING_RO_ROLLUP],0),MATCH(H$9,MMWR_RATING_RO_ROLLUP[#Headers],0)),"ERROR"))</f>
        <v>151.7363344051</v>
      </c>
      <c r="I21" s="155">
        <f>IF($B21=" ","",IFERROR(INDEX(MMWR_RATING_RO_ROLLUP[],MATCH($B21,MMWR_RATING_RO_ROLLUP[MMWR_RATING_RO_ROLLUP],0),MATCH(I$9,MMWR_RATING_RO_ROLLUP[#Headers],0)),"ERROR"))</f>
        <v>135.08034321369999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4795</v>
      </c>
      <c r="D22" s="155">
        <f>IF($B22=" ","",IFERROR(INDEX(MMWR_RATING_RO_ROLLUP[],MATCH($B22,MMWR_RATING_RO_ROLLUP[MMWR_RATING_RO_ROLLUP],0),MATCH(D$9,MMWR_RATING_RO_ROLLUP[#Headers],0)),"ERROR"))</f>
        <v>98.246089676699995</v>
      </c>
      <c r="E22" s="156">
        <f>IF($B22=" ","",IFERROR(INDEX(MMWR_RATING_RO_ROLLUP[],MATCH($B22,MMWR_RATING_RO_ROLLUP[MMWR_RATING_RO_ROLLUP],0),MATCH(E$9,MMWR_RATING_RO_ROLLUP[#Headers],0))/$C22,"ERROR"))</f>
        <v>0.25881126173096974</v>
      </c>
      <c r="F22" s="154">
        <f>IF($B22=" ","",IFERROR(INDEX(MMWR_RATING_RO_ROLLUP[],MATCH($B22,MMWR_RATING_RO_ROLLUP[MMWR_RATING_RO_ROLLUP],0),MATCH(F$9,MMWR_RATING_RO_ROLLUP[#Headers],0)),"ERROR"))</f>
        <v>1274</v>
      </c>
      <c r="G22" s="154">
        <f>IF($B22=" ","",IFERROR(INDEX(MMWR_RATING_RO_ROLLUP[],MATCH($B22,MMWR_RATING_RO_ROLLUP[MMWR_RATING_RO_ROLLUP],0),MATCH(G$9,MMWR_RATING_RO_ROLLUP[#Headers],0)),"ERROR"))</f>
        <v>4669</v>
      </c>
      <c r="H22" s="155">
        <f>IF($B22=" ","",IFERROR(INDEX(MMWR_RATING_RO_ROLLUP[],MATCH($B22,MMWR_RATING_RO_ROLLUP[MMWR_RATING_RO_ROLLUP],0),MATCH(H$9,MMWR_RATING_RO_ROLLUP[#Headers],0)),"ERROR"))</f>
        <v>138.4615384615</v>
      </c>
      <c r="I22" s="155">
        <f>IF($B22=" ","",IFERROR(INDEX(MMWR_RATING_RO_ROLLUP[],MATCH($B22,MMWR_RATING_RO_ROLLUP[MMWR_RATING_RO_ROLLUP],0),MATCH(I$9,MMWR_RATING_RO_ROLLUP[#Headers],0)),"ERROR"))</f>
        <v>140.23431141570001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2610</v>
      </c>
      <c r="D23" s="155">
        <f>IF($B23=" ","",IFERROR(INDEX(MMWR_RATING_RO_ROLLUP[],MATCH($B23,MMWR_RATING_RO_ROLLUP[MMWR_RATING_RO_ROLLUP],0),MATCH(D$9,MMWR_RATING_RO_ROLLUP[#Headers],0)),"ERROR"))</f>
        <v>89.833716475100005</v>
      </c>
      <c r="E23" s="156">
        <f>IF($B23=" ","",IFERROR(INDEX(MMWR_RATING_RO_ROLLUP[],MATCH($B23,MMWR_RATING_RO_ROLLUP[MMWR_RATING_RO_ROLLUP],0),MATCH(E$9,MMWR_RATING_RO_ROLLUP[#Headers],0))/$C23,"ERROR"))</f>
        <v>0.21455938697318008</v>
      </c>
      <c r="F23" s="154">
        <f>IF($B23=" ","",IFERROR(INDEX(MMWR_RATING_RO_ROLLUP[],MATCH($B23,MMWR_RATING_RO_ROLLUP[MMWR_RATING_RO_ROLLUP],0),MATCH(F$9,MMWR_RATING_RO_ROLLUP[#Headers],0)),"ERROR"))</f>
        <v>710</v>
      </c>
      <c r="G23" s="154">
        <f>IF($B23=" ","",IFERROR(INDEX(MMWR_RATING_RO_ROLLUP[],MATCH($B23,MMWR_RATING_RO_ROLLUP[MMWR_RATING_RO_ROLLUP],0),MATCH(G$9,MMWR_RATING_RO_ROLLUP[#Headers],0)),"ERROR"))</f>
        <v>2679</v>
      </c>
      <c r="H23" s="155">
        <f>IF($B23=" ","",IFERROR(INDEX(MMWR_RATING_RO_ROLLUP[],MATCH($B23,MMWR_RATING_RO_ROLLUP[MMWR_RATING_RO_ROLLUP],0),MATCH(H$9,MMWR_RATING_RO_ROLLUP[#Headers],0)),"ERROR"))</f>
        <v>131.323943662</v>
      </c>
      <c r="I23" s="155">
        <f>IF($B23=" ","",IFERROR(INDEX(MMWR_RATING_RO_ROLLUP[],MATCH($B23,MMWR_RATING_RO_ROLLUP[MMWR_RATING_RO_ROLLUP],0),MATCH(I$9,MMWR_RATING_RO_ROLLUP[#Headers],0)),"ERROR"))</f>
        <v>141.81410974240001</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6867</v>
      </c>
      <c r="D24" s="155">
        <f>IF($B24=" ","",IFERROR(INDEX(MMWR_RATING_RO_ROLLUP[],MATCH($B24,MMWR_RATING_RO_ROLLUP[MMWR_RATING_RO_ROLLUP],0),MATCH(D$9,MMWR_RATING_RO_ROLLUP[#Headers],0)),"ERROR"))</f>
        <v>114.1762050386</v>
      </c>
      <c r="E24" s="156">
        <f>IF($B24=" ","",IFERROR(INDEX(MMWR_RATING_RO_ROLLUP[],MATCH($B24,MMWR_RATING_RO_ROLLUP[MMWR_RATING_RO_ROLLUP],0),MATCH(E$9,MMWR_RATING_RO_ROLLUP[#Headers],0))/$C24,"ERROR"))</f>
        <v>0.3071210135430319</v>
      </c>
      <c r="F24" s="154">
        <f>IF($B24=" ","",IFERROR(INDEX(MMWR_RATING_RO_ROLLUP[],MATCH($B24,MMWR_RATING_RO_ROLLUP[MMWR_RATING_RO_ROLLUP],0),MATCH(F$9,MMWR_RATING_RO_ROLLUP[#Headers],0)),"ERROR"))</f>
        <v>2133</v>
      </c>
      <c r="G24" s="154">
        <f>IF($B24=" ","",IFERROR(INDEX(MMWR_RATING_RO_ROLLUP[],MATCH($B24,MMWR_RATING_RO_ROLLUP[MMWR_RATING_RO_ROLLUP],0),MATCH(G$9,MMWR_RATING_RO_ROLLUP[#Headers],0)),"ERROR"))</f>
        <v>8312</v>
      </c>
      <c r="H24" s="155">
        <f>IF($B24=" ","",IFERROR(INDEX(MMWR_RATING_RO_ROLLUP[],MATCH($B24,MMWR_RATING_RO_ROLLUP[MMWR_RATING_RO_ROLLUP],0),MATCH(H$9,MMWR_RATING_RO_ROLLUP[#Headers],0)),"ERROR"))</f>
        <v>140.63572433190001</v>
      </c>
      <c r="I24" s="155">
        <f>IF($B24=" ","",IFERROR(INDEX(MMWR_RATING_RO_ROLLUP[],MATCH($B24,MMWR_RATING_RO_ROLLUP[MMWR_RATING_RO_ROLLUP],0),MATCH(I$9,MMWR_RATING_RO_ROLLUP[#Headers],0)),"ERROR"))</f>
        <v>151.89400866220001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4521</v>
      </c>
      <c r="D25" s="155">
        <f>IF($B25=" ","",IFERROR(INDEX(MMWR_RATING_RO_ROLLUP[],MATCH($B25,MMWR_RATING_RO_ROLLUP[MMWR_RATING_RO_ROLLUP],0),MATCH(D$9,MMWR_RATING_RO_ROLLUP[#Headers],0)),"ERROR"))</f>
        <v>115.5834992258</v>
      </c>
      <c r="E25" s="156">
        <f>IF($B25=" ","",IFERROR(INDEX(MMWR_RATING_RO_ROLLUP[],MATCH($B25,MMWR_RATING_RO_ROLLUP[MMWR_RATING_RO_ROLLUP],0),MATCH(E$9,MMWR_RATING_RO_ROLLUP[#Headers],0))/$C25,"ERROR"))</f>
        <v>0.30192435301924353</v>
      </c>
      <c r="F25" s="154">
        <f>IF($B25=" ","",IFERROR(INDEX(MMWR_RATING_RO_ROLLUP[],MATCH($B25,MMWR_RATING_RO_ROLLUP[MMWR_RATING_RO_ROLLUP],0),MATCH(F$9,MMWR_RATING_RO_ROLLUP[#Headers],0)),"ERROR"))</f>
        <v>1151</v>
      </c>
      <c r="G25" s="154">
        <f>IF($B25=" ","",IFERROR(INDEX(MMWR_RATING_RO_ROLLUP[],MATCH($B25,MMWR_RATING_RO_ROLLUP[MMWR_RATING_RO_ROLLUP],0),MATCH(G$9,MMWR_RATING_RO_ROLLUP[#Headers],0)),"ERROR"))</f>
        <v>4456</v>
      </c>
      <c r="H25" s="155">
        <f>IF($B25=" ","",IFERROR(INDEX(MMWR_RATING_RO_ROLLUP[],MATCH($B25,MMWR_RATING_RO_ROLLUP[MMWR_RATING_RO_ROLLUP],0),MATCH(H$9,MMWR_RATING_RO_ROLLUP[#Headers],0)),"ERROR"))</f>
        <v>150.19374456989999</v>
      </c>
      <c r="I25" s="155">
        <f>IF($B25=" ","",IFERROR(INDEX(MMWR_RATING_RO_ROLLUP[],MATCH($B25,MMWR_RATING_RO_ROLLUP[MMWR_RATING_RO_ROLLUP],0),MATCH(I$9,MMWR_RATING_RO_ROLLUP[#Headers],0)),"ERROR"))</f>
        <v>162.9095601436</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2385</v>
      </c>
      <c r="D26" s="155">
        <f>IF($B26=" ","",IFERROR(INDEX(MMWR_RATING_RO_ROLLUP[],MATCH($B26,MMWR_RATING_RO_ROLLUP[MMWR_RATING_RO_ROLLUP],0),MATCH(D$9,MMWR_RATING_RO_ROLLUP[#Headers],0)),"ERROR"))</f>
        <v>77.453249475899995</v>
      </c>
      <c r="E26" s="156">
        <f>IF($B26=" ","",IFERROR(INDEX(MMWR_RATING_RO_ROLLUP[],MATCH($B26,MMWR_RATING_RO_ROLLUP[MMWR_RATING_RO_ROLLUP],0),MATCH(E$9,MMWR_RATING_RO_ROLLUP[#Headers],0))/$C26,"ERROR"))</f>
        <v>0.17232704402515722</v>
      </c>
      <c r="F26" s="154">
        <f>IF($B26=" ","",IFERROR(INDEX(MMWR_RATING_RO_ROLLUP[],MATCH($B26,MMWR_RATING_RO_ROLLUP[MMWR_RATING_RO_ROLLUP],0),MATCH(F$9,MMWR_RATING_RO_ROLLUP[#Headers],0)),"ERROR"))</f>
        <v>1726</v>
      </c>
      <c r="G26" s="154">
        <f>IF($B26=" ","",IFERROR(INDEX(MMWR_RATING_RO_ROLLUP[],MATCH($B26,MMWR_RATING_RO_ROLLUP[MMWR_RATING_RO_ROLLUP],0),MATCH(G$9,MMWR_RATING_RO_ROLLUP[#Headers],0)),"ERROR"))</f>
        <v>6613</v>
      </c>
      <c r="H26" s="155">
        <f>IF($B26=" ","",IFERROR(INDEX(MMWR_RATING_RO_ROLLUP[],MATCH($B26,MMWR_RATING_RO_ROLLUP[MMWR_RATING_RO_ROLLUP],0),MATCH(H$9,MMWR_RATING_RO_ROLLUP[#Headers],0)),"ERROR"))</f>
        <v>66.165701042899997</v>
      </c>
      <c r="I26" s="155">
        <f>IF($B26=" ","",IFERROR(INDEX(MMWR_RATING_RO_ROLLUP[],MATCH($B26,MMWR_RATING_RO_ROLLUP[MMWR_RATING_RO_ROLLUP],0),MATCH(I$9,MMWR_RATING_RO_ROLLUP[#Headers],0)),"ERROR"))</f>
        <v>57.088764554699999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10498</v>
      </c>
      <c r="D27" s="155">
        <f>IF($B27=" ","",IFERROR(INDEX(MMWR_RATING_RO_ROLLUP[],MATCH($B27,MMWR_RATING_RO_ROLLUP[MMWR_RATING_RO_ROLLUP],0),MATCH(D$9,MMWR_RATING_RO_ROLLUP[#Headers],0)),"ERROR"))</f>
        <v>93.284149361800004</v>
      </c>
      <c r="E27" s="156">
        <f>IF($B27=" ","",IFERROR(INDEX(MMWR_RATING_RO_ROLLUP[],MATCH($B27,MMWR_RATING_RO_ROLLUP[MMWR_RATING_RO_ROLLUP],0),MATCH(E$9,MMWR_RATING_RO_ROLLUP[#Headers],0))/$C27,"ERROR"))</f>
        <v>0.23556867974852352</v>
      </c>
      <c r="F27" s="154">
        <f>IF($B27=" ","",IFERROR(INDEX(MMWR_RATING_RO_ROLLUP[],MATCH($B27,MMWR_RATING_RO_ROLLUP[MMWR_RATING_RO_ROLLUP],0),MATCH(F$9,MMWR_RATING_RO_ROLLUP[#Headers],0)),"ERROR"))</f>
        <v>2951</v>
      </c>
      <c r="G27" s="154">
        <f>IF($B27=" ","",IFERROR(INDEX(MMWR_RATING_RO_ROLLUP[],MATCH($B27,MMWR_RATING_RO_ROLLUP[MMWR_RATING_RO_ROLLUP],0),MATCH(G$9,MMWR_RATING_RO_ROLLUP[#Headers],0)),"ERROR"))</f>
        <v>10532</v>
      </c>
      <c r="H27" s="155">
        <f>IF($B27=" ","",IFERROR(INDEX(MMWR_RATING_RO_ROLLUP[],MATCH($B27,MMWR_RATING_RO_ROLLUP[MMWR_RATING_RO_ROLLUP],0),MATCH(H$9,MMWR_RATING_RO_ROLLUP[#Headers],0)),"ERROR"))</f>
        <v>130.63741104709999</v>
      </c>
      <c r="I27" s="155">
        <f>IF($B27=" ","",IFERROR(INDEX(MMWR_RATING_RO_ROLLUP[],MATCH($B27,MMWR_RATING_RO_ROLLUP[MMWR_RATING_RO_ROLLUP],0),MATCH(I$9,MMWR_RATING_RO_ROLLUP[#Headers],0)),"ERROR"))</f>
        <v>141.69910748199999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1340</v>
      </c>
      <c r="D28" s="155">
        <f>IF($B28=" ","",IFERROR(INDEX(MMWR_RATING_RO_ROLLUP[],MATCH($B28,MMWR_RATING_RO_ROLLUP[MMWR_RATING_RO_ROLLUP],0),MATCH(D$9,MMWR_RATING_RO_ROLLUP[#Headers],0)),"ERROR"))</f>
        <v>74.597761194</v>
      </c>
      <c r="E28" s="156">
        <f>IF($B28=" ","",IFERROR(INDEX(MMWR_RATING_RO_ROLLUP[],MATCH($B28,MMWR_RATING_RO_ROLLUP[MMWR_RATING_RO_ROLLUP],0),MATCH(E$9,MMWR_RATING_RO_ROLLUP[#Headers],0))/$C28,"ERROR"))</f>
        <v>0.11791044776119403</v>
      </c>
      <c r="F28" s="154">
        <f>IF($B28=" ","",IFERROR(INDEX(MMWR_RATING_RO_ROLLUP[],MATCH($B28,MMWR_RATING_RO_ROLLUP[MMWR_RATING_RO_ROLLUP],0),MATCH(F$9,MMWR_RATING_RO_ROLLUP[#Headers],0)),"ERROR"))</f>
        <v>297</v>
      </c>
      <c r="G28" s="154">
        <f>IF($B28=" ","",IFERROR(INDEX(MMWR_RATING_RO_ROLLUP[],MATCH($B28,MMWR_RATING_RO_ROLLUP[MMWR_RATING_RO_ROLLUP],0),MATCH(G$9,MMWR_RATING_RO_ROLLUP[#Headers],0)),"ERROR"))</f>
        <v>1500</v>
      </c>
      <c r="H28" s="155">
        <f>IF($B28=" ","",IFERROR(INDEX(MMWR_RATING_RO_ROLLUP[],MATCH($B28,MMWR_RATING_RO_ROLLUP[MMWR_RATING_RO_ROLLUP],0),MATCH(H$9,MMWR_RATING_RO_ROLLUP[#Headers],0)),"ERROR"))</f>
        <v>114.303030303</v>
      </c>
      <c r="I28" s="155">
        <f>IF($B28=" ","",IFERROR(INDEX(MMWR_RATING_RO_ROLLUP[],MATCH($B28,MMWR_RATING_RO_ROLLUP[MMWR_RATING_RO_ROLLUP],0),MATCH(I$9,MMWR_RATING_RO_ROLLUP[#Headers],0)),"ERROR"))</f>
        <v>108.58</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573</v>
      </c>
      <c r="D29" s="155">
        <f>IF($B29=" ","",IFERROR(INDEX(MMWR_RATING_RO_ROLLUP[],MATCH($B29,MMWR_RATING_RO_ROLLUP[MMWR_RATING_RO_ROLLUP],0),MATCH(D$9,MMWR_RATING_RO_ROLLUP[#Headers],0)),"ERROR"))</f>
        <v>96.617801047100002</v>
      </c>
      <c r="E29" s="156">
        <f>IF($B29=" ","",IFERROR(INDEX(MMWR_RATING_RO_ROLLUP[],MATCH($B29,MMWR_RATING_RO_ROLLUP[MMWR_RATING_RO_ROLLUP],0),MATCH(E$9,MMWR_RATING_RO_ROLLUP[#Headers],0))/$C29,"ERROR"))</f>
        <v>0.2338568935427574</v>
      </c>
      <c r="F29" s="154">
        <f>IF($B29=" ","",IFERROR(INDEX(MMWR_RATING_RO_ROLLUP[],MATCH($B29,MMWR_RATING_RO_ROLLUP[MMWR_RATING_RO_ROLLUP],0),MATCH(F$9,MMWR_RATING_RO_ROLLUP[#Headers],0)),"ERROR"))</f>
        <v>164</v>
      </c>
      <c r="G29" s="154">
        <f>IF($B29=" ","",IFERROR(INDEX(MMWR_RATING_RO_ROLLUP[],MATCH($B29,MMWR_RATING_RO_ROLLUP[MMWR_RATING_RO_ROLLUP],0),MATCH(G$9,MMWR_RATING_RO_ROLLUP[#Headers],0)),"ERROR"))</f>
        <v>412</v>
      </c>
      <c r="H29" s="155">
        <f>IF($B29=" ","",IFERROR(INDEX(MMWR_RATING_RO_ROLLUP[],MATCH($B29,MMWR_RATING_RO_ROLLUP[MMWR_RATING_RO_ROLLUP],0),MATCH(H$9,MMWR_RATING_RO_ROLLUP[#Headers],0)),"ERROR"))</f>
        <v>140.10365853659999</v>
      </c>
      <c r="I29" s="155">
        <f>IF($B29=" ","",IFERROR(INDEX(MMWR_RATING_RO_ROLLUP[],MATCH($B29,MMWR_RATING_RO_ROLLUP[MMWR_RATING_RO_ROLLUP],0),MATCH(I$9,MMWR_RATING_RO_ROLLUP[#Headers],0)),"ERROR"))</f>
        <v>142.31796116500001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732</v>
      </c>
      <c r="D30" s="155">
        <f>IF($B30=" ","",IFERROR(INDEX(MMWR_RATING_RO_ROLLUP[],MATCH($B30,MMWR_RATING_RO_ROLLUP[MMWR_RATING_RO_ROLLUP],0),MATCH(D$9,MMWR_RATING_RO_ROLLUP[#Headers],0)),"ERROR"))</f>
        <v>106.1092896175</v>
      </c>
      <c r="E30" s="156">
        <f>IF($B30=" ","",IFERROR(INDEX(MMWR_RATING_RO_ROLLUP[],MATCH($B30,MMWR_RATING_RO_ROLLUP[MMWR_RATING_RO_ROLLUP],0),MATCH(E$9,MMWR_RATING_RO_ROLLUP[#Headers],0))/$C30,"ERROR"))</f>
        <v>0.30601092896174864</v>
      </c>
      <c r="F30" s="154">
        <f>IF($B30=" ","",IFERROR(INDEX(MMWR_RATING_RO_ROLLUP[],MATCH($B30,MMWR_RATING_RO_ROLLUP[MMWR_RATING_RO_ROLLUP],0),MATCH(F$9,MMWR_RATING_RO_ROLLUP[#Headers],0)),"ERROR"))</f>
        <v>194</v>
      </c>
      <c r="G30" s="154">
        <f>IF($B30=" ","",IFERROR(INDEX(MMWR_RATING_RO_ROLLUP[],MATCH($B30,MMWR_RATING_RO_ROLLUP[MMWR_RATING_RO_ROLLUP],0),MATCH(G$9,MMWR_RATING_RO_ROLLUP[#Headers],0)),"ERROR"))</f>
        <v>810</v>
      </c>
      <c r="H30" s="155">
        <f>IF($B30=" ","",IFERROR(INDEX(MMWR_RATING_RO_ROLLUP[],MATCH($B30,MMWR_RATING_RO_ROLLUP[MMWR_RATING_RO_ROLLUP],0),MATCH(H$9,MMWR_RATING_RO_ROLLUP[#Headers],0)),"ERROR"))</f>
        <v>152.0515463918</v>
      </c>
      <c r="I30" s="155">
        <f>IF($B30=" ","",IFERROR(INDEX(MMWR_RATING_RO_ROLLUP[],MATCH($B30,MMWR_RATING_RO_ROLLUP[MMWR_RATING_RO_ROLLUP],0),MATCH(I$9,MMWR_RATING_RO_ROLLUP[#Headers],0)),"ERROR"))</f>
        <v>143.76296296300001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16250</v>
      </c>
      <c r="D31" s="155">
        <f>IF($B31=" ","",IFERROR(INDEX(MMWR_RATING_RO_ROLLUP[],MATCH($B31,MMWR_RATING_RO_ROLLUP[MMWR_RATING_RO_ROLLUP],0),MATCH(D$9,MMWR_RATING_RO_ROLLUP[#Headers],0)),"ERROR"))</f>
        <v>100.80670769229999</v>
      </c>
      <c r="E31" s="156">
        <f>IF($B31=" ","",IFERROR(INDEX(MMWR_RATING_RO_ROLLUP[],MATCH($B31,MMWR_RATING_RO_ROLLUP[MMWR_RATING_RO_ROLLUP],0),MATCH(E$9,MMWR_RATING_RO_ROLLUP[#Headers],0))/$C31,"ERROR"))</f>
        <v>0.26283076923076926</v>
      </c>
      <c r="F31" s="154">
        <f>IF($B31=" ","",IFERROR(INDEX(MMWR_RATING_RO_ROLLUP[],MATCH($B31,MMWR_RATING_RO_ROLLUP[MMWR_RATING_RO_ROLLUP],0),MATCH(F$9,MMWR_RATING_RO_ROLLUP[#Headers],0)),"ERROR"))</f>
        <v>4012</v>
      </c>
      <c r="G31" s="154">
        <f>IF($B31=" ","",IFERROR(INDEX(MMWR_RATING_RO_ROLLUP[],MATCH($B31,MMWR_RATING_RO_ROLLUP[MMWR_RATING_RO_ROLLUP],0),MATCH(G$9,MMWR_RATING_RO_ROLLUP[#Headers],0)),"ERROR"))</f>
        <v>17134</v>
      </c>
      <c r="H31" s="155">
        <f>IF($B31=" ","",IFERROR(INDEX(MMWR_RATING_RO_ROLLUP[],MATCH($B31,MMWR_RATING_RO_ROLLUP[MMWR_RATING_RO_ROLLUP],0),MATCH(H$9,MMWR_RATING_RO_ROLLUP[#Headers],0)),"ERROR"))</f>
        <v>148.0989531406</v>
      </c>
      <c r="I31" s="155">
        <f>IF($B31=" ","",IFERROR(INDEX(MMWR_RATING_RO_ROLLUP[],MATCH($B31,MMWR_RATING_RO_ROLLUP[MMWR_RATING_RO_ROLLUP],0),MATCH(I$9,MMWR_RATING_RO_ROLLUP[#Headers],0)),"ERROR"))</f>
        <v>149.06104820819999</v>
      </c>
      <c r="J31" s="42"/>
      <c r="K31" s="42"/>
      <c r="L31" s="42"/>
      <c r="M31" s="42"/>
      <c r="N31" s="28"/>
    </row>
    <row r="32" spans="1:14" x14ac:dyDescent="0.2">
      <c r="A32" s="25"/>
      <c r="B32" s="377" t="s">
        <v>737</v>
      </c>
      <c r="C32" s="378"/>
      <c r="D32" s="378"/>
      <c r="E32" s="378"/>
      <c r="F32" s="378"/>
      <c r="G32" s="378"/>
      <c r="H32" s="378"/>
      <c r="I32" s="378"/>
      <c r="J32" s="378"/>
      <c r="K32" s="378"/>
      <c r="L32" s="378"/>
      <c r="M32" s="387"/>
      <c r="N32" s="28"/>
    </row>
    <row r="33" spans="1:14" x14ac:dyDescent="0.2">
      <c r="A33" s="25"/>
      <c r="B33" s="11" t="s">
        <v>700</v>
      </c>
      <c r="C33" s="154">
        <f>IF($B33=" ","",IFERROR(INDEX(MMWR_RATING_RO_ROLLUP[],MATCH($B33,MMWR_RATING_RO_ROLLUP[MMWR_RATING_RO_ROLLUP],0),MATCH(C$9,MMWR_RATING_RO_ROLLUP[#Headers],0)),"ERROR"))</f>
        <v>26231</v>
      </c>
      <c r="D33" s="155">
        <f>IF($B33=" ","",IFERROR(INDEX(MMWR_RATING_RO_ROLLUP[],MATCH($B33,MMWR_RATING_RO_ROLLUP[MMWR_RATING_RO_ROLLUP],0),MATCH(D$9,MMWR_RATING_RO_ROLLUP[#Headers],0)),"ERROR"))</f>
        <v>70.008387022999997</v>
      </c>
      <c r="E33" s="156">
        <f>IF($B33=" ","",IFERROR(INDEX(MMWR_RATING_RO_ROLLUP[],MATCH($B33,MMWR_RATING_RO_ROLLUP[MMWR_RATING_RO_ROLLUP],0),MATCH(E$9,MMWR_RATING_RO_ROLLUP[#Headers],0))/$C33,"ERROR"))</f>
        <v>0.10971750981662919</v>
      </c>
      <c r="F33" s="154">
        <f>IF($B33=" ","",IFERROR(INDEX(MMWR_RATING_RO_ROLLUP[],MATCH($B33,MMWR_RATING_RO_ROLLUP[MMWR_RATING_RO_ROLLUP],0),MATCH(F$9,MMWR_RATING_RO_ROLLUP[#Headers],0)),"ERROR"))</f>
        <v>11594</v>
      </c>
      <c r="G33" s="154">
        <f>IF($B33=" ","",IFERROR(INDEX(MMWR_RATING_RO_ROLLUP[],MATCH($B33,MMWR_RATING_RO_ROLLUP[MMWR_RATING_RO_ROLLUP],0),MATCH(G$9,MMWR_RATING_RO_ROLLUP[#Headers],0)),"ERROR"))</f>
        <v>47787</v>
      </c>
      <c r="H33" s="155">
        <f>IF($B33=" ","",IFERROR(INDEX(MMWR_RATING_RO_ROLLUP[],MATCH($B33,MMWR_RATING_RO_ROLLUP[MMWR_RATING_RO_ROLLUP],0),MATCH(H$9,MMWR_RATING_RO_ROLLUP[#Headers],0)),"ERROR"))</f>
        <v>80.569691219600003</v>
      </c>
      <c r="I33" s="155">
        <f>IF($B33=" ","",IFERROR(INDEX(MMWR_RATING_RO_ROLLUP[],MATCH($B33,MMWR_RATING_RO_ROLLUP[MMWR_RATING_RO_ROLLUP],0),MATCH(I$9,MMWR_RATING_RO_ROLLUP[#Headers],0)),"ERROR"))</f>
        <v>73.584405800699997</v>
      </c>
      <c r="J33" s="42"/>
      <c r="K33" s="42"/>
      <c r="L33" s="42"/>
      <c r="M33" s="42"/>
      <c r="N33" s="28"/>
    </row>
    <row r="34" spans="1:14" x14ac:dyDescent="0.2">
      <c r="A34" s="25"/>
      <c r="B34" s="12" t="s">
        <v>213</v>
      </c>
      <c r="C34" s="154">
        <f>IF($B34=" ","",IFERROR(INDEX(MMWR_RATING_RO_ROLLUP[],MATCH($B34,MMWR_RATING_RO_ROLLUP[MMWR_RATING_RO_ROLLUP],0),MATCH(C$9,MMWR_RATING_RO_ROLLUP[#Headers],0)),"ERROR"))</f>
        <v>12157</v>
      </c>
      <c r="D34" s="155">
        <f>IF($B34=" ","",IFERROR(INDEX(MMWR_RATING_RO_ROLLUP[],MATCH($B34,MMWR_RATING_RO_ROLLUP[MMWR_RATING_RO_ROLLUP],0),MATCH(D$9,MMWR_RATING_RO_ROLLUP[#Headers],0)),"ERROR"))</f>
        <v>69.853911326800002</v>
      </c>
      <c r="E34" s="156">
        <f>IF($B34=" ","",IFERROR(INDEX(MMWR_RATING_RO_ROLLUP[],MATCH($B34,MMWR_RATING_RO_ROLLUP[MMWR_RATING_RO_ROLLUP],0),MATCH(E$9,MMWR_RATING_RO_ROLLUP[#Headers],0))/$C34,"ERROR"))</f>
        <v>9.9777905733322361E-2</v>
      </c>
      <c r="F34" s="154">
        <f>IF($B34=" ","",IFERROR(INDEX(MMWR_RATING_RO_ROLLUP[],MATCH($B34,MMWR_RATING_RO_ROLLUP[MMWR_RATING_RO_ROLLUP],0),MATCH(F$9,MMWR_RATING_RO_ROLLUP[#Headers],0)),"ERROR"))</f>
        <v>3658</v>
      </c>
      <c r="G34" s="154">
        <f>IF($B34=" ","",IFERROR(INDEX(MMWR_RATING_RO_ROLLUP[],MATCH($B34,MMWR_RATING_RO_ROLLUP[MMWR_RATING_RO_ROLLUP],0),MATCH(G$9,MMWR_RATING_RO_ROLLUP[#Headers],0)),"ERROR"))</f>
        <v>15011</v>
      </c>
      <c r="H34" s="155">
        <f>IF($B34=" ","",IFERROR(INDEX(MMWR_RATING_RO_ROLLUP[],MATCH($B34,MMWR_RATING_RO_ROLLUP[MMWR_RATING_RO_ROLLUP],0),MATCH(H$9,MMWR_RATING_RO_ROLLUP[#Headers],0)),"ERROR"))</f>
        <v>100.60907599780001</v>
      </c>
      <c r="I34" s="155">
        <f>IF($B34=" ","",IFERROR(INDEX(MMWR_RATING_RO_ROLLUP[],MATCH($B34,MMWR_RATING_RO_ROLLUP[MMWR_RATING_RO_ROLLUP],0),MATCH(I$9,MMWR_RATING_RO_ROLLUP[#Headers],0)),"ERROR"))</f>
        <v>87.672373592699998</v>
      </c>
      <c r="J34" s="42"/>
      <c r="K34" s="42"/>
      <c r="L34" s="42"/>
      <c r="M34" s="42"/>
      <c r="N34" s="28"/>
    </row>
    <row r="35" spans="1:14" x14ac:dyDescent="0.2">
      <c r="A35" s="43"/>
      <c r="B35" s="12" t="s">
        <v>212</v>
      </c>
      <c r="C35" s="154">
        <f>IF($B35=" ","",IFERROR(INDEX(MMWR_RATING_RO_ROLLUP[],MATCH($B35,MMWR_RATING_RO_ROLLUP[MMWR_RATING_RO_ROLLUP],0),MATCH(C$9,MMWR_RATING_RO_ROLLUP[#Headers],0)),"ERROR"))</f>
        <v>6306</v>
      </c>
      <c r="D35" s="155">
        <f>IF($B35=" ","",IFERROR(INDEX(MMWR_RATING_RO_ROLLUP[],MATCH($B35,MMWR_RATING_RO_ROLLUP[MMWR_RATING_RO_ROLLUP],0),MATCH(D$9,MMWR_RATING_RO_ROLLUP[#Headers],0)),"ERROR"))</f>
        <v>68.593244529000003</v>
      </c>
      <c r="E35" s="156">
        <f>IF($B35=" ","",IFERROR(INDEX(MMWR_RATING_RO_ROLLUP[],MATCH($B35,MMWR_RATING_RO_ROLLUP[MMWR_RATING_RO_ROLLUP],0),MATCH(E$9,MMWR_RATING_RO_ROLLUP[#Headers],0))/$C35,"ERROR"))</f>
        <v>0.12210593085949889</v>
      </c>
      <c r="F35" s="154">
        <f>IF($B35=" ","",IFERROR(INDEX(MMWR_RATING_RO_ROLLUP[],MATCH($B35,MMWR_RATING_RO_ROLLUP[MMWR_RATING_RO_ROLLUP],0),MATCH(F$9,MMWR_RATING_RO_ROLLUP[#Headers],0)),"ERROR"))</f>
        <v>3586</v>
      </c>
      <c r="G35" s="154">
        <f>IF($B35=" ","",IFERROR(INDEX(MMWR_RATING_RO_ROLLUP[],MATCH($B35,MMWR_RATING_RO_ROLLUP[MMWR_RATING_RO_ROLLUP],0),MATCH(G$9,MMWR_RATING_RO_ROLLUP[#Headers],0)),"ERROR"))</f>
        <v>13624</v>
      </c>
      <c r="H35" s="155">
        <f>IF($B35=" ","",IFERROR(INDEX(MMWR_RATING_RO_ROLLUP[],MATCH($B35,MMWR_RATING_RO_ROLLUP[MMWR_RATING_RO_ROLLUP],0),MATCH(H$9,MMWR_RATING_RO_ROLLUP[#Headers],0)),"ERROR"))</f>
        <v>76.337702175100006</v>
      </c>
      <c r="I35" s="155">
        <f>IF($B35=" ","",IFERROR(INDEX(MMWR_RATING_RO_ROLLUP[],MATCH($B35,MMWR_RATING_RO_ROLLUP[MMWR_RATING_RO_ROLLUP],0),MATCH(I$9,MMWR_RATING_RO_ROLLUP[#Headers],0)),"ERROR"))</f>
        <v>70.358998825599997</v>
      </c>
      <c r="J35" s="42"/>
      <c r="K35" s="42"/>
      <c r="L35" s="42"/>
      <c r="M35" s="42"/>
      <c r="N35" s="28"/>
    </row>
    <row r="36" spans="1:14" x14ac:dyDescent="0.2">
      <c r="A36" s="25"/>
      <c r="B36" s="12" t="s">
        <v>215</v>
      </c>
      <c r="C36" s="154">
        <f>IF($B36=" ","",IFERROR(INDEX(MMWR_RATING_RO_ROLLUP[],MATCH($B36,MMWR_RATING_RO_ROLLUP[MMWR_RATING_RO_ROLLUP],0),MATCH(C$9,MMWR_RATING_RO_ROLLUP[#Headers],0)),"ERROR"))</f>
        <v>7053</v>
      </c>
      <c r="D36" s="155">
        <f>IF($B36=" ","",IFERROR(INDEX(MMWR_RATING_RO_ROLLUP[],MATCH($B36,MMWR_RATING_RO_ROLLUP[MMWR_RATING_RO_ROLLUP],0),MATCH(D$9,MMWR_RATING_RO_ROLLUP[#Headers],0)),"ERROR"))</f>
        <v>61.839500921599999</v>
      </c>
      <c r="E36" s="156">
        <f>IF($B36=" ","",IFERROR(INDEX(MMWR_RATING_RO_ROLLUP[],MATCH($B36,MMWR_RATING_RO_ROLLUP[MMWR_RATING_RO_ROLLUP],0),MATCH(E$9,MMWR_RATING_RO_ROLLUP[#Headers],0))/$C36,"ERROR"))</f>
        <v>7.9115270097830717E-2</v>
      </c>
      <c r="F36" s="154">
        <f>IF($B36=" ","",IFERROR(INDEX(MMWR_RATING_RO_ROLLUP[],MATCH($B36,MMWR_RATING_RO_ROLLUP[MMWR_RATING_RO_ROLLUP],0),MATCH(F$9,MMWR_RATING_RO_ROLLUP[#Headers],0)),"ERROR"))</f>
        <v>3915</v>
      </c>
      <c r="G36" s="154">
        <f>IF($B36=" ","",IFERROR(INDEX(MMWR_RATING_RO_ROLLUP[],MATCH($B36,MMWR_RATING_RO_ROLLUP[MMWR_RATING_RO_ROLLUP],0),MATCH(G$9,MMWR_RATING_RO_ROLLUP[#Headers],0)),"ERROR"))</f>
        <v>17426</v>
      </c>
      <c r="H36" s="155">
        <f>IF($B36=" ","",IFERROR(INDEX(MMWR_RATING_RO_ROLLUP[],MATCH($B36,MMWR_RATING_RO_ROLLUP[MMWR_RATING_RO_ROLLUP],0),MATCH(H$9,MMWR_RATING_RO_ROLLUP[#Headers],0)),"ERROR"))</f>
        <v>68.106257982100004</v>
      </c>
      <c r="I36" s="155">
        <f>IF($B36=" ","",IFERROR(INDEX(MMWR_RATING_RO_ROLLUP[],MATCH($B36,MMWR_RATING_RO_ROLLUP[MMWR_RATING_RO_ROLLUP],0),MATCH(I$9,MMWR_RATING_RO_ROLLUP[#Headers],0)),"ERROR"))</f>
        <v>65.905256513300003</v>
      </c>
      <c r="J36" s="42"/>
      <c r="K36" s="42"/>
      <c r="L36" s="42"/>
      <c r="M36" s="42"/>
      <c r="N36" s="28"/>
    </row>
    <row r="37" spans="1:14" x14ac:dyDescent="0.2">
      <c r="A37" s="25"/>
      <c r="B37" s="13" t="s">
        <v>227</v>
      </c>
      <c r="C37" s="154">
        <f>IF($B37=" ","",IFERROR(INDEX(MMWR_RATING_RO_ROLLUP[],MATCH($B37,MMWR_RATING_RO_ROLLUP[MMWR_RATING_RO_ROLLUP],0),MATCH(C$9,MMWR_RATING_RO_ROLLUP[#Headers],0)),"ERROR"))</f>
        <v>715</v>
      </c>
      <c r="D37" s="155">
        <f>IF($B37=" ","",IFERROR(INDEX(MMWR_RATING_RO_ROLLUP[],MATCH($B37,MMWR_RATING_RO_ROLLUP[MMWR_RATING_RO_ROLLUP],0),MATCH(D$9,MMWR_RATING_RO_ROLLUP[#Headers],0)),"ERROR"))</f>
        <v>165.69650349649999</v>
      </c>
      <c r="E37" s="156">
        <f>IF($B37=" ","",IFERROR(INDEX(MMWR_RATING_RO_ROLLUP[],MATCH($B37,MMWR_RATING_RO_ROLLUP[MMWR_RATING_RO_ROLLUP],0),MATCH(E$9,MMWR_RATING_RO_ROLLUP[#Headers],0))/$C37,"ERROR"))</f>
        <v>0.47132867132867134</v>
      </c>
      <c r="F37" s="154">
        <f>IF($B37=" ","",IFERROR(INDEX(MMWR_RATING_RO_ROLLUP[],MATCH($B37,MMWR_RATING_RO_ROLLUP[MMWR_RATING_RO_ROLLUP],0),MATCH(F$9,MMWR_RATING_RO_ROLLUP[#Headers],0)),"ERROR"))</f>
        <v>435</v>
      </c>
      <c r="G37" s="154">
        <f>IF($B37=" ","",IFERROR(INDEX(MMWR_RATING_RO_ROLLUP[],MATCH($B37,MMWR_RATING_RO_ROLLUP[MMWR_RATING_RO_ROLLUP],0),MATCH(G$9,MMWR_RATING_RO_ROLLUP[#Headers],0)),"ERROR"))</f>
        <v>1726</v>
      </c>
      <c r="H37" s="155">
        <f>IF($B37=" ","",IFERROR(INDEX(MMWR_RATING_RO_ROLLUP[],MATCH($B37,MMWR_RATING_RO_ROLLUP[MMWR_RATING_RO_ROLLUP],0),MATCH(H$9,MMWR_RATING_RO_ROLLUP[#Headers],0)),"ERROR"))</f>
        <v>59.112643678200001</v>
      </c>
      <c r="I37" s="155">
        <f>IF($B37=" ","",IFERROR(INDEX(MMWR_RATING_RO_ROLLUP[],MATCH($B37,MMWR_RATING_RO_ROLLUP[MMWR_RATING_RO_ROLLUP],0),MATCH(I$9,MMWR_RATING_RO_ROLLUP[#Headers],0)),"ERROR"))</f>
        <v>54.050984936299997</v>
      </c>
      <c r="J37" s="42"/>
      <c r="K37" s="42"/>
      <c r="L37" s="42"/>
      <c r="M37" s="42"/>
      <c r="N37" s="28"/>
    </row>
    <row r="38" spans="1:14" x14ac:dyDescent="0.2">
      <c r="A38" s="25"/>
      <c r="B38" s="377" t="s">
        <v>920</v>
      </c>
      <c r="C38" s="378"/>
      <c r="D38" s="378"/>
      <c r="E38" s="378"/>
      <c r="F38" s="378"/>
      <c r="G38" s="378"/>
      <c r="H38" s="378"/>
      <c r="I38" s="378"/>
      <c r="J38" s="378"/>
      <c r="K38" s="378"/>
      <c r="L38" s="378"/>
      <c r="M38" s="387"/>
      <c r="N38" s="28"/>
    </row>
    <row r="39" spans="1:14" x14ac:dyDescent="0.2">
      <c r="A39" s="25"/>
      <c r="B39" s="44" t="s">
        <v>701</v>
      </c>
      <c r="C39" s="154">
        <f>IF($B39=" ","",IFERROR(INDEX(MMWR_RATING_RO_ROLLUP[],MATCH($B39,MMWR_RATING_RO_ROLLUP[MMWR_RATING_RO_ROLLUP],0),MATCH(C$9,MMWR_RATING_RO_ROLLUP[#Headers],0)),"ERROR"))</f>
        <v>10427</v>
      </c>
      <c r="D39" s="155">
        <f>IF($B39=" ","",IFERROR(INDEX(MMWR_RATING_RO_ROLLUP[],MATCH($B39,MMWR_RATING_RO_ROLLUP[MMWR_RATING_RO_ROLLUP],0),MATCH(D$9,MMWR_RATING_RO_ROLLUP[#Headers],0)),"ERROR"))</f>
        <v>92.282056200200003</v>
      </c>
      <c r="E39" s="156">
        <f>IF($B39=" ","",IFERROR(INDEX(MMWR_RATING_RO_ROLLUP[],MATCH($B39,MMWR_RATING_RO_ROLLUP[MMWR_RATING_RO_ROLLUP],0),MATCH(E$9,MMWR_RATING_RO_ROLLUP[#Headers],0))/$C39,"ERROR"))</f>
        <v>0.21521051117291648</v>
      </c>
      <c r="F39" s="154">
        <f>IF($B39=" ","",IFERROR(INDEX(MMWR_RATING_RO_ROLLUP[],MATCH($B39,MMWR_RATING_RO_ROLLUP[MMWR_RATING_RO_ROLLUP],0),MATCH(F$9,MMWR_RATING_RO_ROLLUP[#Headers],0)),"ERROR"))</f>
        <v>1698</v>
      </c>
      <c r="G39" s="154">
        <f>IF($B39=" ","",IFERROR(INDEX(MMWR_RATING_RO_ROLLUP[],MATCH($B39,MMWR_RATING_RO_ROLLUP[MMWR_RATING_RO_ROLLUP],0),MATCH(G$9,MMWR_RATING_RO_ROLLUP[#Headers],0)),"ERROR"))</f>
        <v>6434</v>
      </c>
      <c r="H39" s="155">
        <f>IF($B39=" ","",IFERROR(INDEX(MMWR_RATING_RO_ROLLUP[],MATCH($B39,MMWR_RATING_RO_ROLLUP[MMWR_RATING_RO_ROLLUP],0),MATCH(H$9,MMWR_RATING_RO_ROLLUP[#Headers],0)),"ERROR"))</f>
        <v>158.8733804476</v>
      </c>
      <c r="I39" s="155">
        <f>IF($B39=" ","",IFERROR(INDEX(MMWR_RATING_RO_ROLLUP[],MATCH($B39,MMWR_RATING_RO_ROLLUP[MMWR_RATING_RO_ROLLUP],0),MATCH(I$9,MMWR_RATING_RO_ROLLUP[#Headers],0)),"ERROR"))</f>
        <v>145.1866645943</v>
      </c>
      <c r="J39" s="42"/>
      <c r="K39" s="42"/>
      <c r="L39" s="42"/>
      <c r="M39" s="42"/>
      <c r="N39" s="28"/>
    </row>
    <row r="40" spans="1:14" x14ac:dyDescent="0.2">
      <c r="A40" s="25"/>
      <c r="B40" s="53" t="s">
        <v>960</v>
      </c>
      <c r="C40" s="154">
        <f>IF($B40=" ","",IFERROR(INDEX(MMWR_RATING_RO_ROLLUP[],MATCH($B40,MMWR_RATING_RO_ROLLUP[MMWR_RATING_RO_ROLLUP],0),MATCH(C$9,MMWR_RATING_RO_ROLLUP[#Headers],0)),"ERROR"))</f>
        <v>1672</v>
      </c>
      <c r="D40" s="155">
        <f>IF($B40=" ","",IFERROR(INDEX(MMWR_RATING_RO_ROLLUP[],MATCH($B40,MMWR_RATING_RO_ROLLUP[MMWR_RATING_RO_ROLLUP],0),MATCH(D$9,MMWR_RATING_RO_ROLLUP[#Headers],0)),"ERROR"))</f>
        <v>87.133373205699996</v>
      </c>
      <c r="E40" s="156">
        <f>IF($B40=" ","",IFERROR(INDEX(MMWR_RATING_RO_ROLLUP[],MATCH($B40,MMWR_RATING_RO_ROLLUP[MMWR_RATING_RO_ROLLUP],0),MATCH(E$9,MMWR_RATING_RO_ROLLUP[#Headers],0))/$C40,"ERROR"))</f>
        <v>0.19377990430622011</v>
      </c>
      <c r="F40" s="154">
        <f>IF($B40=" ","",IFERROR(INDEX(MMWR_RATING_RO_ROLLUP[],MATCH($B40,MMWR_RATING_RO_ROLLUP[MMWR_RATING_RO_ROLLUP],0),MATCH(F$9,MMWR_RATING_RO_ROLLUP[#Headers],0)),"ERROR"))</f>
        <v>374</v>
      </c>
      <c r="G40" s="154">
        <f>IF($B40=" ","",IFERROR(INDEX(MMWR_RATING_RO_ROLLUP[],MATCH($B40,MMWR_RATING_RO_ROLLUP[MMWR_RATING_RO_ROLLUP],0),MATCH(G$9,MMWR_RATING_RO_ROLLUP[#Headers],0)),"ERROR"))</f>
        <v>1441</v>
      </c>
      <c r="H40" s="155">
        <f>IF($B40=" ","",IFERROR(INDEX(MMWR_RATING_RO_ROLLUP[],MATCH($B40,MMWR_RATING_RO_ROLLUP[MMWR_RATING_RO_ROLLUP],0),MATCH(H$9,MMWR_RATING_RO_ROLLUP[#Headers],0)),"ERROR"))</f>
        <v>144.61497326200001</v>
      </c>
      <c r="I40" s="155">
        <f>IF($B40=" ","",IFERROR(INDEX(MMWR_RATING_RO_ROLLUP[],MATCH($B40,MMWR_RATING_RO_ROLLUP[MMWR_RATING_RO_ROLLUP],0),MATCH(I$9,MMWR_RATING_RO_ROLLUP[#Headers],0)),"ERROR"))</f>
        <v>128.82650936850001</v>
      </c>
      <c r="J40" s="42"/>
      <c r="K40" s="42"/>
      <c r="L40" s="42"/>
      <c r="M40" s="42"/>
      <c r="N40" s="28"/>
    </row>
    <row r="41" spans="1:14" x14ac:dyDescent="0.2">
      <c r="A41" s="25"/>
      <c r="B41" s="53" t="s">
        <v>961</v>
      </c>
      <c r="C41" s="154">
        <f>IF($B41=" ","",IFERROR(INDEX(MMWR_RATING_RO_ROLLUP[],MATCH($B41,MMWR_RATING_RO_ROLLUP[MMWR_RATING_RO_ROLLUP],0),MATCH(C$9,MMWR_RATING_RO_ROLLUP[#Headers],0)),"ERROR"))</f>
        <v>1689</v>
      </c>
      <c r="D41" s="155">
        <f>IF($B41=" ","",IFERROR(INDEX(MMWR_RATING_RO_ROLLUP[],MATCH($B41,MMWR_RATING_RO_ROLLUP[MMWR_RATING_RO_ROLLUP],0),MATCH(D$9,MMWR_RATING_RO_ROLLUP[#Headers],0)),"ERROR"))</f>
        <v>97.693309650700002</v>
      </c>
      <c r="E41" s="156">
        <f>IF($B41=" ","",IFERROR(INDEX(MMWR_RATING_RO_ROLLUP[],MATCH($B41,MMWR_RATING_RO_ROLLUP[MMWR_RATING_RO_ROLLUP],0),MATCH(E$9,MMWR_RATING_RO_ROLLUP[#Headers],0))/$C41,"ERROR"))</f>
        <v>0.30313795145056244</v>
      </c>
      <c r="F41" s="154">
        <f>IF($B41=" ","",IFERROR(INDEX(MMWR_RATING_RO_ROLLUP[],MATCH($B41,MMWR_RATING_RO_ROLLUP[MMWR_RATING_RO_ROLLUP],0),MATCH(F$9,MMWR_RATING_RO_ROLLUP[#Headers],0)),"ERROR"))</f>
        <v>284</v>
      </c>
      <c r="G41" s="154">
        <f>IF($B41=" ","",IFERROR(INDEX(MMWR_RATING_RO_ROLLUP[],MATCH($B41,MMWR_RATING_RO_ROLLUP[MMWR_RATING_RO_ROLLUP],0),MATCH(G$9,MMWR_RATING_RO_ROLLUP[#Headers],0)),"ERROR"))</f>
        <v>1138</v>
      </c>
      <c r="H41" s="155">
        <f>IF($B41=" ","",IFERROR(INDEX(MMWR_RATING_RO_ROLLUP[],MATCH($B41,MMWR_RATING_RO_ROLLUP[MMWR_RATING_RO_ROLLUP],0),MATCH(H$9,MMWR_RATING_RO_ROLLUP[#Headers],0)),"ERROR"))</f>
        <v>163.2711267606</v>
      </c>
      <c r="I41" s="155">
        <f>IF($B41=" ","",IFERROR(INDEX(MMWR_RATING_RO_ROLLUP[],MATCH($B41,MMWR_RATING_RO_ROLLUP[MMWR_RATING_RO_ROLLUP],0),MATCH(I$9,MMWR_RATING_RO_ROLLUP[#Headers],0)),"ERROR"))</f>
        <v>154.87521968370001</v>
      </c>
      <c r="J41" s="42"/>
      <c r="K41" s="42"/>
      <c r="L41" s="42"/>
      <c r="M41" s="42"/>
      <c r="N41" s="28"/>
    </row>
    <row r="42" spans="1:14" x14ac:dyDescent="0.2">
      <c r="A42" s="25"/>
      <c r="B42" s="46" t="s">
        <v>310</v>
      </c>
      <c r="C42" s="154">
        <f>IF($B42=" ","",IFERROR(INDEX(MMWR_RATING_RO_ROLLUP[],MATCH($B42,MMWR_RATING_RO_ROLLUP[MMWR_RATING_RO_ROLLUP],0),MATCH(C$9,MMWR_RATING_RO_ROLLUP[#Headers],0)),"ERROR"))</f>
        <v>7066</v>
      </c>
      <c r="D42" s="155">
        <f>IF($B42=" ","",IFERROR(INDEX(MMWR_RATING_RO_ROLLUP[],MATCH($B42,MMWR_RATING_RO_ROLLUP[MMWR_RATING_RO_ROLLUP],0),MATCH(D$9,MMWR_RATING_RO_ROLLUP[#Headers],0)),"ERROR"))</f>
        <v>92.206906311899999</v>
      </c>
      <c r="E42" s="156">
        <f>IF($B42=" ","",IFERROR(INDEX(MMWR_RATING_RO_ROLLUP[],MATCH($B42,MMWR_RATING_RO_ROLLUP[MMWR_RATING_RO_ROLLUP],0),MATCH(E$9,MMWR_RATING_RO_ROLLUP[#Headers],0))/$C42,"ERROR"))</f>
        <v>0.19926408151712427</v>
      </c>
      <c r="F42" s="154">
        <f>IF($B42=" ","",IFERROR(INDEX(MMWR_RATING_RO_ROLLUP[],MATCH($B42,MMWR_RATING_RO_ROLLUP[MMWR_RATING_RO_ROLLUP],0),MATCH(F$9,MMWR_RATING_RO_ROLLUP[#Headers],0)),"ERROR"))</f>
        <v>1040</v>
      </c>
      <c r="G42" s="154">
        <f>IF($B42=" ","",IFERROR(INDEX(MMWR_RATING_RO_ROLLUP[],MATCH($B42,MMWR_RATING_RO_ROLLUP[MMWR_RATING_RO_ROLLUP],0),MATCH(G$9,MMWR_RATING_RO_ROLLUP[#Headers],0)),"ERROR"))</f>
        <v>3855</v>
      </c>
      <c r="H42" s="155">
        <f>IF($B42=" ","",IFERROR(INDEX(MMWR_RATING_RO_ROLLUP[],MATCH($B42,MMWR_RATING_RO_ROLLUP[MMWR_RATING_RO_ROLLUP],0),MATCH(H$9,MMWR_RATING_RO_ROLLUP[#Headers],0)),"ERROR"))</f>
        <v>162.80000000000001</v>
      </c>
      <c r="I42" s="155">
        <f>IF($B42=" ","",IFERROR(INDEX(MMWR_RATING_RO_ROLLUP[],MATCH($B42,MMWR_RATING_RO_ROLLUP[MMWR_RATING_RO_ROLLUP],0),MATCH(I$9,MMWR_RATING_RO_ROLLUP[#Headers],0)),"ERROR"))</f>
        <v>148.4420233463</v>
      </c>
      <c r="J42" s="42"/>
      <c r="K42" s="42"/>
      <c r="L42" s="42"/>
      <c r="M42" s="42"/>
      <c r="N42" s="28"/>
    </row>
    <row r="43" spans="1:14" x14ac:dyDescent="0.2">
      <c r="A43" s="25"/>
      <c r="B43" s="377" t="s">
        <v>738</v>
      </c>
      <c r="C43" s="378"/>
      <c r="D43" s="378"/>
      <c r="E43" s="378"/>
      <c r="F43" s="378"/>
      <c r="G43" s="378"/>
      <c r="H43" s="378"/>
      <c r="I43" s="378"/>
      <c r="J43" s="378"/>
      <c r="K43" s="378"/>
      <c r="L43" s="378"/>
      <c r="M43" s="387"/>
      <c r="N43" s="28"/>
    </row>
    <row r="44" spans="1:14" x14ac:dyDescent="0.2">
      <c r="A44" s="25"/>
      <c r="B44" s="44" t="s">
        <v>699</v>
      </c>
      <c r="C44" s="154">
        <f>IF($B44=" ","",IFERROR(INDEX(MMWR_RATING_RO_ROLLUP[],MATCH($B44,MMWR_RATING_RO_ROLLUP[MMWR_RATING_RO_ROLLUP],0),MATCH(C$9,MMWR_RATING_RO_ROLLUP[#Headers],0)),"ERROR"))</f>
        <v>10561</v>
      </c>
      <c r="D44" s="155">
        <f>IF($B44=" ","",IFERROR(INDEX(MMWR_RATING_RO_ROLLUP[],MATCH($B44,MMWR_RATING_RO_ROLLUP[MMWR_RATING_RO_ROLLUP],0),MATCH(D$9,MMWR_RATING_RO_ROLLUP[#Headers],0)),"ERROR"))</f>
        <v>91.782691033000006</v>
      </c>
      <c r="E44" s="156">
        <f>IF($B44=" ","",IFERROR(INDEX(MMWR_RATING_RO_ROLLUP[],MATCH($B44,MMWR_RATING_RO_ROLLUP[MMWR_RATING_RO_ROLLUP],0),MATCH(E$9,MMWR_RATING_RO_ROLLUP[#Headers],0))/$C44,"ERROR"))</f>
        <v>0.1928794621721428</v>
      </c>
      <c r="F44" s="154">
        <f>IF($B44=" ","",IFERROR(INDEX(MMWR_RATING_RO_ROLLUP[],MATCH($B44,MMWR_RATING_RO_ROLLUP[MMWR_RATING_RO_ROLLUP],0),MATCH(F$9,MMWR_RATING_RO_ROLLUP[#Headers],0)),"ERROR"))</f>
        <v>2173</v>
      </c>
      <c r="G44" s="154">
        <f>IF($B44=" ","",IFERROR(INDEX(MMWR_RATING_RO_ROLLUP[],MATCH($B44,MMWR_RATING_RO_ROLLUP[MMWR_RATING_RO_ROLLUP],0),MATCH(G$9,MMWR_RATING_RO_ROLLUP[#Headers],0)),"ERROR"))</f>
        <v>8060</v>
      </c>
      <c r="H44" s="155">
        <f>IF($B44=" ","",IFERROR(INDEX(MMWR_RATING_RO_ROLLUP[],MATCH($B44,MMWR_RATING_RO_ROLLUP[MMWR_RATING_RO_ROLLUP],0),MATCH(H$9,MMWR_RATING_RO_ROLLUP[#Headers],0)),"ERROR"))</f>
        <v>148.21997238840001</v>
      </c>
      <c r="I44" s="155">
        <f>IF($B44=" ","",IFERROR(INDEX(MMWR_RATING_RO_ROLLUP[],MATCH($B44,MMWR_RATING_RO_ROLLUP[MMWR_RATING_RO_ROLLUP],0),MATCH(I$9,MMWR_RATING_RO_ROLLUP[#Headers],0)),"ERROR"))</f>
        <v>137.476674938</v>
      </c>
      <c r="J44" s="42"/>
      <c r="K44" s="42"/>
      <c r="L44" s="42"/>
      <c r="M44" s="42"/>
      <c r="N44" s="28"/>
    </row>
    <row r="45" spans="1:14" x14ac:dyDescent="0.2">
      <c r="A45" s="25"/>
      <c r="B45" s="45" t="s">
        <v>214</v>
      </c>
      <c r="C45" s="154">
        <f>IF($B45=" ","",IFERROR(INDEX(MMWR_RATING_RO_ROLLUP[],MATCH($B45,MMWR_RATING_RO_ROLLUP[MMWR_RATING_RO_ROLLUP],0),MATCH(C$9,MMWR_RATING_RO_ROLLUP[#Headers],0)),"ERROR"))</f>
        <v>60</v>
      </c>
      <c r="D45" s="155">
        <f>IF($B45=" ","",IFERROR(INDEX(MMWR_RATING_RO_ROLLUP[],MATCH($B45,MMWR_RATING_RO_ROLLUP[MMWR_RATING_RO_ROLLUP],0),MATCH(D$9,MMWR_RATING_RO_ROLLUP[#Headers],0)),"ERROR"))</f>
        <v>98.3</v>
      </c>
      <c r="E45" s="156">
        <f>IF($B45=" ","",IFERROR(INDEX(MMWR_RATING_RO_ROLLUP[],MATCH($B45,MMWR_RATING_RO_ROLLUP[MMWR_RATING_RO_ROLLUP],0),MATCH(E$9,MMWR_RATING_RO_ROLLUP[#Headers],0))/$C45,"ERROR"))</f>
        <v>0.25</v>
      </c>
      <c r="F45" s="154">
        <f>IF($B45=" ","",IFERROR(INDEX(MMWR_RATING_RO_ROLLUP[],MATCH($B45,MMWR_RATING_RO_ROLLUP[MMWR_RATING_RO_ROLLUP],0),MATCH(F$9,MMWR_RATING_RO_ROLLUP[#Headers],0)),"ERROR"))</f>
        <v>24</v>
      </c>
      <c r="G45" s="154">
        <f>IF($B45=" ","",IFERROR(INDEX(MMWR_RATING_RO_ROLLUP[],MATCH($B45,MMWR_RATING_RO_ROLLUP[MMWR_RATING_RO_ROLLUP],0),MATCH(G$9,MMWR_RATING_RO_ROLLUP[#Headers],0)),"ERROR"))</f>
        <v>62</v>
      </c>
      <c r="H45" s="155">
        <f>IF($B45=" ","",IFERROR(INDEX(MMWR_RATING_RO_ROLLUP[],MATCH($B45,MMWR_RATING_RO_ROLLUP[MMWR_RATING_RO_ROLLUP],0),MATCH(H$9,MMWR_RATING_RO_ROLLUP[#Headers],0)),"ERROR"))</f>
        <v>134.125</v>
      </c>
      <c r="I45" s="155">
        <f>IF($B45=" ","",IFERROR(INDEX(MMWR_RATING_RO_ROLLUP[],MATCH($B45,MMWR_RATING_RO_ROLLUP[MMWR_RATING_RO_ROLLUP],0),MATCH(I$9,MMWR_RATING_RO_ROLLUP[#Headers],0)),"ERROR"))</f>
        <v>143.77419354840001</v>
      </c>
      <c r="J45" s="42"/>
      <c r="K45" s="42"/>
      <c r="L45" s="42"/>
      <c r="M45" s="42"/>
      <c r="N45" s="28"/>
    </row>
    <row r="46" spans="1:14" x14ac:dyDescent="0.2">
      <c r="A46" s="25"/>
      <c r="B46" s="45" t="s">
        <v>216</v>
      </c>
      <c r="C46" s="154">
        <f>IF($B46=" ","",IFERROR(INDEX(MMWR_RATING_RO_ROLLUP[],MATCH($B46,MMWR_RATING_RO_ROLLUP[MMWR_RATING_RO_ROLLUP],0),MATCH(C$9,MMWR_RATING_RO_ROLLUP[#Headers],0)),"ERROR"))</f>
        <v>1633</v>
      </c>
      <c r="D46" s="155">
        <f>IF($B46=" ","",IFERROR(INDEX(MMWR_RATING_RO_ROLLUP[],MATCH($B46,MMWR_RATING_RO_ROLLUP[MMWR_RATING_RO_ROLLUP],0),MATCH(D$9,MMWR_RATING_RO_ROLLUP[#Headers],0)),"ERROR"))</f>
        <v>92.150642988399994</v>
      </c>
      <c r="E46" s="156">
        <f>IF($B46=" ","",IFERROR(INDEX(MMWR_RATING_RO_ROLLUP[],MATCH($B46,MMWR_RATING_RO_ROLLUP[MMWR_RATING_RO_ROLLUP],0),MATCH(E$9,MMWR_RATING_RO_ROLLUP[#Headers],0))/$C46,"ERROR"))</f>
        <v>0.25107164727495407</v>
      </c>
      <c r="F46" s="154">
        <f>IF($B46=" ","",IFERROR(INDEX(MMWR_RATING_RO_ROLLUP[],MATCH($B46,MMWR_RATING_RO_ROLLUP[MMWR_RATING_RO_ROLLUP],0),MATCH(F$9,MMWR_RATING_RO_ROLLUP[#Headers],0)),"ERROR"))</f>
        <v>378</v>
      </c>
      <c r="G46" s="154">
        <f>IF($B46=" ","",IFERROR(INDEX(MMWR_RATING_RO_ROLLUP[],MATCH($B46,MMWR_RATING_RO_ROLLUP[MMWR_RATING_RO_ROLLUP],0),MATCH(G$9,MMWR_RATING_RO_ROLLUP[#Headers],0)),"ERROR"))</f>
        <v>1535</v>
      </c>
      <c r="H46" s="155">
        <f>IF($B46=" ","",IFERROR(INDEX(MMWR_RATING_RO_ROLLUP[],MATCH($B46,MMWR_RATING_RO_ROLLUP[MMWR_RATING_RO_ROLLUP],0),MATCH(H$9,MMWR_RATING_RO_ROLLUP[#Headers],0)),"ERROR"))</f>
        <v>157.13227513230001</v>
      </c>
      <c r="I46" s="155">
        <f>IF($B46=" ","",IFERROR(INDEX(MMWR_RATING_RO_ROLLUP[],MATCH($B46,MMWR_RATING_RO_ROLLUP[MMWR_RATING_RO_ROLLUP],0),MATCH(I$9,MMWR_RATING_RO_ROLLUP[#Headers],0)),"ERROR"))</f>
        <v>146.39934853419999</v>
      </c>
      <c r="J46" s="42"/>
      <c r="K46" s="42"/>
      <c r="L46" s="42"/>
      <c r="M46" s="42"/>
      <c r="N46" s="28"/>
    </row>
    <row r="47" spans="1:14" x14ac:dyDescent="0.2">
      <c r="A47" s="25"/>
      <c r="B47" s="47" t="s">
        <v>311</v>
      </c>
      <c r="C47" s="154">
        <f>IF($B47=" ","",IFERROR(INDEX(MMWR_RATING_RO_ROLLUP[],MATCH($B47,MMWR_RATING_RO_ROLLUP[MMWR_RATING_RO_ROLLUP],0),MATCH(C$9,MMWR_RATING_RO_ROLLUP[#Headers],0)),"ERROR"))</f>
        <v>8868</v>
      </c>
      <c r="D47" s="155">
        <f>IF($B47=" ","",IFERROR(INDEX(MMWR_RATING_RO_ROLLUP[],MATCH($B47,MMWR_RATING_RO_ROLLUP[MMWR_RATING_RO_ROLLUP],0),MATCH(D$9,MMWR_RATING_RO_ROLLUP[#Headers],0)),"ERROR"))</f>
        <v>91.670838971600006</v>
      </c>
      <c r="E47" s="156">
        <f>IF($B47=" ","",IFERROR(INDEX(MMWR_RATING_RO_ROLLUP[],MATCH($B47,MMWR_RATING_RO_ROLLUP[MMWR_RATING_RO_ROLLUP],0),MATCH(E$9,MMWR_RATING_RO_ROLLUP[#Headers],0))/$C47,"ERROR"))</f>
        <v>0.18177717636445648</v>
      </c>
      <c r="F47" s="154">
        <f>IF($B47=" ","",IFERROR(INDEX(MMWR_RATING_RO_ROLLUP[],MATCH($B47,MMWR_RATING_RO_ROLLUP[MMWR_RATING_RO_ROLLUP],0),MATCH(F$9,MMWR_RATING_RO_ROLLUP[#Headers],0)),"ERROR"))</f>
        <v>1771</v>
      </c>
      <c r="G47" s="154">
        <f>IF($B47=" ","",IFERROR(INDEX(MMWR_RATING_RO_ROLLUP[],MATCH($B47,MMWR_RATING_RO_ROLLUP[MMWR_RATING_RO_ROLLUP],0),MATCH(G$9,MMWR_RATING_RO_ROLLUP[#Headers],0)),"ERROR"))</f>
        <v>6463</v>
      </c>
      <c r="H47" s="155">
        <f>IF($B47=" ","",IFERROR(INDEX(MMWR_RATING_RO_ROLLUP[],MATCH($B47,MMWR_RATING_RO_ROLLUP[MMWR_RATING_RO_ROLLUP],0),MATCH(H$9,MMWR_RATING_RO_ROLLUP[#Headers],0)),"ERROR"))</f>
        <v>146.50875211740001</v>
      </c>
      <c r="I47" s="155">
        <f>IF($B47=" ","",IFERROR(INDEX(MMWR_RATING_RO_ROLLUP[],MATCH($B47,MMWR_RATING_RO_ROLLUP[MMWR_RATING_RO_ROLLUP],0),MATCH(I$9,MMWR_RATING_RO_ROLLUP[#Headers],0)),"ERROR"))</f>
        <v>135.2970756615</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982</v>
      </c>
      <c r="D2" s="350"/>
      <c r="E2" s="350"/>
      <c r="F2" s="350"/>
      <c r="G2" s="350"/>
      <c r="H2" s="350"/>
      <c r="I2" s="350"/>
      <c r="J2" s="349" t="s">
        <v>303</v>
      </c>
      <c r="K2" s="350"/>
      <c r="L2" s="350"/>
      <c r="M2" s="351"/>
      <c r="N2" s="28"/>
    </row>
    <row r="3" spans="1:15" ht="24" customHeight="1" thickBot="1" x14ac:dyDescent="0.4">
      <c r="A3" s="25"/>
      <c r="B3" s="29"/>
      <c r="C3" s="352"/>
      <c r="D3" s="353"/>
      <c r="E3" s="353"/>
      <c r="F3" s="353"/>
      <c r="G3" s="353"/>
      <c r="H3" s="353"/>
      <c r="I3" s="353"/>
      <c r="J3" s="352" t="str">
        <f>Transformation!B4</f>
        <v>As of: January 30, 2016</v>
      </c>
      <c r="K3" s="353"/>
      <c r="L3" s="353"/>
      <c r="M3" s="354"/>
      <c r="N3" s="28"/>
    </row>
    <row r="4" spans="1:15" ht="51.75" customHeight="1" thickBot="1" x14ac:dyDescent="0.35">
      <c r="A4" s="30"/>
      <c r="B4" s="246" t="s">
        <v>459</v>
      </c>
      <c r="C4" s="355" t="s">
        <v>435</v>
      </c>
      <c r="D4" s="356"/>
      <c r="E4" s="356"/>
      <c r="F4" s="356"/>
      <c r="G4" s="356"/>
      <c r="H4" s="356"/>
      <c r="I4" s="356"/>
      <c r="J4" s="356"/>
      <c r="K4" s="356"/>
      <c r="L4" s="356"/>
      <c r="M4" s="357"/>
      <c r="N4" s="28"/>
    </row>
    <row r="5" spans="1:15" ht="27" customHeight="1" thickBot="1" x14ac:dyDescent="0.25">
      <c r="A5" s="30"/>
      <c r="B5" s="245" t="s">
        <v>373</v>
      </c>
      <c r="C5" s="358" t="s">
        <v>1046</v>
      </c>
      <c r="D5" s="359"/>
      <c r="E5" s="359"/>
      <c r="F5" s="359"/>
      <c r="G5" s="359"/>
      <c r="H5" s="359"/>
      <c r="I5" s="359"/>
      <c r="J5" s="359"/>
      <c r="K5" s="359"/>
      <c r="L5" s="359"/>
      <c r="M5" s="359"/>
      <c r="N5" s="359"/>
      <c r="O5" s="360"/>
    </row>
    <row r="6" spans="1:15" ht="55.5" customHeight="1" x14ac:dyDescent="0.2">
      <c r="A6" s="30"/>
      <c r="B6" s="31"/>
      <c r="C6" s="32" t="s">
        <v>193</v>
      </c>
      <c r="D6" s="361" t="s">
        <v>16</v>
      </c>
      <c r="E6" s="362"/>
      <c r="F6" s="33" t="s">
        <v>196</v>
      </c>
      <c r="G6" s="361" t="s">
        <v>201</v>
      </c>
      <c r="H6" s="363"/>
      <c r="I6" s="33" t="s">
        <v>199</v>
      </c>
      <c r="J6" s="49" t="s">
        <v>14</v>
      </c>
      <c r="K6" s="33" t="s">
        <v>204</v>
      </c>
      <c r="L6" s="367" t="s">
        <v>88</v>
      </c>
      <c r="M6" s="395"/>
      <c r="N6" s="28"/>
    </row>
    <row r="7" spans="1:15" ht="51.75" customHeight="1" x14ac:dyDescent="0.2">
      <c r="A7" s="30"/>
      <c r="B7" s="34"/>
      <c r="C7" s="35" t="s">
        <v>194</v>
      </c>
      <c r="D7" s="379" t="s">
        <v>0</v>
      </c>
      <c r="E7" s="380"/>
      <c r="F7" s="36" t="s">
        <v>197</v>
      </c>
      <c r="G7" s="381" t="s">
        <v>202</v>
      </c>
      <c r="H7" s="381"/>
      <c r="I7" s="36" t="s">
        <v>200</v>
      </c>
      <c r="J7" s="50" t="s">
        <v>19</v>
      </c>
      <c r="K7" s="36" t="s">
        <v>205</v>
      </c>
      <c r="L7" s="391" t="s">
        <v>90</v>
      </c>
      <c r="M7" s="392"/>
      <c r="N7" s="28"/>
    </row>
    <row r="8" spans="1:15" ht="51.75" customHeight="1" thickBot="1" x14ac:dyDescent="0.25">
      <c r="A8" s="25"/>
      <c r="B8" s="28"/>
      <c r="C8" s="37" t="s">
        <v>195</v>
      </c>
      <c r="D8" s="382" t="s">
        <v>18</v>
      </c>
      <c r="E8" s="383"/>
      <c r="F8" s="38" t="s">
        <v>198</v>
      </c>
      <c r="G8" s="384" t="s">
        <v>17</v>
      </c>
      <c r="H8" s="384"/>
      <c r="I8" s="38" t="s">
        <v>203</v>
      </c>
      <c r="J8" s="51" t="s">
        <v>87</v>
      </c>
      <c r="K8" s="38" t="s">
        <v>206</v>
      </c>
      <c r="L8" s="393" t="s">
        <v>89</v>
      </c>
      <c r="M8" s="394"/>
      <c r="N8" s="28"/>
    </row>
    <row r="9" spans="1:15" x14ac:dyDescent="0.2">
      <c r="A9" s="28"/>
      <c r="B9" s="39"/>
      <c r="C9" s="39" t="s">
        <v>718</v>
      </c>
      <c r="D9" s="39" t="s">
        <v>720</v>
      </c>
      <c r="E9" s="39" t="s">
        <v>719</v>
      </c>
      <c r="F9" s="39" t="s">
        <v>722</v>
      </c>
      <c r="G9" s="39" t="s">
        <v>721</v>
      </c>
      <c r="H9" s="39" t="s">
        <v>724</v>
      </c>
      <c r="I9" s="39" t="s">
        <v>723</v>
      </c>
      <c r="J9" s="39"/>
      <c r="K9" s="39"/>
      <c r="L9" s="39"/>
      <c r="M9" s="39"/>
      <c r="N9" s="39"/>
    </row>
    <row r="10" spans="1:15" ht="15.75" customHeight="1" x14ac:dyDescent="0.2">
      <c r="A10" s="25"/>
      <c r="B10" s="26"/>
      <c r="C10" s="385" t="s">
        <v>296</v>
      </c>
      <c r="D10" s="385"/>
      <c r="E10" s="385"/>
      <c r="F10" s="385"/>
      <c r="G10" s="385"/>
      <c r="H10" s="385"/>
      <c r="I10" s="385"/>
      <c r="J10" s="385"/>
      <c r="K10" s="385"/>
      <c r="L10" s="385"/>
      <c r="M10" s="386"/>
      <c r="N10" s="28"/>
    </row>
    <row r="11" spans="1:15" ht="63.75" customHeight="1" x14ac:dyDescent="0.2">
      <c r="A11" s="25"/>
      <c r="B11" s="26"/>
      <c r="C11" s="52" t="s">
        <v>229</v>
      </c>
      <c r="D11" s="52" t="s">
        <v>137</v>
      </c>
      <c r="E11" s="52" t="s">
        <v>230</v>
      </c>
      <c r="F11" s="52" t="s">
        <v>192</v>
      </c>
      <c r="G11" s="52" t="s">
        <v>207</v>
      </c>
      <c r="H11" s="52" t="s">
        <v>209</v>
      </c>
      <c r="I11" s="52" t="s">
        <v>210</v>
      </c>
      <c r="J11" s="388" t="s">
        <v>976</v>
      </c>
      <c r="K11" s="389"/>
      <c r="L11" s="389"/>
      <c r="M11" s="390"/>
      <c r="N11" s="28"/>
    </row>
    <row r="12" spans="1:15" x14ac:dyDescent="0.2">
      <c r="A12" s="25"/>
      <c r="B12" s="41" t="s">
        <v>733</v>
      </c>
      <c r="C12" s="154">
        <f>IF($B12=" ","",IFERROR(INDEX(MMWR_RATING_STATE_ROLLUP_VSC[],MATCH($B12,MMWR_RATING_STATE_ROLLUP_VSC[MMWR_RATING_STATE_ROLLUP_VSC],0),MATCH(C$9,MMWR_RATING_STATE_ROLLUP_VSC[#Headers],0)),"ERROR"))</f>
        <v>352666</v>
      </c>
      <c r="D12" s="155">
        <f>IF($B12=" ","",IFERROR(INDEX(MMWR_RATING_STATE_ROLLUP_VSC[],MATCH($B12,MMWR_RATING_STATE_ROLLUP_VSC[MMWR_RATING_STATE_ROLLUP_VSC],0),MATCH(D$9,MMWR_RATING_STATE_ROLLUP_VSC[#Headers],0)),"ERROR"))</f>
        <v>92.8550526561</v>
      </c>
      <c r="E12" s="157">
        <f>IF($B12=" ","",IFERROR(INDEX(MMWR_RATING_STATE_ROLLUP_VSC[],MATCH($B12,MMWR_RATING_STATE_ROLLUP_VSC[MMWR_RATING_STATE_ROLLUP_VSC],0),MATCH(E$9,MMWR_RATING_STATE_ROLLUP_VSC[#Headers],0))/$C12,"ERROR"))</f>
        <v>0.21957602944429006</v>
      </c>
      <c r="F12" s="154">
        <f>IF($B12=" ","",IFERROR(INDEX(MMWR_RATING_STATE_ROLLUP_VSC[],MATCH($B12,MMWR_RATING_STATE_ROLLUP_VSC[MMWR_RATING_STATE_ROLLUP_VSC],0),MATCH(F$9,MMWR_RATING_STATE_ROLLUP_VSC[#Headers],0)),"ERROR"))</f>
        <v>101376</v>
      </c>
      <c r="G12" s="154">
        <f>IF($B12=" ","",IFERROR(INDEX(MMWR_RATING_STATE_ROLLUP_VSC[],MATCH($B12,MMWR_RATING_STATE_ROLLUP_VSC[MMWR_RATING_STATE_ROLLUP_VSC],0),MATCH(G$9,MMWR_RATING_STATE_ROLLUP_VSC[#Headers],0)),"ERROR"))</f>
        <v>409078</v>
      </c>
      <c r="H12" s="155">
        <f>IF($B12=" ","",IFERROR(INDEX(MMWR_RATING_STATE_ROLLUP_VSC[],MATCH($B12,MMWR_RATING_STATE_ROLLUP_VSC[MMWR_RATING_STATE_ROLLUP_VSC],0),MATCH(H$9,MMWR_RATING_STATE_ROLLUP_VSC[#Headers],0)),"ERROR"))</f>
        <v>127.7264835859</v>
      </c>
      <c r="I12" s="155">
        <f>IF($B12=" ","",IFERROR(INDEX(MMWR_RATING_STATE_ROLLUP_VSC[],MATCH($B12,MMWR_RATING_STATE_ROLLUP_VSC[MMWR_RATING_STATE_ROLLUP_VSC],0),MATCH(I$9,MMWR_RATING_STATE_ROLLUP_VSC[#Headers],0)),"ERROR"))</f>
        <v>128.1766826864</v>
      </c>
      <c r="J12" s="42"/>
      <c r="K12" s="42"/>
      <c r="L12" s="42"/>
      <c r="M12" s="42"/>
      <c r="N12" s="28"/>
    </row>
    <row r="13" spans="1:15" x14ac:dyDescent="0.2">
      <c r="A13" s="25"/>
      <c r="B13" s="377" t="s">
        <v>962</v>
      </c>
      <c r="C13" s="378"/>
      <c r="D13" s="378"/>
      <c r="E13" s="378"/>
      <c r="F13" s="378"/>
      <c r="G13" s="378"/>
      <c r="H13" s="378"/>
      <c r="I13" s="378"/>
      <c r="J13" s="378"/>
      <c r="K13" s="378"/>
      <c r="L13" s="378"/>
      <c r="M13" s="387"/>
      <c r="N13" s="28"/>
    </row>
    <row r="14" spans="1:15" x14ac:dyDescent="0.2">
      <c r="A14" s="25"/>
      <c r="B14" s="41" t="s">
        <v>1040</v>
      </c>
      <c r="C14" s="154">
        <f>IF($B14=" ","",IFERROR(INDEX(MMWR_RATING_STATE_ROLLUP_VSC[],MATCH($B14,MMWR_RATING_STATE_ROLLUP_VSC[MMWR_RATING_STATE_ROLLUP_VSC],0),MATCH(C$9,MMWR_RATING_STATE_ROLLUP_VSC[#Headers],0)),"ERROR"))</f>
        <v>305447</v>
      </c>
      <c r="D14" s="155">
        <f>IF($B14=" ","",IFERROR(INDEX(MMWR_RATING_STATE_ROLLUP_VSC[],MATCH($B14,MMWR_RATING_STATE_ROLLUP_VSC[MMWR_RATING_STATE_ROLLUP_VSC],0),MATCH(D$9,MMWR_RATING_STATE_ROLLUP_VSC[#Headers],0)),"ERROR"))</f>
        <v>94.873703130199999</v>
      </c>
      <c r="E14" s="156">
        <f>IF($B14=" ","",IFERROR(INDEX(MMWR_RATING_STATE_ROLLUP_VSC[],MATCH($B14,MMWR_RATING_STATE_ROLLUP_VSC[MMWR_RATING_STATE_ROLLUP_VSC],0),MATCH(E$9,MMWR_RATING_STATE_ROLLUP_VSC[#Headers],0))/$C14,"ERROR"))</f>
        <v>0.23008246929909282</v>
      </c>
      <c r="F14" s="154">
        <f>IF($B14=" ","",IFERROR(INDEX(MMWR_RATING_STATE_ROLLUP_VSC[],MATCH($B14,MMWR_RATING_STATE_ROLLUP_VSC[MMWR_RATING_STATE_ROLLUP_VSC],0),MATCH(F$9,MMWR_RATING_STATE_ROLLUP_VSC[#Headers],0)),"ERROR"))</f>
        <v>85911</v>
      </c>
      <c r="G14" s="154">
        <f>IF($B14=" ","",IFERROR(INDEX(MMWR_RATING_STATE_ROLLUP_VSC[],MATCH($B14,MMWR_RATING_STATE_ROLLUP_VSC[MMWR_RATING_STATE_ROLLUP_VSC],0),MATCH(G$9,MMWR_RATING_STATE_ROLLUP_VSC[#Headers],0)),"ERROR"))</f>
        <v>346797</v>
      </c>
      <c r="H14" s="155">
        <f>IF($B14=" ","",IFERROR(INDEX(MMWR_RATING_STATE_ROLLUP_VSC[],MATCH($B14,MMWR_RATING_STATE_ROLLUP_VSC[MMWR_RATING_STATE_ROLLUP_VSC],0),MATCH(H$9,MMWR_RATING_STATE_ROLLUP_VSC[#Headers],0)),"ERROR"))</f>
        <v>132.9565014957</v>
      </c>
      <c r="I14" s="155">
        <f>IF($B14=" ","",IFERROR(INDEX(MMWR_RATING_STATE_ROLLUP_VSC[],MATCH($B14,MMWR_RATING_STATE_ROLLUP_VSC[MMWR_RATING_STATE_ROLLUP_VSC],0),MATCH(I$9,MMWR_RATING_STATE_ROLLUP_VSC[#Headers],0)),"ERROR"))</f>
        <v>135.1675187502</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65442</v>
      </c>
      <c r="D15" s="155">
        <f>IF($B15=" ","",IFERROR(INDEX(MMWR_RATING_STATE_ROLLUP_VSC[],MATCH($B15,MMWR_RATING_STATE_ROLLUP_VSC[MMWR_RATING_STATE_ROLLUP_VSC],0),MATCH(D$9,MMWR_RATING_STATE_ROLLUP_VSC[#Headers],0)),"ERROR"))</f>
        <v>97.2442009719</v>
      </c>
      <c r="E15" s="156">
        <f>IF($B15=" ","",IFERROR(INDEX(MMWR_RATING_STATE_ROLLUP_VSC[],MATCH($B15,MMWR_RATING_STATE_ROLLUP_VSC[MMWR_RATING_STATE_ROLLUP_VSC],0),MATCH(E$9,MMWR_RATING_STATE_ROLLUP_VSC[#Headers],0))/$C15,"ERROR"))</f>
        <v>0.23941811069343846</v>
      </c>
      <c r="F15" s="154">
        <f>IF($B15=" ","",IFERROR(INDEX(MMWR_RATING_STATE_ROLLUP_VSC[],MATCH($B15,MMWR_RATING_STATE_ROLLUP_VSC[MMWR_RATING_STATE_ROLLUP_VSC],0),MATCH(F$9,MMWR_RATING_STATE_ROLLUP_VSC[#Headers],0)),"ERROR"))</f>
        <v>17875</v>
      </c>
      <c r="G15" s="154">
        <f>IF($B15=" ","",IFERROR(INDEX(MMWR_RATING_STATE_ROLLUP_VSC[],MATCH($B15,MMWR_RATING_STATE_ROLLUP_VSC[MMWR_RATING_STATE_ROLLUP_VSC],0),MATCH(G$9,MMWR_RATING_STATE_ROLLUP_VSC[#Headers],0)),"ERROR"))</f>
        <v>72436</v>
      </c>
      <c r="H15" s="155">
        <f>IF($B15=" ","",IFERROR(INDEX(MMWR_RATING_STATE_ROLLUP_VSC[],MATCH($B15,MMWR_RATING_STATE_ROLLUP_VSC[MMWR_RATING_STATE_ROLLUP_VSC],0),MATCH(H$9,MMWR_RATING_STATE_ROLLUP_VSC[#Headers],0)),"ERROR"))</f>
        <v>136.1160839161</v>
      </c>
      <c r="I15" s="155">
        <f>IF($B15=" ","",IFERROR(INDEX(MMWR_RATING_STATE_ROLLUP_VSC[],MATCH($B15,MMWR_RATING_STATE_ROLLUP_VSC[MMWR_RATING_STATE_ROLLUP_VSC],0),MATCH(I$9,MMWR_RATING_STATE_ROLLUP_VSC[#Headers],0)),"ERROR"))</f>
        <v>137.67847479150001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2019</v>
      </c>
      <c r="D16" s="155">
        <f>IF($B16=" ","",IFERROR(INDEX(MMWR_RATING_STATE_ROLLUP_VSC[],MATCH($B16,MMWR_RATING_STATE_ROLLUP_VSC[MMWR_RATING_STATE_ROLLUP_VSC],0),MATCH(D$9,MMWR_RATING_STATE_ROLLUP_VSC[#Headers],0)),"ERROR"))</f>
        <v>87.465081723599994</v>
      </c>
      <c r="E16" s="156">
        <f>IF($B16=" ","",IFERROR(INDEX(MMWR_RATING_STATE_ROLLUP_VSC[],MATCH($B16,MMWR_RATING_STATE_ROLLUP_VSC[MMWR_RATING_STATE_ROLLUP_VSC],0),MATCH(E$9,MMWR_RATING_STATE_ROLLUP_VSC[#Headers],0))/$C16,"ERROR"))</f>
        <v>0.18325903912828131</v>
      </c>
      <c r="F16" s="154">
        <f>IF($B16=" ","",IFERROR(INDEX(MMWR_RATING_STATE_ROLLUP_VSC[],MATCH($B16,MMWR_RATING_STATE_ROLLUP_VSC[MMWR_RATING_STATE_ROLLUP_VSC],0),MATCH(F$9,MMWR_RATING_STATE_ROLLUP_VSC[#Headers],0)),"ERROR"))</f>
        <v>511</v>
      </c>
      <c r="G16" s="154">
        <f>IF($B16=" ","",IFERROR(INDEX(MMWR_RATING_STATE_ROLLUP_VSC[],MATCH($B16,MMWR_RATING_STATE_ROLLUP_VSC[MMWR_RATING_STATE_ROLLUP_VSC],0),MATCH(G$9,MMWR_RATING_STATE_ROLLUP_VSC[#Headers],0)),"ERROR"))</f>
        <v>2024</v>
      </c>
      <c r="H16" s="155">
        <f>IF($B16=" ","",IFERROR(INDEX(MMWR_RATING_STATE_ROLLUP_VSC[],MATCH($B16,MMWR_RATING_STATE_ROLLUP_VSC[MMWR_RATING_STATE_ROLLUP_VSC],0),MATCH(H$9,MMWR_RATING_STATE_ROLLUP_VSC[#Headers],0)),"ERROR"))</f>
        <v>128.06653620349999</v>
      </c>
      <c r="I16" s="155">
        <f>IF($B16=" ","",IFERROR(INDEX(MMWR_RATING_STATE_ROLLUP_VSC[],MATCH($B16,MMWR_RATING_STATE_ROLLUP_VSC[MMWR_RATING_STATE_ROLLUP_VSC],0),MATCH(I$9,MMWR_RATING_STATE_ROLLUP_VSC[#Headers],0)),"ERROR"))</f>
        <v>116.5415019763</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855</v>
      </c>
      <c r="D17" s="155">
        <f>IF($B17=" ","",IFERROR(INDEX(MMWR_RATING_STATE_ROLLUP_VSC[],MATCH($B17,MMWR_RATING_STATE_ROLLUP_VSC[MMWR_RATING_STATE_ROLLUP_VSC],0),MATCH(D$9,MMWR_RATING_STATE_ROLLUP_VSC[#Headers],0)),"ERROR"))</f>
        <v>102.1461988304</v>
      </c>
      <c r="E17" s="156">
        <f>IF($B17=" ","",IFERROR(INDEX(MMWR_RATING_STATE_ROLLUP_VSC[],MATCH($B17,MMWR_RATING_STATE_ROLLUP_VSC[MMWR_RATING_STATE_ROLLUP_VSC],0),MATCH(E$9,MMWR_RATING_STATE_ROLLUP_VSC[#Headers],0))/$C17,"ERROR"))</f>
        <v>0.28304093567251459</v>
      </c>
      <c r="F17" s="154">
        <f>IF($B17=" ","",IFERROR(INDEX(MMWR_RATING_STATE_ROLLUP_VSC[],MATCH($B17,MMWR_RATING_STATE_ROLLUP_VSC[MMWR_RATING_STATE_ROLLUP_VSC],0),MATCH(F$9,MMWR_RATING_STATE_ROLLUP_VSC[#Headers],0)),"ERROR"))</f>
        <v>238</v>
      </c>
      <c r="G17" s="154">
        <f>IF($B17=" ","",IFERROR(INDEX(MMWR_RATING_STATE_ROLLUP_VSC[],MATCH($B17,MMWR_RATING_STATE_ROLLUP_VSC[MMWR_RATING_STATE_ROLLUP_VSC],0),MATCH(G$9,MMWR_RATING_STATE_ROLLUP_VSC[#Headers],0)),"ERROR"))</f>
        <v>967</v>
      </c>
      <c r="H17" s="155">
        <f>IF($B17=" ","",IFERROR(INDEX(MMWR_RATING_STATE_ROLLUP_VSC[],MATCH($B17,MMWR_RATING_STATE_ROLLUP_VSC[MMWR_RATING_STATE_ROLLUP_VSC],0),MATCH(H$9,MMWR_RATING_STATE_ROLLUP_VSC[#Headers],0)),"ERROR"))</f>
        <v>155.63025210079999</v>
      </c>
      <c r="I17" s="155">
        <f>IF($B17=" ","",IFERROR(INDEX(MMWR_RATING_STATE_ROLLUP_VSC[],MATCH($B17,MMWR_RATING_STATE_ROLLUP_VSC[MMWR_RATING_STATE_ROLLUP_VSC],0),MATCH(I$9,MMWR_RATING_STATE_ROLLUP_VSC[#Headers],0)),"ERROR"))</f>
        <v>145.25129265769999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384</v>
      </c>
      <c r="D18" s="155">
        <f>IF($B18=" ","",IFERROR(INDEX(MMWR_RATING_STATE_ROLLUP_VSC[],MATCH($B18,MMWR_RATING_STATE_ROLLUP_VSC[MMWR_RATING_STATE_ROLLUP_VSC],0),MATCH(D$9,MMWR_RATING_STATE_ROLLUP_VSC[#Headers],0)),"ERROR"))</f>
        <v>102.734375</v>
      </c>
      <c r="E18" s="156">
        <f>IF($B18=" ","",IFERROR(INDEX(MMWR_RATING_STATE_ROLLUP_VSC[],MATCH($B18,MMWR_RATING_STATE_ROLLUP_VSC[MMWR_RATING_STATE_ROLLUP_VSC],0),MATCH(E$9,MMWR_RATING_STATE_ROLLUP_VSC[#Headers],0))/$C18,"ERROR"))</f>
        <v>0.24739583333333334</v>
      </c>
      <c r="F18" s="154">
        <f>IF($B18=" ","",IFERROR(INDEX(MMWR_RATING_STATE_ROLLUP_VSC[],MATCH($B18,MMWR_RATING_STATE_ROLLUP_VSC[MMWR_RATING_STATE_ROLLUP_VSC],0),MATCH(F$9,MMWR_RATING_STATE_ROLLUP_VSC[#Headers],0)),"ERROR"))</f>
        <v>102</v>
      </c>
      <c r="G18" s="154">
        <f>IF($B18=" ","",IFERROR(INDEX(MMWR_RATING_STATE_ROLLUP_VSC[],MATCH($B18,MMWR_RATING_STATE_ROLLUP_VSC[MMWR_RATING_STATE_ROLLUP_VSC],0),MATCH(G$9,MMWR_RATING_STATE_ROLLUP_VSC[#Headers],0)),"ERROR"))</f>
        <v>424</v>
      </c>
      <c r="H18" s="155">
        <f>IF($B18=" ","",IFERROR(INDEX(MMWR_RATING_STATE_ROLLUP_VSC[],MATCH($B18,MMWR_RATING_STATE_ROLLUP_VSC[MMWR_RATING_STATE_ROLLUP_VSC],0),MATCH(H$9,MMWR_RATING_STATE_ROLLUP_VSC[#Headers],0)),"ERROR"))</f>
        <v>138.9803921569</v>
      </c>
      <c r="I18" s="155">
        <f>IF($B18=" ","",IFERROR(INDEX(MMWR_RATING_STATE_ROLLUP_VSC[],MATCH($B18,MMWR_RATING_STATE_ROLLUP_VSC[MMWR_RATING_STATE_ROLLUP_VSC],0),MATCH(I$9,MMWR_RATING_STATE_ROLLUP_VSC[#Headers],0)),"ERROR"))</f>
        <v>148.24056603770001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1377</v>
      </c>
      <c r="D19" s="155">
        <f>IF($B19=" ","",IFERROR(INDEX(MMWR_RATING_STATE_ROLLUP_VSC[],MATCH($B19,MMWR_RATING_STATE_ROLLUP_VSC[MMWR_RATING_STATE_ROLLUP_VSC],0),MATCH(D$9,MMWR_RATING_STATE_ROLLUP_VSC[#Headers],0)),"ERROR"))</f>
        <v>75.771241830099996</v>
      </c>
      <c r="E19" s="156">
        <f>IF($B19=" ","",IFERROR(INDEX(MMWR_RATING_STATE_ROLLUP_VSC[],MATCH($B19,MMWR_RATING_STATE_ROLLUP_VSC[MMWR_RATING_STATE_ROLLUP_VSC],0),MATCH(E$9,MMWR_RATING_STATE_ROLLUP_VSC[#Headers],0))/$C19,"ERROR"))</f>
        <v>0.12708787218591139</v>
      </c>
      <c r="F19" s="154">
        <f>IF($B19=" ","",IFERROR(INDEX(MMWR_RATING_STATE_ROLLUP_VSC[],MATCH($B19,MMWR_RATING_STATE_ROLLUP_VSC[MMWR_RATING_STATE_ROLLUP_VSC],0),MATCH(F$9,MMWR_RATING_STATE_ROLLUP_VSC[#Headers],0)),"ERROR"))</f>
        <v>302</v>
      </c>
      <c r="G19" s="154">
        <f>IF($B19=" ","",IFERROR(INDEX(MMWR_RATING_STATE_ROLLUP_VSC[],MATCH($B19,MMWR_RATING_STATE_ROLLUP_VSC[MMWR_RATING_STATE_ROLLUP_VSC],0),MATCH(G$9,MMWR_RATING_STATE_ROLLUP_VSC[#Headers],0)),"ERROR"))</f>
        <v>1549</v>
      </c>
      <c r="H19" s="155">
        <f>IF($B19=" ","",IFERROR(INDEX(MMWR_RATING_STATE_ROLLUP_VSC[],MATCH($B19,MMWR_RATING_STATE_ROLLUP_VSC[MMWR_RATING_STATE_ROLLUP_VSC],0),MATCH(H$9,MMWR_RATING_STATE_ROLLUP_VSC[#Headers],0)),"ERROR"))</f>
        <v>118.4139072848</v>
      </c>
      <c r="I19" s="155">
        <f>IF($B19=" ","",IFERROR(INDEX(MMWR_RATING_STATE_ROLLUP_VSC[],MATCH($B19,MMWR_RATING_STATE_ROLLUP_VSC[MMWR_RATING_STATE_ROLLUP_VSC],0),MATCH(I$9,MMWR_RATING_STATE_ROLLUP_VSC[#Headers],0)),"ERROR"))</f>
        <v>108.44415752099999</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5079</v>
      </c>
      <c r="D20" s="155">
        <f>IF($B20=" ","",IFERROR(INDEX(MMWR_RATING_STATE_ROLLUP_VSC[],MATCH($B20,MMWR_RATING_STATE_ROLLUP_VSC[MMWR_RATING_STATE_ROLLUP_VSC],0),MATCH(D$9,MMWR_RATING_STATE_ROLLUP_VSC[#Headers],0)),"ERROR"))</f>
        <v>98.057294743100002</v>
      </c>
      <c r="E20" s="156">
        <f>IF($B20=" ","",IFERROR(INDEX(MMWR_RATING_STATE_ROLLUP_VSC[],MATCH($B20,MMWR_RATING_STATE_ROLLUP_VSC[MMWR_RATING_STATE_ROLLUP_VSC],0),MATCH(E$9,MMWR_RATING_STATE_ROLLUP_VSC[#Headers],0))/$C20,"ERROR"))</f>
        <v>0.22819452648159086</v>
      </c>
      <c r="F20" s="154">
        <f>IF($B20=" ","",IFERROR(INDEX(MMWR_RATING_STATE_ROLLUP_VSC[],MATCH($B20,MMWR_RATING_STATE_ROLLUP_VSC[MMWR_RATING_STATE_ROLLUP_VSC],0),MATCH(F$9,MMWR_RATING_STATE_ROLLUP_VSC[#Headers],0)),"ERROR"))</f>
        <v>1166</v>
      </c>
      <c r="G20" s="154">
        <f>IF($B20=" ","",IFERROR(INDEX(MMWR_RATING_STATE_ROLLUP_VSC[],MATCH($B20,MMWR_RATING_STATE_ROLLUP_VSC[MMWR_RATING_STATE_ROLLUP_VSC],0),MATCH(G$9,MMWR_RATING_STATE_ROLLUP_VSC[#Headers],0)),"ERROR"))</f>
        <v>5694</v>
      </c>
      <c r="H20" s="155">
        <f>IF($B20=" ","",IFERROR(INDEX(MMWR_RATING_STATE_ROLLUP_VSC[],MATCH($B20,MMWR_RATING_STATE_ROLLUP_VSC[MMWR_RATING_STATE_ROLLUP_VSC],0),MATCH(H$9,MMWR_RATING_STATE_ROLLUP_VSC[#Headers],0)),"ERROR"))</f>
        <v>141.8696397942</v>
      </c>
      <c r="I20" s="155">
        <f>IF($B20=" ","",IFERROR(INDEX(MMWR_RATING_STATE_ROLLUP_VSC[],MATCH($B20,MMWR_RATING_STATE_ROLLUP_VSC[MMWR_RATING_STATE_ROLLUP_VSC],0),MATCH(I$9,MMWR_RATING_STATE_ROLLUP_VSC[#Headers],0)),"ERROR"))</f>
        <v>138.19406392689999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4399</v>
      </c>
      <c r="D21" s="155">
        <f>IF($B21=" ","",IFERROR(INDEX(MMWR_RATING_STATE_ROLLUP_VSC[],MATCH($B21,MMWR_RATING_STATE_ROLLUP_VSC[MMWR_RATING_STATE_ROLLUP_VSC],0),MATCH(D$9,MMWR_RATING_STATE_ROLLUP_VSC[#Headers],0)),"ERROR"))</f>
        <v>93.631052511899995</v>
      </c>
      <c r="E21" s="156">
        <f>IF($B21=" ","",IFERROR(INDEX(MMWR_RATING_STATE_ROLLUP_VSC[],MATCH($B21,MMWR_RATING_STATE_ROLLUP_VSC[MMWR_RATING_STATE_ROLLUP_VSC],0),MATCH(E$9,MMWR_RATING_STATE_ROLLUP_VSC[#Headers],0))/$C21,"ERROR"))</f>
        <v>0.23255285292111844</v>
      </c>
      <c r="F21" s="154">
        <f>IF($B21=" ","",IFERROR(INDEX(MMWR_RATING_STATE_ROLLUP_VSC[],MATCH($B21,MMWR_RATING_STATE_ROLLUP_VSC[MMWR_RATING_STATE_ROLLUP_VSC],0),MATCH(F$9,MMWR_RATING_STATE_ROLLUP_VSC[#Headers],0)),"ERROR"))</f>
        <v>940</v>
      </c>
      <c r="G21" s="154">
        <f>IF($B21=" ","",IFERROR(INDEX(MMWR_RATING_STATE_ROLLUP_VSC[],MATCH($B21,MMWR_RATING_STATE_ROLLUP_VSC[MMWR_RATING_STATE_ROLLUP_VSC],0),MATCH(G$9,MMWR_RATING_STATE_ROLLUP_VSC[#Headers],0)),"ERROR"))</f>
        <v>4426</v>
      </c>
      <c r="H21" s="155">
        <f>IF($B21=" ","",IFERROR(INDEX(MMWR_RATING_STATE_ROLLUP_VSC[],MATCH($B21,MMWR_RATING_STATE_ROLLUP_VSC[MMWR_RATING_STATE_ROLLUP_VSC],0),MATCH(H$9,MMWR_RATING_STATE_ROLLUP_VSC[#Headers],0)),"ERROR"))</f>
        <v>152.50851063830001</v>
      </c>
      <c r="I21" s="155">
        <f>IF($B21=" ","",IFERROR(INDEX(MMWR_RATING_STATE_ROLLUP_VSC[],MATCH($B21,MMWR_RATING_STATE_ROLLUP_VSC[MMWR_RATING_STATE_ROLLUP_VSC],0),MATCH(I$9,MMWR_RATING_STATE_ROLLUP_VSC[#Headers],0)),"ERROR"))</f>
        <v>129.4525530953</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1202</v>
      </c>
      <c r="D22" s="155">
        <f>IF($B22=" ","",IFERROR(INDEX(MMWR_RATING_STATE_ROLLUP_VSC[],MATCH($B22,MMWR_RATING_STATE_ROLLUP_VSC[MMWR_RATING_STATE_ROLLUP_VSC],0),MATCH(D$9,MMWR_RATING_STATE_ROLLUP_VSC[#Headers],0)),"ERROR"))</f>
        <v>98.252911813599994</v>
      </c>
      <c r="E22" s="156">
        <f>IF($B22=" ","",IFERROR(INDEX(MMWR_RATING_STATE_ROLLUP_VSC[],MATCH($B22,MMWR_RATING_STATE_ROLLUP_VSC[MMWR_RATING_STATE_ROLLUP_VSC],0),MATCH(E$9,MMWR_RATING_STATE_ROLLUP_VSC[#Headers],0))/$C22,"ERROR"))</f>
        <v>0.23211314475873543</v>
      </c>
      <c r="F22" s="154">
        <f>IF($B22=" ","",IFERROR(INDEX(MMWR_RATING_STATE_ROLLUP_VSC[],MATCH($B22,MMWR_RATING_STATE_ROLLUP_VSC[MMWR_RATING_STATE_ROLLUP_VSC],0),MATCH(F$9,MMWR_RATING_STATE_ROLLUP_VSC[#Headers],0)),"ERROR"))</f>
        <v>325</v>
      </c>
      <c r="G22" s="154">
        <f>IF($B22=" ","",IFERROR(INDEX(MMWR_RATING_STATE_ROLLUP_VSC[],MATCH($B22,MMWR_RATING_STATE_ROLLUP_VSC[MMWR_RATING_STATE_ROLLUP_VSC],0),MATCH(G$9,MMWR_RATING_STATE_ROLLUP_VSC[#Headers],0)),"ERROR"))</f>
        <v>1347</v>
      </c>
      <c r="H22" s="155">
        <f>IF($B22=" ","",IFERROR(INDEX(MMWR_RATING_STATE_ROLLUP_VSC[],MATCH($B22,MMWR_RATING_STATE_ROLLUP_VSC[MMWR_RATING_STATE_ROLLUP_VSC],0),MATCH(H$9,MMWR_RATING_STATE_ROLLUP_VSC[#Headers],0)),"ERROR"))</f>
        <v>144.63384615379999</v>
      </c>
      <c r="I22" s="155">
        <f>IF($B22=" ","",IFERROR(INDEX(MMWR_RATING_STATE_ROLLUP_VSC[],MATCH($B22,MMWR_RATING_STATE_ROLLUP_VSC[MMWR_RATING_STATE_ROLLUP_VSC],0),MATCH(I$9,MMWR_RATING_STATE_ROLLUP_VSC[#Headers],0)),"ERROR"))</f>
        <v>132.8240534521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3827</v>
      </c>
      <c r="D23" s="155">
        <f>IF($B23=" ","",IFERROR(INDEX(MMWR_RATING_STATE_ROLLUP_VSC[],MATCH($B23,MMWR_RATING_STATE_ROLLUP_VSC[MMWR_RATING_STATE_ROLLUP_VSC],0),MATCH(D$9,MMWR_RATING_STATE_ROLLUP_VSC[#Headers],0)),"ERROR"))</f>
        <v>97.484975176399999</v>
      </c>
      <c r="E23" s="156">
        <f>IF($B23=" ","",IFERROR(INDEX(MMWR_RATING_STATE_ROLLUP_VSC[],MATCH($B23,MMWR_RATING_STATE_ROLLUP_VSC[MMWR_RATING_STATE_ROLLUP_VSC],0),MATCH(E$9,MMWR_RATING_STATE_ROLLUP_VSC[#Headers],0))/$C23,"ERROR"))</f>
        <v>0.24248758818918212</v>
      </c>
      <c r="F23" s="154">
        <f>IF($B23=" ","",IFERROR(INDEX(MMWR_RATING_STATE_ROLLUP_VSC[],MATCH($B23,MMWR_RATING_STATE_ROLLUP_VSC[MMWR_RATING_STATE_ROLLUP_VSC],0),MATCH(F$9,MMWR_RATING_STATE_ROLLUP_VSC[#Headers],0)),"ERROR"))</f>
        <v>1112</v>
      </c>
      <c r="G23" s="154">
        <f>IF($B23=" ","",IFERROR(INDEX(MMWR_RATING_STATE_ROLLUP_VSC[],MATCH($B23,MMWR_RATING_STATE_ROLLUP_VSC[MMWR_RATING_STATE_ROLLUP_VSC],0),MATCH(G$9,MMWR_RATING_STATE_ROLLUP_VSC[#Headers],0)),"ERROR"))</f>
        <v>4284</v>
      </c>
      <c r="H23" s="155">
        <f>IF($B23=" ","",IFERROR(INDEX(MMWR_RATING_STATE_ROLLUP_VSC[],MATCH($B23,MMWR_RATING_STATE_ROLLUP_VSC[MMWR_RATING_STATE_ROLLUP_VSC],0),MATCH(H$9,MMWR_RATING_STATE_ROLLUP_VSC[#Headers],0)),"ERROR"))</f>
        <v>133.0557553957</v>
      </c>
      <c r="I23" s="155">
        <f>IF($B23=" ","",IFERROR(INDEX(MMWR_RATING_STATE_ROLLUP_VSC[],MATCH($B23,MMWR_RATING_STATE_ROLLUP_VSC[MMWR_RATING_STATE_ROLLUP_VSC],0),MATCH(I$9,MMWR_RATING_STATE_ROLLUP_VSC[#Headers],0)),"ERROR"))</f>
        <v>141.10504201680001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8462</v>
      </c>
      <c r="D24" s="155">
        <f>IF($B24=" ","",IFERROR(INDEX(MMWR_RATING_STATE_ROLLUP_VSC[],MATCH($B24,MMWR_RATING_STATE_ROLLUP_VSC[MMWR_RATING_STATE_ROLLUP_VSC],0),MATCH(D$9,MMWR_RATING_STATE_ROLLUP_VSC[#Headers],0)),"ERROR"))</f>
        <v>92.872252422599999</v>
      </c>
      <c r="E24" s="156">
        <f>IF($B24=" ","",IFERROR(INDEX(MMWR_RATING_STATE_ROLLUP_VSC[],MATCH($B24,MMWR_RATING_STATE_ROLLUP_VSC[MMWR_RATING_STATE_ROLLUP_VSC],0),MATCH(E$9,MMWR_RATING_STATE_ROLLUP_VSC[#Headers],0))/$C24,"ERROR"))</f>
        <v>0.21567005436067124</v>
      </c>
      <c r="F24" s="154">
        <f>IF($B24=" ","",IFERROR(INDEX(MMWR_RATING_STATE_ROLLUP_VSC[],MATCH($B24,MMWR_RATING_STATE_ROLLUP_VSC[MMWR_RATING_STATE_ROLLUP_VSC],0),MATCH(F$9,MMWR_RATING_STATE_ROLLUP_VSC[#Headers],0)),"ERROR"))</f>
        <v>2479</v>
      </c>
      <c r="G24" s="154">
        <f>IF($B24=" ","",IFERROR(INDEX(MMWR_RATING_STATE_ROLLUP_VSC[],MATCH($B24,MMWR_RATING_STATE_ROLLUP_VSC[MMWR_RATING_STATE_ROLLUP_VSC],0),MATCH(G$9,MMWR_RATING_STATE_ROLLUP_VSC[#Headers],0)),"ERROR"))</f>
        <v>9304</v>
      </c>
      <c r="H24" s="155">
        <f>IF($B24=" ","",IFERROR(INDEX(MMWR_RATING_STATE_ROLLUP_VSC[],MATCH($B24,MMWR_RATING_STATE_ROLLUP_VSC[MMWR_RATING_STATE_ROLLUP_VSC],0),MATCH(H$9,MMWR_RATING_STATE_ROLLUP_VSC[#Headers],0)),"ERROR"))</f>
        <v>134.98467123840001</v>
      </c>
      <c r="I24" s="155">
        <f>IF($B24=" ","",IFERROR(INDEX(MMWR_RATING_STATE_ROLLUP_VSC[],MATCH($B24,MMWR_RATING_STATE_ROLLUP_VSC[MMWR_RATING_STATE_ROLLUP_VSC],0),MATCH(I$9,MMWR_RATING_STATE_ROLLUP_VSC[#Headers],0)),"ERROR"))</f>
        <v>137.77407566639999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15578</v>
      </c>
      <c r="D25" s="155">
        <f>IF($B25=" ","",IFERROR(INDEX(MMWR_RATING_STATE_ROLLUP_VSC[],MATCH($B25,MMWR_RATING_STATE_ROLLUP_VSC[MMWR_RATING_STATE_ROLLUP_VSC],0),MATCH(D$9,MMWR_RATING_STATE_ROLLUP_VSC[#Headers],0)),"ERROR"))</f>
        <v>100.86570804980001</v>
      </c>
      <c r="E25" s="156">
        <f>IF($B25=" ","",IFERROR(INDEX(MMWR_RATING_STATE_ROLLUP_VSC[],MATCH($B25,MMWR_RATING_STATE_ROLLUP_VSC[MMWR_RATING_STATE_ROLLUP_VSC],0),MATCH(E$9,MMWR_RATING_STATE_ROLLUP_VSC[#Headers],0))/$C25,"ERROR"))</f>
        <v>0.265887790473745</v>
      </c>
      <c r="F25" s="154">
        <f>IF($B25=" ","",IFERROR(INDEX(MMWR_RATING_STATE_ROLLUP_VSC[],MATCH($B25,MMWR_RATING_STATE_ROLLUP_VSC[MMWR_RATING_STATE_ROLLUP_VSC],0),MATCH(F$9,MMWR_RATING_STATE_ROLLUP_VSC[#Headers],0)),"ERROR"))</f>
        <v>3992</v>
      </c>
      <c r="G25" s="154">
        <f>IF($B25=" ","",IFERROR(INDEX(MMWR_RATING_STATE_ROLLUP_VSC[],MATCH($B25,MMWR_RATING_STATE_ROLLUP_VSC[MMWR_RATING_STATE_ROLLUP_VSC],0),MATCH(G$9,MMWR_RATING_STATE_ROLLUP_VSC[#Headers],0)),"ERROR"))</f>
        <v>16925</v>
      </c>
      <c r="H25" s="155">
        <f>IF($B25=" ","",IFERROR(INDEX(MMWR_RATING_STATE_ROLLUP_VSC[],MATCH($B25,MMWR_RATING_STATE_ROLLUP_VSC[MMWR_RATING_STATE_ROLLUP_VSC],0),MATCH(H$9,MMWR_RATING_STATE_ROLLUP_VSC[#Headers],0)),"ERROR"))</f>
        <v>142.87274549099999</v>
      </c>
      <c r="I25" s="155">
        <f>IF($B25=" ","",IFERROR(INDEX(MMWR_RATING_STATE_ROLLUP_VSC[],MATCH($B25,MMWR_RATING_STATE_ROLLUP_VSC[MMWR_RATING_STATE_ROLLUP_VSC],0),MATCH(I$9,MMWR_RATING_STATE_ROLLUP_VSC[#Headers],0)),"ERROR"))</f>
        <v>143.23066469720001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8172</v>
      </c>
      <c r="D26" s="155">
        <f>IF($B26=" ","",IFERROR(INDEX(MMWR_RATING_STATE_ROLLUP_VSC[],MATCH($B26,MMWR_RATING_STATE_ROLLUP_VSC[MMWR_RATING_STATE_ROLLUP_VSC],0),MATCH(D$9,MMWR_RATING_STATE_ROLLUP_VSC[#Headers],0)),"ERROR"))</f>
        <v>108.83076358300001</v>
      </c>
      <c r="E26" s="156">
        <f>IF($B26=" ","",IFERROR(INDEX(MMWR_RATING_STATE_ROLLUP_VSC[],MATCH($B26,MMWR_RATING_STATE_ROLLUP_VSC[MMWR_RATING_STATE_ROLLUP_VSC],0),MATCH(E$9,MMWR_RATING_STATE_ROLLUP_VSC[#Headers],0))/$C26,"ERROR"))</f>
        <v>0.27679882525697502</v>
      </c>
      <c r="F26" s="154">
        <f>IF($B26=" ","",IFERROR(INDEX(MMWR_RATING_STATE_ROLLUP_VSC[],MATCH($B26,MMWR_RATING_STATE_ROLLUP_VSC[MMWR_RATING_STATE_ROLLUP_VSC],0),MATCH(F$9,MMWR_RATING_STATE_ROLLUP_VSC[#Headers],0)),"ERROR"))</f>
        <v>2619</v>
      </c>
      <c r="G26" s="154">
        <f>IF($B26=" ","",IFERROR(INDEX(MMWR_RATING_STATE_ROLLUP_VSC[],MATCH($B26,MMWR_RATING_STATE_ROLLUP_VSC[MMWR_RATING_STATE_ROLLUP_VSC],0),MATCH(G$9,MMWR_RATING_STATE_ROLLUP_VSC[#Headers],0)),"ERROR"))</f>
        <v>10114</v>
      </c>
      <c r="H26" s="155">
        <f>IF($B26=" ","",IFERROR(INDEX(MMWR_RATING_STATE_ROLLUP_VSC[],MATCH($B26,MMWR_RATING_STATE_ROLLUP_VSC[MMWR_RATING_STATE_ROLLUP_VSC],0),MATCH(H$9,MMWR_RATING_STATE_ROLLUP_VSC[#Headers],0)),"ERROR"))</f>
        <v>135.7617411226</v>
      </c>
      <c r="I26" s="155">
        <f>IF($B26=" ","",IFERROR(INDEX(MMWR_RATING_STATE_ROLLUP_VSC[],MATCH($B26,MMWR_RATING_STATE_ROLLUP_VSC[MMWR_RATING_STATE_ROLLUP_VSC],0),MATCH(I$9,MMWR_RATING_STATE_ROLLUP_VSC[#Headers],0)),"ERROR"))</f>
        <v>145.75904686569999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863</v>
      </c>
      <c r="D27" s="155">
        <f>IF($B27=" ","",IFERROR(INDEX(MMWR_RATING_STATE_ROLLUP_VSC[],MATCH($B27,MMWR_RATING_STATE_ROLLUP_VSC[MMWR_RATING_STATE_ROLLUP_VSC],0),MATCH(D$9,MMWR_RATING_STATE_ROLLUP_VSC[#Headers],0)),"ERROR"))</f>
        <v>92.5446118192</v>
      </c>
      <c r="E27" s="156">
        <f>IF($B27=" ","",IFERROR(INDEX(MMWR_RATING_STATE_ROLLUP_VSC[],MATCH($B27,MMWR_RATING_STATE_ROLLUP_VSC[MMWR_RATING_STATE_ROLLUP_VSC],0),MATCH(E$9,MMWR_RATING_STATE_ROLLUP_VSC[#Headers],0))/$C27,"ERROR"))</f>
        <v>0.21900347624565469</v>
      </c>
      <c r="F27" s="154">
        <f>IF($B27=" ","",IFERROR(INDEX(MMWR_RATING_STATE_ROLLUP_VSC[],MATCH($B27,MMWR_RATING_STATE_ROLLUP_VSC[MMWR_RATING_STATE_ROLLUP_VSC],0),MATCH(F$9,MMWR_RATING_STATE_ROLLUP_VSC[#Headers],0)),"ERROR"))</f>
        <v>249</v>
      </c>
      <c r="G27" s="154">
        <f>IF($B27=" ","",IFERROR(INDEX(MMWR_RATING_STATE_ROLLUP_VSC[],MATCH($B27,MMWR_RATING_STATE_ROLLUP_VSC[MMWR_RATING_STATE_ROLLUP_VSC],0),MATCH(G$9,MMWR_RATING_STATE_ROLLUP_VSC[#Headers],0)),"ERROR"))</f>
        <v>1035</v>
      </c>
      <c r="H27" s="155">
        <f>IF($B27=" ","",IFERROR(INDEX(MMWR_RATING_STATE_ROLLUP_VSC[],MATCH($B27,MMWR_RATING_STATE_ROLLUP_VSC[MMWR_RATING_STATE_ROLLUP_VSC],0),MATCH(H$9,MMWR_RATING_STATE_ROLLUP_VSC[#Headers],0)),"ERROR"))</f>
        <v>126.9156626506</v>
      </c>
      <c r="I27" s="155">
        <f>IF($B27=" ","",IFERROR(INDEX(MMWR_RATING_STATE_ROLLUP_VSC[],MATCH($B27,MMWR_RATING_STATE_ROLLUP_VSC[MMWR_RATING_STATE_ROLLUP_VSC],0),MATCH(I$9,MMWR_RATING_STATE_ROLLUP_VSC[#Headers],0)),"ERROR"))</f>
        <v>116.6599033816</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504</v>
      </c>
      <c r="D28" s="155">
        <f>IF($B28=" ","",IFERROR(INDEX(MMWR_RATING_STATE_ROLLUP_VSC[],MATCH($B28,MMWR_RATING_STATE_ROLLUP_VSC[MMWR_RATING_STATE_ROLLUP_VSC],0),MATCH(D$9,MMWR_RATING_STATE_ROLLUP_VSC[#Headers],0)),"ERROR"))</f>
        <v>92.892857142899999</v>
      </c>
      <c r="E28" s="156">
        <f>IF($B28=" ","",IFERROR(INDEX(MMWR_RATING_STATE_ROLLUP_VSC[],MATCH($B28,MMWR_RATING_STATE_ROLLUP_VSC[MMWR_RATING_STATE_ROLLUP_VSC],0),MATCH(E$9,MMWR_RATING_STATE_ROLLUP_VSC[#Headers],0))/$C28,"ERROR"))</f>
        <v>0.21031746031746032</v>
      </c>
      <c r="F28" s="154">
        <f>IF($B28=" ","",IFERROR(INDEX(MMWR_RATING_STATE_ROLLUP_VSC[],MATCH($B28,MMWR_RATING_STATE_ROLLUP_VSC[MMWR_RATING_STATE_ROLLUP_VSC],0),MATCH(F$9,MMWR_RATING_STATE_ROLLUP_VSC[#Headers],0)),"ERROR"))</f>
        <v>151</v>
      </c>
      <c r="G28" s="154">
        <f>IF($B28=" ","",IFERROR(INDEX(MMWR_RATING_STATE_ROLLUP_VSC[],MATCH($B28,MMWR_RATING_STATE_ROLLUP_VSC[MMWR_RATING_STATE_ROLLUP_VSC],0),MATCH(G$9,MMWR_RATING_STATE_ROLLUP_VSC[#Headers],0)),"ERROR"))</f>
        <v>437</v>
      </c>
      <c r="H28" s="155">
        <f>IF($B28=" ","",IFERROR(INDEX(MMWR_RATING_STATE_ROLLUP_VSC[],MATCH($B28,MMWR_RATING_STATE_ROLLUP_VSC[MMWR_RATING_STATE_ROLLUP_VSC],0),MATCH(H$9,MMWR_RATING_STATE_ROLLUP_VSC[#Headers],0)),"ERROR"))</f>
        <v>140.95364238409999</v>
      </c>
      <c r="I28" s="155">
        <f>IF($B28=" ","",IFERROR(INDEX(MMWR_RATING_STATE_ROLLUP_VSC[],MATCH($B28,MMWR_RATING_STATE_ROLLUP_VSC[MMWR_RATING_STATE_ROLLUP_VSC],0),MATCH(I$9,MMWR_RATING_STATE_ROLLUP_VSC[#Headers],0)),"ERROR"))</f>
        <v>141.4164759725</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10097</v>
      </c>
      <c r="D29" s="155">
        <f>IF($B29=" ","",IFERROR(INDEX(MMWR_RATING_STATE_ROLLUP_VSC[],MATCH($B29,MMWR_RATING_STATE_ROLLUP_VSC[MMWR_RATING_STATE_ROLLUP_VSC],0),MATCH(D$9,MMWR_RATING_STATE_ROLLUP_VSC[#Headers],0)),"ERROR"))</f>
        <v>94.561552936499993</v>
      </c>
      <c r="E29" s="156">
        <f>IF($B29=" ","",IFERROR(INDEX(MMWR_RATING_STATE_ROLLUP_VSC[],MATCH($B29,MMWR_RATING_STATE_ROLLUP_VSC[MMWR_RATING_STATE_ROLLUP_VSC],0),MATCH(E$9,MMWR_RATING_STATE_ROLLUP_VSC[#Headers],0))/$C29,"ERROR"))</f>
        <v>0.23818956125581855</v>
      </c>
      <c r="F29" s="154">
        <f>IF($B29=" ","",IFERROR(INDEX(MMWR_RATING_STATE_ROLLUP_VSC[],MATCH($B29,MMWR_RATING_STATE_ROLLUP_VSC[MMWR_RATING_STATE_ROLLUP_VSC],0),MATCH(F$9,MMWR_RATING_STATE_ROLLUP_VSC[#Headers],0)),"ERROR"))</f>
        <v>3057</v>
      </c>
      <c r="G29" s="154">
        <f>IF($B29=" ","",IFERROR(INDEX(MMWR_RATING_STATE_ROLLUP_VSC[],MATCH($B29,MMWR_RATING_STATE_ROLLUP_VSC[MMWR_RATING_STATE_ROLLUP_VSC],0),MATCH(G$9,MMWR_RATING_STATE_ROLLUP_VSC[#Headers],0)),"ERROR"))</f>
        <v>11144</v>
      </c>
      <c r="H29" s="155">
        <f>IF($B29=" ","",IFERROR(INDEX(MMWR_RATING_STATE_ROLLUP_VSC[],MATCH($B29,MMWR_RATING_STATE_ROLLUP_VSC[MMWR_RATING_STATE_ROLLUP_VSC],0),MATCH(H$9,MMWR_RATING_STATE_ROLLUP_VSC[#Headers],0)),"ERROR"))</f>
        <v>126.11841674839999</v>
      </c>
      <c r="I29" s="155">
        <f>IF($B29=" ","",IFERROR(INDEX(MMWR_RATING_STATE_ROLLUP_VSC[],MATCH($B29,MMWR_RATING_STATE_ROLLUP_VSC[MMWR_RATING_STATE_ROLLUP_VSC],0),MATCH(I$9,MMWR_RATING_STATE_ROLLUP_VSC[#Headers],0)),"ERROR"))</f>
        <v>136.81882627420001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2624</v>
      </c>
      <c r="D30" s="155">
        <f>IF($B30=" ","",IFERROR(INDEX(MMWR_RATING_STATE_ROLLUP_VSC[],MATCH($B30,MMWR_RATING_STATE_ROLLUP_VSC[MMWR_RATING_STATE_ROLLUP_VSC],0),MATCH(D$9,MMWR_RATING_STATE_ROLLUP_VSC[#Headers],0)),"ERROR"))</f>
        <v>86.525152438999996</v>
      </c>
      <c r="E30" s="156">
        <f>IF($B30=" ","",IFERROR(INDEX(MMWR_RATING_STATE_ROLLUP_VSC[],MATCH($B30,MMWR_RATING_STATE_ROLLUP_VSC[MMWR_RATING_STATE_ROLLUP_VSC],0),MATCH(E$9,MMWR_RATING_STATE_ROLLUP_VSC[#Headers],0))/$C30,"ERROR"))</f>
        <v>0.17835365853658536</v>
      </c>
      <c r="F30" s="154">
        <f>IF($B30=" ","",IFERROR(INDEX(MMWR_RATING_STATE_ROLLUP_VSC[],MATCH($B30,MMWR_RATING_STATE_ROLLUP_VSC[MMWR_RATING_STATE_ROLLUP_VSC],0),MATCH(F$9,MMWR_RATING_STATE_ROLLUP_VSC[#Headers],0)),"ERROR"))</f>
        <v>632</v>
      </c>
      <c r="G30" s="154">
        <f>IF($B30=" ","",IFERROR(INDEX(MMWR_RATING_STATE_ROLLUP_VSC[],MATCH($B30,MMWR_RATING_STATE_ROLLUP_VSC[MMWR_RATING_STATE_ROLLUP_VSC],0),MATCH(G$9,MMWR_RATING_STATE_ROLLUP_VSC[#Headers],0)),"ERROR"))</f>
        <v>2762</v>
      </c>
      <c r="H30" s="155">
        <f>IF($B30=" ","",IFERROR(INDEX(MMWR_RATING_STATE_ROLLUP_VSC[],MATCH($B30,MMWR_RATING_STATE_ROLLUP_VSC[MMWR_RATING_STATE_ROLLUP_VSC],0),MATCH(H$9,MMWR_RATING_STATE_ROLLUP_VSC[#Headers],0)),"ERROR"))</f>
        <v>123.3370253165</v>
      </c>
      <c r="I30" s="155">
        <f>IF($B30=" ","",IFERROR(INDEX(MMWR_RATING_STATE_ROLLUP_VSC[],MATCH($B30,MMWR_RATING_STATE_ROLLUP_VSC[MMWR_RATING_STATE_ROLLUP_VSC],0),MATCH(I$9,MMWR_RATING_STATE_ROLLUP_VSC[#Headers],0)),"ERROR"))</f>
        <v>121.2805937726</v>
      </c>
      <c r="J30" s="42"/>
      <c r="K30" s="42"/>
      <c r="L30" s="42"/>
      <c r="M30" s="42"/>
      <c r="N30" s="28"/>
    </row>
    <row r="31" spans="1:14" x14ac:dyDescent="0.2">
      <c r="A31" s="25"/>
      <c r="B31" s="377" t="s">
        <v>963</v>
      </c>
      <c r="C31" s="378"/>
      <c r="D31" s="378"/>
      <c r="E31" s="378"/>
      <c r="F31" s="378"/>
      <c r="G31" s="378"/>
      <c r="H31" s="378"/>
      <c r="I31" s="378"/>
      <c r="J31" s="378"/>
      <c r="K31" s="378"/>
      <c r="L31" s="378"/>
      <c r="M31" s="387"/>
      <c r="N31" s="28"/>
    </row>
    <row r="32" spans="1:14" x14ac:dyDescent="0.2">
      <c r="A32" s="25"/>
      <c r="B32" s="41" t="s">
        <v>1042</v>
      </c>
      <c r="C32" s="154">
        <f>IF($B32=" ","",IFERROR(INDEX(MMWR_RATING_STATE_ROLLUP_PMC[],MATCH($B32,MMWR_RATING_STATE_ROLLUP_PMC[MMWR_RATING_STATE_ROLLUP_PMC],0),MATCH(C$9,MMWR_RATING_STATE_ROLLUP_PMC[#Headers],0)),"ERROR"))</f>
        <v>26231</v>
      </c>
      <c r="D32" s="155">
        <f>IF($B32=" ","",IFERROR(INDEX(MMWR_RATING_STATE_ROLLUP_PMC[],MATCH($B32,MMWR_RATING_STATE_ROLLUP_PMC[MMWR_RATING_STATE_ROLLUP_PMC],0),MATCH(D$9,MMWR_RATING_STATE_ROLLUP_PMC[#Headers],0)),"ERROR"))</f>
        <v>70.008387022999997</v>
      </c>
      <c r="E32" s="156">
        <f>IF($B32=" ","",IFERROR(INDEX(MMWR_RATING_STATE_ROLLUP_PMC[],MATCH($B32,MMWR_RATING_STATE_ROLLUP_PMC[MMWR_RATING_STATE_ROLLUP_PMC],0),MATCH(E$9,MMWR_RATING_STATE_ROLLUP_PMC[#Headers],0))/$C32,"ERROR"))</f>
        <v>0.10971750981662919</v>
      </c>
      <c r="F32" s="154">
        <f>IF($B32=" ","",IFERROR(INDEX(MMWR_RATING_STATE_ROLLUP_PMC[],MATCH($B32,MMWR_RATING_STATE_ROLLUP_PMC[MMWR_RATING_STATE_ROLLUP_PMC],0),MATCH(F$9,MMWR_RATING_STATE_ROLLUP_PMC[#Headers],0)),"ERROR"))</f>
        <v>11594</v>
      </c>
      <c r="G32" s="154">
        <f>IF($B32=" ","",IFERROR(INDEX(MMWR_RATING_STATE_ROLLUP_PMC[],MATCH($B32,MMWR_RATING_STATE_ROLLUP_PMC[MMWR_RATING_STATE_ROLLUP_PMC],0),MATCH(G$9,MMWR_RATING_STATE_ROLLUP_PMC[#Headers],0)),"ERROR"))</f>
        <v>47787</v>
      </c>
      <c r="H32" s="155">
        <f>IF($B32=" ","",IFERROR(INDEX(MMWR_RATING_STATE_ROLLUP_PMC[],MATCH($B32,MMWR_RATING_STATE_ROLLUP_PMC[MMWR_RATING_STATE_ROLLUP_PMC],0),MATCH(H$9,MMWR_RATING_STATE_ROLLUP_PMC[#Headers],0)),"ERROR"))</f>
        <v>80.569691219600003</v>
      </c>
      <c r="I32" s="155">
        <f>IF($B32=" ","",IFERROR(INDEX(MMWR_RATING_STATE_ROLLUP_PMC[],MATCH($B32,MMWR_RATING_STATE_ROLLUP_PMC[MMWR_RATING_STATE_ROLLUP_PMC],0),MATCH(I$9,MMWR_RATING_STATE_ROLLUP_PMC[#Headers],0)),"ERROR"))</f>
        <v>73.584405800699997</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7228</v>
      </c>
      <c r="D33" s="155">
        <f>IF($B33=" ","",IFERROR(INDEX(MMWR_RATING_STATE_ROLLUP_PMC[],MATCH($B33,MMWR_RATING_STATE_ROLLUP_PMC[MMWR_RATING_STATE_ROLLUP_PMC],0),MATCH(D$9,MMWR_RATING_STATE_ROLLUP_PMC[#Headers],0)),"ERROR"))</f>
        <v>73.568898727199993</v>
      </c>
      <c r="E33" s="156">
        <f>IF($B33=" ","",IFERROR(INDEX(MMWR_RATING_STATE_ROLLUP_PMC[],MATCH($B33,MMWR_RATING_STATE_ROLLUP_PMC[MMWR_RATING_STATE_ROLLUP_PMC],0),MATCH(E$9,MMWR_RATING_STATE_ROLLUP_PMC[#Headers],0))/$C33,"ERROR"))</f>
        <v>0.11275594908688434</v>
      </c>
      <c r="F33" s="154">
        <f>IF($B33=" ","",IFERROR(INDEX(MMWR_RATING_STATE_ROLLUP_PMC[],MATCH($B33,MMWR_RATING_STATE_ROLLUP_PMC[MMWR_RATING_STATE_ROLLUP_PMC],0),MATCH(F$9,MMWR_RATING_STATE_ROLLUP_PMC[#Headers],0)),"ERROR"))</f>
        <v>2289</v>
      </c>
      <c r="G33" s="154">
        <f>IF($B33=" ","",IFERROR(INDEX(MMWR_RATING_STATE_ROLLUP_PMC[],MATCH($B33,MMWR_RATING_STATE_ROLLUP_PMC[MMWR_RATING_STATE_ROLLUP_PMC],0),MATCH(G$9,MMWR_RATING_STATE_ROLLUP_PMC[#Headers],0)),"ERROR"))</f>
        <v>9406</v>
      </c>
      <c r="H33" s="155">
        <f>IF($B33=" ","",IFERROR(INDEX(MMWR_RATING_STATE_ROLLUP_PMC[],MATCH($B33,MMWR_RATING_STATE_ROLLUP_PMC[MMWR_RATING_STATE_ROLLUP_PMC],0),MATCH(H$9,MMWR_RATING_STATE_ROLLUP_PMC[#Headers],0)),"ERROR"))</f>
        <v>100.7426823941</v>
      </c>
      <c r="I33" s="155">
        <f>IF($B33=" ","",IFERROR(INDEX(MMWR_RATING_STATE_ROLLUP_PMC[],MATCH($B33,MMWR_RATING_STATE_ROLLUP_PMC[MMWR_RATING_STATE_ROLLUP_PMC],0),MATCH(I$9,MMWR_RATING_STATE_ROLLUP_PMC[#Headers],0)),"ERROR"))</f>
        <v>87.4024027217</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226</v>
      </c>
      <c r="D34" s="155">
        <f>IF($B34=" ","",IFERROR(INDEX(MMWR_RATING_STATE_ROLLUP_PMC[],MATCH($B34,MMWR_RATING_STATE_ROLLUP_PMC[MMWR_RATING_STATE_ROLLUP_PMC],0),MATCH(D$9,MMWR_RATING_STATE_ROLLUP_PMC[#Headers],0)),"ERROR"))</f>
        <v>73.584070796500001</v>
      </c>
      <c r="E34" s="156">
        <f>IF($B34=" ","",IFERROR(INDEX(MMWR_RATING_STATE_ROLLUP_PMC[],MATCH($B34,MMWR_RATING_STATE_ROLLUP_PMC[MMWR_RATING_STATE_ROLLUP_PMC],0),MATCH(E$9,MMWR_RATING_STATE_ROLLUP_PMC[#Headers],0))/$C34,"ERROR"))</f>
        <v>0.11061946902654868</v>
      </c>
      <c r="F34" s="154">
        <f>IF($B34=" ","",IFERROR(INDEX(MMWR_RATING_STATE_ROLLUP_PMC[],MATCH($B34,MMWR_RATING_STATE_ROLLUP_PMC[MMWR_RATING_STATE_ROLLUP_PMC],0),MATCH(F$9,MMWR_RATING_STATE_ROLLUP_PMC[#Headers],0)),"ERROR"))</f>
        <v>74</v>
      </c>
      <c r="G34" s="154">
        <f>IF($B34=" ","",IFERROR(INDEX(MMWR_RATING_STATE_ROLLUP_PMC[],MATCH($B34,MMWR_RATING_STATE_ROLLUP_PMC[MMWR_RATING_STATE_ROLLUP_PMC],0),MATCH(G$9,MMWR_RATING_STATE_ROLLUP_PMC[#Headers],0)),"ERROR"))</f>
        <v>279</v>
      </c>
      <c r="H34" s="155">
        <f>IF($B34=" ","",IFERROR(INDEX(MMWR_RATING_STATE_ROLLUP_PMC[],MATCH($B34,MMWR_RATING_STATE_ROLLUP_PMC[MMWR_RATING_STATE_ROLLUP_PMC],0),MATCH(H$9,MMWR_RATING_STATE_ROLLUP_PMC[#Headers],0)),"ERROR"))</f>
        <v>102.9864864865</v>
      </c>
      <c r="I34" s="155">
        <f>IF($B34=" ","",IFERROR(INDEX(MMWR_RATING_STATE_ROLLUP_PMC[],MATCH($B34,MMWR_RATING_STATE_ROLLUP_PMC[MMWR_RATING_STATE_ROLLUP_PMC],0),MATCH(I$9,MMWR_RATING_STATE_ROLLUP_PMC[#Headers],0)),"ERROR"))</f>
        <v>86.132616487500002</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70</v>
      </c>
      <c r="D35" s="155">
        <f>IF($B35=" ","",IFERROR(INDEX(MMWR_RATING_STATE_ROLLUP_PMC[],MATCH($B35,MMWR_RATING_STATE_ROLLUP_PMC[MMWR_RATING_STATE_ROLLUP_PMC],0),MATCH(D$9,MMWR_RATING_STATE_ROLLUP_PMC[#Headers],0)),"ERROR"))</f>
        <v>76.914285714299993</v>
      </c>
      <c r="E35" s="156">
        <f>IF($B35=" ","",IFERROR(INDEX(MMWR_RATING_STATE_ROLLUP_PMC[],MATCH($B35,MMWR_RATING_STATE_ROLLUP_PMC[MMWR_RATING_STATE_ROLLUP_PMC],0),MATCH(E$9,MMWR_RATING_STATE_ROLLUP_PMC[#Headers],0))/$C35,"ERROR"))</f>
        <v>8.5714285714285715E-2</v>
      </c>
      <c r="F35" s="154">
        <f>IF($B35=" ","",IFERROR(INDEX(MMWR_RATING_STATE_ROLLUP_PMC[],MATCH($B35,MMWR_RATING_STATE_ROLLUP_PMC[MMWR_RATING_STATE_ROLLUP_PMC],0),MATCH(F$9,MMWR_RATING_STATE_ROLLUP_PMC[#Headers],0)),"ERROR"))</f>
        <v>25</v>
      </c>
      <c r="G35" s="154">
        <f>IF($B35=" ","",IFERROR(INDEX(MMWR_RATING_STATE_ROLLUP_PMC[],MATCH($B35,MMWR_RATING_STATE_ROLLUP_PMC[MMWR_RATING_STATE_ROLLUP_PMC],0),MATCH(G$9,MMWR_RATING_STATE_ROLLUP_PMC[#Headers],0)),"ERROR"))</f>
        <v>92</v>
      </c>
      <c r="H35" s="155">
        <f>IF($B35=" ","",IFERROR(INDEX(MMWR_RATING_STATE_ROLLUP_PMC[],MATCH($B35,MMWR_RATING_STATE_ROLLUP_PMC[MMWR_RATING_STATE_ROLLUP_PMC],0),MATCH(H$9,MMWR_RATING_STATE_ROLLUP_PMC[#Headers],0)),"ERROR"))</f>
        <v>134.44</v>
      </c>
      <c r="I35" s="155">
        <f>IF($B35=" ","",IFERROR(INDEX(MMWR_RATING_STATE_ROLLUP_PMC[],MATCH($B35,MMWR_RATING_STATE_ROLLUP_PMC[MMWR_RATING_STATE_ROLLUP_PMC],0),MATCH(I$9,MMWR_RATING_STATE_ROLLUP_PMC[#Headers],0)),"ERROR"))</f>
        <v>96.25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71</v>
      </c>
      <c r="D36" s="155">
        <f>IF($B36=" ","",IFERROR(INDEX(MMWR_RATING_STATE_ROLLUP_PMC[],MATCH($B36,MMWR_RATING_STATE_ROLLUP_PMC[MMWR_RATING_STATE_ROLLUP_PMC],0),MATCH(D$9,MMWR_RATING_STATE_ROLLUP_PMC[#Headers],0)),"ERROR"))</f>
        <v>77.126760563399998</v>
      </c>
      <c r="E36" s="156">
        <f>IF($B36=" ","",IFERROR(INDEX(MMWR_RATING_STATE_ROLLUP_PMC[],MATCH($B36,MMWR_RATING_STATE_ROLLUP_PMC[MMWR_RATING_STATE_ROLLUP_PMC],0),MATCH(E$9,MMWR_RATING_STATE_ROLLUP_PMC[#Headers],0))/$C36,"ERROR"))</f>
        <v>0.15492957746478872</v>
      </c>
      <c r="F36" s="154">
        <f>IF($B36=" ","",IFERROR(INDEX(MMWR_RATING_STATE_ROLLUP_PMC[],MATCH($B36,MMWR_RATING_STATE_ROLLUP_PMC[MMWR_RATING_STATE_ROLLUP_PMC],0),MATCH(F$9,MMWR_RATING_STATE_ROLLUP_PMC[#Headers],0)),"ERROR"))</f>
        <v>17</v>
      </c>
      <c r="G36" s="154">
        <f>IF($B36=" ","",IFERROR(INDEX(MMWR_RATING_STATE_ROLLUP_PMC[],MATCH($B36,MMWR_RATING_STATE_ROLLUP_PMC[MMWR_RATING_STATE_ROLLUP_PMC],0),MATCH(G$9,MMWR_RATING_STATE_ROLLUP_PMC[#Headers],0)),"ERROR"))</f>
        <v>90</v>
      </c>
      <c r="H36" s="155">
        <f>IF($B36=" ","",IFERROR(INDEX(MMWR_RATING_STATE_ROLLUP_PMC[],MATCH($B36,MMWR_RATING_STATE_ROLLUP_PMC[MMWR_RATING_STATE_ROLLUP_PMC],0),MATCH(H$9,MMWR_RATING_STATE_ROLLUP_PMC[#Headers],0)),"ERROR"))</f>
        <v>111.1176470588</v>
      </c>
      <c r="I36" s="155">
        <f>IF($B36=" ","",IFERROR(INDEX(MMWR_RATING_STATE_ROLLUP_PMC[],MATCH($B36,MMWR_RATING_STATE_ROLLUP_PMC[MMWR_RATING_STATE_ROLLUP_PMC],0),MATCH(I$9,MMWR_RATING_STATE_ROLLUP_PMC[#Headers],0)),"ERROR"))</f>
        <v>90.866666666699999</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122</v>
      </c>
      <c r="D37" s="155">
        <f>IF($B37=" ","",IFERROR(INDEX(MMWR_RATING_STATE_ROLLUP_PMC[],MATCH($B37,MMWR_RATING_STATE_ROLLUP_PMC[MMWR_RATING_STATE_ROLLUP_PMC],0),MATCH(D$9,MMWR_RATING_STATE_ROLLUP_PMC[#Headers],0)),"ERROR"))</f>
        <v>60.672131147499996</v>
      </c>
      <c r="E37" s="156">
        <f>IF($B37=" ","",IFERROR(INDEX(MMWR_RATING_STATE_ROLLUP_PMC[],MATCH($B37,MMWR_RATING_STATE_ROLLUP_PMC[MMWR_RATING_STATE_ROLLUP_PMC],0),MATCH(E$9,MMWR_RATING_STATE_ROLLUP_PMC[#Headers],0))/$C37,"ERROR"))</f>
        <v>6.5573770491803282E-2</v>
      </c>
      <c r="F37" s="154">
        <f>IF($B37=" ","",IFERROR(INDEX(MMWR_RATING_STATE_ROLLUP_PMC[],MATCH($B37,MMWR_RATING_STATE_ROLLUP_PMC[MMWR_RATING_STATE_ROLLUP_PMC],0),MATCH(F$9,MMWR_RATING_STATE_ROLLUP_PMC[#Headers],0)),"ERROR"))</f>
        <v>45</v>
      </c>
      <c r="G37" s="154">
        <f>IF($B37=" ","",IFERROR(INDEX(MMWR_RATING_STATE_ROLLUP_PMC[],MATCH($B37,MMWR_RATING_STATE_ROLLUP_PMC[MMWR_RATING_STATE_ROLLUP_PMC],0),MATCH(G$9,MMWR_RATING_STATE_ROLLUP_PMC[#Headers],0)),"ERROR"))</f>
        <v>189</v>
      </c>
      <c r="H37" s="155">
        <f>IF($B37=" ","",IFERROR(INDEX(MMWR_RATING_STATE_ROLLUP_PMC[],MATCH($B37,MMWR_RATING_STATE_ROLLUP_PMC[MMWR_RATING_STATE_ROLLUP_PMC],0),MATCH(H$9,MMWR_RATING_STATE_ROLLUP_PMC[#Headers],0)),"ERROR"))</f>
        <v>80.511111111100007</v>
      </c>
      <c r="I37" s="155">
        <f>IF($B37=" ","",IFERROR(INDEX(MMWR_RATING_STATE_ROLLUP_PMC[],MATCH($B37,MMWR_RATING_STATE_ROLLUP_PMC[MMWR_RATING_STATE_ROLLUP_PMC],0),MATCH(I$9,MMWR_RATING_STATE_ROLLUP_PMC[#Headers],0)),"ERROR"))</f>
        <v>81.386243386199993</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452</v>
      </c>
      <c r="D38" s="155">
        <f>IF($B38=" ","",IFERROR(INDEX(MMWR_RATING_STATE_ROLLUP_PMC[],MATCH($B38,MMWR_RATING_STATE_ROLLUP_PMC[MMWR_RATING_STATE_ROLLUP_PMC],0),MATCH(D$9,MMWR_RATING_STATE_ROLLUP_PMC[#Headers],0)),"ERROR"))</f>
        <v>76.0907079646</v>
      </c>
      <c r="E38" s="156">
        <f>IF($B38=" ","",IFERROR(INDEX(MMWR_RATING_STATE_ROLLUP_PMC[],MATCH($B38,MMWR_RATING_STATE_ROLLUP_PMC[MMWR_RATING_STATE_ROLLUP_PMC],0),MATCH(E$9,MMWR_RATING_STATE_ROLLUP_PMC[#Headers],0))/$C38,"ERROR"))</f>
        <v>0.13053097345132744</v>
      </c>
      <c r="F38" s="154">
        <f>IF($B38=" ","",IFERROR(INDEX(MMWR_RATING_STATE_ROLLUP_PMC[],MATCH($B38,MMWR_RATING_STATE_ROLLUP_PMC[MMWR_RATING_STATE_ROLLUP_PMC],0),MATCH(F$9,MMWR_RATING_STATE_ROLLUP_PMC[#Headers],0)),"ERROR"))</f>
        <v>169</v>
      </c>
      <c r="G38" s="154">
        <f>IF($B38=" ","",IFERROR(INDEX(MMWR_RATING_STATE_ROLLUP_PMC[],MATCH($B38,MMWR_RATING_STATE_ROLLUP_PMC[MMWR_RATING_STATE_ROLLUP_PMC],0),MATCH(G$9,MMWR_RATING_STATE_ROLLUP_PMC[#Headers],0)),"ERROR"))</f>
        <v>628</v>
      </c>
      <c r="H38" s="155">
        <f>IF($B38=" ","",IFERROR(INDEX(MMWR_RATING_STATE_ROLLUP_PMC[],MATCH($B38,MMWR_RATING_STATE_ROLLUP_PMC[MMWR_RATING_STATE_ROLLUP_PMC],0),MATCH(H$9,MMWR_RATING_STATE_ROLLUP_PMC[#Headers],0)),"ERROR"))</f>
        <v>101.4142011834</v>
      </c>
      <c r="I38" s="155">
        <f>IF($B38=" ","",IFERROR(INDEX(MMWR_RATING_STATE_ROLLUP_PMC[],MATCH($B38,MMWR_RATING_STATE_ROLLUP_PMC[MMWR_RATING_STATE_ROLLUP_PMC],0),MATCH(I$9,MMWR_RATING_STATE_ROLLUP_PMC[#Headers],0)),"ERROR"))</f>
        <v>87.178343948999995</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446</v>
      </c>
      <c r="D39" s="155">
        <f>IF($B39=" ","",IFERROR(INDEX(MMWR_RATING_STATE_ROLLUP_PMC[],MATCH($B39,MMWR_RATING_STATE_ROLLUP_PMC[MMWR_RATING_STATE_ROLLUP_PMC],0),MATCH(D$9,MMWR_RATING_STATE_ROLLUP_PMC[#Headers],0)),"ERROR"))</f>
        <v>71.338565022400005</v>
      </c>
      <c r="E39" s="156">
        <f>IF($B39=" ","",IFERROR(INDEX(MMWR_RATING_STATE_ROLLUP_PMC[],MATCH($B39,MMWR_RATING_STATE_ROLLUP_PMC[MMWR_RATING_STATE_ROLLUP_PMC],0),MATCH(E$9,MMWR_RATING_STATE_ROLLUP_PMC[#Headers],0))/$C39,"ERROR"))</f>
        <v>0.11659192825112108</v>
      </c>
      <c r="F39" s="154">
        <f>IF($B39=" ","",IFERROR(INDEX(MMWR_RATING_STATE_ROLLUP_PMC[],MATCH($B39,MMWR_RATING_STATE_ROLLUP_PMC[MMWR_RATING_STATE_ROLLUP_PMC],0),MATCH(F$9,MMWR_RATING_STATE_ROLLUP_PMC[#Headers],0)),"ERROR"))</f>
        <v>154</v>
      </c>
      <c r="G39" s="154">
        <f>IF($B39=" ","",IFERROR(INDEX(MMWR_RATING_STATE_ROLLUP_PMC[],MATCH($B39,MMWR_RATING_STATE_ROLLUP_PMC[MMWR_RATING_STATE_ROLLUP_PMC],0),MATCH(G$9,MMWR_RATING_STATE_ROLLUP_PMC[#Headers],0)),"ERROR"))</f>
        <v>611</v>
      </c>
      <c r="H39" s="155">
        <f>IF($B39=" ","",IFERROR(INDEX(MMWR_RATING_STATE_ROLLUP_PMC[],MATCH($B39,MMWR_RATING_STATE_ROLLUP_PMC[MMWR_RATING_STATE_ROLLUP_PMC],0),MATCH(H$9,MMWR_RATING_STATE_ROLLUP_PMC[#Headers],0)),"ERROR"))</f>
        <v>83.753246753200003</v>
      </c>
      <c r="I39" s="155">
        <f>IF($B39=" ","",IFERROR(INDEX(MMWR_RATING_STATE_ROLLUP_PMC[],MATCH($B39,MMWR_RATING_STATE_ROLLUP_PMC[MMWR_RATING_STATE_ROLLUP_PMC],0),MATCH(I$9,MMWR_RATING_STATE_ROLLUP_PMC[#Headers],0)),"ERROR"))</f>
        <v>81.342062193100006</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112</v>
      </c>
      <c r="D40" s="155">
        <f>IF($B40=" ","",IFERROR(INDEX(MMWR_RATING_STATE_ROLLUP_PMC[],MATCH($B40,MMWR_RATING_STATE_ROLLUP_PMC[MMWR_RATING_STATE_ROLLUP_PMC],0),MATCH(D$9,MMWR_RATING_STATE_ROLLUP_PMC[#Headers],0)),"ERROR"))</f>
        <v>68.75</v>
      </c>
      <c r="E40" s="156">
        <f>IF($B40=" ","",IFERROR(INDEX(MMWR_RATING_STATE_ROLLUP_PMC[],MATCH($B40,MMWR_RATING_STATE_ROLLUP_PMC[MMWR_RATING_STATE_ROLLUP_PMC],0),MATCH(E$9,MMWR_RATING_STATE_ROLLUP_PMC[#Headers],0))/$C40,"ERROR"))</f>
        <v>0.10714285714285714</v>
      </c>
      <c r="F40" s="154">
        <f>IF($B40=" ","",IFERROR(INDEX(MMWR_RATING_STATE_ROLLUP_PMC[],MATCH($B40,MMWR_RATING_STATE_ROLLUP_PMC[MMWR_RATING_STATE_ROLLUP_PMC],0),MATCH(F$9,MMWR_RATING_STATE_ROLLUP_PMC[#Headers],0)),"ERROR"))</f>
        <v>37</v>
      </c>
      <c r="G40" s="154">
        <f>IF($B40=" ","",IFERROR(INDEX(MMWR_RATING_STATE_ROLLUP_PMC[],MATCH($B40,MMWR_RATING_STATE_ROLLUP_PMC[MMWR_RATING_STATE_ROLLUP_PMC],0),MATCH(G$9,MMWR_RATING_STATE_ROLLUP_PMC[#Headers],0)),"ERROR"))</f>
        <v>140</v>
      </c>
      <c r="H40" s="155">
        <f>IF($B40=" ","",IFERROR(INDEX(MMWR_RATING_STATE_ROLLUP_PMC[],MATCH($B40,MMWR_RATING_STATE_ROLLUP_PMC[MMWR_RATING_STATE_ROLLUP_PMC],0),MATCH(H$9,MMWR_RATING_STATE_ROLLUP_PMC[#Headers],0)),"ERROR"))</f>
        <v>104.7837837838</v>
      </c>
      <c r="I40" s="155">
        <f>IF($B40=" ","",IFERROR(INDEX(MMWR_RATING_STATE_ROLLUP_PMC[],MATCH($B40,MMWR_RATING_STATE_ROLLUP_PMC[MMWR_RATING_STATE_ROLLUP_PMC],0),MATCH(I$9,MMWR_RATING_STATE_ROLLUP_PMC[#Headers],0)),"ERROR"))</f>
        <v>91.057142857100004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500</v>
      </c>
      <c r="D41" s="155">
        <f>IF($B41=" ","",IFERROR(INDEX(MMWR_RATING_STATE_ROLLUP_PMC[],MATCH($B41,MMWR_RATING_STATE_ROLLUP_PMC[MMWR_RATING_STATE_ROLLUP_PMC],0),MATCH(D$9,MMWR_RATING_STATE_ROLLUP_PMC[#Headers],0)),"ERROR"))</f>
        <v>75.111999999999995</v>
      </c>
      <c r="E41" s="156">
        <f>IF($B41=" ","",IFERROR(INDEX(MMWR_RATING_STATE_ROLLUP_PMC[],MATCH($B41,MMWR_RATING_STATE_ROLLUP_PMC[MMWR_RATING_STATE_ROLLUP_PMC],0),MATCH(E$9,MMWR_RATING_STATE_ROLLUP_PMC[#Headers],0))/$C41,"ERROR"))</f>
        <v>0.124</v>
      </c>
      <c r="F41" s="154">
        <f>IF($B41=" ","",IFERROR(INDEX(MMWR_RATING_STATE_ROLLUP_PMC[],MATCH($B41,MMWR_RATING_STATE_ROLLUP_PMC[MMWR_RATING_STATE_ROLLUP_PMC],0),MATCH(F$9,MMWR_RATING_STATE_ROLLUP_PMC[#Headers],0)),"ERROR"))</f>
        <v>136</v>
      </c>
      <c r="G41" s="154">
        <f>IF($B41=" ","",IFERROR(INDEX(MMWR_RATING_STATE_ROLLUP_PMC[],MATCH($B41,MMWR_RATING_STATE_ROLLUP_PMC[MMWR_RATING_STATE_ROLLUP_PMC],0),MATCH(G$9,MMWR_RATING_STATE_ROLLUP_PMC[#Headers],0)),"ERROR"))</f>
        <v>630</v>
      </c>
      <c r="H41" s="155">
        <f>IF($B41=" ","",IFERROR(INDEX(MMWR_RATING_STATE_ROLLUP_PMC[],MATCH($B41,MMWR_RATING_STATE_ROLLUP_PMC[MMWR_RATING_STATE_ROLLUP_PMC],0),MATCH(H$9,MMWR_RATING_STATE_ROLLUP_PMC[#Headers],0)),"ERROR"))</f>
        <v>110.9926470588</v>
      </c>
      <c r="I41" s="155">
        <f>IF($B41=" ","",IFERROR(INDEX(MMWR_RATING_STATE_ROLLUP_PMC[],MATCH($B41,MMWR_RATING_STATE_ROLLUP_PMC[MMWR_RATING_STATE_ROLLUP_PMC],0),MATCH(I$9,MMWR_RATING_STATE_ROLLUP_PMC[#Headers],0)),"ERROR"))</f>
        <v>85.377777777800006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1261</v>
      </c>
      <c r="D42" s="155">
        <f>IF($B42=" ","",IFERROR(INDEX(MMWR_RATING_STATE_ROLLUP_PMC[],MATCH($B42,MMWR_RATING_STATE_ROLLUP_PMC[MMWR_RATING_STATE_ROLLUP_PMC],0),MATCH(D$9,MMWR_RATING_STATE_ROLLUP_PMC[#Headers],0)),"ERROR"))</f>
        <v>74.454401268799998</v>
      </c>
      <c r="E42" s="156">
        <f>IF($B42=" ","",IFERROR(INDEX(MMWR_RATING_STATE_ROLLUP_PMC[],MATCH($B42,MMWR_RATING_STATE_ROLLUP_PMC[MMWR_RATING_STATE_ROLLUP_PMC],0),MATCH(E$9,MMWR_RATING_STATE_ROLLUP_PMC[#Headers],0))/$C42,"ERROR"))</f>
        <v>0.10150674068199841</v>
      </c>
      <c r="F42" s="154">
        <f>IF($B42=" ","",IFERROR(INDEX(MMWR_RATING_STATE_ROLLUP_PMC[],MATCH($B42,MMWR_RATING_STATE_ROLLUP_PMC[MMWR_RATING_STATE_ROLLUP_PMC],0),MATCH(F$9,MMWR_RATING_STATE_ROLLUP_PMC[#Headers],0)),"ERROR"))</f>
        <v>397</v>
      </c>
      <c r="G42" s="154">
        <f>IF($B42=" ","",IFERROR(INDEX(MMWR_RATING_STATE_ROLLUP_PMC[],MATCH($B42,MMWR_RATING_STATE_ROLLUP_PMC[MMWR_RATING_STATE_ROLLUP_PMC],0),MATCH(G$9,MMWR_RATING_STATE_ROLLUP_PMC[#Headers],0)),"ERROR"))</f>
        <v>1626</v>
      </c>
      <c r="H42" s="155">
        <f>IF($B42=" ","",IFERROR(INDEX(MMWR_RATING_STATE_ROLLUP_PMC[],MATCH($B42,MMWR_RATING_STATE_ROLLUP_PMC[MMWR_RATING_STATE_ROLLUP_PMC],0),MATCH(H$9,MMWR_RATING_STATE_ROLLUP_PMC[#Headers],0)),"ERROR"))</f>
        <v>103.2619647355</v>
      </c>
      <c r="I42" s="155">
        <f>IF($B42=" ","",IFERROR(INDEX(MMWR_RATING_STATE_ROLLUP_PMC[],MATCH($B42,MMWR_RATING_STATE_ROLLUP_PMC[MMWR_RATING_STATE_ROLLUP_PMC],0),MATCH(I$9,MMWR_RATING_STATE_ROLLUP_PMC[#Headers],0)),"ERROR"))</f>
        <v>88.428659286599995</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1276</v>
      </c>
      <c r="D43" s="155">
        <f>IF($B43=" ","",IFERROR(INDEX(MMWR_RATING_STATE_ROLLUP_PMC[],MATCH($B43,MMWR_RATING_STATE_ROLLUP_PMC[MMWR_RATING_STATE_ROLLUP_PMC],0),MATCH(D$9,MMWR_RATING_STATE_ROLLUP_PMC[#Headers],0)),"ERROR"))</f>
        <v>73.474921630099999</v>
      </c>
      <c r="E43" s="156">
        <f>IF($B43=" ","",IFERROR(INDEX(MMWR_RATING_STATE_ROLLUP_PMC[],MATCH($B43,MMWR_RATING_STATE_ROLLUP_PMC[MMWR_RATING_STATE_ROLLUP_PMC],0),MATCH(E$9,MMWR_RATING_STATE_ROLLUP_PMC[#Headers],0))/$C43,"ERROR"))</f>
        <v>0.1206896551724138</v>
      </c>
      <c r="F43" s="154">
        <f>IF($B43=" ","",IFERROR(INDEX(MMWR_RATING_STATE_ROLLUP_PMC[],MATCH($B43,MMWR_RATING_STATE_ROLLUP_PMC[MMWR_RATING_STATE_ROLLUP_PMC],0),MATCH(F$9,MMWR_RATING_STATE_ROLLUP_PMC[#Headers],0)),"ERROR"))</f>
        <v>379</v>
      </c>
      <c r="G43" s="154">
        <f>IF($B43=" ","",IFERROR(INDEX(MMWR_RATING_STATE_ROLLUP_PMC[],MATCH($B43,MMWR_RATING_STATE_ROLLUP_PMC[MMWR_RATING_STATE_ROLLUP_PMC],0),MATCH(G$9,MMWR_RATING_STATE_ROLLUP_PMC[#Headers],0)),"ERROR"))</f>
        <v>1576</v>
      </c>
      <c r="H43" s="155">
        <f>IF($B43=" ","",IFERROR(INDEX(MMWR_RATING_STATE_ROLLUP_PMC[],MATCH($B43,MMWR_RATING_STATE_ROLLUP_PMC[MMWR_RATING_STATE_ROLLUP_PMC],0),MATCH(H$9,MMWR_RATING_STATE_ROLLUP_PMC[#Headers],0)),"ERROR"))</f>
        <v>95.139841688700002</v>
      </c>
      <c r="I43" s="155">
        <f>IF($B43=" ","",IFERROR(INDEX(MMWR_RATING_STATE_ROLLUP_PMC[],MATCH($B43,MMWR_RATING_STATE_ROLLUP_PMC[MMWR_RATING_STATE_ROLLUP_PMC],0),MATCH(I$9,MMWR_RATING_STATE_ROLLUP_PMC[#Headers],0)),"ERROR"))</f>
        <v>85.270304568499995</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1508</v>
      </c>
      <c r="D44" s="155">
        <f>IF($B44=" ","",IFERROR(INDEX(MMWR_RATING_STATE_ROLLUP_PMC[],MATCH($B44,MMWR_RATING_STATE_ROLLUP_PMC[MMWR_RATING_STATE_ROLLUP_PMC],0),MATCH(D$9,MMWR_RATING_STATE_ROLLUP_PMC[#Headers],0)),"ERROR"))</f>
        <v>73.614721485399997</v>
      </c>
      <c r="E44" s="156">
        <f>IF($B44=" ","",IFERROR(INDEX(MMWR_RATING_STATE_ROLLUP_PMC[],MATCH($B44,MMWR_RATING_STATE_ROLLUP_PMC[MMWR_RATING_STATE_ROLLUP_PMC],0),MATCH(E$9,MMWR_RATING_STATE_ROLLUP_PMC[#Headers],0))/$C44,"ERROR"))</f>
        <v>0.10013262599469495</v>
      </c>
      <c r="F44" s="154">
        <f>IF($B44=" ","",IFERROR(INDEX(MMWR_RATING_STATE_ROLLUP_PMC[],MATCH($B44,MMWR_RATING_STATE_ROLLUP_PMC[MMWR_RATING_STATE_ROLLUP_PMC],0),MATCH(F$9,MMWR_RATING_STATE_ROLLUP_PMC[#Headers],0)),"ERROR"))</f>
        <v>453</v>
      </c>
      <c r="G44" s="154">
        <f>IF($B44=" ","",IFERROR(INDEX(MMWR_RATING_STATE_ROLLUP_PMC[],MATCH($B44,MMWR_RATING_STATE_ROLLUP_PMC[MMWR_RATING_STATE_ROLLUP_PMC],0),MATCH(G$9,MMWR_RATING_STATE_ROLLUP_PMC[#Headers],0)),"ERROR"))</f>
        <v>1924</v>
      </c>
      <c r="H44" s="155">
        <f>IF($B44=" ","",IFERROR(INDEX(MMWR_RATING_STATE_ROLLUP_PMC[],MATCH($B44,MMWR_RATING_STATE_ROLLUP_PMC[MMWR_RATING_STATE_ROLLUP_PMC],0),MATCH(H$9,MMWR_RATING_STATE_ROLLUP_PMC[#Headers],0)),"ERROR"))</f>
        <v>102.66887417220001</v>
      </c>
      <c r="I44" s="155">
        <f>IF($B44=" ","",IFERROR(INDEX(MMWR_RATING_STATE_ROLLUP_PMC[],MATCH($B44,MMWR_RATING_STATE_ROLLUP_PMC[MMWR_RATING_STATE_ROLLUP_PMC],0),MATCH(I$9,MMWR_RATING_STATE_ROLLUP_PMC[#Headers],0)),"ERROR"))</f>
        <v>86.443866943900005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105</v>
      </c>
      <c r="D45" s="155">
        <f>IF($B45=" ","",IFERROR(INDEX(MMWR_RATING_STATE_ROLLUP_PMC[],MATCH($B45,MMWR_RATING_STATE_ROLLUP_PMC[MMWR_RATING_STATE_ROLLUP_PMC],0),MATCH(D$9,MMWR_RATING_STATE_ROLLUP_PMC[#Headers],0)),"ERROR"))</f>
        <v>70.057142857100004</v>
      </c>
      <c r="E45" s="156">
        <f>IF($B45=" ","",IFERROR(INDEX(MMWR_RATING_STATE_ROLLUP_PMC[],MATCH($B45,MMWR_RATING_STATE_ROLLUP_PMC[MMWR_RATING_STATE_ROLLUP_PMC],0),MATCH(E$9,MMWR_RATING_STATE_ROLLUP_PMC[#Headers],0))/$C45,"ERROR"))</f>
        <v>8.5714285714285715E-2</v>
      </c>
      <c r="F45" s="154">
        <f>IF($B45=" ","",IFERROR(INDEX(MMWR_RATING_STATE_ROLLUP_PMC[],MATCH($B45,MMWR_RATING_STATE_ROLLUP_PMC[MMWR_RATING_STATE_ROLLUP_PMC],0),MATCH(F$9,MMWR_RATING_STATE_ROLLUP_PMC[#Headers],0)),"ERROR"))</f>
        <v>37</v>
      </c>
      <c r="G45" s="154">
        <f>IF($B45=" ","",IFERROR(INDEX(MMWR_RATING_STATE_ROLLUP_PMC[],MATCH($B45,MMWR_RATING_STATE_ROLLUP_PMC[MMWR_RATING_STATE_ROLLUP_PMC],0),MATCH(G$9,MMWR_RATING_STATE_ROLLUP_PMC[#Headers],0)),"ERROR"))</f>
        <v>164</v>
      </c>
      <c r="H45" s="155">
        <f>IF($B45=" ","",IFERROR(INDEX(MMWR_RATING_STATE_ROLLUP_PMC[],MATCH($B45,MMWR_RATING_STATE_ROLLUP_PMC[MMWR_RATING_STATE_ROLLUP_PMC],0),MATCH(H$9,MMWR_RATING_STATE_ROLLUP_PMC[#Headers],0)),"ERROR"))</f>
        <v>104.5135135135</v>
      </c>
      <c r="I45" s="155">
        <f>IF($B45=" ","",IFERROR(INDEX(MMWR_RATING_STATE_ROLLUP_PMC[],MATCH($B45,MMWR_RATING_STATE_ROLLUP_PMC[MMWR_RATING_STATE_ROLLUP_PMC],0),MATCH(I$9,MMWR_RATING_STATE_ROLLUP_PMC[#Headers],0)),"ERROR"))</f>
        <v>92.713414634100005</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54</v>
      </c>
      <c r="D46" s="155">
        <f>IF($B46=" ","",IFERROR(INDEX(MMWR_RATING_STATE_ROLLUP_PMC[],MATCH($B46,MMWR_RATING_STATE_ROLLUP_PMC[MMWR_RATING_STATE_ROLLUP_PMC],0),MATCH(D$9,MMWR_RATING_STATE_ROLLUP_PMC[#Headers],0)),"ERROR"))</f>
        <v>63.129629629599997</v>
      </c>
      <c r="E46" s="156">
        <f>IF($B46=" ","",IFERROR(INDEX(MMWR_RATING_STATE_ROLLUP_PMC[],MATCH($B46,MMWR_RATING_STATE_ROLLUP_PMC[MMWR_RATING_STATE_ROLLUP_PMC],0),MATCH(E$9,MMWR_RATING_STATE_ROLLUP_PMC[#Headers],0))/$C46,"ERROR"))</f>
        <v>0.1111111111111111</v>
      </c>
      <c r="F46" s="154">
        <f>IF($B46=" ","",IFERROR(INDEX(MMWR_RATING_STATE_ROLLUP_PMC[],MATCH($B46,MMWR_RATING_STATE_ROLLUP_PMC[MMWR_RATING_STATE_ROLLUP_PMC],0),MATCH(F$9,MMWR_RATING_STATE_ROLLUP_PMC[#Headers],0)),"ERROR"))</f>
        <v>20</v>
      </c>
      <c r="G46" s="154">
        <f>IF($B46=" ","",IFERROR(INDEX(MMWR_RATING_STATE_ROLLUP_PMC[],MATCH($B46,MMWR_RATING_STATE_ROLLUP_PMC[MMWR_RATING_STATE_ROLLUP_PMC],0),MATCH(G$9,MMWR_RATING_STATE_ROLLUP_PMC[#Headers],0)),"ERROR"))</f>
        <v>47</v>
      </c>
      <c r="H46" s="155">
        <f>IF($B46=" ","",IFERROR(INDEX(MMWR_RATING_STATE_ROLLUP_PMC[],MATCH($B46,MMWR_RATING_STATE_ROLLUP_PMC[MMWR_RATING_STATE_ROLLUP_PMC],0),MATCH(H$9,MMWR_RATING_STATE_ROLLUP_PMC[#Headers],0)),"ERROR"))</f>
        <v>106.35</v>
      </c>
      <c r="I46" s="155">
        <f>IF($B46=" ","",IFERROR(INDEX(MMWR_RATING_STATE_ROLLUP_PMC[],MATCH($B46,MMWR_RATING_STATE_ROLLUP_PMC[MMWR_RATING_STATE_ROLLUP_PMC],0),MATCH(I$9,MMWR_RATING_STATE_ROLLUP_PMC[#Headers],0)),"ERROR"))</f>
        <v>97.510638297900002</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786</v>
      </c>
      <c r="D47" s="155">
        <f>IF($B47=" ","",IFERROR(INDEX(MMWR_RATING_STATE_ROLLUP_PMC[],MATCH($B47,MMWR_RATING_STATE_ROLLUP_PMC[MMWR_RATING_STATE_ROLLUP_PMC],0),MATCH(D$9,MMWR_RATING_STATE_ROLLUP_PMC[#Headers],0)),"ERROR"))</f>
        <v>74.679389313000001</v>
      </c>
      <c r="E47" s="156">
        <f>IF($B47=" ","",IFERROR(INDEX(MMWR_RATING_STATE_ROLLUP_PMC[],MATCH($B47,MMWR_RATING_STATE_ROLLUP_PMC[MMWR_RATING_STATE_ROLLUP_PMC],0),MATCH(E$9,MMWR_RATING_STATE_ROLLUP_PMC[#Headers],0))/$C47,"ERROR"))</f>
        <v>0.1272264631043257</v>
      </c>
      <c r="F47" s="154">
        <f>IF($B47=" ","",IFERROR(INDEX(MMWR_RATING_STATE_ROLLUP_PMC[],MATCH($B47,MMWR_RATING_STATE_ROLLUP_PMC[MMWR_RATING_STATE_ROLLUP_PMC],0),MATCH(F$9,MMWR_RATING_STATE_ROLLUP_PMC[#Headers],0)),"ERROR"))</f>
        <v>253</v>
      </c>
      <c r="G47" s="154">
        <f>IF($B47=" ","",IFERROR(INDEX(MMWR_RATING_STATE_ROLLUP_PMC[],MATCH($B47,MMWR_RATING_STATE_ROLLUP_PMC[MMWR_RATING_STATE_ROLLUP_PMC],0),MATCH(G$9,MMWR_RATING_STATE_ROLLUP_PMC[#Headers],0)),"ERROR"))</f>
        <v>1045</v>
      </c>
      <c r="H47" s="155">
        <f>IF($B47=" ","",IFERROR(INDEX(MMWR_RATING_STATE_ROLLUP_PMC[],MATCH($B47,MMWR_RATING_STATE_ROLLUP_PMC[MMWR_RATING_STATE_ROLLUP_PMC],0),MATCH(H$9,MMWR_RATING_STATE_ROLLUP_PMC[#Headers],0)),"ERROR"))</f>
        <v>104.9920948617</v>
      </c>
      <c r="I47" s="155">
        <f>IF($B47=" ","",IFERROR(INDEX(MMWR_RATING_STATE_ROLLUP_PMC[],MATCH($B47,MMWR_RATING_STATE_ROLLUP_PMC[MMWR_RATING_STATE_ROLLUP_PMC],0),MATCH(I$9,MMWR_RATING_STATE_ROLLUP_PMC[#Headers],0)),"ERROR"))</f>
        <v>93.354066985599999</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239</v>
      </c>
      <c r="D48" s="155">
        <f>IF($B48=" ","",IFERROR(INDEX(MMWR_RATING_STATE_ROLLUP_PMC[],MATCH($B48,MMWR_RATING_STATE_ROLLUP_PMC[MMWR_RATING_STATE_ROLLUP_PMC],0),MATCH(D$9,MMWR_RATING_STATE_ROLLUP_PMC[#Headers],0)),"ERROR"))</f>
        <v>72.313807531400002</v>
      </c>
      <c r="E48" s="156">
        <f>IF($B48=" ","",IFERROR(INDEX(MMWR_RATING_STATE_ROLLUP_PMC[],MATCH($B48,MMWR_RATING_STATE_ROLLUP_PMC[MMWR_RATING_STATE_ROLLUP_PMC],0),MATCH(E$9,MMWR_RATING_STATE_ROLLUP_PMC[#Headers],0))/$C48,"ERROR"))</f>
        <v>0.13389121338912133</v>
      </c>
      <c r="F48" s="154">
        <f>IF($B48=" ","",IFERROR(INDEX(MMWR_RATING_STATE_ROLLUP_PMC[],MATCH($B48,MMWR_RATING_STATE_ROLLUP_PMC[MMWR_RATING_STATE_ROLLUP_PMC],0),MATCH(F$9,MMWR_RATING_STATE_ROLLUP_PMC[#Headers],0)),"ERROR"))</f>
        <v>93</v>
      </c>
      <c r="G48" s="154">
        <f>IF($B48=" ","",IFERROR(INDEX(MMWR_RATING_STATE_ROLLUP_PMC[],MATCH($B48,MMWR_RATING_STATE_ROLLUP_PMC[MMWR_RATING_STATE_ROLLUP_PMC],0),MATCH(G$9,MMWR_RATING_STATE_ROLLUP_PMC[#Headers],0)),"ERROR"))</f>
        <v>365</v>
      </c>
      <c r="H48" s="155">
        <f>IF($B48=" ","",IFERROR(INDEX(MMWR_RATING_STATE_ROLLUP_PMC[],MATCH($B48,MMWR_RATING_STATE_ROLLUP_PMC[MMWR_RATING_STATE_ROLLUP_PMC],0),MATCH(H$9,MMWR_RATING_STATE_ROLLUP_PMC[#Headers],0)),"ERROR"))</f>
        <v>96.537634408599999</v>
      </c>
      <c r="I48" s="155">
        <f>IF($B48=" ","",IFERROR(INDEX(MMWR_RATING_STATE_ROLLUP_PMC[],MATCH($B48,MMWR_RATING_STATE_ROLLUP_PMC[MMWR_RATING_STATE_ROLLUP_PMC],0),MATCH(I$9,MMWR_RATING_STATE_ROLLUP_PMC[#Headers],0)),"ERROR"))</f>
        <v>89.986301369900005</v>
      </c>
      <c r="J48" s="42"/>
      <c r="K48" s="42"/>
      <c r="L48" s="42"/>
      <c r="M48" s="42"/>
      <c r="N48" s="28"/>
    </row>
    <row r="49" spans="1:14" x14ac:dyDescent="0.2">
      <c r="A49" s="25"/>
      <c r="B49" s="377" t="s">
        <v>1044</v>
      </c>
      <c r="C49" s="378"/>
      <c r="D49" s="378"/>
      <c r="E49" s="378"/>
      <c r="F49" s="378"/>
      <c r="G49" s="378"/>
      <c r="H49" s="378"/>
      <c r="I49" s="378"/>
      <c r="J49" s="378"/>
      <c r="K49" s="378"/>
      <c r="L49" s="378"/>
      <c r="M49" s="387"/>
      <c r="N49" s="28"/>
    </row>
    <row r="50" spans="1:14" x14ac:dyDescent="0.2">
      <c r="A50" s="25"/>
      <c r="B50" s="41" t="s">
        <v>1043</v>
      </c>
      <c r="C50" s="154">
        <f>IF($B50=" ","",IFERROR(INDEX(MMWR_RATING_STATE_ROLLUP_QST[],MATCH($B50,MMWR_RATING_STATE_ROLLUP_QST[MMWR_RATING_STATE_ROLLUP_QST],0),MATCH(C$9,MMWR_RATING_STATE_ROLLUP_QST[#Headers],0)),"ERROR"))</f>
        <v>10427</v>
      </c>
      <c r="D50" s="155">
        <f>IF($B50=" ","",IFERROR(INDEX(MMWR_RATING_STATE_ROLLUP_QST[],MATCH($B50,MMWR_RATING_STATE_ROLLUP_QST[MMWR_RATING_STATE_ROLLUP_QST],0),MATCH(D$9,MMWR_RATING_STATE_ROLLUP_QST[#Headers],0)),"ERROR"))</f>
        <v>92.282056200200003</v>
      </c>
      <c r="E50" s="156">
        <f>IF($B50=" ","",IFERROR(INDEX(MMWR_RATING_STATE_ROLLUP_QST[],MATCH($B50,MMWR_RATING_STATE_ROLLUP_QST[MMWR_RATING_STATE_ROLLUP_QST],0),MATCH(E$9,MMWR_RATING_STATE_ROLLUP_QST[#Headers],0))/$C50,"ERROR"))</f>
        <v>0.21521051117291648</v>
      </c>
      <c r="F50" s="154">
        <f>IF($B50=" ","",IFERROR(INDEX(MMWR_RATING_STATE_ROLLUP_QST[],MATCH($B50,MMWR_RATING_STATE_ROLLUP_QST[MMWR_RATING_STATE_ROLLUP_QST],0),MATCH(F$9,MMWR_RATING_STATE_ROLLUP_QST[#Headers],0)),"ERROR"))</f>
        <v>1698</v>
      </c>
      <c r="G50" s="154">
        <f>IF($B50=" ","",IFERROR(INDEX(MMWR_RATING_STATE_ROLLUP_QST[],MATCH($B50,MMWR_RATING_STATE_ROLLUP_QST[MMWR_RATING_STATE_ROLLUP_QST],0),MATCH(G$9,MMWR_RATING_STATE_ROLLUP_QST[#Headers],0)),"ERROR"))</f>
        <v>6434</v>
      </c>
      <c r="H50" s="155">
        <f>IF($B50=" ","",IFERROR(INDEX(MMWR_RATING_STATE_ROLLUP_QST[],MATCH($B50,MMWR_RATING_STATE_ROLLUP_QST[MMWR_RATING_STATE_ROLLUP_QST],0),MATCH(H$9,MMWR_RATING_STATE_ROLLUP_QST[#Headers],0)),"ERROR"))</f>
        <v>158.8733804476</v>
      </c>
      <c r="I50" s="155">
        <f>IF($B50=" ","",IFERROR(INDEX(MMWR_RATING_STATE_ROLLUP_QST[],MATCH($B50,MMWR_RATING_STATE_ROLLUP_QST[MMWR_RATING_STATE_ROLLUP_QST],0),MATCH(I$9,MMWR_RATING_STATE_ROLLUP_QST[#Headers],0)),"ERROR"))</f>
        <v>145.1866645943</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2380</v>
      </c>
      <c r="D51" s="155">
        <f>IF($B51=" ","",IFERROR(INDEX(MMWR_RATING_STATE_ROLLUP_QST[],MATCH($B51,MMWR_RATING_STATE_ROLLUP_QST[MMWR_RATING_STATE_ROLLUP_QST],0),MATCH(D$9,MMWR_RATING_STATE_ROLLUP_QST[#Headers],0)),"ERROR"))</f>
        <v>96.296638655500004</v>
      </c>
      <c r="E51" s="156">
        <f>IF($B51=" ","",IFERROR(INDEX(MMWR_RATING_STATE_ROLLUP_QST[],MATCH($B51,MMWR_RATING_STATE_ROLLUP_QST[MMWR_RATING_STATE_ROLLUP_QST],0),MATCH(E$9,MMWR_RATING_STATE_ROLLUP_QST[#Headers],0))/$C51,"ERROR"))</f>
        <v>0.25462184873949578</v>
      </c>
      <c r="F51" s="154">
        <f>IF($B51=" ","",IFERROR(INDEX(MMWR_RATING_STATE_ROLLUP_QST[],MATCH($B51,MMWR_RATING_STATE_ROLLUP_QST[MMWR_RATING_STATE_ROLLUP_QST],0),MATCH(F$9,MMWR_RATING_STATE_ROLLUP_QST[#Headers],0)),"ERROR"))</f>
        <v>401</v>
      </c>
      <c r="G51" s="154">
        <f>IF($B51=" ","",IFERROR(INDEX(MMWR_RATING_STATE_ROLLUP_QST[],MATCH($B51,MMWR_RATING_STATE_ROLLUP_QST[MMWR_RATING_STATE_ROLLUP_QST],0),MATCH(G$9,MMWR_RATING_STATE_ROLLUP_QST[#Headers],0)),"ERROR"))</f>
        <v>1485</v>
      </c>
      <c r="H51" s="155">
        <f>IF($B51=" ","",IFERROR(INDEX(MMWR_RATING_STATE_ROLLUP_QST[],MATCH($B51,MMWR_RATING_STATE_ROLLUP_QST[MMWR_RATING_STATE_ROLLUP_QST],0),MATCH(H$9,MMWR_RATING_STATE_ROLLUP_QST[#Headers],0)),"ERROR"))</f>
        <v>163.029925187</v>
      </c>
      <c r="I51" s="155">
        <f>IF($B51=" ","",IFERROR(INDEX(MMWR_RATING_STATE_ROLLUP_QST[],MATCH($B51,MMWR_RATING_STATE_ROLLUP_QST[MMWR_RATING_STATE_ROLLUP_QST],0),MATCH(I$9,MMWR_RATING_STATE_ROLLUP_QST[#Headers],0)),"ERROR"))</f>
        <v>151.07003366999999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47</v>
      </c>
      <c r="D52" s="155">
        <f>IF($B52=" ","",IFERROR(INDEX(MMWR_RATING_STATE_ROLLUP_QST[],MATCH($B52,MMWR_RATING_STATE_ROLLUP_QST[MMWR_RATING_STATE_ROLLUP_QST],0),MATCH(D$9,MMWR_RATING_STATE_ROLLUP_QST[#Headers],0)),"ERROR"))</f>
        <v>91.2553191489</v>
      </c>
      <c r="E52" s="156">
        <f>IF($B52=" ","",IFERROR(INDEX(MMWR_RATING_STATE_ROLLUP_QST[],MATCH($B52,MMWR_RATING_STATE_ROLLUP_QST[MMWR_RATING_STATE_ROLLUP_QST],0),MATCH(E$9,MMWR_RATING_STATE_ROLLUP_QST[#Headers],0))/$C52,"ERROR"))</f>
        <v>0.23404255319148937</v>
      </c>
      <c r="F52" s="154">
        <f>IF($B52=" ","",IFERROR(INDEX(MMWR_RATING_STATE_ROLLUP_QST[],MATCH($B52,MMWR_RATING_STATE_ROLLUP_QST[MMWR_RATING_STATE_ROLLUP_QST],0),MATCH(F$9,MMWR_RATING_STATE_ROLLUP_QST[#Headers],0)),"ERROR"))</f>
        <v>13</v>
      </c>
      <c r="G52" s="154">
        <f>IF($B52=" ","",IFERROR(INDEX(MMWR_RATING_STATE_ROLLUP_QST[],MATCH($B52,MMWR_RATING_STATE_ROLLUP_QST[MMWR_RATING_STATE_ROLLUP_QST],0),MATCH(G$9,MMWR_RATING_STATE_ROLLUP_QST[#Headers],0)),"ERROR"))</f>
        <v>43</v>
      </c>
      <c r="H52" s="155">
        <f>IF($B52=" ","",IFERROR(INDEX(MMWR_RATING_STATE_ROLLUP_QST[],MATCH($B52,MMWR_RATING_STATE_ROLLUP_QST[MMWR_RATING_STATE_ROLLUP_QST],0),MATCH(H$9,MMWR_RATING_STATE_ROLLUP_QST[#Headers],0)),"ERROR"))</f>
        <v>162.8461538462</v>
      </c>
      <c r="I52" s="155">
        <f>IF($B52=" ","",IFERROR(INDEX(MMWR_RATING_STATE_ROLLUP_QST[],MATCH($B52,MMWR_RATING_STATE_ROLLUP_QST[MMWR_RATING_STATE_ROLLUP_QST],0),MATCH(I$9,MMWR_RATING_STATE_ROLLUP_QST[#Headers],0)),"ERROR"))</f>
        <v>137.67441860470001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15</v>
      </c>
      <c r="D53" s="155">
        <f>IF($B53=" ","",IFERROR(INDEX(MMWR_RATING_STATE_ROLLUP_QST[],MATCH($B53,MMWR_RATING_STATE_ROLLUP_QST[MMWR_RATING_STATE_ROLLUP_QST],0),MATCH(D$9,MMWR_RATING_STATE_ROLLUP_QST[#Headers],0)),"ERROR"))</f>
        <v>99.8</v>
      </c>
      <c r="E53" s="156">
        <f>IF($B53=" ","",IFERROR(INDEX(MMWR_RATING_STATE_ROLLUP_QST[],MATCH($B53,MMWR_RATING_STATE_ROLLUP_QST[MMWR_RATING_STATE_ROLLUP_QST],0),MATCH(E$9,MMWR_RATING_STATE_ROLLUP_QST[#Headers],0))/$C53,"ERROR"))</f>
        <v>0.2</v>
      </c>
      <c r="F53" s="154">
        <f>IF($B53=" ","",IFERROR(INDEX(MMWR_RATING_STATE_ROLLUP_QST[],MATCH($B53,MMWR_RATING_STATE_ROLLUP_QST[MMWR_RATING_STATE_ROLLUP_QST],0),MATCH(F$9,MMWR_RATING_STATE_ROLLUP_QST[#Headers],0)),"ERROR"))</f>
        <v>4</v>
      </c>
      <c r="G53" s="154">
        <f>IF($B53=" ","",IFERROR(INDEX(MMWR_RATING_STATE_ROLLUP_QST[],MATCH($B53,MMWR_RATING_STATE_ROLLUP_QST[MMWR_RATING_STATE_ROLLUP_QST],0),MATCH(G$9,MMWR_RATING_STATE_ROLLUP_QST[#Headers],0)),"ERROR"))</f>
        <v>16</v>
      </c>
      <c r="H53" s="155">
        <f>IF($B53=" ","",IFERROR(INDEX(MMWR_RATING_STATE_ROLLUP_QST[],MATCH($B53,MMWR_RATING_STATE_ROLLUP_QST[MMWR_RATING_STATE_ROLLUP_QST],0),MATCH(H$9,MMWR_RATING_STATE_ROLLUP_QST[#Headers],0)),"ERROR"))</f>
        <v>142.5</v>
      </c>
      <c r="I53" s="155">
        <f>IF($B53=" ","",IFERROR(INDEX(MMWR_RATING_STATE_ROLLUP_QST[],MATCH($B53,MMWR_RATING_STATE_ROLLUP_QST[MMWR_RATING_STATE_ROLLUP_QST],0),MATCH(I$9,MMWR_RATING_STATE_ROLLUP_QST[#Headers],0)),"ERROR"))</f>
        <v>141.75</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28</v>
      </c>
      <c r="D54" s="155">
        <f>IF($B54=" ","",IFERROR(INDEX(MMWR_RATING_STATE_ROLLUP_QST[],MATCH($B54,MMWR_RATING_STATE_ROLLUP_QST[MMWR_RATING_STATE_ROLLUP_QST],0),MATCH(D$9,MMWR_RATING_STATE_ROLLUP_QST[#Headers],0)),"ERROR"))</f>
        <v>89.5</v>
      </c>
      <c r="E54" s="156">
        <f>IF($B54=" ","",IFERROR(INDEX(MMWR_RATING_STATE_ROLLUP_QST[],MATCH($B54,MMWR_RATING_STATE_ROLLUP_QST[MMWR_RATING_STATE_ROLLUP_QST],0),MATCH(E$9,MMWR_RATING_STATE_ROLLUP_QST[#Headers],0))/$C54,"ERROR"))</f>
        <v>0.21428571428571427</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9</v>
      </c>
      <c r="H54" s="155">
        <f>IF($B54=" ","",IFERROR(INDEX(MMWR_RATING_STATE_ROLLUP_QST[],MATCH($B54,MMWR_RATING_STATE_ROLLUP_QST[MMWR_RATING_STATE_ROLLUP_QST],0),MATCH(H$9,MMWR_RATING_STATE_ROLLUP_QST[#Headers],0)),"ERROR"))</f>
        <v>202.5</v>
      </c>
      <c r="I54" s="155">
        <f>IF($B54=" ","",IFERROR(INDEX(MMWR_RATING_STATE_ROLLUP_QST[],MATCH($B54,MMWR_RATING_STATE_ROLLUP_QST[MMWR_RATING_STATE_ROLLUP_QST],0),MATCH(I$9,MMWR_RATING_STATE_ROLLUP_QST[#Headers],0)),"ERROR"))</f>
        <v>158</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28</v>
      </c>
      <c r="D55" s="155">
        <f>IF($B55=" ","",IFERROR(INDEX(MMWR_RATING_STATE_ROLLUP_QST[],MATCH($B55,MMWR_RATING_STATE_ROLLUP_QST[MMWR_RATING_STATE_ROLLUP_QST],0),MATCH(D$9,MMWR_RATING_STATE_ROLLUP_QST[#Headers],0)),"ERROR"))</f>
        <v>98.678571428599994</v>
      </c>
      <c r="E55" s="156">
        <f>IF($B55=" ","",IFERROR(INDEX(MMWR_RATING_STATE_ROLLUP_QST[],MATCH($B55,MMWR_RATING_STATE_ROLLUP_QST[MMWR_RATING_STATE_ROLLUP_QST],0),MATCH(E$9,MMWR_RATING_STATE_ROLLUP_QST[#Headers],0))/$C55,"ERROR"))</f>
        <v>0.17857142857142858</v>
      </c>
      <c r="F55" s="154">
        <f>IF($B55=" ","",IFERROR(INDEX(MMWR_RATING_STATE_ROLLUP_QST[],MATCH($B55,MMWR_RATING_STATE_ROLLUP_QST[MMWR_RATING_STATE_ROLLUP_QST],0),MATCH(F$9,MMWR_RATING_STATE_ROLLUP_QST[#Headers],0)),"ERROR"))</f>
        <v>4</v>
      </c>
      <c r="G55" s="154">
        <f>IF($B55=" ","",IFERROR(INDEX(MMWR_RATING_STATE_ROLLUP_QST[],MATCH($B55,MMWR_RATING_STATE_ROLLUP_QST[MMWR_RATING_STATE_ROLLUP_QST],0),MATCH(G$9,MMWR_RATING_STATE_ROLLUP_QST[#Headers],0)),"ERROR"))</f>
        <v>13</v>
      </c>
      <c r="H55" s="155">
        <f>IF($B55=" ","",IFERROR(INDEX(MMWR_RATING_STATE_ROLLUP_QST[],MATCH($B55,MMWR_RATING_STATE_ROLLUP_QST[MMWR_RATING_STATE_ROLLUP_QST],0),MATCH(H$9,MMWR_RATING_STATE_ROLLUP_QST[#Headers],0)),"ERROR"))</f>
        <v>171.5</v>
      </c>
      <c r="I55" s="155">
        <f>IF($B55=" ","",IFERROR(INDEX(MMWR_RATING_STATE_ROLLUP_QST[],MATCH($B55,MMWR_RATING_STATE_ROLLUP_QST[MMWR_RATING_STATE_ROLLUP_QST],0),MATCH(I$9,MMWR_RATING_STATE_ROLLUP_QST[#Headers],0)),"ERROR"))</f>
        <v>162.5384615385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231</v>
      </c>
      <c r="D56" s="155">
        <f>IF($B56=" ","",IFERROR(INDEX(MMWR_RATING_STATE_ROLLUP_QST[],MATCH($B56,MMWR_RATING_STATE_ROLLUP_QST[MMWR_RATING_STATE_ROLLUP_QST],0),MATCH(D$9,MMWR_RATING_STATE_ROLLUP_QST[#Headers],0)),"ERROR"))</f>
        <v>98.549783549799997</v>
      </c>
      <c r="E56" s="156">
        <f>IF($B56=" ","",IFERROR(INDEX(MMWR_RATING_STATE_ROLLUP_QST[],MATCH($B56,MMWR_RATING_STATE_ROLLUP_QST[MMWR_RATING_STATE_ROLLUP_QST],0),MATCH(E$9,MMWR_RATING_STATE_ROLLUP_QST[#Headers],0))/$C56,"ERROR"))</f>
        <v>0.24242424242424243</v>
      </c>
      <c r="F56" s="154">
        <f>IF($B56=" ","",IFERROR(INDEX(MMWR_RATING_STATE_ROLLUP_QST[],MATCH($B56,MMWR_RATING_STATE_ROLLUP_QST[MMWR_RATING_STATE_ROLLUP_QST],0),MATCH(F$9,MMWR_RATING_STATE_ROLLUP_QST[#Headers],0)),"ERROR"))</f>
        <v>53</v>
      </c>
      <c r="G56" s="154">
        <f>IF($B56=" ","",IFERROR(INDEX(MMWR_RATING_STATE_ROLLUP_QST[],MATCH($B56,MMWR_RATING_STATE_ROLLUP_QST[MMWR_RATING_STATE_ROLLUP_QST],0),MATCH(G$9,MMWR_RATING_STATE_ROLLUP_QST[#Headers],0)),"ERROR"))</f>
        <v>175</v>
      </c>
      <c r="H56" s="155">
        <f>IF($B56=" ","",IFERROR(INDEX(MMWR_RATING_STATE_ROLLUP_QST[],MATCH($B56,MMWR_RATING_STATE_ROLLUP_QST[MMWR_RATING_STATE_ROLLUP_QST],0),MATCH(H$9,MMWR_RATING_STATE_ROLLUP_QST[#Headers],0)),"ERROR"))</f>
        <v>165.52830188679999</v>
      </c>
      <c r="I56" s="155">
        <f>IF($B56=" ","",IFERROR(INDEX(MMWR_RATING_STATE_ROLLUP_QST[],MATCH($B56,MMWR_RATING_STATE_ROLLUP_QST[MMWR_RATING_STATE_ROLLUP_QST],0),MATCH(I$9,MMWR_RATING_STATE_ROLLUP_QST[#Headers],0)),"ERROR"))</f>
        <v>150.17142857140001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99</v>
      </c>
      <c r="D57" s="155">
        <f>IF($B57=" ","",IFERROR(INDEX(MMWR_RATING_STATE_ROLLUP_QST[],MATCH($B57,MMWR_RATING_STATE_ROLLUP_QST[MMWR_RATING_STATE_ROLLUP_QST],0),MATCH(D$9,MMWR_RATING_STATE_ROLLUP_QST[#Headers],0)),"ERROR"))</f>
        <v>101.6868686869</v>
      </c>
      <c r="E57" s="156">
        <f>IF($B57=" ","",IFERROR(INDEX(MMWR_RATING_STATE_ROLLUP_QST[],MATCH($B57,MMWR_RATING_STATE_ROLLUP_QST[MMWR_RATING_STATE_ROLLUP_QST],0),MATCH(E$9,MMWR_RATING_STATE_ROLLUP_QST[#Headers],0))/$C57,"ERROR"))</f>
        <v>0.36363636363636365</v>
      </c>
      <c r="F57" s="154">
        <f>IF($B57=" ","",IFERROR(INDEX(MMWR_RATING_STATE_ROLLUP_QST[],MATCH($B57,MMWR_RATING_STATE_ROLLUP_QST[MMWR_RATING_STATE_ROLLUP_QST],0),MATCH(F$9,MMWR_RATING_STATE_ROLLUP_QST[#Headers],0)),"ERROR"))</f>
        <v>9</v>
      </c>
      <c r="G57" s="154">
        <f>IF($B57=" ","",IFERROR(INDEX(MMWR_RATING_STATE_ROLLUP_QST[],MATCH($B57,MMWR_RATING_STATE_ROLLUP_QST[MMWR_RATING_STATE_ROLLUP_QST],0),MATCH(G$9,MMWR_RATING_STATE_ROLLUP_QST[#Headers],0)),"ERROR"))</f>
        <v>66</v>
      </c>
      <c r="H57" s="155">
        <f>IF($B57=" ","",IFERROR(INDEX(MMWR_RATING_STATE_ROLLUP_QST[],MATCH($B57,MMWR_RATING_STATE_ROLLUP_QST[MMWR_RATING_STATE_ROLLUP_QST],0),MATCH(H$9,MMWR_RATING_STATE_ROLLUP_QST[#Headers],0)),"ERROR"))</f>
        <v>160.6666666667</v>
      </c>
      <c r="I57" s="155">
        <f>IF($B57=" ","",IFERROR(INDEX(MMWR_RATING_STATE_ROLLUP_QST[],MATCH($B57,MMWR_RATING_STATE_ROLLUP_QST[MMWR_RATING_STATE_ROLLUP_QST],0),MATCH(I$9,MMWR_RATING_STATE_ROLLUP_QST[#Headers],0)),"ERROR"))</f>
        <v>137.03030303029999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30</v>
      </c>
      <c r="D58" s="155">
        <f>IF($B58=" ","",IFERROR(INDEX(MMWR_RATING_STATE_ROLLUP_QST[],MATCH($B58,MMWR_RATING_STATE_ROLLUP_QST[MMWR_RATING_STATE_ROLLUP_QST],0),MATCH(D$9,MMWR_RATING_STATE_ROLLUP_QST[#Headers],0)),"ERROR"))</f>
        <v>102.4333333333</v>
      </c>
      <c r="E58" s="156">
        <f>IF($B58=" ","",IFERROR(INDEX(MMWR_RATING_STATE_ROLLUP_QST[],MATCH($B58,MMWR_RATING_STATE_ROLLUP_QST[MMWR_RATING_STATE_ROLLUP_QST],0),MATCH(E$9,MMWR_RATING_STATE_ROLLUP_QST[#Headers],0))/$C58,"ERROR"))</f>
        <v>0.3</v>
      </c>
      <c r="F58" s="154">
        <f>IF($B58=" ","",IFERROR(INDEX(MMWR_RATING_STATE_ROLLUP_QST[],MATCH($B58,MMWR_RATING_STATE_ROLLUP_QST[MMWR_RATING_STATE_ROLLUP_QST],0),MATCH(F$9,MMWR_RATING_STATE_ROLLUP_QST[#Headers],0)),"ERROR"))</f>
        <v>2</v>
      </c>
      <c r="G58" s="154">
        <f>IF($B58=" ","",IFERROR(INDEX(MMWR_RATING_STATE_ROLLUP_QST[],MATCH($B58,MMWR_RATING_STATE_ROLLUP_QST[MMWR_RATING_STATE_ROLLUP_QST],0),MATCH(G$9,MMWR_RATING_STATE_ROLLUP_QST[#Headers],0)),"ERROR"))</f>
        <v>10</v>
      </c>
      <c r="H58" s="155">
        <f>IF($B58=" ","",IFERROR(INDEX(MMWR_RATING_STATE_ROLLUP_QST[],MATCH($B58,MMWR_RATING_STATE_ROLLUP_QST[MMWR_RATING_STATE_ROLLUP_QST],0),MATCH(H$9,MMWR_RATING_STATE_ROLLUP_QST[#Headers],0)),"ERROR"))</f>
        <v>152</v>
      </c>
      <c r="I58" s="155">
        <f>IF($B58=" ","",IFERROR(INDEX(MMWR_RATING_STATE_ROLLUP_QST[],MATCH($B58,MMWR_RATING_STATE_ROLLUP_QST[MMWR_RATING_STATE_ROLLUP_QST],0),MATCH(I$9,MMWR_RATING_STATE_ROLLUP_QST[#Headers],0)),"ERROR"))</f>
        <v>140.4</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119</v>
      </c>
      <c r="D59" s="155">
        <f>IF($B59=" ","",IFERROR(INDEX(MMWR_RATING_STATE_ROLLUP_QST[],MATCH($B59,MMWR_RATING_STATE_ROLLUP_QST[MMWR_RATING_STATE_ROLLUP_QST],0),MATCH(D$9,MMWR_RATING_STATE_ROLLUP_QST[#Headers],0)),"ERROR"))</f>
        <v>92.873949579799998</v>
      </c>
      <c r="E59" s="156">
        <f>IF($B59=" ","",IFERROR(INDEX(MMWR_RATING_STATE_ROLLUP_QST[],MATCH($B59,MMWR_RATING_STATE_ROLLUP_QST[MMWR_RATING_STATE_ROLLUP_QST],0),MATCH(E$9,MMWR_RATING_STATE_ROLLUP_QST[#Headers],0))/$C59,"ERROR"))</f>
        <v>0.23529411764705882</v>
      </c>
      <c r="F59" s="154">
        <f>IF($B59=" ","",IFERROR(INDEX(MMWR_RATING_STATE_ROLLUP_QST[],MATCH($B59,MMWR_RATING_STATE_ROLLUP_QST[MMWR_RATING_STATE_ROLLUP_QST],0),MATCH(F$9,MMWR_RATING_STATE_ROLLUP_QST[#Headers],0)),"ERROR"))</f>
        <v>19</v>
      </c>
      <c r="G59" s="154">
        <f>IF($B59=" ","",IFERROR(INDEX(MMWR_RATING_STATE_ROLLUP_QST[],MATCH($B59,MMWR_RATING_STATE_ROLLUP_QST[MMWR_RATING_STATE_ROLLUP_QST],0),MATCH(G$9,MMWR_RATING_STATE_ROLLUP_QST[#Headers],0)),"ERROR"))</f>
        <v>59</v>
      </c>
      <c r="H59" s="155">
        <f>IF($B59=" ","",IFERROR(INDEX(MMWR_RATING_STATE_ROLLUP_QST[],MATCH($B59,MMWR_RATING_STATE_ROLLUP_QST[MMWR_RATING_STATE_ROLLUP_QST],0),MATCH(H$9,MMWR_RATING_STATE_ROLLUP_QST[#Headers],0)),"ERROR"))</f>
        <v>150.94736842110001</v>
      </c>
      <c r="I59" s="155">
        <f>IF($B59=" ","",IFERROR(INDEX(MMWR_RATING_STATE_ROLLUP_QST[],MATCH($B59,MMWR_RATING_STATE_ROLLUP_QST[MMWR_RATING_STATE_ROLLUP_QST],0),MATCH(I$9,MMWR_RATING_STATE_ROLLUP_QST[#Headers],0)),"ERROR"))</f>
        <v>146.16949152539999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260</v>
      </c>
      <c r="D60" s="155">
        <f>IF($B60=" ","",IFERROR(INDEX(MMWR_RATING_STATE_ROLLUP_QST[],MATCH($B60,MMWR_RATING_STATE_ROLLUP_QST[MMWR_RATING_STATE_ROLLUP_QST],0),MATCH(D$9,MMWR_RATING_STATE_ROLLUP_QST[#Headers],0)),"ERROR"))</f>
        <v>88.465384615399998</v>
      </c>
      <c r="E60" s="156">
        <f>IF($B60=" ","",IFERROR(INDEX(MMWR_RATING_STATE_ROLLUP_QST[],MATCH($B60,MMWR_RATING_STATE_ROLLUP_QST[MMWR_RATING_STATE_ROLLUP_QST],0),MATCH(E$9,MMWR_RATING_STATE_ROLLUP_QST[#Headers],0))/$C60,"ERROR"))</f>
        <v>0.19615384615384615</v>
      </c>
      <c r="F60" s="154">
        <f>IF($B60=" ","",IFERROR(INDEX(MMWR_RATING_STATE_ROLLUP_QST[],MATCH($B60,MMWR_RATING_STATE_ROLLUP_QST[MMWR_RATING_STATE_ROLLUP_QST],0),MATCH(F$9,MMWR_RATING_STATE_ROLLUP_QST[#Headers],0)),"ERROR"))</f>
        <v>39</v>
      </c>
      <c r="G60" s="154">
        <f>IF($B60=" ","",IFERROR(INDEX(MMWR_RATING_STATE_ROLLUP_QST[],MATCH($B60,MMWR_RATING_STATE_ROLLUP_QST[MMWR_RATING_STATE_ROLLUP_QST],0),MATCH(G$9,MMWR_RATING_STATE_ROLLUP_QST[#Headers],0)),"ERROR"))</f>
        <v>157</v>
      </c>
      <c r="H60" s="155">
        <f>IF($B60=" ","",IFERROR(INDEX(MMWR_RATING_STATE_ROLLUP_QST[],MATCH($B60,MMWR_RATING_STATE_ROLLUP_QST[MMWR_RATING_STATE_ROLLUP_QST],0),MATCH(H$9,MMWR_RATING_STATE_ROLLUP_QST[#Headers],0)),"ERROR"))</f>
        <v>162.87179487180001</v>
      </c>
      <c r="I60" s="155">
        <f>IF($B60=" ","",IFERROR(INDEX(MMWR_RATING_STATE_ROLLUP_QST[],MATCH($B60,MMWR_RATING_STATE_ROLLUP_QST[MMWR_RATING_STATE_ROLLUP_QST],0),MATCH(I$9,MMWR_RATING_STATE_ROLLUP_QST[#Headers],0)),"ERROR"))</f>
        <v>133.5859872611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617</v>
      </c>
      <c r="D61" s="155">
        <f>IF($B61=" ","",IFERROR(INDEX(MMWR_RATING_STATE_ROLLUP_QST[],MATCH($B61,MMWR_RATING_STATE_ROLLUP_QST[MMWR_RATING_STATE_ROLLUP_QST],0),MATCH(D$9,MMWR_RATING_STATE_ROLLUP_QST[#Headers],0)),"ERROR"))</f>
        <v>97.931928687199999</v>
      </c>
      <c r="E61" s="156">
        <f>IF($B61=" ","",IFERROR(INDEX(MMWR_RATING_STATE_ROLLUP_QST[],MATCH($B61,MMWR_RATING_STATE_ROLLUP_QST[MMWR_RATING_STATE_ROLLUP_QST],0),MATCH(E$9,MMWR_RATING_STATE_ROLLUP_QST[#Headers],0))/$C61,"ERROR"))</f>
        <v>0.28687196110210694</v>
      </c>
      <c r="F61" s="154">
        <f>IF($B61=" ","",IFERROR(INDEX(MMWR_RATING_STATE_ROLLUP_QST[],MATCH($B61,MMWR_RATING_STATE_ROLLUP_QST[MMWR_RATING_STATE_ROLLUP_QST],0),MATCH(F$9,MMWR_RATING_STATE_ROLLUP_QST[#Headers],0)),"ERROR"))</f>
        <v>98</v>
      </c>
      <c r="G61" s="154">
        <f>IF($B61=" ","",IFERROR(INDEX(MMWR_RATING_STATE_ROLLUP_QST[],MATCH($B61,MMWR_RATING_STATE_ROLLUP_QST[MMWR_RATING_STATE_ROLLUP_QST],0),MATCH(G$9,MMWR_RATING_STATE_ROLLUP_QST[#Headers],0)),"ERROR"))</f>
        <v>369</v>
      </c>
      <c r="H61" s="155">
        <f>IF($B61=" ","",IFERROR(INDEX(MMWR_RATING_STATE_ROLLUP_QST[],MATCH($B61,MMWR_RATING_STATE_ROLLUP_QST[MMWR_RATING_STATE_ROLLUP_QST],0),MATCH(H$9,MMWR_RATING_STATE_ROLLUP_QST[#Headers],0)),"ERROR"))</f>
        <v>162.1428571429</v>
      </c>
      <c r="I61" s="155">
        <f>IF($B61=" ","",IFERROR(INDEX(MMWR_RATING_STATE_ROLLUP_QST[],MATCH($B61,MMWR_RATING_STATE_ROLLUP_QST[MMWR_RATING_STATE_ROLLUP_QST],0),MATCH(I$9,MMWR_RATING_STATE_ROLLUP_QST[#Headers],0)),"ERROR"))</f>
        <v>151.49051490510001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206</v>
      </c>
      <c r="D62" s="155">
        <f>IF($B62=" ","",IFERROR(INDEX(MMWR_RATING_STATE_ROLLUP_QST[],MATCH($B62,MMWR_RATING_STATE_ROLLUP_QST[MMWR_RATING_STATE_ROLLUP_QST],0),MATCH(D$9,MMWR_RATING_STATE_ROLLUP_QST[#Headers],0)),"ERROR"))</f>
        <v>92.572815534</v>
      </c>
      <c r="E62" s="156">
        <f>IF($B62=" ","",IFERROR(INDEX(MMWR_RATING_STATE_ROLLUP_QST[],MATCH($B62,MMWR_RATING_STATE_ROLLUP_QST[MMWR_RATING_STATE_ROLLUP_QST],0),MATCH(E$9,MMWR_RATING_STATE_ROLLUP_QST[#Headers],0))/$C62,"ERROR"))</f>
        <v>0.24271844660194175</v>
      </c>
      <c r="F62" s="154">
        <f>IF($B62=" ","",IFERROR(INDEX(MMWR_RATING_STATE_ROLLUP_QST[],MATCH($B62,MMWR_RATING_STATE_ROLLUP_QST[MMWR_RATING_STATE_ROLLUP_QST],0),MATCH(F$9,MMWR_RATING_STATE_ROLLUP_QST[#Headers],0)),"ERROR"))</f>
        <v>26</v>
      </c>
      <c r="G62" s="154">
        <f>IF($B62=" ","",IFERROR(INDEX(MMWR_RATING_STATE_ROLLUP_QST[],MATCH($B62,MMWR_RATING_STATE_ROLLUP_QST[MMWR_RATING_STATE_ROLLUP_QST],0),MATCH(G$9,MMWR_RATING_STATE_ROLLUP_QST[#Headers],0)),"ERROR"))</f>
        <v>134</v>
      </c>
      <c r="H62" s="155">
        <f>IF($B62=" ","",IFERROR(INDEX(MMWR_RATING_STATE_ROLLUP_QST[],MATCH($B62,MMWR_RATING_STATE_ROLLUP_QST[MMWR_RATING_STATE_ROLLUP_QST],0),MATCH(H$9,MMWR_RATING_STATE_ROLLUP_QST[#Headers],0)),"ERROR"))</f>
        <v>149.0384615385</v>
      </c>
      <c r="I62" s="155">
        <f>IF($B62=" ","",IFERROR(INDEX(MMWR_RATING_STATE_ROLLUP_QST[],MATCH($B62,MMWR_RATING_STATE_ROLLUP_QST[MMWR_RATING_STATE_ROLLUP_QST],0),MATCH(I$9,MMWR_RATING_STATE_ROLLUP_QST[#Headers],0)),"ERROR"))</f>
        <v>139.82835820899999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122.9166666667</v>
      </c>
      <c r="E63" s="156">
        <f>IF($B63=" ","",IFERROR(INDEX(MMWR_RATING_STATE_ROLLUP_QST[],MATCH($B63,MMWR_RATING_STATE_ROLLUP_QST[MMWR_RATING_STATE_ROLLUP_QST],0),MATCH(E$9,MMWR_RATING_STATE_ROLLUP_QST[#Headers],0))/$C63,"ERROR"))</f>
        <v>0.5</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8</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157.625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3</v>
      </c>
      <c r="D64" s="155">
        <f>IF($B64=" ","",IFERROR(INDEX(MMWR_RATING_STATE_ROLLUP_QST[],MATCH($B64,MMWR_RATING_STATE_ROLLUP_QST[MMWR_RATING_STATE_ROLLUP_QST],0),MATCH(D$9,MMWR_RATING_STATE_ROLLUP_QST[#Headers],0)),"ERROR"))</f>
        <v>95.666666666699996</v>
      </c>
      <c r="E64" s="156">
        <f>IF($B64=" ","",IFERROR(INDEX(MMWR_RATING_STATE_ROLLUP_QST[],MATCH($B64,MMWR_RATING_STATE_ROLLUP_QST[MMWR_RATING_STATE_ROLLUP_QST],0),MATCH(E$9,MMWR_RATING_STATE_ROLLUP_QST[#Headers],0))/$C64,"ERROR"))</f>
        <v>0.33333333333333331</v>
      </c>
      <c r="F64" s="154">
        <f>IF($B64=" ","",IFERROR(INDEX(MMWR_RATING_STATE_ROLLUP_QST[],MATCH($B64,MMWR_RATING_STATE_ROLLUP_QST[MMWR_RATING_STATE_ROLLUP_QST],0),MATCH(F$9,MMWR_RATING_STATE_ROLLUP_QST[#Headers],0)),"ERROR"))</f>
        <v>2</v>
      </c>
      <c r="G64" s="154">
        <f>IF($B64=" ","",IFERROR(INDEX(MMWR_RATING_STATE_ROLLUP_QST[],MATCH($B64,MMWR_RATING_STATE_ROLLUP_QST[MMWR_RATING_STATE_ROLLUP_QST],0),MATCH(G$9,MMWR_RATING_STATE_ROLLUP_QST[#Headers],0)),"ERROR"))</f>
        <v>5</v>
      </c>
      <c r="H64" s="155">
        <f>IF($B64=" ","",IFERROR(INDEX(MMWR_RATING_STATE_ROLLUP_QST[],MATCH($B64,MMWR_RATING_STATE_ROLLUP_QST[MMWR_RATING_STATE_ROLLUP_QST],0),MATCH(H$9,MMWR_RATING_STATE_ROLLUP_QST[#Headers],0)),"ERROR"))</f>
        <v>150.5</v>
      </c>
      <c r="I64" s="155">
        <f>IF($B64=" ","",IFERROR(INDEX(MMWR_RATING_STATE_ROLLUP_QST[],MATCH($B64,MMWR_RATING_STATE_ROLLUP_QST[MMWR_RATING_STATE_ROLLUP_QST],0),MATCH(I$9,MMWR_RATING_STATE_ROLLUP_QST[#Headers],0)),"ERROR"))</f>
        <v>125</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665</v>
      </c>
      <c r="D65" s="155">
        <f>IF($B65=" ","",IFERROR(INDEX(MMWR_RATING_STATE_ROLLUP_QST[],MATCH($B65,MMWR_RATING_STATE_ROLLUP_QST[MMWR_RATING_STATE_ROLLUP_QST],0),MATCH(D$9,MMWR_RATING_STATE_ROLLUP_QST[#Headers],0)),"ERROR"))</f>
        <v>98.419548872199996</v>
      </c>
      <c r="E65" s="156">
        <f>IF($B65=" ","",IFERROR(INDEX(MMWR_RATING_STATE_ROLLUP_QST[],MATCH($B65,MMWR_RATING_STATE_ROLLUP_QST[MMWR_RATING_STATE_ROLLUP_QST],0),MATCH(E$9,MMWR_RATING_STATE_ROLLUP_QST[#Headers],0))/$C65,"ERROR"))</f>
        <v>0.24661654135338346</v>
      </c>
      <c r="F65" s="154">
        <f>IF($B65=" ","",IFERROR(INDEX(MMWR_RATING_STATE_ROLLUP_QST[],MATCH($B65,MMWR_RATING_STATE_ROLLUP_QST[MMWR_RATING_STATE_ROLLUP_QST],0),MATCH(F$9,MMWR_RATING_STATE_ROLLUP_QST[#Headers],0)),"ERROR"))</f>
        <v>123</v>
      </c>
      <c r="G65" s="154">
        <f>IF($B65=" ","",IFERROR(INDEX(MMWR_RATING_STATE_ROLLUP_QST[],MATCH($B65,MMWR_RATING_STATE_ROLLUP_QST[MMWR_RATING_STATE_ROLLUP_QST],0),MATCH(G$9,MMWR_RATING_STATE_ROLLUP_QST[#Headers],0)),"ERROR"))</f>
        <v>404</v>
      </c>
      <c r="H65" s="155">
        <f>IF($B65=" ","",IFERROR(INDEX(MMWR_RATING_STATE_ROLLUP_QST[],MATCH($B65,MMWR_RATING_STATE_ROLLUP_QST[MMWR_RATING_STATE_ROLLUP_QST],0),MATCH(H$9,MMWR_RATING_STATE_ROLLUP_QST[#Headers],0)),"ERROR"))</f>
        <v>168.54471544719999</v>
      </c>
      <c r="I65" s="155">
        <f>IF($B65=" ","",IFERROR(INDEX(MMWR_RATING_STATE_ROLLUP_QST[],MATCH($B65,MMWR_RATING_STATE_ROLLUP_QST[MMWR_RATING_STATE_ROLLUP_QST],0),MATCH(I$9,MMWR_RATING_STATE_ROLLUP_QST[#Headers],0)),"ERROR"))</f>
        <v>166.4455445545</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20</v>
      </c>
      <c r="D66" s="155">
        <f>IF($B66=" ","",IFERROR(INDEX(MMWR_RATING_STATE_ROLLUP_QST[],MATCH($B66,MMWR_RATING_STATE_ROLLUP_QST[MMWR_RATING_STATE_ROLLUP_QST],0),MATCH(D$9,MMWR_RATING_STATE_ROLLUP_QST[#Headers],0)),"ERROR"))</f>
        <v>73.400000000000006</v>
      </c>
      <c r="E66" s="156">
        <f>IF($B66=" ","",IFERROR(INDEX(MMWR_RATING_STATE_ROLLUP_QST[],MATCH($B66,MMWR_RATING_STATE_ROLLUP_QST[MMWR_RATING_STATE_ROLLUP_QST],0),MATCH(E$9,MMWR_RATING_STATE_ROLLUP_QST[#Headers],0))/$C66,"ERROR"))</f>
        <v>0.15</v>
      </c>
      <c r="F66" s="154">
        <f>IF($B66=" ","",IFERROR(INDEX(MMWR_RATING_STATE_ROLLUP_QST[],MATCH($B66,MMWR_RATING_STATE_ROLLUP_QST[MMWR_RATING_STATE_ROLLUP_QST],0),MATCH(F$9,MMWR_RATING_STATE_ROLLUP_QST[#Headers],0)),"ERROR"))</f>
        <v>7</v>
      </c>
      <c r="G66" s="154">
        <f>IF($B66=" ","",IFERROR(INDEX(MMWR_RATING_STATE_ROLLUP_QST[],MATCH($B66,MMWR_RATING_STATE_ROLLUP_QST[MMWR_RATING_STATE_ROLLUP_QST],0),MATCH(G$9,MMWR_RATING_STATE_ROLLUP_QST[#Headers],0)),"ERROR"))</f>
        <v>17</v>
      </c>
      <c r="H66" s="155">
        <f>IF($B66=" ","",IFERROR(INDEX(MMWR_RATING_STATE_ROLLUP_QST[],MATCH($B66,MMWR_RATING_STATE_ROLLUP_QST[MMWR_RATING_STATE_ROLLUP_QST],0),MATCH(H$9,MMWR_RATING_STATE_ROLLUP_QST[#Headers],0)),"ERROR"))</f>
        <v>151</v>
      </c>
      <c r="I66" s="155">
        <f>IF($B66=" ","",IFERROR(INDEX(MMWR_RATING_STATE_ROLLUP_QST[],MATCH($B66,MMWR_RATING_STATE_ROLLUP_QST[MMWR_RATING_STATE_ROLLUP_QST],0),MATCH(I$9,MMWR_RATING_STATE_ROLLUP_QST[#Headers],0)),"ERROR"))</f>
        <v>148.4705882353</v>
      </c>
      <c r="J66" s="42"/>
      <c r="K66" s="42"/>
      <c r="L66" s="42"/>
      <c r="M66" s="42"/>
      <c r="N66" s="28"/>
    </row>
    <row r="67" spans="1:14" x14ac:dyDescent="0.2">
      <c r="A67" s="25"/>
      <c r="B67" s="377" t="s">
        <v>1045</v>
      </c>
      <c r="C67" s="378"/>
      <c r="D67" s="378"/>
      <c r="E67" s="378"/>
      <c r="F67" s="378"/>
      <c r="G67" s="378"/>
      <c r="H67" s="378"/>
      <c r="I67" s="378"/>
      <c r="J67" s="378"/>
      <c r="K67" s="378"/>
      <c r="L67" s="378"/>
      <c r="M67" s="387"/>
      <c r="N67" s="28"/>
    </row>
    <row r="68" spans="1:14" ht="25.5" x14ac:dyDescent="0.2">
      <c r="A68" s="25"/>
      <c r="B68" s="250" t="s">
        <v>1041</v>
      </c>
      <c r="C68" s="154">
        <f>IF($B68=" ","",IFERROR(INDEX(MMWR_RATING_STATE_ROLLUP_BDD[],MATCH($B68,MMWR_RATING_STATE_ROLLUP_BDD[MMWR_RATING_STATE_ROLLUP_BDD],0),MATCH(C$9,MMWR_RATING_STATE_ROLLUP_BDD[#Headers],0)),"ERROR"))</f>
        <v>10561</v>
      </c>
      <c r="D68" s="155">
        <f>IF($B68=" ","",IFERROR(INDEX(MMWR_RATING_STATE_ROLLUP_BDD[],MATCH($B68,MMWR_RATING_STATE_ROLLUP_BDD[MMWR_RATING_STATE_ROLLUP_BDD],0),MATCH(D$9,MMWR_RATING_STATE_ROLLUP_BDD[#Headers],0)),"ERROR"))</f>
        <v>91.782691033000006</v>
      </c>
      <c r="E68" s="156">
        <f>IF($B68=" ","",IFERROR(INDEX(MMWR_RATING_STATE_ROLLUP_BDD[],MATCH($B68,MMWR_RATING_STATE_ROLLUP_BDD[MMWR_RATING_STATE_ROLLUP_BDD],0),MATCH(E$9,MMWR_RATING_STATE_ROLLUP_BDD[#Headers],0))/$C68,"ERROR"))</f>
        <v>0.1928794621721428</v>
      </c>
      <c r="F68" s="154">
        <f>IF($B68=" ","",IFERROR(INDEX(MMWR_RATING_STATE_ROLLUP_BDD[],MATCH($B68,MMWR_RATING_STATE_ROLLUP_BDD[MMWR_RATING_STATE_ROLLUP_BDD],0),MATCH(F$9,MMWR_RATING_STATE_ROLLUP_BDD[#Headers],0)),"ERROR"))</f>
        <v>2173</v>
      </c>
      <c r="G68" s="154">
        <f>IF($B68=" ","",IFERROR(INDEX(MMWR_RATING_STATE_ROLLUP_BDD[],MATCH($B68,MMWR_RATING_STATE_ROLLUP_BDD[MMWR_RATING_STATE_ROLLUP_BDD],0),MATCH(G$9,MMWR_RATING_STATE_ROLLUP_BDD[#Headers],0)),"ERROR"))</f>
        <v>8060</v>
      </c>
      <c r="H68" s="155">
        <f>IF($B68=" ","",IFERROR(INDEX(MMWR_RATING_STATE_ROLLUP_BDD[],MATCH($B68,MMWR_RATING_STATE_ROLLUP_BDD[MMWR_RATING_STATE_ROLLUP_BDD],0),MATCH(H$9,MMWR_RATING_STATE_ROLLUP_BDD[#Headers],0)),"ERROR"))</f>
        <v>148.21997238840001</v>
      </c>
      <c r="I68" s="155">
        <f>IF($B68=" ","",IFERROR(INDEX(MMWR_RATING_STATE_ROLLUP_BDD[],MATCH($B68,MMWR_RATING_STATE_ROLLUP_BDD[MMWR_RATING_STATE_ROLLUP_BDD],0),MATCH(I$9,MMWR_RATING_STATE_ROLLUP_BDD[#Headers],0)),"ERROR"))</f>
        <v>137.476674938</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3128</v>
      </c>
      <c r="D69" s="155">
        <f>IF($B69=" ","",IFERROR(INDEX(MMWR_RATING_STATE_ROLLUP_BDD[],MATCH($B69,MMWR_RATING_STATE_ROLLUP_BDD[MMWR_RATING_STATE_ROLLUP_BDD],0),MATCH(D$9,MMWR_RATING_STATE_ROLLUP_BDD[#Headers],0)),"ERROR"))</f>
        <v>96.066176470599999</v>
      </c>
      <c r="E69" s="156">
        <f>IF($B69=" ","",IFERROR(INDEX(MMWR_RATING_STATE_ROLLUP_BDD[],MATCH($B69,MMWR_RATING_STATE_ROLLUP_BDD[MMWR_RATING_STATE_ROLLUP_BDD],0),MATCH(E$9,MMWR_RATING_STATE_ROLLUP_BDD[#Headers],0))/$C69,"ERROR"))</f>
        <v>0.23145780051150894</v>
      </c>
      <c r="F69" s="154">
        <f>IF($B69=" ","",IFERROR(INDEX(MMWR_RATING_STATE_ROLLUP_BDD[],MATCH($B69,MMWR_RATING_STATE_ROLLUP_BDD[MMWR_RATING_STATE_ROLLUP_BDD],0),MATCH(F$9,MMWR_RATING_STATE_ROLLUP_BDD[#Headers],0)),"ERROR"))</f>
        <v>620</v>
      </c>
      <c r="G69" s="154">
        <f>IF($B69=" ","",IFERROR(INDEX(MMWR_RATING_STATE_ROLLUP_BDD[],MATCH($B69,MMWR_RATING_STATE_ROLLUP_BDD[MMWR_RATING_STATE_ROLLUP_BDD],0),MATCH(G$9,MMWR_RATING_STATE_ROLLUP_BDD[#Headers],0)),"ERROR"))</f>
        <v>2116</v>
      </c>
      <c r="H69" s="155">
        <f>IF($B69=" ","",IFERROR(INDEX(MMWR_RATING_STATE_ROLLUP_BDD[],MATCH($B69,MMWR_RATING_STATE_ROLLUP_BDD[MMWR_RATING_STATE_ROLLUP_BDD],0),MATCH(H$9,MMWR_RATING_STATE_ROLLUP_BDD[#Headers],0)),"ERROR"))</f>
        <v>156.05483870969999</v>
      </c>
      <c r="I69" s="155">
        <f>IF($B69=" ","",IFERROR(INDEX(MMWR_RATING_STATE_ROLLUP_BDD[],MATCH($B69,MMWR_RATING_STATE_ROLLUP_BDD[MMWR_RATING_STATE_ROLLUP_BDD],0),MATCH(I$9,MMWR_RATING_STATE_ROLLUP_BDD[#Headers],0)),"ERROR"))</f>
        <v>146.8988657845</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53</v>
      </c>
      <c r="D70" s="155">
        <f>IF($B70=" ","",IFERROR(INDEX(MMWR_RATING_STATE_ROLLUP_BDD[],MATCH($B70,MMWR_RATING_STATE_ROLLUP_BDD[MMWR_RATING_STATE_ROLLUP_BDD],0),MATCH(D$9,MMWR_RATING_STATE_ROLLUP_BDD[#Headers],0)),"ERROR"))</f>
        <v>117.11320754720001</v>
      </c>
      <c r="E70" s="156">
        <f>IF($B70=" ","",IFERROR(INDEX(MMWR_RATING_STATE_ROLLUP_BDD[],MATCH($B70,MMWR_RATING_STATE_ROLLUP_BDD[MMWR_RATING_STATE_ROLLUP_BDD],0),MATCH(E$9,MMWR_RATING_STATE_ROLLUP_BDD[#Headers],0))/$C70,"ERROR"))</f>
        <v>0.28301886792452829</v>
      </c>
      <c r="F70" s="154">
        <f>IF($B70=" ","",IFERROR(INDEX(MMWR_RATING_STATE_ROLLUP_BDD[],MATCH($B70,MMWR_RATING_STATE_ROLLUP_BDD[MMWR_RATING_STATE_ROLLUP_BDD],0),MATCH(F$9,MMWR_RATING_STATE_ROLLUP_BDD[#Headers],0)),"ERROR"))</f>
        <v>11</v>
      </c>
      <c r="G70" s="154">
        <f>IF($B70=" ","",IFERROR(INDEX(MMWR_RATING_STATE_ROLLUP_BDD[],MATCH($B70,MMWR_RATING_STATE_ROLLUP_BDD[MMWR_RATING_STATE_ROLLUP_BDD],0),MATCH(G$9,MMWR_RATING_STATE_ROLLUP_BDD[#Headers],0)),"ERROR"))</f>
        <v>46</v>
      </c>
      <c r="H70" s="155">
        <f>IF($B70=" ","",IFERROR(INDEX(MMWR_RATING_STATE_ROLLUP_BDD[],MATCH($B70,MMWR_RATING_STATE_ROLLUP_BDD[MMWR_RATING_STATE_ROLLUP_BDD],0),MATCH(H$9,MMWR_RATING_STATE_ROLLUP_BDD[#Headers],0)),"ERROR"))</f>
        <v>180.1818181818</v>
      </c>
      <c r="I70" s="155">
        <f>IF($B70=" ","",IFERROR(INDEX(MMWR_RATING_STATE_ROLLUP_BDD[],MATCH($B70,MMWR_RATING_STATE_ROLLUP_BDD[MMWR_RATING_STATE_ROLLUP_BDD],0),MATCH(I$9,MMWR_RATING_STATE_ROLLUP_BDD[#Headers],0)),"ERROR"))</f>
        <v>146.4565217391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28</v>
      </c>
      <c r="D71" s="155">
        <f>IF($B71=" ","",IFERROR(INDEX(MMWR_RATING_STATE_ROLLUP_BDD[],MATCH($B71,MMWR_RATING_STATE_ROLLUP_BDD[MMWR_RATING_STATE_ROLLUP_BDD],0),MATCH(D$9,MMWR_RATING_STATE_ROLLUP_BDD[#Headers],0)),"ERROR"))</f>
        <v>100.2142857143</v>
      </c>
      <c r="E71" s="156">
        <f>IF($B71=" ","",IFERROR(INDEX(MMWR_RATING_STATE_ROLLUP_BDD[],MATCH($B71,MMWR_RATING_STATE_ROLLUP_BDD[MMWR_RATING_STATE_ROLLUP_BDD],0),MATCH(E$9,MMWR_RATING_STATE_ROLLUP_BDD[#Headers],0))/$C71,"ERROR"))</f>
        <v>0.2857142857142857</v>
      </c>
      <c r="F71" s="154">
        <f>IF($B71=" ","",IFERROR(INDEX(MMWR_RATING_STATE_ROLLUP_BDD[],MATCH($B71,MMWR_RATING_STATE_ROLLUP_BDD[MMWR_RATING_STATE_ROLLUP_BDD],0),MATCH(F$9,MMWR_RATING_STATE_ROLLUP_BDD[#Headers],0)),"ERROR"))</f>
        <v>5</v>
      </c>
      <c r="G71" s="154">
        <f>IF($B71=" ","",IFERROR(INDEX(MMWR_RATING_STATE_ROLLUP_BDD[],MATCH($B71,MMWR_RATING_STATE_ROLLUP_BDD[MMWR_RATING_STATE_ROLLUP_BDD],0),MATCH(G$9,MMWR_RATING_STATE_ROLLUP_BDD[#Headers],0)),"ERROR"))</f>
        <v>13</v>
      </c>
      <c r="H71" s="155">
        <f>IF($B71=" ","",IFERROR(INDEX(MMWR_RATING_STATE_ROLLUP_BDD[],MATCH($B71,MMWR_RATING_STATE_ROLLUP_BDD[MMWR_RATING_STATE_ROLLUP_BDD],0),MATCH(H$9,MMWR_RATING_STATE_ROLLUP_BDD[#Headers],0)),"ERROR"))</f>
        <v>142.19999999999999</v>
      </c>
      <c r="I71" s="155">
        <f>IF($B71=" ","",IFERROR(INDEX(MMWR_RATING_STATE_ROLLUP_BDD[],MATCH($B71,MMWR_RATING_STATE_ROLLUP_BDD[MMWR_RATING_STATE_ROLLUP_BDD],0),MATCH(I$9,MMWR_RATING_STATE_ROLLUP_BDD[#Headers],0)),"ERROR"))</f>
        <v>160</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23</v>
      </c>
      <c r="D72" s="155">
        <f>IF($B72=" ","",IFERROR(INDEX(MMWR_RATING_STATE_ROLLUP_BDD[],MATCH($B72,MMWR_RATING_STATE_ROLLUP_BDD[MMWR_RATING_STATE_ROLLUP_BDD],0),MATCH(D$9,MMWR_RATING_STATE_ROLLUP_BDD[#Headers],0)),"ERROR"))</f>
        <v>84.391304347800002</v>
      </c>
      <c r="E72" s="156">
        <f>IF($B72=" ","",IFERROR(INDEX(MMWR_RATING_STATE_ROLLUP_BDD[],MATCH($B72,MMWR_RATING_STATE_ROLLUP_BDD[MMWR_RATING_STATE_ROLLUP_BDD],0),MATCH(E$9,MMWR_RATING_STATE_ROLLUP_BDD[#Headers],0))/$C72,"ERROR"))</f>
        <v>0.13043478260869565</v>
      </c>
      <c r="F72" s="154">
        <f>IF($B72=" ","",IFERROR(INDEX(MMWR_RATING_STATE_ROLLUP_BDD[],MATCH($B72,MMWR_RATING_STATE_ROLLUP_BDD[MMWR_RATING_STATE_ROLLUP_BDD],0),MATCH(F$9,MMWR_RATING_STATE_ROLLUP_BDD[#Headers],0)),"ERROR"))</f>
        <v>5</v>
      </c>
      <c r="G72" s="154">
        <f>IF($B72=" ","",IFERROR(INDEX(MMWR_RATING_STATE_ROLLUP_BDD[],MATCH($B72,MMWR_RATING_STATE_ROLLUP_BDD[MMWR_RATING_STATE_ROLLUP_BDD],0),MATCH(G$9,MMWR_RATING_STATE_ROLLUP_BDD[#Headers],0)),"ERROR"))</f>
        <v>19</v>
      </c>
      <c r="H72" s="155">
        <f>IF($B72=" ","",IFERROR(INDEX(MMWR_RATING_STATE_ROLLUP_BDD[],MATCH($B72,MMWR_RATING_STATE_ROLLUP_BDD[MMWR_RATING_STATE_ROLLUP_BDD],0),MATCH(H$9,MMWR_RATING_STATE_ROLLUP_BDD[#Headers],0)),"ERROR"))</f>
        <v>167.6</v>
      </c>
      <c r="I72" s="155">
        <f>IF($B72=" ","",IFERROR(INDEX(MMWR_RATING_STATE_ROLLUP_BDD[],MATCH($B72,MMWR_RATING_STATE_ROLLUP_BDD[MMWR_RATING_STATE_ROLLUP_BDD],0),MATCH(I$9,MMWR_RATING_STATE_ROLLUP_BDD[#Headers],0)),"ERROR"))</f>
        <v>145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18</v>
      </c>
      <c r="D73" s="155">
        <f>IF($B73=" ","",IFERROR(INDEX(MMWR_RATING_STATE_ROLLUP_BDD[],MATCH($B73,MMWR_RATING_STATE_ROLLUP_BDD[MMWR_RATING_STATE_ROLLUP_BDD],0),MATCH(D$9,MMWR_RATING_STATE_ROLLUP_BDD[#Headers],0)),"ERROR"))</f>
        <v>106.1111111111</v>
      </c>
      <c r="E73" s="156">
        <f>IF($B73=" ","",IFERROR(INDEX(MMWR_RATING_STATE_ROLLUP_BDD[],MATCH($B73,MMWR_RATING_STATE_ROLLUP_BDD[MMWR_RATING_STATE_ROLLUP_BDD],0),MATCH(E$9,MMWR_RATING_STATE_ROLLUP_BDD[#Headers],0))/$C73,"ERROR"))</f>
        <v>0.27777777777777779</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17</v>
      </c>
      <c r="H73" s="155">
        <f>IF($B73=" ","",IFERROR(INDEX(MMWR_RATING_STATE_ROLLUP_BDD[],MATCH($B73,MMWR_RATING_STATE_ROLLUP_BDD[MMWR_RATING_STATE_ROLLUP_BDD],0),MATCH(H$9,MMWR_RATING_STATE_ROLLUP_BDD[#Headers],0)),"ERROR"))</f>
        <v>174.6666666667</v>
      </c>
      <c r="I73" s="155">
        <f>IF($B73=" ","",IFERROR(INDEX(MMWR_RATING_STATE_ROLLUP_BDD[],MATCH($B73,MMWR_RATING_STATE_ROLLUP_BDD[MMWR_RATING_STATE_ROLLUP_BDD],0),MATCH(I$9,MMWR_RATING_STATE_ROLLUP_BDD[#Headers],0)),"ERROR"))</f>
        <v>163.4117647059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330</v>
      </c>
      <c r="D74" s="155">
        <f>IF($B74=" ","",IFERROR(INDEX(MMWR_RATING_STATE_ROLLUP_BDD[],MATCH($B74,MMWR_RATING_STATE_ROLLUP_BDD[MMWR_RATING_STATE_ROLLUP_BDD],0),MATCH(D$9,MMWR_RATING_STATE_ROLLUP_BDD[#Headers],0)),"ERROR"))</f>
        <v>96.296969696999994</v>
      </c>
      <c r="E74" s="156">
        <f>IF($B74=" ","",IFERROR(INDEX(MMWR_RATING_STATE_ROLLUP_BDD[],MATCH($B74,MMWR_RATING_STATE_ROLLUP_BDD[MMWR_RATING_STATE_ROLLUP_BDD],0),MATCH(E$9,MMWR_RATING_STATE_ROLLUP_BDD[#Headers],0))/$C74,"ERROR"))</f>
        <v>0.21212121212121213</v>
      </c>
      <c r="F74" s="154">
        <f>IF($B74=" ","",IFERROR(INDEX(MMWR_RATING_STATE_ROLLUP_BDD[],MATCH($B74,MMWR_RATING_STATE_ROLLUP_BDD[MMWR_RATING_STATE_ROLLUP_BDD],0),MATCH(F$9,MMWR_RATING_STATE_ROLLUP_BDD[#Headers],0)),"ERROR"))</f>
        <v>61</v>
      </c>
      <c r="G74" s="154">
        <f>IF($B74=" ","",IFERROR(INDEX(MMWR_RATING_STATE_ROLLUP_BDD[],MATCH($B74,MMWR_RATING_STATE_ROLLUP_BDD[MMWR_RATING_STATE_ROLLUP_BDD],0),MATCH(G$9,MMWR_RATING_STATE_ROLLUP_BDD[#Headers],0)),"ERROR"))</f>
        <v>212</v>
      </c>
      <c r="H74" s="155">
        <f>IF($B74=" ","",IFERROR(INDEX(MMWR_RATING_STATE_ROLLUP_BDD[],MATCH($B74,MMWR_RATING_STATE_ROLLUP_BDD[MMWR_RATING_STATE_ROLLUP_BDD],0),MATCH(H$9,MMWR_RATING_STATE_ROLLUP_BDD[#Headers],0)),"ERROR"))</f>
        <v>169.95081967210001</v>
      </c>
      <c r="I74" s="155">
        <f>IF($B74=" ","",IFERROR(INDEX(MMWR_RATING_STATE_ROLLUP_BDD[],MATCH($B74,MMWR_RATING_STATE_ROLLUP_BDD[MMWR_RATING_STATE_ROLLUP_BDD],0),MATCH(I$9,MMWR_RATING_STATE_ROLLUP_BDD[#Headers],0)),"ERROR"))</f>
        <v>152.39622641509999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42</v>
      </c>
      <c r="D75" s="155">
        <f>IF($B75=" ","",IFERROR(INDEX(MMWR_RATING_STATE_ROLLUP_BDD[],MATCH($B75,MMWR_RATING_STATE_ROLLUP_BDD[MMWR_RATING_STATE_ROLLUP_BDD],0),MATCH(D$9,MMWR_RATING_STATE_ROLLUP_BDD[#Headers],0)),"ERROR"))</f>
        <v>95.190476190499993</v>
      </c>
      <c r="E75" s="156">
        <f>IF($B75=" ","",IFERROR(INDEX(MMWR_RATING_STATE_ROLLUP_BDD[],MATCH($B75,MMWR_RATING_STATE_ROLLUP_BDD[MMWR_RATING_STATE_ROLLUP_BDD],0),MATCH(E$9,MMWR_RATING_STATE_ROLLUP_BDD[#Headers],0))/$C75,"ERROR"))</f>
        <v>0.33333333333333331</v>
      </c>
      <c r="F75" s="154">
        <f>IF($B75=" ","",IFERROR(INDEX(MMWR_RATING_STATE_ROLLUP_BDD[],MATCH($B75,MMWR_RATING_STATE_ROLLUP_BDD[MMWR_RATING_STATE_ROLLUP_BDD],0),MATCH(F$9,MMWR_RATING_STATE_ROLLUP_BDD[#Headers],0)),"ERROR"))</f>
        <v>16</v>
      </c>
      <c r="G75" s="154">
        <f>IF($B75=" ","",IFERROR(INDEX(MMWR_RATING_STATE_ROLLUP_BDD[],MATCH($B75,MMWR_RATING_STATE_ROLLUP_BDD[MMWR_RATING_STATE_ROLLUP_BDD],0),MATCH(G$9,MMWR_RATING_STATE_ROLLUP_BDD[#Headers],0)),"ERROR"))</f>
        <v>44</v>
      </c>
      <c r="H75" s="155">
        <f>IF($B75=" ","",IFERROR(INDEX(MMWR_RATING_STATE_ROLLUP_BDD[],MATCH($B75,MMWR_RATING_STATE_ROLLUP_BDD[MMWR_RATING_STATE_ROLLUP_BDD],0),MATCH(H$9,MMWR_RATING_STATE_ROLLUP_BDD[#Headers],0)),"ERROR"))</f>
        <v>152.4375</v>
      </c>
      <c r="I75" s="155">
        <f>IF($B75=" ","",IFERROR(INDEX(MMWR_RATING_STATE_ROLLUP_BDD[],MATCH($B75,MMWR_RATING_STATE_ROLLUP_BDD[MMWR_RATING_STATE_ROLLUP_BDD],0),MATCH(I$9,MMWR_RATING_STATE_ROLLUP_BDD[#Headers],0)),"ERROR"))</f>
        <v>124.7272727273</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18</v>
      </c>
      <c r="D76" s="155">
        <f>IF($B76=" ","",IFERROR(INDEX(MMWR_RATING_STATE_ROLLUP_BDD[],MATCH($B76,MMWR_RATING_STATE_ROLLUP_BDD[MMWR_RATING_STATE_ROLLUP_BDD],0),MATCH(D$9,MMWR_RATING_STATE_ROLLUP_BDD[#Headers],0)),"ERROR"))</f>
        <v>98.388888888899999</v>
      </c>
      <c r="E76" s="156">
        <f>IF($B76=" ","",IFERROR(INDEX(MMWR_RATING_STATE_ROLLUP_BDD[],MATCH($B76,MMWR_RATING_STATE_ROLLUP_BDD[MMWR_RATING_STATE_ROLLUP_BDD],0),MATCH(E$9,MMWR_RATING_STATE_ROLLUP_BDD[#Headers],0))/$C76,"ERROR"))</f>
        <v>0.16666666666666666</v>
      </c>
      <c r="F76" s="154">
        <f>IF($B76=" ","",IFERROR(INDEX(MMWR_RATING_STATE_ROLLUP_BDD[],MATCH($B76,MMWR_RATING_STATE_ROLLUP_BDD[MMWR_RATING_STATE_ROLLUP_BDD],0),MATCH(F$9,MMWR_RATING_STATE_ROLLUP_BDD[#Headers],0)),"ERROR"))</f>
        <v>4</v>
      </c>
      <c r="G76" s="154">
        <f>IF($B76=" ","",IFERROR(INDEX(MMWR_RATING_STATE_ROLLUP_BDD[],MATCH($B76,MMWR_RATING_STATE_ROLLUP_BDD[MMWR_RATING_STATE_ROLLUP_BDD],0),MATCH(G$9,MMWR_RATING_STATE_ROLLUP_BDD[#Headers],0)),"ERROR"))</f>
        <v>19</v>
      </c>
      <c r="H76" s="155">
        <f>IF($B76=" ","",IFERROR(INDEX(MMWR_RATING_STATE_ROLLUP_BDD[],MATCH($B76,MMWR_RATING_STATE_ROLLUP_BDD[MMWR_RATING_STATE_ROLLUP_BDD],0),MATCH(H$9,MMWR_RATING_STATE_ROLLUP_BDD[#Headers],0)),"ERROR"))</f>
        <v>126.75</v>
      </c>
      <c r="I76" s="155">
        <f>IF($B76=" ","",IFERROR(INDEX(MMWR_RATING_STATE_ROLLUP_BDD[],MATCH($B76,MMWR_RATING_STATE_ROLLUP_BDD[MMWR_RATING_STATE_ROLLUP_BDD],0),MATCH(I$9,MMWR_RATING_STATE_ROLLUP_BDD[#Headers],0)),"ERROR"))</f>
        <v>133.15789473679999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79</v>
      </c>
      <c r="D77" s="155">
        <f>IF($B77=" ","",IFERROR(INDEX(MMWR_RATING_STATE_ROLLUP_BDD[],MATCH($B77,MMWR_RATING_STATE_ROLLUP_BDD[MMWR_RATING_STATE_ROLLUP_BDD],0),MATCH(D$9,MMWR_RATING_STATE_ROLLUP_BDD[#Headers],0)),"ERROR"))</f>
        <v>90.962025316500004</v>
      </c>
      <c r="E77" s="156">
        <f>IF($B77=" ","",IFERROR(INDEX(MMWR_RATING_STATE_ROLLUP_BDD[],MATCH($B77,MMWR_RATING_STATE_ROLLUP_BDD[MMWR_RATING_STATE_ROLLUP_BDD],0),MATCH(E$9,MMWR_RATING_STATE_ROLLUP_BDD[#Headers],0))/$C77,"ERROR"))</f>
        <v>0.22784810126582278</v>
      </c>
      <c r="F77" s="154">
        <f>IF($B77=" ","",IFERROR(INDEX(MMWR_RATING_STATE_ROLLUP_BDD[],MATCH($B77,MMWR_RATING_STATE_ROLLUP_BDD[MMWR_RATING_STATE_ROLLUP_BDD],0),MATCH(F$9,MMWR_RATING_STATE_ROLLUP_BDD[#Headers],0)),"ERROR"))</f>
        <v>22</v>
      </c>
      <c r="G77" s="154">
        <f>IF($B77=" ","",IFERROR(INDEX(MMWR_RATING_STATE_ROLLUP_BDD[],MATCH($B77,MMWR_RATING_STATE_ROLLUP_BDD[MMWR_RATING_STATE_ROLLUP_BDD],0),MATCH(G$9,MMWR_RATING_STATE_ROLLUP_BDD[#Headers],0)),"ERROR"))</f>
        <v>74</v>
      </c>
      <c r="H77" s="155">
        <f>IF($B77=" ","",IFERROR(INDEX(MMWR_RATING_STATE_ROLLUP_BDD[],MATCH($B77,MMWR_RATING_STATE_ROLLUP_BDD[MMWR_RATING_STATE_ROLLUP_BDD],0),MATCH(H$9,MMWR_RATING_STATE_ROLLUP_BDD[#Headers],0)),"ERROR"))</f>
        <v>152</v>
      </c>
      <c r="I77" s="155">
        <f>IF($B77=" ","",IFERROR(INDEX(MMWR_RATING_STATE_ROLLUP_BDD[],MATCH($B77,MMWR_RATING_STATE_ROLLUP_BDD[MMWR_RATING_STATE_ROLLUP_BDD],0),MATCH(I$9,MMWR_RATING_STATE_ROLLUP_BDD[#Headers],0)),"ERROR"))</f>
        <v>138.16216216219999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149</v>
      </c>
      <c r="D78" s="155">
        <f>IF($B78=" ","",IFERROR(INDEX(MMWR_RATING_STATE_ROLLUP_BDD[],MATCH($B78,MMWR_RATING_STATE_ROLLUP_BDD[MMWR_RATING_STATE_ROLLUP_BDD],0),MATCH(D$9,MMWR_RATING_STATE_ROLLUP_BDD[#Headers],0)),"ERROR"))</f>
        <v>89.087248322099995</v>
      </c>
      <c r="E78" s="156">
        <f>IF($B78=" ","",IFERROR(INDEX(MMWR_RATING_STATE_ROLLUP_BDD[],MATCH($B78,MMWR_RATING_STATE_ROLLUP_BDD[MMWR_RATING_STATE_ROLLUP_BDD],0),MATCH(E$9,MMWR_RATING_STATE_ROLLUP_BDD[#Headers],0))/$C78,"ERROR"))</f>
        <v>0.18791946308724833</v>
      </c>
      <c r="F78" s="154">
        <f>IF($B78=" ","",IFERROR(INDEX(MMWR_RATING_STATE_ROLLUP_BDD[],MATCH($B78,MMWR_RATING_STATE_ROLLUP_BDD[MMWR_RATING_STATE_ROLLUP_BDD],0),MATCH(F$9,MMWR_RATING_STATE_ROLLUP_BDD[#Headers],0)),"ERROR"))</f>
        <v>31</v>
      </c>
      <c r="G78" s="154">
        <f>IF($B78=" ","",IFERROR(INDEX(MMWR_RATING_STATE_ROLLUP_BDD[],MATCH($B78,MMWR_RATING_STATE_ROLLUP_BDD[MMWR_RATING_STATE_ROLLUP_BDD],0),MATCH(G$9,MMWR_RATING_STATE_ROLLUP_BDD[#Headers],0)),"ERROR"))</f>
        <v>123</v>
      </c>
      <c r="H78" s="155">
        <f>IF($B78=" ","",IFERROR(INDEX(MMWR_RATING_STATE_ROLLUP_BDD[],MATCH($B78,MMWR_RATING_STATE_ROLLUP_BDD[MMWR_RATING_STATE_ROLLUP_BDD],0),MATCH(H$9,MMWR_RATING_STATE_ROLLUP_BDD[#Headers],0)),"ERROR"))</f>
        <v>161.90322580649999</v>
      </c>
      <c r="I78" s="155">
        <f>IF($B78=" ","",IFERROR(INDEX(MMWR_RATING_STATE_ROLLUP_BDD[],MATCH($B78,MMWR_RATING_STATE_ROLLUP_BDD[MMWR_RATING_STATE_ROLLUP_BDD],0),MATCH(I$9,MMWR_RATING_STATE_ROLLUP_BDD[#Headers],0)),"ERROR"))</f>
        <v>145.5040650407</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1112</v>
      </c>
      <c r="D79" s="155">
        <f>IF($B79=" ","",IFERROR(INDEX(MMWR_RATING_STATE_ROLLUP_BDD[],MATCH($B79,MMWR_RATING_STATE_ROLLUP_BDD[MMWR_RATING_STATE_ROLLUP_BDD],0),MATCH(D$9,MMWR_RATING_STATE_ROLLUP_BDD[#Headers],0)),"ERROR"))</f>
        <v>91.171762589899998</v>
      </c>
      <c r="E79" s="156">
        <f>IF($B79=" ","",IFERROR(INDEX(MMWR_RATING_STATE_ROLLUP_BDD[],MATCH($B79,MMWR_RATING_STATE_ROLLUP_BDD[MMWR_RATING_STATE_ROLLUP_BDD],0),MATCH(E$9,MMWR_RATING_STATE_ROLLUP_BDD[#Headers],0))/$C79,"ERROR"))</f>
        <v>0.21762589928057555</v>
      </c>
      <c r="F79" s="154">
        <f>IF($B79=" ","",IFERROR(INDEX(MMWR_RATING_STATE_ROLLUP_BDD[],MATCH($B79,MMWR_RATING_STATE_ROLLUP_BDD[MMWR_RATING_STATE_ROLLUP_BDD],0),MATCH(F$9,MMWR_RATING_STATE_ROLLUP_BDD[#Headers],0)),"ERROR"))</f>
        <v>177</v>
      </c>
      <c r="G79" s="154">
        <f>IF($B79=" ","",IFERROR(INDEX(MMWR_RATING_STATE_ROLLUP_BDD[],MATCH($B79,MMWR_RATING_STATE_ROLLUP_BDD[MMWR_RATING_STATE_ROLLUP_BDD],0),MATCH(G$9,MMWR_RATING_STATE_ROLLUP_BDD[#Headers],0)),"ERROR"))</f>
        <v>677</v>
      </c>
      <c r="H79" s="155">
        <f>IF($B79=" ","",IFERROR(INDEX(MMWR_RATING_STATE_ROLLUP_BDD[],MATCH($B79,MMWR_RATING_STATE_ROLLUP_BDD[MMWR_RATING_STATE_ROLLUP_BDD],0),MATCH(H$9,MMWR_RATING_STATE_ROLLUP_BDD[#Headers],0)),"ERROR"))</f>
        <v>153.05084745760001</v>
      </c>
      <c r="I79" s="155">
        <f>IF($B79=" ","",IFERROR(INDEX(MMWR_RATING_STATE_ROLLUP_BDD[],MATCH($B79,MMWR_RATING_STATE_ROLLUP_BDD[MMWR_RATING_STATE_ROLLUP_BDD],0),MATCH(I$9,MMWR_RATING_STATE_ROLLUP_BDD[#Headers],0)),"ERROR"))</f>
        <v>145.48153618910001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127</v>
      </c>
      <c r="D80" s="155">
        <f>IF($B80=" ","",IFERROR(INDEX(MMWR_RATING_STATE_ROLLUP_BDD[],MATCH($B80,MMWR_RATING_STATE_ROLLUP_BDD[MMWR_RATING_STATE_ROLLUP_BDD],0),MATCH(D$9,MMWR_RATING_STATE_ROLLUP_BDD[#Headers],0)),"ERROR"))</f>
        <v>82.905511810999997</v>
      </c>
      <c r="E80" s="156">
        <f>IF($B80=" ","",IFERROR(INDEX(MMWR_RATING_STATE_ROLLUP_BDD[],MATCH($B80,MMWR_RATING_STATE_ROLLUP_BDD[MMWR_RATING_STATE_ROLLUP_BDD],0),MATCH(E$9,MMWR_RATING_STATE_ROLLUP_BDD[#Headers],0))/$C80,"ERROR"))</f>
        <v>0.17322834645669291</v>
      </c>
      <c r="F80" s="154">
        <f>IF($B80=" ","",IFERROR(INDEX(MMWR_RATING_STATE_ROLLUP_BDD[],MATCH($B80,MMWR_RATING_STATE_ROLLUP_BDD[MMWR_RATING_STATE_ROLLUP_BDD],0),MATCH(F$9,MMWR_RATING_STATE_ROLLUP_BDD[#Headers],0)),"ERROR"))</f>
        <v>43</v>
      </c>
      <c r="G80" s="154">
        <f>IF($B80=" ","",IFERROR(INDEX(MMWR_RATING_STATE_ROLLUP_BDD[],MATCH($B80,MMWR_RATING_STATE_ROLLUP_BDD[MMWR_RATING_STATE_ROLLUP_BDD],0),MATCH(G$9,MMWR_RATING_STATE_ROLLUP_BDD[#Headers],0)),"ERROR"))</f>
        <v>143</v>
      </c>
      <c r="H80" s="155">
        <f>IF($B80=" ","",IFERROR(INDEX(MMWR_RATING_STATE_ROLLUP_BDD[],MATCH($B80,MMWR_RATING_STATE_ROLLUP_BDD[MMWR_RATING_STATE_ROLLUP_BDD],0),MATCH(H$9,MMWR_RATING_STATE_ROLLUP_BDD[#Headers],0)),"ERROR"))</f>
        <v>132.3953488372</v>
      </c>
      <c r="I80" s="155">
        <f>IF($B80=" ","",IFERROR(INDEX(MMWR_RATING_STATE_ROLLUP_BDD[],MATCH($B80,MMWR_RATING_STATE_ROLLUP_BDD[MMWR_RATING_STATE_ROLLUP_BDD],0),MATCH(I$9,MMWR_RATING_STATE_ROLLUP_BDD[#Headers],0)),"ERROR"))</f>
        <v>130.60839160840001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120.8888888889</v>
      </c>
      <c r="E81" s="156">
        <f>IF($B81=" ","",IFERROR(INDEX(MMWR_RATING_STATE_ROLLUP_BDD[],MATCH($B81,MMWR_RATING_STATE_ROLLUP_BDD[MMWR_RATING_STATE_ROLLUP_BDD],0),MATCH(E$9,MMWR_RATING_STATE_ROLLUP_BDD[#Headers],0))/$C81,"ERROR"))</f>
        <v>0.44444444444444442</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10</v>
      </c>
      <c r="H81" s="155">
        <f>IF($B81=" ","",IFERROR(INDEX(MMWR_RATING_STATE_ROLLUP_BDD[],MATCH($B81,MMWR_RATING_STATE_ROLLUP_BDD[MMWR_RATING_STATE_ROLLUP_BDD],0),MATCH(H$9,MMWR_RATING_STATE_ROLLUP_BDD[#Headers],0)),"ERROR"))</f>
        <v>151</v>
      </c>
      <c r="I81" s="155">
        <f>IF($B81=" ","",IFERROR(INDEX(MMWR_RATING_STATE_ROLLUP_BDD[],MATCH($B81,MMWR_RATING_STATE_ROLLUP_BDD[MMWR_RATING_STATE_ROLLUP_BDD],0),MATCH(I$9,MMWR_RATING_STATE_ROLLUP_BDD[#Headers],0)),"ERROR"))</f>
        <v>124</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60</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1</v>
      </c>
      <c r="G82" s="154">
        <f>IF($B82=" ","",IFERROR(INDEX(MMWR_RATING_STATE_ROLLUP_BDD[],MATCH($B82,MMWR_RATING_STATE_ROLLUP_BDD[MMWR_RATING_STATE_ROLLUP_BDD],0),MATCH(G$9,MMWR_RATING_STATE_ROLLUP_BDD[#Headers],0)),"ERROR"))</f>
        <v>6</v>
      </c>
      <c r="H82" s="155">
        <f>IF($B82=" ","",IFERROR(INDEX(MMWR_RATING_STATE_ROLLUP_BDD[],MATCH($B82,MMWR_RATING_STATE_ROLLUP_BDD[MMWR_RATING_STATE_ROLLUP_BDD],0),MATCH(H$9,MMWR_RATING_STATE_ROLLUP_BDD[#Headers],0)),"ERROR"))</f>
        <v>170</v>
      </c>
      <c r="I82" s="155">
        <f>IF($B82=" ","",IFERROR(INDEX(MMWR_RATING_STATE_ROLLUP_BDD[],MATCH($B82,MMWR_RATING_STATE_ROLLUP_BDD[MMWR_RATING_STATE_ROLLUP_BDD],0),MATCH(I$9,MMWR_RATING_STATE_ROLLUP_BDD[#Headers],0)),"ERROR"))</f>
        <v>106</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1109</v>
      </c>
      <c r="D83" s="155">
        <f>IF($B83=" ","",IFERROR(INDEX(MMWR_RATING_STATE_ROLLUP_BDD[],MATCH($B83,MMWR_RATING_STATE_ROLLUP_BDD[MMWR_RATING_STATE_ROLLUP_BDD],0),MATCH(D$9,MMWR_RATING_STATE_ROLLUP_BDD[#Headers],0)),"ERROR"))</f>
        <v>102.25157799820001</v>
      </c>
      <c r="E83" s="156">
        <f>IF($B83=" ","",IFERROR(INDEX(MMWR_RATING_STATE_ROLLUP_BDD[],MATCH($B83,MMWR_RATING_STATE_ROLLUP_BDD[MMWR_RATING_STATE_ROLLUP_BDD],0),MATCH(E$9,MMWR_RATING_STATE_ROLLUP_BDD[#Headers],0))/$C83,"ERROR"))</f>
        <v>0.25518485121731288</v>
      </c>
      <c r="F83" s="154">
        <f>IF($B83=" ","",IFERROR(INDEX(MMWR_RATING_STATE_ROLLUP_BDD[],MATCH($B83,MMWR_RATING_STATE_ROLLUP_BDD[MMWR_RATING_STATE_ROLLUP_BDD],0),MATCH(F$9,MMWR_RATING_STATE_ROLLUP_BDD[#Headers],0)),"ERROR"))</f>
        <v>232</v>
      </c>
      <c r="G83" s="154">
        <f>IF($B83=" ","",IFERROR(INDEX(MMWR_RATING_STATE_ROLLUP_BDD[],MATCH($B83,MMWR_RATING_STATE_ROLLUP_BDD[MMWR_RATING_STATE_ROLLUP_BDD],0),MATCH(G$9,MMWR_RATING_STATE_ROLLUP_BDD[#Headers],0)),"ERROR"))</f>
        <v>691</v>
      </c>
      <c r="H83" s="155">
        <f>IF($B83=" ","",IFERROR(INDEX(MMWR_RATING_STATE_ROLLUP_BDD[],MATCH($B83,MMWR_RATING_STATE_ROLLUP_BDD[MMWR_RATING_STATE_ROLLUP_BDD],0),MATCH(H$9,MMWR_RATING_STATE_ROLLUP_BDD[#Headers],0)),"ERROR"))</f>
        <v>157.51293103450001</v>
      </c>
      <c r="I83" s="155">
        <f>IF($B83=" ","",IFERROR(INDEX(MMWR_RATING_STATE_ROLLUP_BDD[],MATCH($B83,MMWR_RATING_STATE_ROLLUP_BDD[MMWR_RATING_STATE_ROLLUP_BDD],0),MATCH(I$9,MMWR_RATING_STATE_ROLLUP_BDD[#Headers],0)),"ERROR"))</f>
        <v>153.2894356006</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28</v>
      </c>
      <c r="D84" s="155">
        <f>IF($B84=" ","",IFERROR(INDEX(MMWR_RATING_STATE_ROLLUP_BDD[],MATCH($B84,MMWR_RATING_STATE_ROLLUP_BDD[MMWR_RATING_STATE_ROLLUP_BDD],0),MATCH(D$9,MMWR_RATING_STATE_ROLLUP_BDD[#Headers],0)),"ERROR"))</f>
        <v>108.82142857140001</v>
      </c>
      <c r="E84" s="156">
        <f>IF($B84=" ","",IFERROR(INDEX(MMWR_RATING_STATE_ROLLUP_BDD[],MATCH($B84,MMWR_RATING_STATE_ROLLUP_BDD[MMWR_RATING_STATE_ROLLUP_BDD],0),MATCH(E$9,MMWR_RATING_STATE_ROLLUP_BDD[#Headers],0))/$C84,"ERROR"))</f>
        <v>0.32142857142857145</v>
      </c>
      <c r="F84" s="154">
        <f>IF($B84=" ","",IFERROR(INDEX(MMWR_RATING_STATE_ROLLUP_BDD[],MATCH($B84,MMWR_RATING_STATE_ROLLUP_BDD[MMWR_RATING_STATE_ROLLUP_BDD],0),MATCH(F$9,MMWR_RATING_STATE_ROLLUP_BDD[#Headers],0)),"ERROR"))</f>
        <v>8</v>
      </c>
      <c r="G84" s="154">
        <f>IF($B84=" ","",IFERROR(INDEX(MMWR_RATING_STATE_ROLLUP_BDD[],MATCH($B84,MMWR_RATING_STATE_ROLLUP_BDD[MMWR_RATING_STATE_ROLLUP_BDD],0),MATCH(G$9,MMWR_RATING_STATE_ROLLUP_BDD[#Headers],0)),"ERROR"))</f>
        <v>22</v>
      </c>
      <c r="H84" s="155">
        <f>IF($B84=" ","",IFERROR(INDEX(MMWR_RATING_STATE_ROLLUP_BDD[],MATCH($B84,MMWR_RATING_STATE_ROLLUP_BDD[MMWR_RATING_STATE_ROLLUP_BDD],0),MATCH(H$9,MMWR_RATING_STATE_ROLLUP_BDD[#Headers],0)),"ERROR"))</f>
        <v>172</v>
      </c>
      <c r="I84" s="155">
        <f>IF($B84=" ","",IFERROR(INDEX(MMWR_RATING_STATE_ROLLUP_BDD[],MATCH($B84,MMWR_RATING_STATE_ROLLUP_BDD[MMWR_RATING_STATE_ROLLUP_BDD],0),MATCH(I$9,MMWR_RATING_STATE_ROLLUP_BDD[#Headers],0)),"ERROR"))</f>
        <v>139.7272727273</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299</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314</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January 30,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242</v>
      </c>
      <c r="C5" s="429"/>
      <c r="D5" s="429"/>
      <c r="E5" s="429"/>
      <c r="F5" s="429"/>
      <c r="G5" s="429"/>
      <c r="H5" s="430"/>
      <c r="I5" s="55"/>
      <c r="J5" s="428" t="s">
        <v>239</v>
      </c>
      <c r="K5" s="429"/>
      <c r="L5" s="429"/>
      <c r="M5" s="429"/>
      <c r="N5" s="430"/>
      <c r="O5" s="56"/>
      <c r="P5" s="431" t="s">
        <v>11</v>
      </c>
      <c r="Q5" s="432"/>
      <c r="R5" s="432"/>
      <c r="S5" s="432"/>
      <c r="T5" s="432"/>
      <c r="U5" s="433"/>
      <c r="V5" s="25"/>
    </row>
    <row r="6" spans="1:22" s="1" customFormat="1" ht="65.25" customHeight="1" thickBot="1" x14ac:dyDescent="0.25">
      <c r="A6" s="25"/>
      <c r="B6" s="418" t="s">
        <v>282</v>
      </c>
      <c r="C6" s="419"/>
      <c r="D6" s="419"/>
      <c r="E6" s="420"/>
      <c r="F6" s="57" t="s">
        <v>12</v>
      </c>
      <c r="G6" s="58" t="s">
        <v>3</v>
      </c>
      <c r="H6" s="59" t="s">
        <v>4</v>
      </c>
      <c r="I6" s="25"/>
      <c r="J6" s="407" t="s">
        <v>282</v>
      </c>
      <c r="K6" s="408"/>
      <c r="L6" s="60" t="s">
        <v>12</v>
      </c>
      <c r="M6" s="61" t="s">
        <v>3</v>
      </c>
      <c r="N6" s="62" t="s">
        <v>4</v>
      </c>
      <c r="O6" s="63"/>
      <c r="P6" s="434" t="s">
        <v>282</v>
      </c>
      <c r="Q6" s="435"/>
      <c r="R6" s="64" t="s">
        <v>492</v>
      </c>
      <c r="S6" s="436" t="s">
        <v>282</v>
      </c>
      <c r="T6" s="437"/>
      <c r="U6" s="65" t="s">
        <v>137</v>
      </c>
      <c r="V6" s="25"/>
    </row>
    <row r="7" spans="1:22" s="1" customFormat="1" ht="32.25" customHeight="1" thickBot="1" x14ac:dyDescent="0.25">
      <c r="A7" s="25"/>
      <c r="B7" s="401" t="s">
        <v>301</v>
      </c>
      <c r="C7" s="402"/>
      <c r="D7" s="402"/>
      <c r="E7" s="402"/>
      <c r="F7" s="166">
        <f>SUM(F8:F10)</f>
        <v>117939</v>
      </c>
      <c r="G7" s="167">
        <f>SUM(G8:G10)</f>
        <v>32566</v>
      </c>
      <c r="H7" s="168">
        <f t="shared" ref="H7:H44" si="0">IF(G7="--", 0, G7/F7)</f>
        <v>0.27612579384257963</v>
      </c>
      <c r="I7" s="25"/>
      <c r="J7" s="401" t="s">
        <v>267</v>
      </c>
      <c r="K7" s="402"/>
      <c r="L7" s="167">
        <f>SUM(L8:L10)</f>
        <v>32086</v>
      </c>
      <c r="M7" s="167">
        <f>SUM(M8:M10)</f>
        <v>5319</v>
      </c>
      <c r="N7" s="178">
        <f>IF(M7="--", 0, M7/L7)</f>
        <v>0.16577323443246275</v>
      </c>
      <c r="O7" s="66"/>
      <c r="P7" s="401" t="s">
        <v>970</v>
      </c>
      <c r="Q7" s="402"/>
      <c r="R7" s="179">
        <f>R8+R9+R10+R11+R12</f>
        <v>325900</v>
      </c>
      <c r="S7" s="401"/>
      <c r="T7" s="402"/>
      <c r="U7" s="67"/>
      <c r="V7" s="25"/>
    </row>
    <row r="8" spans="1:22" s="1" customFormat="1" ht="51" customHeight="1" x14ac:dyDescent="0.2">
      <c r="A8" s="25"/>
      <c r="B8" s="285" t="s">
        <v>252</v>
      </c>
      <c r="C8" s="286"/>
      <c r="D8" s="286"/>
      <c r="E8" s="427"/>
      <c r="F8" s="169">
        <f>IFERROR(VLOOKUP(MID(B8,4,3),MMWR_TRAD_AGG_NATIONAL[],2,0),"--")</f>
        <v>267</v>
      </c>
      <c r="G8" s="170">
        <f>IFERROR(VLOOKUP(MID(B8,4,3),MMWR_TRAD_AGG_NATIONAL[],3,0),"--")</f>
        <v>160</v>
      </c>
      <c r="H8" s="171">
        <f t="shared" si="0"/>
        <v>0.59925093632958804</v>
      </c>
      <c r="I8" s="25"/>
      <c r="J8" s="403" t="s">
        <v>269</v>
      </c>
      <c r="K8" s="404"/>
      <c r="L8" s="169">
        <f>IFERROR(VLOOKUP(MID(J8,4,3),MMWR_TRAD_AGG_NATIONAL[],2,0),"--")</f>
        <v>8233</v>
      </c>
      <c r="M8" s="170">
        <f>IFERROR(VLOOKUP(MID(J8,4,3),MMWR_TRAD_AGG_NATIONAL[],3,0),"--")</f>
        <v>582</v>
      </c>
      <c r="N8" s="171">
        <f>IF(M8="--", 0, M8/L8)</f>
        <v>7.0691121098020157E-2</v>
      </c>
      <c r="O8" s="68" t="s">
        <v>313</v>
      </c>
      <c r="P8" s="438" t="s">
        <v>243</v>
      </c>
      <c r="Q8" s="439"/>
      <c r="R8" s="180">
        <f>VLOOKUP(P8,MMWR_APP_NATIONAL[],2,0)</f>
        <v>235448</v>
      </c>
      <c r="S8" s="406" t="s">
        <v>232</v>
      </c>
      <c r="T8" s="405"/>
      <c r="U8" s="181">
        <f>VLOOKUP(P8,MMWR_APP_NATIONAL[],3,0)</f>
        <v>403.49382847139998</v>
      </c>
      <c r="V8" s="25"/>
    </row>
    <row r="9" spans="1:22" s="1" customFormat="1" ht="45" customHeight="1" x14ac:dyDescent="0.2">
      <c r="A9" s="25"/>
      <c r="B9" s="285" t="s">
        <v>250</v>
      </c>
      <c r="C9" s="286"/>
      <c r="D9" s="286"/>
      <c r="E9" s="427"/>
      <c r="F9" s="169">
        <f>IFERROR(VLOOKUP(MID(B9,4,3),MMWR_TRAD_AGG_NATIONAL[],2,0),"--")</f>
        <v>39561</v>
      </c>
      <c r="G9" s="170">
        <f>IFERROR(VLOOKUP(MID(B9,4,3),MMWR_TRAD_AGG_NATIONAL[],3,0),"--")</f>
        <v>12307</v>
      </c>
      <c r="H9" s="171">
        <f t="shared" si="0"/>
        <v>0.31108920401405427</v>
      </c>
      <c r="I9" s="68" t="s">
        <v>313</v>
      </c>
      <c r="J9" s="285" t="s">
        <v>268</v>
      </c>
      <c r="K9" s="286"/>
      <c r="L9" s="169">
        <f>IFERROR(VLOOKUP(MID(J9,4,3),MMWR_TRAD_AGG_NATIONAL[],2,0),"--")</f>
        <v>7845</v>
      </c>
      <c r="M9" s="170">
        <f>IFERROR(VLOOKUP(MID(J9,4,3),MMWR_TRAD_AGG_NATIONAL[],3,0),"--")</f>
        <v>440</v>
      </c>
      <c r="N9" s="171">
        <f>IF(M9="--", 0, M9/L9)</f>
        <v>5.6086679413639262E-2</v>
      </c>
      <c r="O9" s="68" t="s">
        <v>313</v>
      </c>
      <c r="P9" s="449" t="s">
        <v>244</v>
      </c>
      <c r="Q9" s="450"/>
      <c r="R9" s="182">
        <f>VLOOKUP(P9,MMWR_APP_NATIONAL[],2,0)</f>
        <v>54202</v>
      </c>
      <c r="S9" s="451" t="s">
        <v>233</v>
      </c>
      <c r="T9" s="396"/>
      <c r="U9" s="183">
        <f>VLOOKUP(P9,MMWR_APP_NATIONAL[],3,0)</f>
        <v>606.26764695029999</v>
      </c>
      <c r="V9" s="25"/>
    </row>
    <row r="10" spans="1:22" s="1" customFormat="1" ht="63" customHeight="1" thickBot="1" x14ac:dyDescent="0.25">
      <c r="A10" s="25"/>
      <c r="B10" s="285" t="s">
        <v>251</v>
      </c>
      <c r="C10" s="286"/>
      <c r="D10" s="286"/>
      <c r="E10" s="427"/>
      <c r="F10" s="169">
        <f>IFERROR(VLOOKUP(MID(B10,4,3),MMWR_TRAD_AGG_NATIONAL[],2,0),"--")</f>
        <v>78111</v>
      </c>
      <c r="G10" s="170">
        <f>IFERROR(VLOOKUP(MID(B10,4,3),MMWR_TRAD_AGG_NATIONAL[],3,0),"--")</f>
        <v>20099</v>
      </c>
      <c r="H10" s="171">
        <f t="shared" si="0"/>
        <v>0.2573133105452497</v>
      </c>
      <c r="I10" s="68" t="s">
        <v>313</v>
      </c>
      <c r="J10" s="287" t="s">
        <v>270</v>
      </c>
      <c r="K10" s="288"/>
      <c r="L10" s="169">
        <f>IFERROR(VLOOKUP(MID(J10,4,3),MMWR_TRAD_AGG_NATIONAL[],2,0),"--")</f>
        <v>16008</v>
      </c>
      <c r="M10" s="170">
        <f>IFERROR(VLOOKUP(MID(J10,4,3),MMWR_TRAD_AGG_NATIONAL[],3,0),"--")</f>
        <v>4297</v>
      </c>
      <c r="N10" s="171">
        <f>IF(M10="--", 0, M10/L10)</f>
        <v>0.26842828585707146</v>
      </c>
      <c r="O10" s="69"/>
      <c r="P10" s="449" t="s">
        <v>245</v>
      </c>
      <c r="Q10" s="450"/>
      <c r="R10" s="182">
        <f>VLOOKUP(P10,MMWR_APP_NATIONAL[],2,0)</f>
        <v>24924</v>
      </c>
      <c r="S10" s="451" t="s">
        <v>234</v>
      </c>
      <c r="T10" s="396"/>
      <c r="U10" s="183">
        <f>VLOOKUP(P10,MMWR_APP_NATIONAL[],3,0)</f>
        <v>527.30124398069995</v>
      </c>
      <c r="V10" s="25"/>
    </row>
    <row r="11" spans="1:22" s="1" customFormat="1" ht="45" customHeight="1" thickBot="1" x14ac:dyDescent="0.25">
      <c r="A11" s="25"/>
      <c r="B11" s="401" t="s">
        <v>302</v>
      </c>
      <c r="C11" s="402"/>
      <c r="D11" s="402"/>
      <c r="E11" s="402"/>
      <c r="F11" s="166">
        <f>SUM(F12:F13)</f>
        <v>9447</v>
      </c>
      <c r="G11" s="167">
        <f>SUM(G12:G13)</f>
        <v>2206</v>
      </c>
      <c r="H11" s="168">
        <f t="shared" si="0"/>
        <v>0.23351328464062665</v>
      </c>
      <c r="I11" s="25"/>
      <c r="J11" s="401" t="s">
        <v>240</v>
      </c>
      <c r="K11" s="402"/>
      <c r="L11" s="166">
        <f>SUM(L12:L17)</f>
        <v>29656</v>
      </c>
      <c r="M11" s="166">
        <f>SUM(M12:M17)</f>
        <v>6890</v>
      </c>
      <c r="N11" s="159">
        <f>IF(M11="--", 0, M11/L11)</f>
        <v>0.23233072565416779</v>
      </c>
      <c r="O11" s="69"/>
      <c r="P11" s="449" t="s">
        <v>971</v>
      </c>
      <c r="Q11" s="450"/>
      <c r="R11" s="182">
        <f>VLOOKUP(P11,MMWR_APP_NATIONAL[],2,0)</f>
        <v>10864</v>
      </c>
      <c r="S11" s="451" t="s">
        <v>235</v>
      </c>
      <c r="T11" s="396"/>
      <c r="U11" s="183">
        <f>VLOOKUP(P11,MMWR_APP_NATIONAL[],3,0)</f>
        <v>187.4651505386</v>
      </c>
      <c r="V11" s="25"/>
    </row>
    <row r="12" spans="1:22" s="1" customFormat="1" ht="46.5" customHeight="1" thickBot="1" x14ac:dyDescent="0.25">
      <c r="A12" s="25"/>
      <c r="B12" s="397" t="s">
        <v>272</v>
      </c>
      <c r="C12" s="398"/>
      <c r="D12" s="398"/>
      <c r="E12" s="399"/>
      <c r="F12" s="169">
        <f>IFERROR(VLOOKUP(MID(B12,4,3),MMWR_TRAD_AGG_NATIONAL[],2,0),"--")</f>
        <v>8383</v>
      </c>
      <c r="G12" s="170">
        <f>IFERROR(VLOOKUP(MID(B12,4,3),MMWR_TRAD_AGG_NATIONAL[],3,0),"--")</f>
        <v>1530</v>
      </c>
      <c r="H12" s="171">
        <f t="shared" si="0"/>
        <v>0.18251222712632709</v>
      </c>
      <c r="I12" s="68" t="s">
        <v>313</v>
      </c>
      <c r="J12" s="287" t="s">
        <v>262</v>
      </c>
      <c r="K12" s="396"/>
      <c r="L12" s="169">
        <f>IFERROR(VLOOKUP(MID(J12,4,3)&amp;"p",MMWR_TRAD_AGG_NATIONAL[],2,0),"--")</f>
        <v>1381</v>
      </c>
      <c r="M12" s="170">
        <f>IFERROR(VLOOKUP(MID(J12,4,3)&amp;"p",MMWR_TRAD_AGG_NATIONAL[],3,0),"--")</f>
        <v>274</v>
      </c>
      <c r="N12" s="171">
        <f t="shared" ref="N12:N17" si="1">IF(L12="--", 0,M12/L12)</f>
        <v>0.19840695148443158</v>
      </c>
      <c r="O12" s="69"/>
      <c r="P12" s="449" t="s">
        <v>952</v>
      </c>
      <c r="Q12" s="450"/>
      <c r="R12" s="182">
        <f>VLOOKUP(P12,MMWR_APP_NATIONAL[],2,0)</f>
        <v>462</v>
      </c>
      <c r="S12" s="452" t="s">
        <v>969</v>
      </c>
      <c r="T12" s="400"/>
      <c r="U12" s="183">
        <f>VLOOKUP(P12,MMWR_APP_NATIONAL[],3,0)</f>
        <v>460.48917748920002</v>
      </c>
      <c r="V12" s="25"/>
    </row>
    <row r="13" spans="1:22" s="1" customFormat="1" ht="49.5" customHeight="1" thickBot="1" x14ac:dyDescent="0.25">
      <c r="A13" s="25"/>
      <c r="B13" s="397" t="s">
        <v>1062</v>
      </c>
      <c r="C13" s="398"/>
      <c r="D13" s="398"/>
      <c r="E13" s="399"/>
      <c r="F13" s="169">
        <f>IFERROR(VLOOKUP(MID(B13,4,3),MMWR_TRAD_AGG_NATIONAL[],2,0),"--")</f>
        <v>1064</v>
      </c>
      <c r="G13" s="170">
        <f>IFERROR(VLOOKUP(MID(B13,4,3),MMWR_TRAD_AGG_NATIONAL[],3,0),"--")</f>
        <v>676</v>
      </c>
      <c r="H13" s="171">
        <f t="shared" si="0"/>
        <v>0.63533834586466165</v>
      </c>
      <c r="I13" s="25"/>
      <c r="J13" s="287" t="s">
        <v>271</v>
      </c>
      <c r="K13" s="396"/>
      <c r="L13" s="169">
        <f>IFERROR(VLOOKUP(MID(J13,4,3),MMWR_TRAD_AGG_NATIONAL[],2,0),"--")</f>
        <v>4529</v>
      </c>
      <c r="M13" s="170">
        <f>IFERROR(VLOOKUP(MID(J13,4,3),MMWR_TRAD_AGG_NATIONAL[],3,0),"--")</f>
        <v>902</v>
      </c>
      <c r="N13" s="171">
        <f t="shared" si="1"/>
        <v>0.1991609626849194</v>
      </c>
      <c r="O13" s="69"/>
      <c r="P13" s="401" t="s">
        <v>981</v>
      </c>
      <c r="Q13" s="402"/>
      <c r="R13" s="445"/>
      <c r="S13" s="446">
        <f>VLOOKUP(P13,MMWR_APP_NATIONAL[],2,0)</f>
        <v>24176</v>
      </c>
      <c r="T13" s="447"/>
      <c r="U13" s="448"/>
      <c r="V13" s="25"/>
    </row>
    <row r="14" spans="1:22" s="1" customFormat="1" ht="45" customHeight="1" thickBot="1" x14ac:dyDescent="0.25">
      <c r="A14" s="25"/>
      <c r="B14" s="401" t="s">
        <v>1</v>
      </c>
      <c r="C14" s="402"/>
      <c r="D14" s="402"/>
      <c r="E14" s="402"/>
      <c r="F14" s="166">
        <f>SUM(F15:F21)</f>
        <v>196151</v>
      </c>
      <c r="G14" s="167">
        <f>SUM(G15:G21)</f>
        <v>40908</v>
      </c>
      <c r="H14" s="168">
        <f t="shared" si="0"/>
        <v>0.20855361430734484</v>
      </c>
      <c r="I14" s="25"/>
      <c r="J14" s="287" t="s">
        <v>273</v>
      </c>
      <c r="K14" s="396"/>
      <c r="L14" s="169">
        <f>IFERROR(VLOOKUP(MID(J14,4,3),MMWR_TRAD_AGG_NATIONAL[],2,0),"--")</f>
        <v>13994</v>
      </c>
      <c r="M14" s="170">
        <f>IFERROR(VLOOKUP(MID(J14,4,3),MMWR_TRAD_AGG_NATIONAL[],3,0),"--")</f>
        <v>2898</v>
      </c>
      <c r="N14" s="171">
        <f t="shared" si="1"/>
        <v>0.20708875232242391</v>
      </c>
      <c r="O14" s="69"/>
      <c r="P14" s="21"/>
      <c r="Q14" s="21"/>
      <c r="R14" s="21"/>
      <c r="S14" s="28"/>
      <c r="T14" s="28"/>
      <c r="U14" s="70"/>
      <c r="V14" s="25"/>
    </row>
    <row r="15" spans="1:22" s="1" customFormat="1" ht="44.25" customHeight="1" thickBot="1" x14ac:dyDescent="0.25">
      <c r="A15" s="25"/>
      <c r="B15" s="285" t="s">
        <v>253</v>
      </c>
      <c r="C15" s="286"/>
      <c r="D15" s="286"/>
      <c r="E15" s="427"/>
      <c r="F15" s="169">
        <f>IFERROR(VLOOKUP(MID(B15,4,3),MMWR_TRAD_AGG_NATIONAL[],2,0),"--")</f>
        <v>194724</v>
      </c>
      <c r="G15" s="170">
        <f>IFERROR(VLOOKUP(MID(B15,4,3),MMWR_TRAD_AGG_NATIONAL[],3,0),"--")</f>
        <v>40143</v>
      </c>
      <c r="H15" s="171">
        <f t="shared" si="0"/>
        <v>0.20615332470573736</v>
      </c>
      <c r="I15" s="68" t="s">
        <v>313</v>
      </c>
      <c r="J15" s="287" t="s">
        <v>274</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254</v>
      </c>
      <c r="C16" s="288"/>
      <c r="D16" s="288"/>
      <c r="E16" s="396"/>
      <c r="F16" s="169">
        <f>IFERROR(VLOOKUP(MID(B16,4,3),MMWR_TRAD_AGG_NATIONAL[],2,0),"--")</f>
        <v>1207</v>
      </c>
      <c r="G16" s="170">
        <f>IFERROR(VLOOKUP(MID(B16,4,3),MMWR_TRAD_AGG_NATIONAL[],3,0),"--")</f>
        <v>588</v>
      </c>
      <c r="H16" s="171">
        <f t="shared" si="0"/>
        <v>0.4871582435791218</v>
      </c>
      <c r="I16" s="68" t="s">
        <v>313</v>
      </c>
      <c r="J16" s="287" t="s">
        <v>275</v>
      </c>
      <c r="K16" s="396"/>
      <c r="L16" s="169">
        <f>IFERROR(VLOOKUP(MID(J16,4,3),MMWR_TRAD_AGG_NATIONAL[],2,0),"--")</f>
        <v>3462</v>
      </c>
      <c r="M16" s="170">
        <f>IFERROR(VLOOKUP(MID(J16,4,3),MMWR_TRAD_AGG_NATIONAL[],3,0),"--")</f>
        <v>1008</v>
      </c>
      <c r="N16" s="171">
        <f t="shared" si="1"/>
        <v>0.29116117850953205</v>
      </c>
      <c r="O16" s="69"/>
      <c r="P16" s="431" t="s">
        <v>953</v>
      </c>
      <c r="Q16" s="432"/>
      <c r="R16" s="432"/>
      <c r="S16" s="433"/>
      <c r="T16" s="28"/>
      <c r="U16" s="71"/>
      <c r="V16" s="25"/>
    </row>
    <row r="17" spans="1:22" s="1" customFormat="1" ht="31.5" customHeight="1" thickBot="1" x14ac:dyDescent="0.25">
      <c r="A17" s="25"/>
      <c r="B17" s="287" t="s">
        <v>255</v>
      </c>
      <c r="C17" s="288"/>
      <c r="D17" s="288"/>
      <c r="E17" s="396"/>
      <c r="F17" s="169">
        <f>IFERROR(VLOOKUP(MID(B17,4,3),MMWR_TRAD_AGG_NATIONAL[],2,0),"--")</f>
        <v>200</v>
      </c>
      <c r="G17" s="170">
        <f>IFERROR(VLOOKUP(MID(B17,4,3),MMWR_TRAD_AGG_NATIONAL[],3,0),"--")</f>
        <v>173</v>
      </c>
      <c r="H17" s="171">
        <f t="shared" si="0"/>
        <v>0.86499999999999999</v>
      </c>
      <c r="I17" s="25"/>
      <c r="J17" s="287" t="s">
        <v>276</v>
      </c>
      <c r="K17" s="396"/>
      <c r="L17" s="169">
        <f>IFERROR(VLOOKUP(MID(J17,4,3),MMWR_TRAD_AGG_NATIONAL[],2,0),"--")</f>
        <v>6289</v>
      </c>
      <c r="M17" s="170">
        <f>IFERROR(VLOOKUP(MID(J17,4,3),MMWR_TRAD_AGG_NATIONAL[],3,0),"--")</f>
        <v>1807</v>
      </c>
      <c r="N17" s="171">
        <f t="shared" si="1"/>
        <v>0.28732707902687232</v>
      </c>
      <c r="O17" s="72"/>
      <c r="P17" s="440" t="s">
        <v>248</v>
      </c>
      <c r="Q17" s="441"/>
      <c r="R17" s="441"/>
      <c r="S17" s="184">
        <f>IFERROR(VLOOKUP("160",MMWR_TRAD_AGG_NATIONAL[],2,0),"--")</f>
        <v>28656</v>
      </c>
      <c r="T17" s="28"/>
      <c r="U17" s="71"/>
      <c r="V17" s="25"/>
    </row>
    <row r="18" spans="1:22" s="1" customFormat="1" ht="32.25" customHeight="1" thickBot="1" x14ac:dyDescent="0.25">
      <c r="A18" s="25"/>
      <c r="B18" s="287" t="s">
        <v>256</v>
      </c>
      <c r="C18" s="288"/>
      <c r="D18" s="288"/>
      <c r="E18" s="396"/>
      <c r="F18" s="169">
        <f>IFERROR(VLOOKUP(MID(B18,4,3),MMWR_TRAD_AGG_NATIONAL[],2,0),"--")</f>
        <v>14</v>
      </c>
      <c r="G18" s="170">
        <f>IFERROR(VLOOKUP(MID(B18,4,3),MMWR_TRAD_AGG_NATIONAL[],3,0),"--")</f>
        <v>4</v>
      </c>
      <c r="H18" s="171">
        <f t="shared" si="0"/>
        <v>0.2857142857142857</v>
      </c>
      <c r="I18" s="68" t="s">
        <v>313</v>
      </c>
      <c r="J18" s="401" t="s">
        <v>15</v>
      </c>
      <c r="K18" s="402"/>
      <c r="L18" s="166">
        <f>SUM(L19:L21)</f>
        <v>367</v>
      </c>
      <c r="M18" s="166">
        <f>SUM(M19:M21)</f>
        <v>342</v>
      </c>
      <c r="N18" s="159">
        <f t="shared" ref="N18:N26" si="2">IF(M18="--", 0, M18/L18)</f>
        <v>0.93188010899182561</v>
      </c>
      <c r="O18" s="73"/>
      <c r="P18" s="442" t="s">
        <v>249</v>
      </c>
      <c r="Q18" s="443"/>
      <c r="R18" s="443"/>
      <c r="S18" s="185">
        <f>IFERROR(VLOOKUP("165",MMWR_TRAD_AGG_NATIONAL[],2,0),"--")</f>
        <v>10125</v>
      </c>
      <c r="T18" s="28"/>
      <c r="U18" s="71"/>
      <c r="V18" s="25"/>
    </row>
    <row r="19" spans="1:22" s="1" customFormat="1" ht="41.25" customHeight="1" x14ac:dyDescent="0.4">
      <c r="A19" s="25"/>
      <c r="B19" s="287" t="s">
        <v>257</v>
      </c>
      <c r="C19" s="288"/>
      <c r="D19" s="288"/>
      <c r="E19" s="396"/>
      <c r="F19" s="169">
        <f>IFERROR(VLOOKUP(MID(B19,4,3),MMWR_TRAD_AGG_NATIONAL[],2,0),"--")</f>
        <v>2</v>
      </c>
      <c r="G19" s="170">
        <f>IFERROR(VLOOKUP(MID(B19,4,3),MMWR_TRAD_AGG_NATIONAL[],3,0),"--")</f>
        <v>0</v>
      </c>
      <c r="H19" s="171">
        <f t="shared" si="0"/>
        <v>0</v>
      </c>
      <c r="I19" s="68" t="s">
        <v>313</v>
      </c>
      <c r="J19" s="287" t="s">
        <v>277</v>
      </c>
      <c r="K19" s="396"/>
      <c r="L19" s="169">
        <f>IFERROR(VLOOKUP(MID(J19,4,3),MMWR_TRAD_AGG_NATIONAL[],2,0),"--")</f>
        <v>283</v>
      </c>
      <c r="M19" s="170">
        <f>IFERROR(VLOOKUP(MID(J19,4,3),MMWR_TRAD_AGG_NATIONAL[],3,0),"--")</f>
        <v>280</v>
      </c>
      <c r="N19" s="171">
        <f t="shared" si="2"/>
        <v>0.98939929328621912</v>
      </c>
      <c r="O19" s="56"/>
      <c r="P19" s="25"/>
      <c r="Q19" s="25"/>
      <c r="R19" s="25"/>
      <c r="S19" s="25"/>
      <c r="T19" s="28"/>
      <c r="U19" s="71"/>
      <c r="V19" s="25"/>
    </row>
    <row r="20" spans="1:22" s="1" customFormat="1" ht="40.5" customHeight="1" x14ac:dyDescent="0.4">
      <c r="A20" s="25"/>
      <c r="B20" s="287" t="s">
        <v>258</v>
      </c>
      <c r="C20" s="288"/>
      <c r="D20" s="288"/>
      <c r="E20" s="396"/>
      <c r="F20" s="169">
        <f>IFERROR(VLOOKUP(MID(B20,4,3),MMWR_TRAD_AGG_NATIONAL[],2,0),"--")</f>
        <v>3</v>
      </c>
      <c r="G20" s="170">
        <f>IFERROR(VLOOKUP(MID(B20,4,3),MMWR_TRAD_AGG_NATIONAL[],3,0),"--")</f>
        <v>0</v>
      </c>
      <c r="H20" s="171">
        <f t="shared" si="0"/>
        <v>0</v>
      </c>
      <c r="I20" s="68" t="s">
        <v>313</v>
      </c>
      <c r="J20" s="287" t="s">
        <v>300</v>
      </c>
      <c r="K20" s="396"/>
      <c r="L20" s="169">
        <f>IFERROR(VLOOKUP(MID(J20,4,3),MMWR_TRAD_AGG_NATIONAL[],2,0),"--")</f>
        <v>65</v>
      </c>
      <c r="M20" s="170">
        <f>IFERROR(VLOOKUP(MID(J20,4,3),MMWR_TRAD_AGG_NATIONAL[],3,0),"--")</f>
        <v>49</v>
      </c>
      <c r="N20" s="171">
        <f t="shared" si="2"/>
        <v>0.75384615384615383</v>
      </c>
      <c r="O20" s="56"/>
      <c r="P20" s="56"/>
      <c r="Q20" s="56"/>
      <c r="R20" s="56"/>
      <c r="S20" s="56"/>
      <c r="T20" s="56"/>
      <c r="U20" s="74"/>
      <c r="V20" s="25"/>
    </row>
    <row r="21" spans="1:22" s="1" customFormat="1" ht="39" customHeight="1" thickBot="1" x14ac:dyDescent="0.45">
      <c r="A21" s="25"/>
      <c r="B21" s="287" t="s">
        <v>259</v>
      </c>
      <c r="C21" s="288"/>
      <c r="D21" s="288"/>
      <c r="E21" s="396"/>
      <c r="F21" s="169">
        <f>IFERROR(VLOOKUP(MID(B21,4,3),MMWR_TRAD_AGG_NATIONAL[],2,0),"--")</f>
        <v>1</v>
      </c>
      <c r="G21" s="170">
        <f>IFERROR(VLOOKUP(MID(B21,4,3),MMWR_TRAD_AGG_NATIONAL[],3,0),"--")</f>
        <v>0</v>
      </c>
      <c r="H21" s="171">
        <f t="shared" si="0"/>
        <v>0</v>
      </c>
      <c r="I21" s="68" t="s">
        <v>313</v>
      </c>
      <c r="J21" s="287" t="s">
        <v>278</v>
      </c>
      <c r="K21" s="396"/>
      <c r="L21" s="169">
        <f>IFERROR(VLOOKUP(MID(J21,4,3),MMWR_TRAD_AGG_NATIONAL[],2,0),"--")</f>
        <v>19</v>
      </c>
      <c r="M21" s="170">
        <f>IFERROR(VLOOKUP(MID(J21,4,3),MMWR_TRAD_AGG_NATIONAL[],3,0),"--")</f>
        <v>13</v>
      </c>
      <c r="N21" s="171">
        <f t="shared" si="2"/>
        <v>0.68421052631578949</v>
      </c>
      <c r="O21" s="56"/>
      <c r="P21" s="56"/>
      <c r="Q21" s="56"/>
      <c r="R21" s="56"/>
      <c r="S21" s="56"/>
      <c r="T21" s="56"/>
      <c r="U21" s="74"/>
      <c r="V21" s="25"/>
    </row>
    <row r="22" spans="1:22" s="1" customFormat="1" ht="32.25" customHeight="1" thickBot="1" x14ac:dyDescent="0.45">
      <c r="A22" s="25"/>
      <c r="B22" s="401" t="s">
        <v>13</v>
      </c>
      <c r="C22" s="402"/>
      <c r="D22" s="402"/>
      <c r="E22" s="402"/>
      <c r="F22" s="166">
        <f>SUM(F23:F29)</f>
        <v>453285</v>
      </c>
      <c r="G22" s="167">
        <f>SUM(G23:G29)</f>
        <v>302098</v>
      </c>
      <c r="H22" s="168">
        <f t="shared" si="0"/>
        <v>0.66646370385077824</v>
      </c>
      <c r="I22" s="25"/>
      <c r="J22" s="401" t="s">
        <v>227</v>
      </c>
      <c r="K22" s="402"/>
      <c r="L22" s="166">
        <f>SUM(L23:L26)</f>
        <v>1702</v>
      </c>
      <c r="M22" s="166">
        <f>SUM(M23:M26)</f>
        <v>611</v>
      </c>
      <c r="N22" s="159">
        <f t="shared" si="2"/>
        <v>0.35898942420681551</v>
      </c>
      <c r="O22" s="56"/>
      <c r="P22" s="25"/>
      <c r="Q22" s="25"/>
      <c r="R22" s="25"/>
      <c r="S22" s="25"/>
      <c r="T22" s="56"/>
      <c r="U22" s="74"/>
      <c r="V22" s="25"/>
    </row>
    <row r="23" spans="1:22" s="1" customFormat="1" ht="26.25" customHeight="1" x14ac:dyDescent="0.4">
      <c r="A23" s="25"/>
      <c r="B23" s="397" t="s">
        <v>260</v>
      </c>
      <c r="C23" s="398"/>
      <c r="D23" s="398"/>
      <c r="E23" s="399"/>
      <c r="F23" s="169">
        <f>IFERROR(VLOOKUP(MID(B23,4,3),MMWR_TRAD_AGG_NATIONAL[],2,0),"--")</f>
        <v>213278</v>
      </c>
      <c r="G23" s="170">
        <f>IFERROR(VLOOKUP(MID(B23,4,3),MMWR_TRAD_AGG_NATIONAL[],3,0),"--")</f>
        <v>151520</v>
      </c>
      <c r="H23" s="171">
        <f t="shared" si="0"/>
        <v>0.71043426888849293</v>
      </c>
      <c r="I23" s="25"/>
      <c r="J23" s="403" t="s">
        <v>281</v>
      </c>
      <c r="K23" s="405"/>
      <c r="L23" s="172">
        <f>IFERROR(VLOOKUP(MID(J23,4,3),MMWR_TRAD_AGG_NATIONAL[],2,0),"--")</f>
        <v>267</v>
      </c>
      <c r="M23" s="173">
        <f>IFERROR(VLOOKUP(MID(J23,4,3),MMWR_TRAD_AGG_NATIONAL[],3,0),"--")</f>
        <v>108</v>
      </c>
      <c r="N23" s="174">
        <f t="shared" si="2"/>
        <v>0.4044943820224719</v>
      </c>
      <c r="O23" s="56"/>
      <c r="P23" s="25"/>
      <c r="Q23" s="25"/>
      <c r="R23" s="25"/>
      <c r="S23" s="25"/>
      <c r="T23" s="56"/>
      <c r="U23" s="74"/>
      <c r="V23" s="25"/>
    </row>
    <row r="24" spans="1:22" s="1" customFormat="1" ht="39.75" customHeight="1" x14ac:dyDescent="0.4">
      <c r="A24" s="25"/>
      <c r="B24" s="397" t="s">
        <v>261</v>
      </c>
      <c r="C24" s="398"/>
      <c r="D24" s="398"/>
      <c r="E24" s="399"/>
      <c r="F24" s="169">
        <f>IFERROR(VLOOKUP(MID(B24,4,3),MMWR_TRAD_AGG_NATIONAL[],2,0),"--")</f>
        <v>219</v>
      </c>
      <c r="G24" s="170">
        <f>IFERROR(VLOOKUP(MID(B24,4,3),MMWR_TRAD_AGG_NATIONAL[],3,0),"--")</f>
        <v>145</v>
      </c>
      <c r="H24" s="171">
        <f t="shared" si="0"/>
        <v>0.66210045662100458</v>
      </c>
      <c r="I24" s="25"/>
      <c r="J24" s="287" t="s">
        <v>280</v>
      </c>
      <c r="K24" s="396"/>
      <c r="L24" s="169">
        <f>IFERROR(VLOOKUP(MID(J24,4,3),MMWR_TRAD_AGG_NATIONAL[],2,0),"--")</f>
        <v>635</v>
      </c>
      <c r="M24" s="170">
        <f>IFERROR(VLOOKUP(MID(J24,4,3),MMWR_TRAD_AGG_NATIONAL[],3,0),"--")</f>
        <v>20</v>
      </c>
      <c r="N24" s="171">
        <f t="shared" si="2"/>
        <v>3.1496062992125984E-2</v>
      </c>
      <c r="O24" s="56"/>
      <c r="P24" s="25"/>
      <c r="Q24" s="25"/>
      <c r="R24" s="25"/>
      <c r="S24" s="25"/>
      <c r="T24" s="56"/>
      <c r="U24" s="74"/>
      <c r="V24" s="25"/>
    </row>
    <row r="25" spans="1:22" s="1" customFormat="1" ht="37.5" customHeight="1" x14ac:dyDescent="0.4">
      <c r="A25" s="25"/>
      <c r="B25" s="397" t="s">
        <v>262</v>
      </c>
      <c r="C25" s="398"/>
      <c r="D25" s="398"/>
      <c r="E25" s="399"/>
      <c r="F25" s="169">
        <f>IFERROR(VLOOKUP(MID(B25,4,3),MMWR_TRAD_AGG_NATIONAL[],2,0),"--")</f>
        <v>295</v>
      </c>
      <c r="G25" s="170">
        <f>IFERROR(VLOOKUP(MID(B25,4,3),MMWR_TRAD_AGG_NATIONAL[],3,0),"--")</f>
        <v>208</v>
      </c>
      <c r="H25" s="171">
        <f t="shared" si="0"/>
        <v>0.70508474576271185</v>
      </c>
      <c r="I25" s="25"/>
      <c r="J25" s="287" t="s">
        <v>279</v>
      </c>
      <c r="K25" s="396"/>
      <c r="L25" s="169">
        <f>IFERROR(VLOOKUP(MID(J25,4,3),MMWR_TRAD_AGG_NATIONAL[],2,0),"--")</f>
        <v>759</v>
      </c>
      <c r="M25" s="170">
        <f>IFERROR(VLOOKUP(MID(J25,4,3),MMWR_TRAD_AGG_NATIONAL[],3,0),"--")</f>
        <v>451</v>
      </c>
      <c r="N25" s="171">
        <f t="shared" si="2"/>
        <v>0.59420289855072461</v>
      </c>
      <c r="O25" s="56"/>
      <c r="P25" s="56"/>
      <c r="Q25" s="56"/>
      <c r="R25" s="56"/>
      <c r="S25" s="56"/>
      <c r="T25" s="56"/>
      <c r="U25" s="74"/>
      <c r="V25" s="25"/>
    </row>
    <row r="26" spans="1:22" s="1" customFormat="1" ht="37.5" customHeight="1" thickBot="1" x14ac:dyDescent="0.45">
      <c r="A26" s="25"/>
      <c r="B26" s="397" t="s">
        <v>263</v>
      </c>
      <c r="C26" s="398"/>
      <c r="D26" s="398"/>
      <c r="E26" s="399"/>
      <c r="F26" s="169">
        <f>IFERROR(VLOOKUP(MID(B26,4,3),MMWR_TRAD_AGG_NATIONAL[],2,0),"--")</f>
        <v>101198</v>
      </c>
      <c r="G26" s="170">
        <f>IFERROR(VLOOKUP(MID(B26,4,3),MMWR_TRAD_AGG_NATIONAL[],3,0),"--")</f>
        <v>80486</v>
      </c>
      <c r="H26" s="171">
        <f t="shared" si="0"/>
        <v>0.79533192355580151</v>
      </c>
      <c r="I26" s="56"/>
      <c r="J26" s="292" t="s">
        <v>316</v>
      </c>
      <c r="K26" s="400"/>
      <c r="L26" s="175">
        <f>IFERROR(VLOOKUP(MID(J26,4,3),MMWR_TRAD_AGG_NATIONAL[],2,0),"--")</f>
        <v>41</v>
      </c>
      <c r="M26" s="176">
        <f>IFERROR(VLOOKUP(MID(J26,4,3),MMWR_TRAD_AGG_NATIONAL[],3,0),"--")</f>
        <v>32</v>
      </c>
      <c r="N26" s="177">
        <f t="shared" si="2"/>
        <v>0.78048780487804881</v>
      </c>
      <c r="O26" s="56"/>
      <c r="P26" s="56"/>
      <c r="Q26" s="56"/>
      <c r="R26" s="56"/>
      <c r="S26" s="56"/>
      <c r="T26" s="56"/>
      <c r="U26" s="74"/>
      <c r="V26" s="25"/>
    </row>
    <row r="27" spans="1:22" s="1" customFormat="1" ht="26.25" customHeight="1" thickBot="1" x14ac:dyDescent="0.45">
      <c r="A27" s="25"/>
      <c r="B27" s="397" t="s">
        <v>264</v>
      </c>
      <c r="C27" s="398"/>
      <c r="D27" s="398"/>
      <c r="E27" s="399"/>
      <c r="F27" s="169">
        <f>IFERROR(VLOOKUP(MID(B27,4,3),MMWR_TRAD_AGG_NATIONAL[],2,0),"--")</f>
        <v>362</v>
      </c>
      <c r="G27" s="170">
        <f>IFERROR(VLOOKUP(MID(B27,4,3),MMWR_TRAD_AGG_NATIONAL[],3,0),"--")</f>
        <v>127</v>
      </c>
      <c r="H27" s="171">
        <f t="shared" si="0"/>
        <v>0.35082872928176795</v>
      </c>
      <c r="I27" s="56"/>
      <c r="J27" s="56"/>
      <c r="K27" s="56"/>
      <c r="L27" s="56"/>
      <c r="M27" s="56"/>
      <c r="N27" s="56"/>
      <c r="O27" s="56"/>
      <c r="P27" s="56"/>
      <c r="Q27" s="56"/>
      <c r="R27" s="56"/>
      <c r="S27" s="56"/>
      <c r="T27" s="56"/>
      <c r="U27" s="74"/>
      <c r="V27" s="25"/>
    </row>
    <row r="28" spans="1:22" s="1" customFormat="1" ht="32.25" customHeight="1" x14ac:dyDescent="0.4">
      <c r="A28" s="25"/>
      <c r="B28" s="397" t="s">
        <v>265</v>
      </c>
      <c r="C28" s="398"/>
      <c r="D28" s="398"/>
      <c r="E28" s="399"/>
      <c r="F28" s="169">
        <f>IFERROR(VLOOKUP(MID(B28,4,3),MMWR_TRAD_AGG_NATIONAL[],2,0),"--")</f>
        <v>14582</v>
      </c>
      <c r="G28" s="170">
        <f>IFERROR(VLOOKUP(MID(B28,4,3),MMWR_TRAD_AGG_NATIONAL[],3,0),"--")</f>
        <v>1744</v>
      </c>
      <c r="H28" s="171">
        <f t="shared" si="0"/>
        <v>0.11959950624057057</v>
      </c>
      <c r="I28" s="68" t="s">
        <v>313</v>
      </c>
      <c r="J28" s="409" t="s">
        <v>315</v>
      </c>
      <c r="K28" s="410"/>
      <c r="L28" s="410"/>
      <c r="M28" s="410"/>
      <c r="N28" s="411"/>
      <c r="O28" s="444" t="s">
        <v>313</v>
      </c>
      <c r="P28" s="75"/>
      <c r="Q28" s="56"/>
      <c r="R28" s="56"/>
      <c r="S28" s="56"/>
      <c r="T28" s="56"/>
      <c r="U28" s="74"/>
      <c r="V28" s="25"/>
    </row>
    <row r="29" spans="1:22" s="1" customFormat="1" ht="27" customHeight="1" thickBot="1" x14ac:dyDescent="0.45">
      <c r="A29" s="25"/>
      <c r="B29" s="397" t="s">
        <v>266</v>
      </c>
      <c r="C29" s="398"/>
      <c r="D29" s="398"/>
      <c r="E29" s="399"/>
      <c r="F29" s="169">
        <f>IFERROR(VLOOKUP(MID(B29,4,3),MMWR_TRAD_AGG_NATIONAL[],2,0),"--")</f>
        <v>123351</v>
      </c>
      <c r="G29" s="170">
        <f>IFERROR(VLOOKUP(MID(B29,4,3),MMWR_TRAD_AGG_NATIONAL[],3,0),"--")</f>
        <v>67868</v>
      </c>
      <c r="H29" s="171">
        <f t="shared" si="0"/>
        <v>0.55020226832372665</v>
      </c>
      <c r="I29" s="56"/>
      <c r="J29" s="412"/>
      <c r="K29" s="413"/>
      <c r="L29" s="413"/>
      <c r="M29" s="413"/>
      <c r="N29" s="414"/>
      <c r="O29" s="444"/>
      <c r="P29" s="76"/>
      <c r="Q29" s="56"/>
      <c r="R29" s="56"/>
      <c r="S29" s="56"/>
      <c r="T29" s="56"/>
      <c r="U29" s="74"/>
      <c r="V29" s="25"/>
    </row>
    <row r="30" spans="1:22" s="1" customFormat="1" ht="32.25" customHeight="1" thickBot="1" x14ac:dyDescent="0.45">
      <c r="A30" s="25"/>
      <c r="B30" s="401" t="s">
        <v>32</v>
      </c>
      <c r="C30" s="402"/>
      <c r="D30" s="402"/>
      <c r="E30" s="402"/>
      <c r="F30" s="167">
        <f>SUM(F31:F37)</f>
        <v>117422</v>
      </c>
      <c r="G30" s="167">
        <f>SUM(G31:G37)</f>
        <v>78753</v>
      </c>
      <c r="H30" s="159">
        <f t="shared" si="0"/>
        <v>0.67068351756910971</v>
      </c>
      <c r="I30" s="56"/>
      <c r="J30" s="28"/>
      <c r="K30" s="28"/>
      <c r="L30" s="28"/>
      <c r="M30" s="28"/>
      <c r="N30" s="28"/>
      <c r="O30" s="28"/>
      <c r="P30" s="56"/>
      <c r="Q30" s="56"/>
      <c r="R30" s="56"/>
      <c r="S30" s="56"/>
      <c r="T30" s="56"/>
      <c r="U30" s="74"/>
      <c r="V30" s="25"/>
    </row>
    <row r="31" spans="1:22" s="1" customFormat="1" ht="33.75" customHeight="1" x14ac:dyDescent="0.4">
      <c r="A31" s="25"/>
      <c r="B31" s="287" t="s">
        <v>283</v>
      </c>
      <c r="C31" s="288"/>
      <c r="D31" s="288"/>
      <c r="E31" s="396"/>
      <c r="F31" s="169">
        <f>IFERROR(VLOOKUP(MID(B31,4,3),MMWR_TRAD_AGG_NATIONAL[],2,0),"--")</f>
        <v>47</v>
      </c>
      <c r="G31" s="170">
        <f>IFERROR(VLOOKUP(MID(B31,4,3),MMWR_TRAD_AGG_NATIONAL[],3,0),"--")</f>
        <v>38</v>
      </c>
      <c r="H31" s="171">
        <f t="shared" si="0"/>
        <v>0.80851063829787229</v>
      </c>
      <c r="I31" s="56"/>
      <c r="J31" s="56"/>
      <c r="K31" s="56"/>
      <c r="L31" s="56"/>
      <c r="M31" s="56"/>
      <c r="N31" s="56"/>
      <c r="O31" s="56"/>
      <c r="P31" s="56"/>
      <c r="Q31" s="56"/>
      <c r="R31" s="56"/>
      <c r="S31" s="56"/>
      <c r="T31" s="56"/>
      <c r="U31" s="74"/>
      <c r="V31" s="25"/>
    </row>
    <row r="32" spans="1:22" s="1" customFormat="1" ht="32.25" customHeight="1" x14ac:dyDescent="0.4">
      <c r="A32" s="25"/>
      <c r="B32" s="287" t="s">
        <v>284</v>
      </c>
      <c r="C32" s="288"/>
      <c r="D32" s="288"/>
      <c r="E32" s="396"/>
      <c r="F32" s="169">
        <f>IFERROR(VLOOKUP(MID(B32,4,3),MMWR_TRAD_AGG_NATIONAL[],2,0),"--")</f>
        <v>37848</v>
      </c>
      <c r="G32" s="170">
        <f>IFERROR(VLOOKUP(MID(B32,4,3),MMWR_TRAD_AGG_NATIONAL[],3,0),"--")</f>
        <v>10750</v>
      </c>
      <c r="H32" s="171">
        <f t="shared" si="0"/>
        <v>0.28403086028323821</v>
      </c>
      <c r="I32" s="56"/>
      <c r="J32" s="56"/>
      <c r="K32" s="56"/>
      <c r="L32" s="56"/>
      <c r="M32" s="56"/>
      <c r="N32" s="56"/>
      <c r="O32" s="56"/>
      <c r="P32" s="56"/>
      <c r="Q32" s="56"/>
      <c r="R32" s="56"/>
      <c r="S32" s="56"/>
      <c r="T32" s="56"/>
      <c r="U32" s="74"/>
      <c r="V32" s="25"/>
    </row>
    <row r="33" spans="1:22" s="1" customFormat="1" ht="32.25" customHeight="1" x14ac:dyDescent="0.4">
      <c r="A33" s="25"/>
      <c r="B33" s="287" t="s">
        <v>285</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286</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287</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288</v>
      </c>
      <c r="C36" s="288"/>
      <c r="D36" s="288"/>
      <c r="E36" s="396"/>
      <c r="F36" s="169">
        <f>IFERROR(VLOOKUP(MID(B36,4,3),MMWR_TRAD_AGG_NATIONAL[],2,0),"--")</f>
        <v>19942</v>
      </c>
      <c r="G36" s="170">
        <f>IFERROR(VLOOKUP(MID(B36,4,3),MMWR_TRAD_AGG_NATIONAL[],3,0),"--")</f>
        <v>14645</v>
      </c>
      <c r="H36" s="171">
        <f t="shared" si="0"/>
        <v>0.73437970113328654</v>
      </c>
      <c r="I36" s="56"/>
      <c r="J36" s="56"/>
      <c r="K36" s="56"/>
      <c r="L36" s="56"/>
      <c r="M36" s="56"/>
      <c r="N36" s="56"/>
      <c r="O36" s="56"/>
      <c r="P36" s="56"/>
      <c r="Q36" s="56"/>
      <c r="R36" s="56"/>
      <c r="S36" s="56"/>
      <c r="T36" s="56"/>
      <c r="U36" s="74"/>
      <c r="V36" s="25"/>
    </row>
    <row r="37" spans="1:22" s="1" customFormat="1" ht="27" customHeight="1" thickBot="1" x14ac:dyDescent="0.45">
      <c r="A37" s="25"/>
      <c r="B37" s="287" t="s">
        <v>289</v>
      </c>
      <c r="C37" s="288"/>
      <c r="D37" s="288"/>
      <c r="E37" s="396"/>
      <c r="F37" s="169">
        <f>IFERROR(VLOOKUP(MID(B37,4,3)&amp;"G",MMWR_TRAD_AGG_NATIONAL[],2,0),"--")</f>
        <v>59585</v>
      </c>
      <c r="G37" s="170">
        <f>IFERROR(VLOOKUP(MID(B37,4,3)&amp;"G",MMWR_TRAD_AGG_NATIONAL[],3,0),"--")</f>
        <v>53320</v>
      </c>
      <c r="H37" s="171">
        <f t="shared" si="0"/>
        <v>0.89485608794159599</v>
      </c>
      <c r="I37" s="56"/>
      <c r="J37" s="56"/>
      <c r="K37" s="56"/>
      <c r="L37" s="56"/>
      <c r="M37" s="56"/>
      <c r="N37" s="56"/>
      <c r="O37" s="56"/>
      <c r="P37" s="56"/>
      <c r="Q37" s="56"/>
      <c r="R37" s="56"/>
      <c r="S37" s="56"/>
      <c r="T37" s="56"/>
      <c r="U37" s="74"/>
      <c r="V37" s="25"/>
    </row>
    <row r="38" spans="1:22" s="1" customFormat="1" ht="32.25" customHeight="1" thickBot="1" x14ac:dyDescent="0.45">
      <c r="A38" s="25"/>
      <c r="B38" s="401" t="s">
        <v>241</v>
      </c>
      <c r="C38" s="402"/>
      <c r="D38" s="402"/>
      <c r="E38" s="402"/>
      <c r="F38" s="166">
        <f>SUM(F39:F44)</f>
        <v>164642</v>
      </c>
      <c r="G38" s="167">
        <f>SUM(G39:G44)</f>
        <v>103388</v>
      </c>
      <c r="H38" s="168">
        <f t="shared" si="0"/>
        <v>0.62795641452363304</v>
      </c>
      <c r="I38" s="56"/>
      <c r="J38" s="56"/>
      <c r="K38" s="75"/>
      <c r="L38" s="75"/>
      <c r="M38" s="75"/>
      <c r="N38" s="75"/>
      <c r="O38" s="75"/>
      <c r="P38" s="56"/>
      <c r="Q38" s="56"/>
      <c r="R38" s="56"/>
      <c r="S38" s="56"/>
      <c r="T38" s="56"/>
      <c r="U38" s="74"/>
      <c r="V38" s="25"/>
    </row>
    <row r="39" spans="1:22" s="1" customFormat="1" ht="26.25" customHeight="1" x14ac:dyDescent="0.4">
      <c r="A39" s="25"/>
      <c r="B39" s="403" t="s">
        <v>290</v>
      </c>
      <c r="C39" s="404"/>
      <c r="D39" s="404"/>
      <c r="E39" s="405"/>
      <c r="F39" s="172">
        <f>IFERROR(VLOOKUP(MID(B39,4,3),MMWR_TRAD_AGG_NATIONAL[],2,0),"--")</f>
        <v>7300</v>
      </c>
      <c r="G39" s="173">
        <f>IFERROR(VLOOKUP(MID(B39,4,3),MMWR_TRAD_AGG_NATIONAL[],3,0),"--")</f>
        <v>5854</v>
      </c>
      <c r="H39" s="174">
        <f t="shared" si="0"/>
        <v>0.80191780821917813</v>
      </c>
      <c r="I39" s="56"/>
      <c r="J39" s="56"/>
      <c r="K39" s="75"/>
      <c r="L39" s="75"/>
      <c r="M39" s="75"/>
      <c r="N39" s="75"/>
      <c r="O39" s="75"/>
      <c r="P39" s="56"/>
      <c r="Q39" s="56"/>
      <c r="R39" s="56"/>
      <c r="S39" s="56"/>
      <c r="T39" s="56"/>
      <c r="U39" s="74"/>
      <c r="V39" s="25"/>
    </row>
    <row r="40" spans="1:22" s="1" customFormat="1" ht="26.25" customHeight="1" x14ac:dyDescent="0.4">
      <c r="A40" s="25"/>
      <c r="B40" s="287" t="s">
        <v>291</v>
      </c>
      <c r="C40" s="288"/>
      <c r="D40" s="288"/>
      <c r="E40" s="396"/>
      <c r="F40" s="169">
        <f>IFERROR(VLOOKUP(MID(B40,4,3),MMWR_TRAD_AGG_NATIONAL[],2,0),"--")</f>
        <v>76081</v>
      </c>
      <c r="G40" s="170">
        <f>IFERROR(VLOOKUP(MID(B40,4,3),MMWR_TRAD_AGG_NATIONAL[],3,0),"--")</f>
        <v>55512</v>
      </c>
      <c r="H40" s="171">
        <f t="shared" si="0"/>
        <v>0.72964340636952718</v>
      </c>
      <c r="I40" s="56"/>
      <c r="J40" s="56"/>
      <c r="K40" s="56"/>
      <c r="L40" s="56"/>
      <c r="M40" s="56"/>
      <c r="N40" s="56"/>
      <c r="O40" s="56"/>
      <c r="P40" s="56"/>
      <c r="Q40" s="56"/>
      <c r="R40" s="56"/>
      <c r="S40" s="56"/>
      <c r="T40" s="56"/>
      <c r="U40" s="74"/>
      <c r="V40" s="25"/>
    </row>
    <row r="41" spans="1:22" s="1" customFormat="1" ht="26.25" customHeight="1" x14ac:dyDescent="0.4">
      <c r="A41" s="25"/>
      <c r="B41" s="287" t="s">
        <v>292</v>
      </c>
      <c r="C41" s="288"/>
      <c r="D41" s="288"/>
      <c r="E41" s="396"/>
      <c r="F41" s="169">
        <f>IFERROR(VLOOKUP(MID(B41,4,3),MMWR_TRAD_AGG_NATIONAL[],2,0),"--")</f>
        <v>1698</v>
      </c>
      <c r="G41" s="170">
        <f>IFERROR(VLOOKUP(MID(B41,4,3),MMWR_TRAD_AGG_NATIONAL[],3,0),"--")</f>
        <v>643</v>
      </c>
      <c r="H41" s="171">
        <f t="shared" si="0"/>
        <v>0.37868080094228507</v>
      </c>
      <c r="I41" s="56"/>
      <c r="J41" s="56"/>
      <c r="K41" s="56"/>
      <c r="L41" s="56"/>
      <c r="M41" s="56"/>
      <c r="N41" s="56"/>
      <c r="O41" s="56"/>
      <c r="P41" s="56"/>
      <c r="Q41" s="56"/>
      <c r="R41" s="56"/>
      <c r="S41" s="56"/>
      <c r="T41" s="56"/>
      <c r="U41" s="74"/>
      <c r="V41" s="25"/>
    </row>
    <row r="42" spans="1:22" s="1" customFormat="1" ht="36" customHeight="1" x14ac:dyDescent="0.4">
      <c r="A42" s="25"/>
      <c r="B42" s="287" t="s">
        <v>293</v>
      </c>
      <c r="C42" s="288"/>
      <c r="D42" s="288"/>
      <c r="E42" s="396"/>
      <c r="F42" s="169">
        <f>IFERROR(VLOOKUP(MID(B42,4,3),MMWR_TRAD_AGG_NATIONAL[],2,0),"--")</f>
        <v>57211</v>
      </c>
      <c r="G42" s="170">
        <f>IFERROR(VLOOKUP(MID(B42,4,3),MMWR_TRAD_AGG_NATIONAL[],3,0),"--")</f>
        <v>29411</v>
      </c>
      <c r="H42" s="171">
        <f t="shared" si="0"/>
        <v>0.51407946024365947</v>
      </c>
      <c r="I42" s="56"/>
      <c r="J42" s="56"/>
      <c r="K42" s="56"/>
      <c r="L42" s="56"/>
      <c r="M42" s="56"/>
      <c r="N42" s="56"/>
      <c r="O42" s="56"/>
      <c r="P42" s="56"/>
      <c r="Q42" s="56"/>
      <c r="R42" s="56"/>
      <c r="S42" s="56"/>
      <c r="T42" s="56"/>
      <c r="U42" s="74"/>
      <c r="V42" s="25"/>
    </row>
    <row r="43" spans="1:22" s="1" customFormat="1" ht="33" customHeight="1" x14ac:dyDescent="0.4">
      <c r="A43" s="25"/>
      <c r="B43" s="287" t="s">
        <v>294</v>
      </c>
      <c r="C43" s="288"/>
      <c r="D43" s="288"/>
      <c r="E43" s="396"/>
      <c r="F43" s="169">
        <f>IFERROR(VLOOKUP(MID(B43,4,3),MMWR_TRAD_AGG_NATIONAL[],2,0),"--")</f>
        <v>21831</v>
      </c>
      <c r="G43" s="170">
        <f>IFERROR(VLOOKUP(MID(B43,4,3),MMWR_TRAD_AGG_NATIONAL[],3,0),"--")</f>
        <v>11537</v>
      </c>
      <c r="H43" s="171">
        <f t="shared" si="0"/>
        <v>0.52846869131052177</v>
      </c>
      <c r="I43" s="56"/>
      <c r="J43" s="56"/>
      <c r="K43" s="56"/>
      <c r="L43" s="56"/>
      <c r="M43" s="56"/>
      <c r="N43" s="56"/>
      <c r="O43" s="56"/>
      <c r="P43" s="56"/>
      <c r="Q43" s="56"/>
      <c r="R43" s="56"/>
      <c r="S43" s="56"/>
      <c r="T43" s="56"/>
      <c r="U43" s="74"/>
      <c r="V43" s="25"/>
    </row>
    <row r="44" spans="1:22" s="1" customFormat="1" ht="27" customHeight="1" thickBot="1" x14ac:dyDescent="0.45">
      <c r="A44" s="25"/>
      <c r="B44" s="292" t="s">
        <v>295</v>
      </c>
      <c r="C44" s="293"/>
      <c r="D44" s="293"/>
      <c r="E44" s="400"/>
      <c r="F44" s="175">
        <f>IFERROR(VLOOKUP(MID(B44,4,3),MMWR_TRAD_AGG_NATIONAL[],2,0),"--")</f>
        <v>521</v>
      </c>
      <c r="G44" s="176">
        <f>IFERROR(VLOOKUP(MID(B44,4,3),MMWR_TRAD_AGG_NATIONAL[],3,0),"--")</f>
        <v>431</v>
      </c>
      <c r="H44" s="177">
        <f t="shared" si="0"/>
        <v>0.82725527831094048</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60" zoomScaleNormal="6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JANUARY 30, 2016</v>
      </c>
      <c r="D2" s="454"/>
      <c r="E2" s="454"/>
      <c r="F2" s="454"/>
      <c r="G2" s="454"/>
      <c r="H2" s="454"/>
      <c r="I2" s="454"/>
      <c r="J2" s="454"/>
      <c r="K2" s="454"/>
      <c r="L2" s="454"/>
      <c r="M2" s="454"/>
      <c r="N2" s="454"/>
      <c r="O2" s="454"/>
      <c r="P2" s="454"/>
      <c r="Q2" s="454"/>
      <c r="R2" s="454"/>
      <c r="S2" s="455"/>
      <c r="T2" s="25"/>
    </row>
    <row r="3" spans="1:20" x14ac:dyDescent="0.2">
      <c r="A3" s="25"/>
      <c r="B3" s="26"/>
      <c r="C3" s="456" t="s">
        <v>228</v>
      </c>
      <c r="D3" s="457"/>
      <c r="E3" s="458" t="s">
        <v>208</v>
      </c>
      <c r="F3" s="459"/>
      <c r="G3" s="460"/>
      <c r="H3" s="458" t="s">
        <v>7</v>
      </c>
      <c r="I3" s="459"/>
      <c r="J3" s="460"/>
      <c r="K3" s="458" t="s">
        <v>33</v>
      </c>
      <c r="L3" s="459"/>
      <c r="M3" s="460"/>
      <c r="N3" s="458" t="s">
        <v>8</v>
      </c>
      <c r="O3" s="459"/>
      <c r="P3" s="460"/>
      <c r="Q3" s="81" t="s">
        <v>9</v>
      </c>
      <c r="R3" s="82" t="s">
        <v>10</v>
      </c>
      <c r="S3" s="82" t="s">
        <v>11</v>
      </c>
      <c r="T3" s="25"/>
    </row>
    <row r="4" spans="1:20"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492</v>
      </c>
      <c r="T4" s="91"/>
    </row>
    <row r="5" spans="1:20" ht="26.25" x14ac:dyDescent="0.4">
      <c r="A5" s="25"/>
      <c r="B5" s="26"/>
      <c r="C5" s="453" t="s">
        <v>490</v>
      </c>
      <c r="D5" s="454"/>
      <c r="E5" s="454"/>
      <c r="F5" s="454"/>
      <c r="G5" s="454"/>
      <c r="H5" s="454"/>
      <c r="I5" s="454"/>
      <c r="J5" s="454"/>
      <c r="K5" s="454"/>
      <c r="L5" s="454"/>
      <c r="M5" s="454"/>
      <c r="N5" s="454"/>
      <c r="O5" s="454"/>
      <c r="P5" s="454"/>
      <c r="Q5" s="454"/>
      <c r="R5" s="454"/>
      <c r="S5" s="455"/>
      <c r="T5" s="25"/>
    </row>
    <row r="6" spans="1:20" x14ac:dyDescent="0.2">
      <c r="A6" s="92"/>
      <c r="B6" s="93" t="s">
        <v>465</v>
      </c>
      <c r="C6" s="208">
        <f>IFERROR(VLOOKUP($B6,MMWR_TRAD_AGG_DISTRICT_COMP[],C$1,0),"ERROR")</f>
        <v>314665</v>
      </c>
      <c r="D6" s="186">
        <f>IFERROR(VLOOKUP($B6,MMWR_TRAD_AGG_DISTRICT_COMP[],D$1,0),"ERROR")</f>
        <v>388.3307358619</v>
      </c>
      <c r="E6" s="194">
        <f>IFERROR(VLOOKUP($B6,MMWR_TRAD_AGG_DISTRICT_COMP[],E$1,0),"ERROR")</f>
        <v>323537</v>
      </c>
      <c r="F6" s="188">
        <f>IFERROR(VLOOKUP($B6,MMWR_TRAD_AGG_DISTRICT_COMP[],F$1,0),"ERROR")</f>
        <v>75680</v>
      </c>
      <c r="G6" s="211">
        <f t="shared" ref="G6:G69" si="0">IFERROR(F6/E6,"0%")</f>
        <v>0.23391451364140731</v>
      </c>
      <c r="H6" s="187">
        <f>IFERROR(VLOOKUP($B6,MMWR_TRAD_AGG_DISTRICT_COMP[],H$1,0),"ERROR")</f>
        <v>453285</v>
      </c>
      <c r="I6" s="188">
        <f>IFERROR(VLOOKUP($B6,MMWR_TRAD_AGG_DISTRICT_COMP[],I$1,0),"ERROR")</f>
        <v>302098</v>
      </c>
      <c r="J6" s="211">
        <f t="shared" ref="J6:J69" si="1">IFERROR(I6/H6,"0%")</f>
        <v>0.66646370385077824</v>
      </c>
      <c r="K6" s="187">
        <f>IFERROR(VLOOKUP($B6,MMWR_TRAD_AGG_DISTRICT_COMP[],K$1,0),"ERROR")</f>
        <v>121342</v>
      </c>
      <c r="L6" s="188">
        <f>IFERROR(VLOOKUP($B6,MMWR_TRAD_AGG_DISTRICT_COMP[],L$1,0),"ERROR")</f>
        <v>82514</v>
      </c>
      <c r="M6" s="211">
        <f t="shared" ref="M6:M69" si="2">IFERROR(L6/K6,"0%")</f>
        <v>0.68001186728420493</v>
      </c>
      <c r="N6" s="187">
        <f>IFERROR(VLOOKUP($B6,MMWR_TRAD_AGG_DISTRICT_COMP[],N$1,0),"ERROR")</f>
        <v>166097</v>
      </c>
      <c r="O6" s="188">
        <f>IFERROR(VLOOKUP($B6,MMWR_TRAD_AGG_DISTRICT_COMP[],O$1,0),"ERROR")</f>
        <v>104149</v>
      </c>
      <c r="P6" s="211">
        <f t="shared" ref="P6:P69" si="3">IFERROR(O6/N6,"0%")</f>
        <v>0.62703721319469952</v>
      </c>
      <c r="Q6" s="200">
        <f>IFERROR(VLOOKUP($B6,MMWR_TRAD_AGG_DISTRICT_COMP[],Q$1,0),"ERROR")</f>
        <v>19033</v>
      </c>
      <c r="R6" s="200">
        <f>IFERROR(VLOOKUP($B6,MMWR_TRAD_AGG_DISTRICT_COMP[],R$1,0),"ERROR")</f>
        <v>4105</v>
      </c>
      <c r="S6" s="203">
        <f>S7+S25+S38+S49+S62+S70</f>
        <v>318683</v>
      </c>
      <c r="T6" s="25"/>
    </row>
    <row r="7" spans="1:20" x14ac:dyDescent="0.2">
      <c r="A7" s="92"/>
      <c r="B7" s="101" t="s">
        <v>373</v>
      </c>
      <c r="C7" s="212">
        <f>IFERROR(VLOOKUP($B7,MMWR_TRAD_AGG_DISTRICT_COMP[],C$1,0),"ERROR")</f>
        <v>100759</v>
      </c>
      <c r="D7" s="197">
        <f>IFERROR(VLOOKUP($B7,MMWR_TRAD_AGG_DISTRICT_COMP[],D$1,0),"ERROR")</f>
        <v>454.4163102055</v>
      </c>
      <c r="E7" s="213">
        <f>IFERROR(VLOOKUP($B7,MMWR_TRAD_AGG_DISTRICT_COMP[],E$1,0),"ERROR")</f>
        <v>76170</v>
      </c>
      <c r="F7" s="212">
        <f>IFERROR(VLOOKUP($B7,MMWR_TRAD_AGG_DISTRICT_COMP[],F$1,0),"ERROR")</f>
        <v>19135</v>
      </c>
      <c r="G7" s="214">
        <f t="shared" si="0"/>
        <v>0.25121438886700803</v>
      </c>
      <c r="H7" s="212">
        <f>IFERROR(VLOOKUP($B7,MMWR_TRAD_AGG_DISTRICT_COMP[],H$1,0),"ERROR")</f>
        <v>133697</v>
      </c>
      <c r="I7" s="212">
        <f>IFERROR(VLOOKUP($B7,MMWR_TRAD_AGG_DISTRICT_COMP[],I$1,0),"ERROR")</f>
        <v>99530</v>
      </c>
      <c r="J7" s="214">
        <f t="shared" si="1"/>
        <v>0.74444452755110435</v>
      </c>
      <c r="K7" s="212">
        <f>IFERROR(VLOOKUP($B7,MMWR_TRAD_AGG_DISTRICT_COMP[],K$1,0),"ERROR")</f>
        <v>37763</v>
      </c>
      <c r="L7" s="212">
        <f>IFERROR(VLOOKUP($B7,MMWR_TRAD_AGG_DISTRICT_COMP[],L$1,0),"ERROR")</f>
        <v>25930</v>
      </c>
      <c r="M7" s="214">
        <f t="shared" si="2"/>
        <v>0.68665095463813786</v>
      </c>
      <c r="N7" s="212">
        <f>IFERROR(VLOOKUP($B7,MMWR_TRAD_AGG_DISTRICT_COMP[],N$1,0),"ERROR")</f>
        <v>28584</v>
      </c>
      <c r="O7" s="212">
        <f>IFERROR(VLOOKUP($B7,MMWR_TRAD_AGG_DISTRICT_COMP[],O$1,0),"ERROR")</f>
        <v>20723</v>
      </c>
      <c r="P7" s="214">
        <f t="shared" si="3"/>
        <v>0.72498600615729081</v>
      </c>
      <c r="Q7" s="212">
        <f>IFERROR(VLOOKUP($B7,MMWR_TRAD_AGG_DISTRICT_COMP[],Q$1,0),"ERROR")</f>
        <v>12391</v>
      </c>
      <c r="R7" s="215">
        <f>IFERROR(VLOOKUP($B7,MMWR_TRAD_AGG_DISTRICT_COMP[],R$1,0),"ERROR")</f>
        <v>53</v>
      </c>
      <c r="S7" s="215">
        <f>IFERROR(VLOOKUP($B7,MMWR_APP_RO[],S$1,0),"ERROR")</f>
        <v>56082</v>
      </c>
      <c r="T7" s="25"/>
    </row>
    <row r="8" spans="1:20" x14ac:dyDescent="0.2">
      <c r="A8" s="107"/>
      <c r="B8" s="108" t="s">
        <v>36</v>
      </c>
      <c r="C8" s="209">
        <f>IFERROR(VLOOKUP($B8,MMWR_TRAD_AGG_RO_COMP[],C$1,0),"ERROR")</f>
        <v>7968</v>
      </c>
      <c r="D8" s="198">
        <f>IFERROR(VLOOKUP($B8,MMWR_TRAD_AGG_RO_COMP[],D$1,0),"ERROR")</f>
        <v>719.85818273090001</v>
      </c>
      <c r="E8" s="195">
        <f>IFERROR(VLOOKUP($B8,MMWR_TRAD_AGG_RO_COMP[],E$1,0),"ERROR")</f>
        <v>4749</v>
      </c>
      <c r="F8" s="191">
        <f>IFERROR(VLOOKUP($B8,MMWR_TRAD_AGG_RO_COMP[],F$1,0),"ERROR")</f>
        <v>1087</v>
      </c>
      <c r="G8" s="216">
        <f t="shared" si="0"/>
        <v>0.22889029269319858</v>
      </c>
      <c r="H8" s="190">
        <f>IFERROR(VLOOKUP($B8,MMWR_TRAD_AGG_RO_COMP[],H$1,0),"ERROR")</f>
        <v>9288</v>
      </c>
      <c r="I8" s="191">
        <f>IFERROR(VLOOKUP($B8,MMWR_TRAD_AGG_RO_COMP[],I$1,0),"ERROR")</f>
        <v>7682</v>
      </c>
      <c r="J8" s="216">
        <f t="shared" si="1"/>
        <v>0.8270887166236004</v>
      </c>
      <c r="K8" s="204">
        <f>IFERROR(VLOOKUP($B8,MMWR_TRAD_AGG_RO_COMP[],K$1,0),"ERROR")</f>
        <v>1373</v>
      </c>
      <c r="L8" s="205">
        <f>IFERROR(VLOOKUP($B8,MMWR_TRAD_AGG_RO_COMP[],L$1,0),"ERROR")</f>
        <v>1125</v>
      </c>
      <c r="M8" s="216">
        <f t="shared" si="2"/>
        <v>0.81937363437727606</v>
      </c>
      <c r="N8" s="204">
        <f>IFERROR(VLOOKUP($B8,MMWR_TRAD_AGG_RO_COMP[],N$1,0),"ERROR")</f>
        <v>2021</v>
      </c>
      <c r="O8" s="205">
        <f>IFERROR(VLOOKUP($B8,MMWR_TRAD_AGG_RO_COMP[],O$1,0),"ERROR")</f>
        <v>1600</v>
      </c>
      <c r="P8" s="216">
        <f t="shared" si="3"/>
        <v>0.79168728352300843</v>
      </c>
      <c r="Q8" s="201">
        <f>IFERROR(VLOOKUP($B8,MMWR_TRAD_AGG_RO_COMP[],Q$1,0),"ERROR")</f>
        <v>0</v>
      </c>
      <c r="R8" s="201">
        <f>IFERROR(VLOOKUP($B8,MMWR_TRAD_AGG_RO_COMP[],R$1,0),"ERROR")</f>
        <v>4</v>
      </c>
      <c r="S8" s="201">
        <f>IFERROR(VLOOKUP($B8,MMWR_APP_RO[],S$1,0),"ERROR")</f>
        <v>5622</v>
      </c>
      <c r="T8" s="25"/>
    </row>
    <row r="9" spans="1:20" x14ac:dyDescent="0.2">
      <c r="A9" s="107"/>
      <c r="B9" s="108" t="s">
        <v>38</v>
      </c>
      <c r="C9" s="209">
        <f>IFERROR(VLOOKUP($B9,MMWR_TRAD_AGG_RO_COMP[],C$1,0),"ERROR")</f>
        <v>4355</v>
      </c>
      <c r="D9" s="198">
        <f>IFERROR(VLOOKUP($B9,MMWR_TRAD_AGG_RO_COMP[],D$1,0),"ERROR")</f>
        <v>607.37382319170001</v>
      </c>
      <c r="E9" s="195">
        <f>IFERROR(VLOOKUP($B9,MMWR_TRAD_AGG_RO_COMP[],E$1,0),"ERROR")</f>
        <v>3548</v>
      </c>
      <c r="F9" s="191">
        <f>IFERROR(VLOOKUP($B9,MMWR_TRAD_AGG_RO_COMP[],F$1,0),"ERROR")</f>
        <v>850</v>
      </c>
      <c r="G9" s="216">
        <f t="shared" si="0"/>
        <v>0.23957158962795941</v>
      </c>
      <c r="H9" s="190">
        <f>IFERROR(VLOOKUP($B9,MMWR_TRAD_AGG_RO_COMP[],H$1,0),"ERROR")</f>
        <v>5739</v>
      </c>
      <c r="I9" s="191">
        <f>IFERROR(VLOOKUP($B9,MMWR_TRAD_AGG_RO_COMP[],I$1,0),"ERROR")</f>
        <v>4514</v>
      </c>
      <c r="J9" s="216">
        <f t="shared" si="1"/>
        <v>0.78654817912528319</v>
      </c>
      <c r="K9" s="204">
        <f>IFERROR(VLOOKUP($B9,MMWR_TRAD_AGG_RO_COMP[],K$1,0),"ERROR")</f>
        <v>2699</v>
      </c>
      <c r="L9" s="205">
        <f>IFERROR(VLOOKUP($B9,MMWR_TRAD_AGG_RO_COMP[],L$1,0),"ERROR")</f>
        <v>2146</v>
      </c>
      <c r="M9" s="216">
        <f t="shared" si="2"/>
        <v>0.7951092997406447</v>
      </c>
      <c r="N9" s="204">
        <f>IFERROR(VLOOKUP($B9,MMWR_TRAD_AGG_RO_COMP[],N$1,0),"ERROR")</f>
        <v>900</v>
      </c>
      <c r="O9" s="205">
        <f>IFERROR(VLOOKUP($B9,MMWR_TRAD_AGG_RO_COMP[],O$1,0),"ERROR")</f>
        <v>691</v>
      </c>
      <c r="P9" s="216">
        <f t="shared" si="3"/>
        <v>0.76777777777777778</v>
      </c>
      <c r="Q9" s="201">
        <f>IFERROR(VLOOKUP($B9,MMWR_TRAD_AGG_RO_COMP[],Q$1,0),"ERROR")</f>
        <v>0</v>
      </c>
      <c r="R9" s="201">
        <f>IFERROR(VLOOKUP($B9,MMWR_TRAD_AGG_RO_COMP[],R$1,0),"ERROR")</f>
        <v>2</v>
      </c>
      <c r="S9" s="201">
        <f>IFERROR(VLOOKUP($B9,MMWR_APP_RO[],S$1,0),"ERROR")</f>
        <v>3289</v>
      </c>
      <c r="T9" s="25"/>
    </row>
    <row r="10" spans="1:20" x14ac:dyDescent="0.2">
      <c r="A10" s="107"/>
      <c r="B10" s="108" t="s">
        <v>24</v>
      </c>
      <c r="C10" s="209">
        <f>IFERROR(VLOOKUP($B10,MMWR_TRAD_AGG_RO_COMP[],C$1,0),"ERROR")</f>
        <v>1383</v>
      </c>
      <c r="D10" s="198">
        <f>IFERROR(VLOOKUP($B10,MMWR_TRAD_AGG_RO_COMP[],D$1,0),"ERROR")</f>
        <v>159.12653651479999</v>
      </c>
      <c r="E10" s="195">
        <f>IFERROR(VLOOKUP($B10,MMWR_TRAD_AGG_RO_COMP[],E$1,0),"ERROR")</f>
        <v>3906</v>
      </c>
      <c r="F10" s="191">
        <f>IFERROR(VLOOKUP($B10,MMWR_TRAD_AGG_RO_COMP[],F$1,0),"ERROR")</f>
        <v>704</v>
      </c>
      <c r="G10" s="216">
        <f t="shared" si="0"/>
        <v>0.18023553507424475</v>
      </c>
      <c r="H10" s="190">
        <f>IFERROR(VLOOKUP($B10,MMWR_TRAD_AGG_RO_COMP[],H$1,0),"ERROR")</f>
        <v>2520</v>
      </c>
      <c r="I10" s="191">
        <f>IFERROR(VLOOKUP($B10,MMWR_TRAD_AGG_RO_COMP[],I$1,0),"ERROR")</f>
        <v>971</v>
      </c>
      <c r="J10" s="216">
        <f t="shared" si="1"/>
        <v>0.38531746031746034</v>
      </c>
      <c r="K10" s="204">
        <f>IFERROR(VLOOKUP($B10,MMWR_TRAD_AGG_RO_COMP[],K$1,0),"ERROR")</f>
        <v>1005</v>
      </c>
      <c r="L10" s="205">
        <f>IFERROR(VLOOKUP($B10,MMWR_TRAD_AGG_RO_COMP[],L$1,0),"ERROR")</f>
        <v>497</v>
      </c>
      <c r="M10" s="216">
        <f t="shared" si="2"/>
        <v>0.49452736318407958</v>
      </c>
      <c r="N10" s="204">
        <f>IFERROR(VLOOKUP($B10,MMWR_TRAD_AGG_RO_COMP[],N$1,0),"ERROR")</f>
        <v>461</v>
      </c>
      <c r="O10" s="205">
        <f>IFERROR(VLOOKUP($B10,MMWR_TRAD_AGG_RO_COMP[],O$1,0),"ERROR")</f>
        <v>242</v>
      </c>
      <c r="P10" s="216">
        <f t="shared" si="3"/>
        <v>0.52494577006507592</v>
      </c>
      <c r="Q10" s="201">
        <f>IFERROR(VLOOKUP($B10,MMWR_TRAD_AGG_RO_COMP[],Q$1,0),"ERROR")</f>
        <v>0</v>
      </c>
      <c r="R10" s="201">
        <f>IFERROR(VLOOKUP($B10,MMWR_TRAD_AGG_RO_COMP[],R$1,0),"ERROR")</f>
        <v>0</v>
      </c>
      <c r="S10" s="201">
        <f>IFERROR(VLOOKUP($B10,MMWR_APP_RO[],S$1,0),"ERROR")</f>
        <v>1851</v>
      </c>
      <c r="T10" s="25"/>
    </row>
    <row r="11" spans="1:20" x14ac:dyDescent="0.2">
      <c r="A11" s="107"/>
      <c r="B11" s="108" t="s">
        <v>47</v>
      </c>
      <c r="C11" s="209">
        <f>IFERROR(VLOOKUP($B11,MMWR_TRAD_AGG_RO_COMP[],C$1,0),"ERROR")</f>
        <v>1249</v>
      </c>
      <c r="D11" s="198">
        <f>IFERROR(VLOOKUP($B11,MMWR_TRAD_AGG_RO_COMP[],D$1,0),"ERROR")</f>
        <v>298.54123298640002</v>
      </c>
      <c r="E11" s="195">
        <f>IFERROR(VLOOKUP($B11,MMWR_TRAD_AGG_RO_COMP[],E$1,0),"ERROR")</f>
        <v>1909</v>
      </c>
      <c r="F11" s="191">
        <f>IFERROR(VLOOKUP($B11,MMWR_TRAD_AGG_RO_COMP[],F$1,0),"ERROR")</f>
        <v>393</v>
      </c>
      <c r="G11" s="216">
        <f t="shared" si="0"/>
        <v>0.20586694604504976</v>
      </c>
      <c r="H11" s="190">
        <f>IFERROR(VLOOKUP($B11,MMWR_TRAD_AGG_RO_COMP[],H$1,0),"ERROR")</f>
        <v>2847</v>
      </c>
      <c r="I11" s="191">
        <f>IFERROR(VLOOKUP($B11,MMWR_TRAD_AGG_RO_COMP[],I$1,0),"ERROR")</f>
        <v>1925</v>
      </c>
      <c r="J11" s="216">
        <f t="shared" si="1"/>
        <v>0.67615033368458022</v>
      </c>
      <c r="K11" s="204">
        <f>IFERROR(VLOOKUP($B11,MMWR_TRAD_AGG_RO_COMP[],K$1,0),"ERROR")</f>
        <v>608</v>
      </c>
      <c r="L11" s="205">
        <f>IFERROR(VLOOKUP($B11,MMWR_TRAD_AGG_RO_COMP[],L$1,0),"ERROR")</f>
        <v>313</v>
      </c>
      <c r="M11" s="216">
        <f t="shared" si="2"/>
        <v>0.51480263157894735</v>
      </c>
      <c r="N11" s="204">
        <f>IFERROR(VLOOKUP($B11,MMWR_TRAD_AGG_RO_COMP[],N$1,0),"ERROR")</f>
        <v>826</v>
      </c>
      <c r="O11" s="205">
        <f>IFERROR(VLOOKUP($B11,MMWR_TRAD_AGG_RO_COMP[],O$1,0),"ERROR")</f>
        <v>571</v>
      </c>
      <c r="P11" s="216">
        <f t="shared" si="3"/>
        <v>0.69128329297820823</v>
      </c>
      <c r="Q11" s="201">
        <f>IFERROR(VLOOKUP($B11,MMWR_TRAD_AGG_RO_COMP[],Q$1,0),"ERROR")</f>
        <v>0</v>
      </c>
      <c r="R11" s="201">
        <f>IFERROR(VLOOKUP($B11,MMWR_TRAD_AGG_RO_COMP[],R$1,0),"ERROR")</f>
        <v>6</v>
      </c>
      <c r="S11" s="201">
        <f>IFERROR(VLOOKUP($B11,MMWR_APP_RO[],S$1,0),"ERROR")</f>
        <v>1004</v>
      </c>
      <c r="T11" s="25"/>
    </row>
    <row r="12" spans="1:20" x14ac:dyDescent="0.2">
      <c r="A12" s="107"/>
      <c r="B12" s="108" t="s">
        <v>50</v>
      </c>
      <c r="C12" s="209">
        <f>IFERROR(VLOOKUP($B12,MMWR_TRAD_AGG_RO_COMP[],C$1,0),"ERROR")</f>
        <v>2077</v>
      </c>
      <c r="D12" s="198">
        <f>IFERROR(VLOOKUP($B12,MMWR_TRAD_AGG_RO_COMP[],D$1,0),"ERROR")</f>
        <v>234.09003370249999</v>
      </c>
      <c r="E12" s="195">
        <f>IFERROR(VLOOKUP($B12,MMWR_TRAD_AGG_RO_COMP[],E$1,0),"ERROR")</f>
        <v>2418</v>
      </c>
      <c r="F12" s="191">
        <f>IFERROR(VLOOKUP($B12,MMWR_TRAD_AGG_RO_COMP[],F$1,0),"ERROR")</f>
        <v>438</v>
      </c>
      <c r="G12" s="216">
        <f t="shared" si="0"/>
        <v>0.18114143920595532</v>
      </c>
      <c r="H12" s="190">
        <f>IFERROR(VLOOKUP($B12,MMWR_TRAD_AGG_RO_COMP[],H$1,0),"ERROR")</f>
        <v>3270</v>
      </c>
      <c r="I12" s="191">
        <f>IFERROR(VLOOKUP($B12,MMWR_TRAD_AGG_RO_COMP[],I$1,0),"ERROR")</f>
        <v>2134</v>
      </c>
      <c r="J12" s="216">
        <f t="shared" si="1"/>
        <v>0.65259938837920495</v>
      </c>
      <c r="K12" s="204">
        <f>IFERROR(VLOOKUP($B12,MMWR_TRAD_AGG_RO_COMP[],K$1,0),"ERROR")</f>
        <v>480</v>
      </c>
      <c r="L12" s="205">
        <f>IFERROR(VLOOKUP($B12,MMWR_TRAD_AGG_RO_COMP[],L$1,0),"ERROR")</f>
        <v>94</v>
      </c>
      <c r="M12" s="216">
        <f t="shared" si="2"/>
        <v>0.19583333333333333</v>
      </c>
      <c r="N12" s="204">
        <f>IFERROR(VLOOKUP($B12,MMWR_TRAD_AGG_RO_COMP[],N$1,0),"ERROR")</f>
        <v>1245</v>
      </c>
      <c r="O12" s="205">
        <f>IFERROR(VLOOKUP($B12,MMWR_TRAD_AGG_RO_COMP[],O$1,0),"ERROR")</f>
        <v>881</v>
      </c>
      <c r="P12" s="216">
        <f t="shared" si="3"/>
        <v>0.70763052208835342</v>
      </c>
      <c r="Q12" s="201">
        <f>IFERROR(VLOOKUP($B12,MMWR_TRAD_AGG_RO_COMP[],Q$1,0),"ERROR")</f>
        <v>0</v>
      </c>
      <c r="R12" s="201">
        <f>IFERROR(VLOOKUP($B12,MMWR_TRAD_AGG_RO_COMP[],R$1,0),"ERROR")</f>
        <v>10</v>
      </c>
      <c r="S12" s="201">
        <f>IFERROR(VLOOKUP($B12,MMWR_APP_RO[],S$1,0),"ERROR")</f>
        <v>1925</v>
      </c>
      <c r="T12" s="25"/>
    </row>
    <row r="13" spans="1:20" x14ac:dyDescent="0.2">
      <c r="A13" s="107"/>
      <c r="B13" s="108" t="s">
        <v>57</v>
      </c>
      <c r="C13" s="209">
        <f>IFERROR(VLOOKUP($B13,MMWR_TRAD_AGG_RO_COMP[],C$1,0),"ERROR")</f>
        <v>1424</v>
      </c>
      <c r="D13" s="198">
        <f>IFERROR(VLOOKUP($B13,MMWR_TRAD_AGG_RO_COMP[],D$1,0),"ERROR")</f>
        <v>378.1109550562</v>
      </c>
      <c r="E13" s="195">
        <f>IFERROR(VLOOKUP($B13,MMWR_TRAD_AGG_RO_COMP[],E$1,0),"ERROR")</f>
        <v>1016</v>
      </c>
      <c r="F13" s="191">
        <f>IFERROR(VLOOKUP($B13,MMWR_TRAD_AGG_RO_COMP[],F$1,0),"ERROR")</f>
        <v>243</v>
      </c>
      <c r="G13" s="216">
        <f t="shared" si="0"/>
        <v>0.23917322834645668</v>
      </c>
      <c r="H13" s="190">
        <f>IFERROR(VLOOKUP($B13,MMWR_TRAD_AGG_RO_COMP[],H$1,0),"ERROR")</f>
        <v>1922</v>
      </c>
      <c r="I13" s="191">
        <f>IFERROR(VLOOKUP($B13,MMWR_TRAD_AGG_RO_COMP[],I$1,0),"ERROR")</f>
        <v>1272</v>
      </c>
      <c r="J13" s="216">
        <f t="shared" si="1"/>
        <v>0.66181061394380858</v>
      </c>
      <c r="K13" s="204">
        <f>IFERROR(VLOOKUP($B13,MMWR_TRAD_AGG_RO_COMP[],K$1,0),"ERROR")</f>
        <v>372</v>
      </c>
      <c r="L13" s="205">
        <f>IFERROR(VLOOKUP($B13,MMWR_TRAD_AGG_RO_COMP[],L$1,0),"ERROR")</f>
        <v>366</v>
      </c>
      <c r="M13" s="216">
        <f t="shared" si="2"/>
        <v>0.9838709677419355</v>
      </c>
      <c r="N13" s="204">
        <f>IFERROR(VLOOKUP($B13,MMWR_TRAD_AGG_RO_COMP[],N$1,0),"ERROR")</f>
        <v>92</v>
      </c>
      <c r="O13" s="205">
        <f>IFERROR(VLOOKUP($B13,MMWR_TRAD_AGG_RO_COMP[],O$1,0),"ERROR")</f>
        <v>49</v>
      </c>
      <c r="P13" s="216">
        <f t="shared" si="3"/>
        <v>0.53260869565217395</v>
      </c>
      <c r="Q13" s="201">
        <f>IFERROR(VLOOKUP($B13,MMWR_TRAD_AGG_RO_COMP[],Q$1,0),"ERROR")</f>
        <v>0</v>
      </c>
      <c r="R13" s="201">
        <f>IFERROR(VLOOKUP($B13,MMWR_TRAD_AGG_RO_COMP[],R$1,0),"ERROR")</f>
        <v>1</v>
      </c>
      <c r="S13" s="201">
        <f>IFERROR(VLOOKUP($B13,MMWR_APP_RO[],S$1,0),"ERROR")</f>
        <v>582</v>
      </c>
      <c r="T13" s="25"/>
    </row>
    <row r="14" spans="1:20" x14ac:dyDescent="0.2">
      <c r="A14" s="107"/>
      <c r="B14" s="108" t="s">
        <v>63</v>
      </c>
      <c r="C14" s="209">
        <f>IFERROR(VLOOKUP($B14,MMWR_TRAD_AGG_RO_COMP[],C$1,0),"ERROR")</f>
        <v>4212</v>
      </c>
      <c r="D14" s="198">
        <f>IFERROR(VLOOKUP($B14,MMWR_TRAD_AGG_RO_COMP[],D$1,0),"ERROR")</f>
        <v>301.22317188980003</v>
      </c>
      <c r="E14" s="195">
        <f>IFERROR(VLOOKUP($B14,MMWR_TRAD_AGG_RO_COMP[],E$1,0),"ERROR")</f>
        <v>4612</v>
      </c>
      <c r="F14" s="191">
        <f>IFERROR(VLOOKUP($B14,MMWR_TRAD_AGG_RO_COMP[],F$1,0),"ERROR")</f>
        <v>1220</v>
      </c>
      <c r="G14" s="216">
        <f t="shared" si="0"/>
        <v>0.26452732003469209</v>
      </c>
      <c r="H14" s="190">
        <f>IFERROR(VLOOKUP($B14,MMWR_TRAD_AGG_RO_COMP[],H$1,0),"ERROR")</f>
        <v>5639</v>
      </c>
      <c r="I14" s="191">
        <f>IFERROR(VLOOKUP($B14,MMWR_TRAD_AGG_RO_COMP[],I$1,0),"ERROR")</f>
        <v>3808</v>
      </c>
      <c r="J14" s="216">
        <f t="shared" si="1"/>
        <v>0.6752970384820004</v>
      </c>
      <c r="K14" s="204">
        <f>IFERROR(VLOOKUP($B14,MMWR_TRAD_AGG_RO_COMP[],K$1,0),"ERROR")</f>
        <v>3455</v>
      </c>
      <c r="L14" s="205">
        <f>IFERROR(VLOOKUP($B14,MMWR_TRAD_AGG_RO_COMP[],L$1,0),"ERROR")</f>
        <v>2892</v>
      </c>
      <c r="M14" s="216">
        <f t="shared" si="2"/>
        <v>0.83704775687409549</v>
      </c>
      <c r="N14" s="204">
        <f>IFERROR(VLOOKUP($B14,MMWR_TRAD_AGG_RO_COMP[],N$1,0),"ERROR")</f>
        <v>1947</v>
      </c>
      <c r="O14" s="205">
        <f>IFERROR(VLOOKUP($B14,MMWR_TRAD_AGG_RO_COMP[],O$1,0),"ERROR")</f>
        <v>209</v>
      </c>
      <c r="P14" s="216">
        <f t="shared" si="3"/>
        <v>0.10734463276836158</v>
      </c>
      <c r="Q14" s="201">
        <f>IFERROR(VLOOKUP($B14,MMWR_TRAD_AGG_RO_COMP[],Q$1,0),"ERROR")</f>
        <v>0</v>
      </c>
      <c r="R14" s="201">
        <f>IFERROR(VLOOKUP($B14,MMWR_TRAD_AGG_RO_COMP[],R$1,0),"ERROR")</f>
        <v>1</v>
      </c>
      <c r="S14" s="201">
        <f>IFERROR(VLOOKUP($B14,MMWR_APP_RO[],S$1,0),"ERROR")</f>
        <v>3151</v>
      </c>
      <c r="T14" s="25"/>
    </row>
    <row r="15" spans="1:20" x14ac:dyDescent="0.2">
      <c r="A15" s="107"/>
      <c r="B15" s="108" t="s">
        <v>64</v>
      </c>
      <c r="C15" s="209">
        <f>IFERROR(VLOOKUP($B15,MMWR_TRAD_AGG_RO_COMP[],C$1,0),"ERROR")</f>
        <v>870</v>
      </c>
      <c r="D15" s="198">
        <f>IFERROR(VLOOKUP($B15,MMWR_TRAD_AGG_RO_COMP[],D$1,0),"ERROR")</f>
        <v>149.01034482759999</v>
      </c>
      <c r="E15" s="195">
        <f>IFERROR(VLOOKUP($B15,MMWR_TRAD_AGG_RO_COMP[],E$1,0),"ERROR")</f>
        <v>2397</v>
      </c>
      <c r="F15" s="191">
        <f>IFERROR(VLOOKUP($B15,MMWR_TRAD_AGG_RO_COMP[],F$1,0),"ERROR")</f>
        <v>548</v>
      </c>
      <c r="G15" s="216">
        <f t="shared" si="0"/>
        <v>0.22861910721735504</v>
      </c>
      <c r="H15" s="190">
        <f>IFERROR(VLOOKUP($B15,MMWR_TRAD_AGG_RO_COMP[],H$1,0),"ERROR")</f>
        <v>1505</v>
      </c>
      <c r="I15" s="191">
        <f>IFERROR(VLOOKUP($B15,MMWR_TRAD_AGG_RO_COMP[],I$1,0),"ERROR")</f>
        <v>806</v>
      </c>
      <c r="J15" s="216">
        <f t="shared" si="1"/>
        <v>0.53554817275747513</v>
      </c>
      <c r="K15" s="204">
        <f>IFERROR(VLOOKUP($B15,MMWR_TRAD_AGG_RO_COMP[],K$1,0),"ERROR")</f>
        <v>756</v>
      </c>
      <c r="L15" s="205">
        <f>IFERROR(VLOOKUP($B15,MMWR_TRAD_AGG_RO_COMP[],L$1,0),"ERROR")</f>
        <v>560</v>
      </c>
      <c r="M15" s="216">
        <f t="shared" si="2"/>
        <v>0.7407407407407407</v>
      </c>
      <c r="N15" s="204">
        <f>IFERROR(VLOOKUP($B15,MMWR_TRAD_AGG_RO_COMP[],N$1,0),"ERROR")</f>
        <v>1647</v>
      </c>
      <c r="O15" s="205">
        <f>IFERROR(VLOOKUP($B15,MMWR_TRAD_AGG_RO_COMP[],O$1,0),"ERROR")</f>
        <v>1234</v>
      </c>
      <c r="P15" s="216">
        <f t="shared" si="3"/>
        <v>0.74924104432301153</v>
      </c>
      <c r="Q15" s="201">
        <f>IFERROR(VLOOKUP($B15,MMWR_TRAD_AGG_RO_COMP[],Q$1,0),"ERROR")</f>
        <v>0</v>
      </c>
      <c r="R15" s="201">
        <f>IFERROR(VLOOKUP($B15,MMWR_TRAD_AGG_RO_COMP[],R$1,0),"ERROR")</f>
        <v>1</v>
      </c>
      <c r="S15" s="201">
        <f>IFERROR(VLOOKUP($B15,MMWR_APP_RO[],S$1,0),"ERROR")</f>
        <v>2609</v>
      </c>
      <c r="T15" s="25"/>
    </row>
    <row r="16" spans="1:20" x14ac:dyDescent="0.2">
      <c r="A16" s="107"/>
      <c r="B16" s="108" t="s">
        <v>66</v>
      </c>
      <c r="C16" s="209">
        <f>IFERROR(VLOOKUP($B16,MMWR_TRAD_AGG_RO_COMP[],C$1,0),"ERROR")</f>
        <v>6050</v>
      </c>
      <c r="D16" s="198">
        <f>IFERROR(VLOOKUP($B16,MMWR_TRAD_AGG_RO_COMP[],D$1,0),"ERROR")</f>
        <v>390.29190082640002</v>
      </c>
      <c r="E16" s="195">
        <f>IFERROR(VLOOKUP($B16,MMWR_TRAD_AGG_RO_COMP[],E$1,0),"ERROR")</f>
        <v>11022</v>
      </c>
      <c r="F16" s="191">
        <f>IFERROR(VLOOKUP($B16,MMWR_TRAD_AGG_RO_COMP[],F$1,0),"ERROR")</f>
        <v>2974</v>
      </c>
      <c r="G16" s="216">
        <f t="shared" si="0"/>
        <v>0.26982398838686261</v>
      </c>
      <c r="H16" s="190">
        <f>IFERROR(VLOOKUP($B16,MMWR_TRAD_AGG_RO_COMP[],H$1,0),"ERROR")</f>
        <v>9143</v>
      </c>
      <c r="I16" s="191">
        <f>IFERROR(VLOOKUP($B16,MMWR_TRAD_AGG_RO_COMP[],I$1,0),"ERROR")</f>
        <v>6653</v>
      </c>
      <c r="J16" s="216">
        <f t="shared" si="1"/>
        <v>0.72766050530460458</v>
      </c>
      <c r="K16" s="204">
        <f>IFERROR(VLOOKUP($B16,MMWR_TRAD_AGG_RO_COMP[],K$1,0),"ERROR")</f>
        <v>2342</v>
      </c>
      <c r="L16" s="205">
        <f>IFERROR(VLOOKUP($B16,MMWR_TRAD_AGG_RO_COMP[],L$1,0),"ERROR")</f>
        <v>991</v>
      </c>
      <c r="M16" s="216">
        <f t="shared" si="2"/>
        <v>0.42314261315115287</v>
      </c>
      <c r="N16" s="204">
        <f>IFERROR(VLOOKUP($B16,MMWR_TRAD_AGG_RO_COMP[],N$1,0),"ERROR")</f>
        <v>7350</v>
      </c>
      <c r="O16" s="205">
        <f>IFERROR(VLOOKUP($B16,MMWR_TRAD_AGG_RO_COMP[],O$1,0),"ERROR")</f>
        <v>6377</v>
      </c>
      <c r="P16" s="216">
        <f t="shared" si="3"/>
        <v>0.86761904761904762</v>
      </c>
      <c r="Q16" s="201">
        <f>IFERROR(VLOOKUP($B16,MMWR_TRAD_AGG_RO_COMP[],Q$1,0),"ERROR")</f>
        <v>12384</v>
      </c>
      <c r="R16" s="201">
        <f>IFERROR(VLOOKUP($B16,MMWR_TRAD_AGG_RO_COMP[],R$1,0),"ERROR")</f>
        <v>0</v>
      </c>
      <c r="S16" s="201">
        <f>IFERROR(VLOOKUP($B16,MMWR_APP_RO[],S$1,0),"ERROR")</f>
        <v>5578</v>
      </c>
      <c r="T16" s="25"/>
    </row>
    <row r="17" spans="1:20" x14ac:dyDescent="0.2">
      <c r="A17" s="107"/>
      <c r="B17" s="108" t="s">
        <v>68</v>
      </c>
      <c r="C17" s="209">
        <f>IFERROR(VLOOKUP($B17,MMWR_TRAD_AGG_RO_COMP[],C$1,0),"ERROR")</f>
        <v>4167</v>
      </c>
      <c r="D17" s="198">
        <f>IFERROR(VLOOKUP($B17,MMWR_TRAD_AGG_RO_COMP[],D$1,0),"ERROR")</f>
        <v>492.06647468199998</v>
      </c>
      <c r="E17" s="195">
        <f>IFERROR(VLOOKUP($B17,MMWR_TRAD_AGG_RO_COMP[],E$1,0),"ERROR")</f>
        <v>4861</v>
      </c>
      <c r="F17" s="191">
        <f>IFERROR(VLOOKUP($B17,MMWR_TRAD_AGG_RO_COMP[],F$1,0),"ERROR")</f>
        <v>1445</v>
      </c>
      <c r="G17" s="216">
        <f t="shared" si="0"/>
        <v>0.29726393746142771</v>
      </c>
      <c r="H17" s="190">
        <f>IFERROR(VLOOKUP($B17,MMWR_TRAD_AGG_RO_COMP[],H$1,0),"ERROR")</f>
        <v>5670</v>
      </c>
      <c r="I17" s="191">
        <f>IFERROR(VLOOKUP($B17,MMWR_TRAD_AGG_RO_COMP[],I$1,0),"ERROR")</f>
        <v>4368</v>
      </c>
      <c r="J17" s="216">
        <f t="shared" si="1"/>
        <v>0.77037037037037037</v>
      </c>
      <c r="K17" s="204">
        <f>IFERROR(VLOOKUP($B17,MMWR_TRAD_AGG_RO_COMP[],K$1,0),"ERROR")</f>
        <v>790</v>
      </c>
      <c r="L17" s="205">
        <f>IFERROR(VLOOKUP($B17,MMWR_TRAD_AGG_RO_COMP[],L$1,0),"ERROR")</f>
        <v>443</v>
      </c>
      <c r="M17" s="216">
        <f t="shared" si="2"/>
        <v>0.56075949367088607</v>
      </c>
      <c r="N17" s="204">
        <f>IFERROR(VLOOKUP($B17,MMWR_TRAD_AGG_RO_COMP[],N$1,0),"ERROR")</f>
        <v>1061</v>
      </c>
      <c r="O17" s="205">
        <f>IFERROR(VLOOKUP($B17,MMWR_TRAD_AGG_RO_COMP[],O$1,0),"ERROR")</f>
        <v>693</v>
      </c>
      <c r="P17" s="216">
        <f t="shared" si="3"/>
        <v>0.65315739868049005</v>
      </c>
      <c r="Q17" s="201">
        <f>IFERROR(VLOOKUP($B17,MMWR_TRAD_AGG_RO_COMP[],Q$1,0),"ERROR")</f>
        <v>0</v>
      </c>
      <c r="R17" s="201">
        <f>IFERROR(VLOOKUP($B17,MMWR_TRAD_AGG_RO_COMP[],R$1,0),"ERROR")</f>
        <v>2</v>
      </c>
      <c r="S17" s="201">
        <f>IFERROR(VLOOKUP($B17,MMWR_APP_RO[],S$1,0),"ERROR")</f>
        <v>5037</v>
      </c>
      <c r="T17" s="25"/>
    </row>
    <row r="18" spans="1:20" x14ac:dyDescent="0.2">
      <c r="A18" s="107"/>
      <c r="B18" s="108" t="s">
        <v>70</v>
      </c>
      <c r="C18" s="209">
        <f>IFERROR(VLOOKUP($B18,MMWR_TRAD_AGG_RO_COMP[],C$1,0),"ERROR")</f>
        <v>866</v>
      </c>
      <c r="D18" s="198">
        <f>IFERROR(VLOOKUP($B18,MMWR_TRAD_AGG_RO_COMP[],D$1,0),"ERROR")</f>
        <v>189.2517321016</v>
      </c>
      <c r="E18" s="195">
        <f>IFERROR(VLOOKUP($B18,MMWR_TRAD_AGG_RO_COMP[],E$1,0),"ERROR")</f>
        <v>2108</v>
      </c>
      <c r="F18" s="191">
        <f>IFERROR(VLOOKUP($B18,MMWR_TRAD_AGG_RO_COMP[],F$1,0),"ERROR")</f>
        <v>408</v>
      </c>
      <c r="G18" s="216">
        <f t="shared" si="0"/>
        <v>0.19354838709677419</v>
      </c>
      <c r="H18" s="190">
        <f>IFERROR(VLOOKUP($B18,MMWR_TRAD_AGG_RO_COMP[],H$1,0),"ERROR")</f>
        <v>4025</v>
      </c>
      <c r="I18" s="191">
        <f>IFERROR(VLOOKUP($B18,MMWR_TRAD_AGG_RO_COMP[],I$1,0),"ERROR")</f>
        <v>1153</v>
      </c>
      <c r="J18" s="216">
        <f t="shared" si="1"/>
        <v>0.28645962732919256</v>
      </c>
      <c r="K18" s="204">
        <f>IFERROR(VLOOKUP($B18,MMWR_TRAD_AGG_RO_COMP[],K$1,0),"ERROR")</f>
        <v>3162</v>
      </c>
      <c r="L18" s="205">
        <f>IFERROR(VLOOKUP($B18,MMWR_TRAD_AGG_RO_COMP[],L$1,0),"ERROR")</f>
        <v>2307</v>
      </c>
      <c r="M18" s="216">
        <f t="shared" si="2"/>
        <v>0.72960151802656548</v>
      </c>
      <c r="N18" s="204">
        <f>IFERROR(VLOOKUP($B18,MMWR_TRAD_AGG_RO_COMP[],N$1,0),"ERROR")</f>
        <v>459</v>
      </c>
      <c r="O18" s="205">
        <f>IFERROR(VLOOKUP($B18,MMWR_TRAD_AGG_RO_COMP[],O$1,0),"ERROR")</f>
        <v>209</v>
      </c>
      <c r="P18" s="216">
        <f t="shared" si="3"/>
        <v>0.45533769063180829</v>
      </c>
      <c r="Q18" s="201">
        <f>IFERROR(VLOOKUP($B18,MMWR_TRAD_AGG_RO_COMP[],Q$1,0),"ERROR")</f>
        <v>0</v>
      </c>
      <c r="R18" s="201">
        <f>IFERROR(VLOOKUP($B18,MMWR_TRAD_AGG_RO_COMP[],R$1,0),"ERROR")</f>
        <v>0</v>
      </c>
      <c r="S18" s="201">
        <f>IFERROR(VLOOKUP($B18,MMWR_APP_RO[],S$1,0),"ERROR")</f>
        <v>436</v>
      </c>
      <c r="T18" s="25"/>
    </row>
    <row r="19" spans="1:20" x14ac:dyDescent="0.2">
      <c r="A19" s="107"/>
      <c r="B19" s="108" t="s">
        <v>72</v>
      </c>
      <c r="C19" s="209">
        <f>IFERROR(VLOOKUP($B19,MMWR_TRAD_AGG_RO_COMP[],C$1,0),"ERROR")</f>
        <v>14489</v>
      </c>
      <c r="D19" s="198">
        <f>IFERROR(VLOOKUP($B19,MMWR_TRAD_AGG_RO_COMP[],D$1,0),"ERROR")</f>
        <v>428.44551038719999</v>
      </c>
      <c r="E19" s="195">
        <f>IFERROR(VLOOKUP($B19,MMWR_TRAD_AGG_RO_COMP[],E$1,0),"ERROR")</f>
        <v>11719</v>
      </c>
      <c r="F19" s="191">
        <f>IFERROR(VLOOKUP($B19,MMWR_TRAD_AGG_RO_COMP[],F$1,0),"ERROR")</f>
        <v>2831</v>
      </c>
      <c r="G19" s="216">
        <f t="shared" si="0"/>
        <v>0.24157351309838723</v>
      </c>
      <c r="H19" s="190">
        <f>IFERROR(VLOOKUP($B19,MMWR_TRAD_AGG_RO_COMP[],H$1,0),"ERROR")</f>
        <v>16744</v>
      </c>
      <c r="I19" s="191">
        <f>IFERROR(VLOOKUP($B19,MMWR_TRAD_AGG_RO_COMP[],I$1,0),"ERROR")</f>
        <v>11379</v>
      </c>
      <c r="J19" s="216">
        <f t="shared" si="1"/>
        <v>0.67958671763019585</v>
      </c>
      <c r="K19" s="204">
        <f>IFERROR(VLOOKUP($B19,MMWR_TRAD_AGG_RO_COMP[],K$1,0),"ERROR")</f>
        <v>7364</v>
      </c>
      <c r="L19" s="205">
        <f>IFERROR(VLOOKUP($B19,MMWR_TRAD_AGG_RO_COMP[],L$1,0),"ERROR")</f>
        <v>5509</v>
      </c>
      <c r="M19" s="216">
        <f t="shared" si="2"/>
        <v>0.74809885931558939</v>
      </c>
      <c r="N19" s="204">
        <f>IFERROR(VLOOKUP($B19,MMWR_TRAD_AGG_RO_COMP[],N$1,0),"ERROR")</f>
        <v>4436</v>
      </c>
      <c r="O19" s="205">
        <f>IFERROR(VLOOKUP($B19,MMWR_TRAD_AGG_RO_COMP[],O$1,0),"ERROR")</f>
        <v>3746</v>
      </c>
      <c r="P19" s="216">
        <f t="shared" si="3"/>
        <v>0.84445446348061315</v>
      </c>
      <c r="Q19" s="201">
        <f>IFERROR(VLOOKUP($B19,MMWR_TRAD_AGG_RO_COMP[],Q$1,0),"ERROR")</f>
        <v>5</v>
      </c>
      <c r="R19" s="201">
        <f>IFERROR(VLOOKUP($B19,MMWR_TRAD_AGG_RO_COMP[],R$1,0),"ERROR")</f>
        <v>4</v>
      </c>
      <c r="S19" s="201">
        <f>IFERROR(VLOOKUP($B19,MMWR_APP_RO[],S$1,0),"ERROR")</f>
        <v>15231</v>
      </c>
      <c r="T19" s="25"/>
    </row>
    <row r="20" spans="1:20" x14ac:dyDescent="0.2">
      <c r="A20" s="107"/>
      <c r="B20" s="108" t="s">
        <v>81</v>
      </c>
      <c r="C20" s="209">
        <f>IFERROR(VLOOKUP($B20,MMWR_TRAD_AGG_RO_COMP[],C$1,0),"ERROR")</f>
        <v>1450</v>
      </c>
      <c r="D20" s="198">
        <f>IFERROR(VLOOKUP($B20,MMWR_TRAD_AGG_RO_COMP[],D$1,0),"ERROR")</f>
        <v>261.21586206900002</v>
      </c>
      <c r="E20" s="195">
        <f>IFERROR(VLOOKUP($B20,MMWR_TRAD_AGG_RO_COMP[],E$1,0),"ERROR")</f>
        <v>1239</v>
      </c>
      <c r="F20" s="191">
        <f>IFERROR(VLOOKUP($B20,MMWR_TRAD_AGG_RO_COMP[],F$1,0),"ERROR")</f>
        <v>156</v>
      </c>
      <c r="G20" s="216">
        <f t="shared" si="0"/>
        <v>0.12590799031476999</v>
      </c>
      <c r="H20" s="190">
        <f>IFERROR(VLOOKUP($B20,MMWR_TRAD_AGG_RO_COMP[],H$1,0),"ERROR")</f>
        <v>2139</v>
      </c>
      <c r="I20" s="191">
        <f>IFERROR(VLOOKUP($B20,MMWR_TRAD_AGG_RO_COMP[],I$1,0),"ERROR")</f>
        <v>1319</v>
      </c>
      <c r="J20" s="216">
        <f t="shared" si="1"/>
        <v>0.61664329125759698</v>
      </c>
      <c r="K20" s="204">
        <f>IFERROR(VLOOKUP($B20,MMWR_TRAD_AGG_RO_COMP[],K$1,0),"ERROR")</f>
        <v>1134</v>
      </c>
      <c r="L20" s="205">
        <f>IFERROR(VLOOKUP($B20,MMWR_TRAD_AGG_RO_COMP[],L$1,0),"ERROR")</f>
        <v>853</v>
      </c>
      <c r="M20" s="216">
        <f t="shared" si="2"/>
        <v>0.75220458553791891</v>
      </c>
      <c r="N20" s="204">
        <f>IFERROR(VLOOKUP($B20,MMWR_TRAD_AGG_RO_COMP[],N$1,0),"ERROR")</f>
        <v>391</v>
      </c>
      <c r="O20" s="205">
        <f>IFERROR(VLOOKUP($B20,MMWR_TRAD_AGG_RO_COMP[],O$1,0),"ERROR")</f>
        <v>188</v>
      </c>
      <c r="P20" s="216">
        <f t="shared" si="3"/>
        <v>0.48081841432225064</v>
      </c>
      <c r="Q20" s="201">
        <f>IFERROR(VLOOKUP($B20,MMWR_TRAD_AGG_RO_COMP[],Q$1,0),"ERROR")</f>
        <v>1</v>
      </c>
      <c r="R20" s="201">
        <f>IFERROR(VLOOKUP($B20,MMWR_TRAD_AGG_RO_COMP[],R$1,0),"ERROR")</f>
        <v>0</v>
      </c>
      <c r="S20" s="201">
        <f>IFERROR(VLOOKUP($B20,MMWR_APP_RO[],S$1,0),"ERROR")</f>
        <v>423</v>
      </c>
      <c r="T20" s="25"/>
    </row>
    <row r="21" spans="1:20" x14ac:dyDescent="0.2">
      <c r="A21" s="107"/>
      <c r="B21" s="108" t="s">
        <v>434</v>
      </c>
      <c r="C21" s="209">
        <f>IFERROR(VLOOKUP($B21,MMWR_TRAD_AGG_RO_COMP[],C$1,0),"ERROR")</f>
        <v>31363</v>
      </c>
      <c r="D21" s="198">
        <f>IFERROR(VLOOKUP($B21,MMWR_TRAD_AGG_RO_COMP[],D$1,0),"ERROR")</f>
        <v>539.16366419029998</v>
      </c>
      <c r="E21" s="195">
        <f>IFERROR(VLOOKUP($B21,MMWR_TRAD_AGG_RO_COMP[],E$1,0),"ERROR")</f>
        <v>1255</v>
      </c>
      <c r="F21" s="191">
        <f>IFERROR(VLOOKUP($B21,MMWR_TRAD_AGG_RO_COMP[],F$1,0),"ERROR")</f>
        <v>421</v>
      </c>
      <c r="G21" s="216">
        <f t="shared" si="0"/>
        <v>0.33545816733067729</v>
      </c>
      <c r="H21" s="190">
        <f>IFERROR(VLOOKUP($B21,MMWR_TRAD_AGG_RO_COMP[],H$1,0),"ERROR")</f>
        <v>31823</v>
      </c>
      <c r="I21" s="191">
        <f>IFERROR(VLOOKUP($B21,MMWR_TRAD_AGG_RO_COMP[],I$1,0),"ERROR")</f>
        <v>31329</v>
      </c>
      <c r="J21" s="216">
        <f t="shared" si="1"/>
        <v>0.98447663639506022</v>
      </c>
      <c r="K21" s="204">
        <f>IFERROR(VLOOKUP($B21,MMWR_TRAD_AGG_RO_COMP[],K$1,0),"ERROR")</f>
        <v>1074</v>
      </c>
      <c r="L21" s="205">
        <f>IFERROR(VLOOKUP($B21,MMWR_TRAD_AGG_RO_COMP[],L$1,0),"ERROR")</f>
        <v>651</v>
      </c>
      <c r="M21" s="216">
        <f t="shared" si="2"/>
        <v>0.6061452513966481</v>
      </c>
      <c r="N21" s="204">
        <f>IFERROR(VLOOKUP($B21,MMWR_TRAD_AGG_RO_COMP[],N$1,0),"ERROR")</f>
        <v>1344</v>
      </c>
      <c r="O21" s="205">
        <f>IFERROR(VLOOKUP($B21,MMWR_TRAD_AGG_RO_COMP[],O$1,0),"ERROR")</f>
        <v>1216</v>
      </c>
      <c r="P21" s="216">
        <f t="shared" si="3"/>
        <v>0.90476190476190477</v>
      </c>
      <c r="Q21" s="201">
        <f>IFERROR(VLOOKUP($B21,MMWR_TRAD_AGG_RO_COMP[],Q$1,0),"ERROR")</f>
        <v>0</v>
      </c>
      <c r="R21" s="201">
        <f>IFERROR(VLOOKUP($B21,MMWR_TRAD_AGG_RO_COMP[],R$1,0),"ERROR")</f>
        <v>0</v>
      </c>
      <c r="S21" s="201">
        <f>IFERROR(VLOOKUP($B21,MMWR_APP_RO[],S$1,0),"ERROR")</f>
        <v>21</v>
      </c>
      <c r="T21" s="25"/>
    </row>
    <row r="22" spans="1:20" x14ac:dyDescent="0.2">
      <c r="A22" s="107"/>
      <c r="B22" s="108" t="s">
        <v>138</v>
      </c>
      <c r="C22" s="209">
        <f>IFERROR(VLOOKUP($B22,MMWR_TRAD_AGG_RO_COMP[],C$1,0),"ERROR")</f>
        <v>422</v>
      </c>
      <c r="D22" s="198">
        <f>IFERROR(VLOOKUP($B22,MMWR_TRAD_AGG_RO_COMP[],D$1,0),"ERROR")</f>
        <v>348.71327014219997</v>
      </c>
      <c r="E22" s="195">
        <f>IFERROR(VLOOKUP($B22,MMWR_TRAD_AGG_RO_COMP[],E$1,0),"ERROR")</f>
        <v>517</v>
      </c>
      <c r="F22" s="191">
        <f>IFERROR(VLOOKUP($B22,MMWR_TRAD_AGG_RO_COMP[],F$1,0),"ERROR")</f>
        <v>120</v>
      </c>
      <c r="G22" s="216">
        <f t="shared" si="0"/>
        <v>0.23210831721470018</v>
      </c>
      <c r="H22" s="190">
        <f>IFERROR(VLOOKUP($B22,MMWR_TRAD_AGG_RO_COMP[],H$1,0),"ERROR")</f>
        <v>627</v>
      </c>
      <c r="I22" s="191">
        <f>IFERROR(VLOOKUP($B22,MMWR_TRAD_AGG_RO_COMP[],I$1,0),"ERROR")</f>
        <v>408</v>
      </c>
      <c r="J22" s="216">
        <f t="shared" si="1"/>
        <v>0.65071770334928225</v>
      </c>
      <c r="K22" s="204">
        <f>IFERROR(VLOOKUP($B22,MMWR_TRAD_AGG_RO_COMP[],K$1,0),"ERROR")</f>
        <v>111</v>
      </c>
      <c r="L22" s="205">
        <f>IFERROR(VLOOKUP($B22,MMWR_TRAD_AGG_RO_COMP[],L$1,0),"ERROR")</f>
        <v>68</v>
      </c>
      <c r="M22" s="216">
        <f t="shared" si="2"/>
        <v>0.61261261261261257</v>
      </c>
      <c r="N22" s="204">
        <f>IFERROR(VLOOKUP($B22,MMWR_TRAD_AGG_RO_COMP[],N$1,0),"ERROR")</f>
        <v>124</v>
      </c>
      <c r="O22" s="205">
        <f>IFERROR(VLOOKUP($B22,MMWR_TRAD_AGG_RO_COMP[],O$1,0),"ERROR")</f>
        <v>71</v>
      </c>
      <c r="P22" s="216">
        <f t="shared" si="3"/>
        <v>0.57258064516129037</v>
      </c>
      <c r="Q22" s="201">
        <f>IFERROR(VLOOKUP($B22,MMWR_TRAD_AGG_RO_COMP[],Q$1,0),"ERROR")</f>
        <v>0</v>
      </c>
      <c r="R22" s="201">
        <f>IFERROR(VLOOKUP($B22,MMWR_TRAD_AGG_RO_COMP[],R$1,0),"ERROR")</f>
        <v>1</v>
      </c>
      <c r="S22" s="201">
        <f>IFERROR(VLOOKUP($B22,MMWR_APP_RO[],S$1,0),"ERROR")</f>
        <v>114</v>
      </c>
      <c r="T22" s="25"/>
    </row>
    <row r="23" spans="1:20" x14ac:dyDescent="0.2">
      <c r="A23" s="107"/>
      <c r="B23" s="108" t="s">
        <v>85</v>
      </c>
      <c r="C23" s="209">
        <f>IFERROR(VLOOKUP($B23,MMWR_TRAD_AGG_RO_COMP[],C$1,0),"ERROR")</f>
        <v>619</v>
      </c>
      <c r="D23" s="198">
        <f>IFERROR(VLOOKUP($B23,MMWR_TRAD_AGG_RO_COMP[],D$1,0),"ERROR")</f>
        <v>391.43780290789999</v>
      </c>
      <c r="E23" s="195">
        <f>IFERROR(VLOOKUP($B23,MMWR_TRAD_AGG_RO_COMP[],E$1,0),"ERROR")</f>
        <v>699</v>
      </c>
      <c r="F23" s="191">
        <f>IFERROR(VLOOKUP($B23,MMWR_TRAD_AGG_RO_COMP[],F$1,0),"ERROR")</f>
        <v>209</v>
      </c>
      <c r="G23" s="216">
        <f t="shared" si="0"/>
        <v>0.29899856938483549</v>
      </c>
      <c r="H23" s="190">
        <f>IFERROR(VLOOKUP($B23,MMWR_TRAD_AGG_RO_COMP[],H$1,0),"ERROR")</f>
        <v>695</v>
      </c>
      <c r="I23" s="191">
        <f>IFERROR(VLOOKUP($B23,MMWR_TRAD_AGG_RO_COMP[],I$1,0),"ERROR")</f>
        <v>540</v>
      </c>
      <c r="J23" s="216">
        <f t="shared" si="1"/>
        <v>0.7769784172661871</v>
      </c>
      <c r="K23" s="204">
        <f>IFERROR(VLOOKUP($B23,MMWR_TRAD_AGG_RO_COMP[],K$1,0),"ERROR")</f>
        <v>53</v>
      </c>
      <c r="L23" s="205">
        <f>IFERROR(VLOOKUP($B23,MMWR_TRAD_AGG_RO_COMP[],L$1,0),"ERROR")</f>
        <v>15</v>
      </c>
      <c r="M23" s="216">
        <f t="shared" si="2"/>
        <v>0.28301886792452829</v>
      </c>
      <c r="N23" s="204">
        <f>IFERROR(VLOOKUP($B23,MMWR_TRAD_AGG_RO_COMP[],N$1,0),"ERROR")</f>
        <v>125</v>
      </c>
      <c r="O23" s="205">
        <f>IFERROR(VLOOKUP($B23,MMWR_TRAD_AGG_RO_COMP[],O$1,0),"ERROR")</f>
        <v>66</v>
      </c>
      <c r="P23" s="216">
        <f t="shared" si="3"/>
        <v>0.52800000000000002</v>
      </c>
      <c r="Q23" s="201">
        <f>IFERROR(VLOOKUP($B23,MMWR_TRAD_AGG_RO_COMP[],Q$1,0),"ERROR")</f>
        <v>0</v>
      </c>
      <c r="R23" s="201">
        <f>IFERROR(VLOOKUP($B23,MMWR_TRAD_AGG_RO_COMP[],R$1,0),"ERROR")</f>
        <v>0</v>
      </c>
      <c r="S23" s="201">
        <f>IFERROR(VLOOKUP($B23,MMWR_APP_RO[],S$1,0),"ERROR")</f>
        <v>186</v>
      </c>
      <c r="T23" s="25"/>
    </row>
    <row r="24" spans="1:20" x14ac:dyDescent="0.2">
      <c r="A24" s="92"/>
      <c r="B24" s="116" t="s">
        <v>86</v>
      </c>
      <c r="C24" s="210">
        <f>IFERROR(VLOOKUP($B24,MMWR_TRAD_AGG_RO_COMP[],C$1,0),"ERROR")</f>
        <v>17795</v>
      </c>
      <c r="D24" s="199">
        <f>IFERROR(VLOOKUP($B24,MMWR_TRAD_AGG_RO_COMP[],D$1,0),"ERROR")</f>
        <v>333.14178139929999</v>
      </c>
      <c r="E24" s="196">
        <f>IFERROR(VLOOKUP($B24,MMWR_TRAD_AGG_RO_COMP[],E$1,0),"ERROR")</f>
        <v>18195</v>
      </c>
      <c r="F24" s="193">
        <f>IFERROR(VLOOKUP($B24,MMWR_TRAD_AGG_RO_COMP[],F$1,0),"ERROR")</f>
        <v>5088</v>
      </c>
      <c r="G24" s="217">
        <f t="shared" si="0"/>
        <v>0.27963726298433633</v>
      </c>
      <c r="H24" s="192">
        <f>IFERROR(VLOOKUP($B24,MMWR_TRAD_AGG_RO_COMP[],H$1,0),"ERROR")</f>
        <v>30101</v>
      </c>
      <c r="I24" s="193">
        <f>IFERROR(VLOOKUP($B24,MMWR_TRAD_AGG_RO_COMP[],I$1,0),"ERROR")</f>
        <v>19269</v>
      </c>
      <c r="J24" s="217">
        <f t="shared" si="1"/>
        <v>0.64014484568618979</v>
      </c>
      <c r="K24" s="206">
        <f>IFERROR(VLOOKUP($B24,MMWR_TRAD_AGG_RO_COMP[],K$1,0),"ERROR")</f>
        <v>10985</v>
      </c>
      <c r="L24" s="207">
        <f>IFERROR(VLOOKUP($B24,MMWR_TRAD_AGG_RO_COMP[],L$1,0),"ERROR")</f>
        <v>7100</v>
      </c>
      <c r="M24" s="217">
        <f t="shared" si="2"/>
        <v>0.64633591260810197</v>
      </c>
      <c r="N24" s="206">
        <f>IFERROR(VLOOKUP($B24,MMWR_TRAD_AGG_RO_COMP[],N$1,0),"ERROR")</f>
        <v>4155</v>
      </c>
      <c r="O24" s="207">
        <f>IFERROR(VLOOKUP($B24,MMWR_TRAD_AGG_RO_COMP[],O$1,0),"ERROR")</f>
        <v>2680</v>
      </c>
      <c r="P24" s="217">
        <f t="shared" si="3"/>
        <v>0.64500601684717207</v>
      </c>
      <c r="Q24" s="202">
        <f>IFERROR(VLOOKUP($B24,MMWR_TRAD_AGG_RO_COMP[],Q$1,0),"ERROR")</f>
        <v>1</v>
      </c>
      <c r="R24" s="202">
        <f>IFERROR(VLOOKUP($B24,MMWR_TRAD_AGG_RO_COMP[],R$1,0),"ERROR")</f>
        <v>21</v>
      </c>
      <c r="S24" s="201">
        <f>IFERROR(VLOOKUP($B24,MMWR_APP_RO[],S$1,0),"ERROR")</f>
        <v>9023</v>
      </c>
      <c r="T24" s="25"/>
    </row>
    <row r="25" spans="1:20" x14ac:dyDescent="0.2">
      <c r="A25" s="107"/>
      <c r="B25" s="101" t="s">
        <v>394</v>
      </c>
      <c r="C25" s="212">
        <f>IFERROR(VLOOKUP($B25,MMWR_TRAD_AGG_DISTRICT_COMP[],C$1,0),"ERROR")</f>
        <v>38424</v>
      </c>
      <c r="D25" s="197">
        <f>IFERROR(VLOOKUP($B25,MMWR_TRAD_AGG_DISTRICT_COMP[],D$1,0),"ERROR")</f>
        <v>349.4210909848</v>
      </c>
      <c r="E25" s="213">
        <f>IFERROR(VLOOKUP($B25,MMWR_TRAD_AGG_DISTRICT_COMP[],E$1,0),"ERROR")</f>
        <v>55178</v>
      </c>
      <c r="F25" s="218">
        <f>IFERROR(VLOOKUP($B25,MMWR_TRAD_AGG_DISTRICT_COMP[],F$1,0),"ERROR")</f>
        <v>11906</v>
      </c>
      <c r="G25" s="214">
        <f t="shared" si="0"/>
        <v>0.21577440284171229</v>
      </c>
      <c r="H25" s="218">
        <f>IFERROR(VLOOKUP($B25,MMWR_TRAD_AGG_DISTRICT_COMP[],H$1,0),"ERROR")</f>
        <v>64307</v>
      </c>
      <c r="I25" s="218">
        <f>IFERROR(VLOOKUP($B25,MMWR_TRAD_AGG_DISTRICT_COMP[],I$1,0),"ERROR")</f>
        <v>35810</v>
      </c>
      <c r="J25" s="214">
        <f t="shared" si="1"/>
        <v>0.55686006189061843</v>
      </c>
      <c r="K25" s="212">
        <f>IFERROR(VLOOKUP($B25,MMWR_TRAD_AGG_DISTRICT_COMP[],K$1,0),"ERROR")</f>
        <v>13464</v>
      </c>
      <c r="L25" s="212">
        <f>IFERROR(VLOOKUP($B25,MMWR_TRAD_AGG_DISTRICT_COMP[],L$1,0),"ERROR")</f>
        <v>8485</v>
      </c>
      <c r="M25" s="214">
        <f t="shared" si="2"/>
        <v>0.63019904931669635</v>
      </c>
      <c r="N25" s="212">
        <f>IFERROR(VLOOKUP($B25,MMWR_TRAD_AGG_DISTRICT_COMP[],N$1,0),"ERROR")</f>
        <v>20118</v>
      </c>
      <c r="O25" s="212">
        <f>IFERROR(VLOOKUP($B25,MMWR_TRAD_AGG_DISTRICT_COMP[],O$1,0),"ERROR")</f>
        <v>11112</v>
      </c>
      <c r="P25" s="214">
        <f t="shared" si="3"/>
        <v>0.5523411869967193</v>
      </c>
      <c r="Q25" s="212">
        <f>IFERROR(VLOOKUP($B25,MMWR_TRAD_AGG_DISTRICT_COMP[],Q$1,0),"ERROR")</f>
        <v>6031</v>
      </c>
      <c r="R25" s="215">
        <f>IFERROR(VLOOKUP($B25,MMWR_TRAD_AGG_DISTRICT_COMP[],R$1,0),"ERROR")</f>
        <v>1028</v>
      </c>
      <c r="S25" s="215">
        <f>IFERROR(VLOOKUP($B25,MMWR_APP_RO[],S$1,0),"ERROR")</f>
        <v>51663</v>
      </c>
      <c r="T25" s="25"/>
    </row>
    <row r="26" spans="1:20" x14ac:dyDescent="0.2">
      <c r="A26" s="107"/>
      <c r="B26" s="108" t="s">
        <v>40</v>
      </c>
      <c r="C26" s="209">
        <f>IFERROR(VLOOKUP($B26,MMWR_TRAD_AGG_RO_COMP[],C$1,0),"ERROR")</f>
        <v>5850</v>
      </c>
      <c r="D26" s="198">
        <f>IFERROR(VLOOKUP($B26,MMWR_TRAD_AGG_RO_COMP[],D$1,0),"ERROR")</f>
        <v>497.25641025639999</v>
      </c>
      <c r="E26" s="195">
        <f>IFERROR(VLOOKUP($B26,MMWR_TRAD_AGG_RO_COMP[],E$1,0),"ERROR")</f>
        <v>6481</v>
      </c>
      <c r="F26" s="191">
        <f>IFERROR(VLOOKUP($B26,MMWR_TRAD_AGG_RO_COMP[],F$1,0),"ERROR")</f>
        <v>1767</v>
      </c>
      <c r="G26" s="216">
        <f t="shared" si="0"/>
        <v>0.27264311063107544</v>
      </c>
      <c r="H26" s="190">
        <f>IFERROR(VLOOKUP($B26,MMWR_TRAD_AGG_RO_COMP[],H$1,0),"ERROR")</f>
        <v>7328</v>
      </c>
      <c r="I26" s="191">
        <f>IFERROR(VLOOKUP($B26,MMWR_TRAD_AGG_RO_COMP[],I$1,0),"ERROR")</f>
        <v>5562</v>
      </c>
      <c r="J26" s="216">
        <f t="shared" si="1"/>
        <v>0.75900655021834063</v>
      </c>
      <c r="K26" s="204">
        <f>IFERROR(VLOOKUP($B26,MMWR_TRAD_AGG_RO_COMP[],K$1,0),"ERROR")</f>
        <v>1780</v>
      </c>
      <c r="L26" s="205">
        <f>IFERROR(VLOOKUP($B26,MMWR_TRAD_AGG_RO_COMP[],L$1,0),"ERROR")</f>
        <v>1490</v>
      </c>
      <c r="M26" s="216">
        <f t="shared" si="2"/>
        <v>0.8370786516853933</v>
      </c>
      <c r="N26" s="204">
        <f>IFERROR(VLOOKUP($B26,MMWR_TRAD_AGG_RO_COMP[],N$1,0),"ERROR")</f>
        <v>1235</v>
      </c>
      <c r="O26" s="205">
        <f>IFERROR(VLOOKUP($B26,MMWR_TRAD_AGG_RO_COMP[],O$1,0),"ERROR")</f>
        <v>681</v>
      </c>
      <c r="P26" s="216">
        <f t="shared" si="3"/>
        <v>0.55141700404858296</v>
      </c>
      <c r="Q26" s="201">
        <f>IFERROR(VLOOKUP($B26,MMWR_TRAD_AGG_RO_COMP[],Q$1,0),"ERROR")</f>
        <v>0</v>
      </c>
      <c r="R26" s="201">
        <f>IFERROR(VLOOKUP($B26,MMWR_TRAD_AGG_RO_COMP[],R$1,0),"ERROR")</f>
        <v>211</v>
      </c>
      <c r="S26" s="201">
        <f>IFERROR(VLOOKUP($B26,MMWR_APP_RO[],S$1,0),"ERROR")</f>
        <v>8248</v>
      </c>
      <c r="T26" s="25"/>
    </row>
    <row r="27" spans="1:20" x14ac:dyDescent="0.2">
      <c r="A27" s="107"/>
      <c r="B27" s="108" t="s">
        <v>41</v>
      </c>
      <c r="C27" s="209">
        <f>IFERROR(VLOOKUP($B27,MMWR_TRAD_AGG_RO_COMP[],C$1,0),"ERROR")</f>
        <v>5381</v>
      </c>
      <c r="D27" s="198">
        <f>IFERROR(VLOOKUP($B27,MMWR_TRAD_AGG_RO_COMP[],D$1,0),"ERROR")</f>
        <v>407.72179892209999</v>
      </c>
      <c r="E27" s="195">
        <f>IFERROR(VLOOKUP($B27,MMWR_TRAD_AGG_RO_COMP[],E$1,0),"ERROR")</f>
        <v>7686</v>
      </c>
      <c r="F27" s="191">
        <f>IFERROR(VLOOKUP($B27,MMWR_TRAD_AGG_RO_COMP[],F$1,0),"ERROR")</f>
        <v>2123</v>
      </c>
      <c r="G27" s="216">
        <f t="shared" si="0"/>
        <v>0.27621649752797295</v>
      </c>
      <c r="H27" s="190">
        <f>IFERROR(VLOOKUP($B27,MMWR_TRAD_AGG_RO_COMP[],H$1,0),"ERROR")</f>
        <v>7675</v>
      </c>
      <c r="I27" s="191">
        <f>IFERROR(VLOOKUP($B27,MMWR_TRAD_AGG_RO_COMP[],I$1,0),"ERROR")</f>
        <v>4831</v>
      </c>
      <c r="J27" s="216">
        <f t="shared" si="1"/>
        <v>0.62944625407166122</v>
      </c>
      <c r="K27" s="204">
        <f>IFERROR(VLOOKUP($B27,MMWR_TRAD_AGG_RO_COMP[],K$1,0),"ERROR")</f>
        <v>1586</v>
      </c>
      <c r="L27" s="205">
        <f>IFERROR(VLOOKUP($B27,MMWR_TRAD_AGG_RO_COMP[],L$1,0),"ERROR")</f>
        <v>791</v>
      </c>
      <c r="M27" s="216">
        <f t="shared" si="2"/>
        <v>0.49873896595208073</v>
      </c>
      <c r="N27" s="204">
        <f>IFERROR(VLOOKUP($B27,MMWR_TRAD_AGG_RO_COMP[],N$1,0),"ERROR")</f>
        <v>3230</v>
      </c>
      <c r="O27" s="205">
        <f>IFERROR(VLOOKUP($B27,MMWR_TRAD_AGG_RO_COMP[],O$1,0),"ERROR")</f>
        <v>2281</v>
      </c>
      <c r="P27" s="216">
        <f t="shared" si="3"/>
        <v>0.70619195046439631</v>
      </c>
      <c r="Q27" s="201">
        <f>IFERROR(VLOOKUP($B27,MMWR_TRAD_AGG_RO_COMP[],Q$1,0),"ERROR")</f>
        <v>0</v>
      </c>
      <c r="R27" s="201">
        <f>IFERROR(VLOOKUP($B27,MMWR_TRAD_AGG_RO_COMP[],R$1,0),"ERROR")</f>
        <v>320</v>
      </c>
      <c r="S27" s="201">
        <f>IFERROR(VLOOKUP($B27,MMWR_APP_RO[],S$1,0),"ERROR")</f>
        <v>13581</v>
      </c>
      <c r="T27" s="25"/>
    </row>
    <row r="28" spans="1:20" x14ac:dyDescent="0.2">
      <c r="A28" s="107"/>
      <c r="B28" s="108" t="s">
        <v>44</v>
      </c>
      <c r="C28" s="209">
        <f>IFERROR(VLOOKUP($B28,MMWR_TRAD_AGG_RO_COMP[],C$1,0),"ERROR")</f>
        <v>1074</v>
      </c>
      <c r="D28" s="198">
        <f>IFERROR(VLOOKUP($B28,MMWR_TRAD_AGG_RO_COMP[],D$1,0),"ERROR")</f>
        <v>130.53724394790001</v>
      </c>
      <c r="E28" s="195">
        <f>IFERROR(VLOOKUP($B28,MMWR_TRAD_AGG_RO_COMP[],E$1,0),"ERROR")</f>
        <v>2257</v>
      </c>
      <c r="F28" s="191">
        <f>IFERROR(VLOOKUP($B28,MMWR_TRAD_AGG_RO_COMP[],F$1,0),"ERROR")</f>
        <v>392</v>
      </c>
      <c r="G28" s="216">
        <f t="shared" si="0"/>
        <v>0.17368187859991138</v>
      </c>
      <c r="H28" s="190">
        <f>IFERROR(VLOOKUP($B28,MMWR_TRAD_AGG_RO_COMP[],H$1,0),"ERROR")</f>
        <v>1558</v>
      </c>
      <c r="I28" s="191">
        <f>IFERROR(VLOOKUP($B28,MMWR_TRAD_AGG_RO_COMP[],I$1,0),"ERROR")</f>
        <v>603</v>
      </c>
      <c r="J28" s="216">
        <f t="shared" si="1"/>
        <v>0.3870346598202824</v>
      </c>
      <c r="K28" s="204">
        <f>IFERROR(VLOOKUP($B28,MMWR_TRAD_AGG_RO_COMP[],K$1,0),"ERROR")</f>
        <v>313</v>
      </c>
      <c r="L28" s="205">
        <f>IFERROR(VLOOKUP($B28,MMWR_TRAD_AGG_RO_COMP[],L$1,0),"ERROR")</f>
        <v>82</v>
      </c>
      <c r="M28" s="216">
        <f t="shared" si="2"/>
        <v>0.26198083067092653</v>
      </c>
      <c r="N28" s="204">
        <f>IFERROR(VLOOKUP($B28,MMWR_TRAD_AGG_RO_COMP[],N$1,0),"ERROR")</f>
        <v>350</v>
      </c>
      <c r="O28" s="205">
        <f>IFERROR(VLOOKUP($B28,MMWR_TRAD_AGG_RO_COMP[],O$1,0),"ERROR")</f>
        <v>179</v>
      </c>
      <c r="P28" s="216">
        <f t="shared" si="3"/>
        <v>0.51142857142857145</v>
      </c>
      <c r="Q28" s="201">
        <f>IFERROR(VLOOKUP($B28,MMWR_TRAD_AGG_RO_COMP[],Q$1,0),"ERROR")</f>
        <v>0</v>
      </c>
      <c r="R28" s="201">
        <f>IFERROR(VLOOKUP($B28,MMWR_TRAD_AGG_RO_COMP[],R$1,0),"ERROR")</f>
        <v>5</v>
      </c>
      <c r="S28" s="201">
        <f>IFERROR(VLOOKUP($B28,MMWR_APP_RO[],S$1,0),"ERROR")</f>
        <v>1238</v>
      </c>
      <c r="T28" s="25"/>
    </row>
    <row r="29" spans="1:20" x14ac:dyDescent="0.2">
      <c r="A29" s="107"/>
      <c r="B29" s="108" t="s">
        <v>45</v>
      </c>
      <c r="C29" s="209">
        <f>IFERROR(VLOOKUP($B29,MMWR_TRAD_AGG_RO_COMP[],C$1,0),"ERROR")</f>
        <v>3152</v>
      </c>
      <c r="D29" s="198">
        <f>IFERROR(VLOOKUP($B29,MMWR_TRAD_AGG_RO_COMP[],D$1,0),"ERROR")</f>
        <v>289.73572335030002</v>
      </c>
      <c r="E29" s="195">
        <f>IFERROR(VLOOKUP($B29,MMWR_TRAD_AGG_RO_COMP[],E$1,0),"ERROR")</f>
        <v>6562</v>
      </c>
      <c r="F29" s="191">
        <f>IFERROR(VLOOKUP($B29,MMWR_TRAD_AGG_RO_COMP[],F$1,0),"ERROR")</f>
        <v>1732</v>
      </c>
      <c r="G29" s="216">
        <f t="shared" si="0"/>
        <v>0.26394391953672663</v>
      </c>
      <c r="H29" s="190">
        <f>IFERROR(VLOOKUP($B29,MMWR_TRAD_AGG_RO_COMP[],H$1,0),"ERROR")</f>
        <v>7420</v>
      </c>
      <c r="I29" s="191">
        <f>IFERROR(VLOOKUP($B29,MMWR_TRAD_AGG_RO_COMP[],I$1,0),"ERROR")</f>
        <v>3720</v>
      </c>
      <c r="J29" s="216">
        <f t="shared" si="1"/>
        <v>0.50134770889487867</v>
      </c>
      <c r="K29" s="204">
        <f>IFERROR(VLOOKUP($B29,MMWR_TRAD_AGG_RO_COMP[],K$1,0),"ERROR")</f>
        <v>1442</v>
      </c>
      <c r="L29" s="205">
        <f>IFERROR(VLOOKUP($B29,MMWR_TRAD_AGG_RO_COMP[],L$1,0),"ERROR")</f>
        <v>1075</v>
      </c>
      <c r="M29" s="216">
        <f t="shared" si="2"/>
        <v>0.74549237170596394</v>
      </c>
      <c r="N29" s="204">
        <f>IFERROR(VLOOKUP($B29,MMWR_TRAD_AGG_RO_COMP[],N$1,0),"ERROR")</f>
        <v>5152</v>
      </c>
      <c r="O29" s="205">
        <f>IFERROR(VLOOKUP($B29,MMWR_TRAD_AGG_RO_COMP[],O$1,0),"ERROR")</f>
        <v>433</v>
      </c>
      <c r="P29" s="216">
        <f t="shared" si="3"/>
        <v>8.4045031055900624E-2</v>
      </c>
      <c r="Q29" s="201">
        <f>IFERROR(VLOOKUP($B29,MMWR_TRAD_AGG_RO_COMP[],Q$1,0),"ERROR")</f>
        <v>2</v>
      </c>
      <c r="R29" s="201">
        <f>IFERROR(VLOOKUP($B29,MMWR_TRAD_AGG_RO_COMP[],R$1,0),"ERROR")</f>
        <v>201</v>
      </c>
      <c r="S29" s="201">
        <f>IFERROR(VLOOKUP($B29,MMWR_APP_RO[],S$1,0),"ERROR")</f>
        <v>5631</v>
      </c>
      <c r="T29" s="25"/>
    </row>
    <row r="30" spans="1:20" x14ac:dyDescent="0.2">
      <c r="A30" s="107"/>
      <c r="B30" s="108" t="s">
        <v>46</v>
      </c>
      <c r="C30" s="209">
        <f>IFERROR(VLOOKUP($B30,MMWR_TRAD_AGG_RO_COMP[],C$1,0),"ERROR")</f>
        <v>78</v>
      </c>
      <c r="D30" s="198">
        <f>IFERROR(VLOOKUP($B30,MMWR_TRAD_AGG_RO_COMP[],D$1,0),"ERROR")</f>
        <v>99.461538461499998</v>
      </c>
      <c r="E30" s="195">
        <f>IFERROR(VLOOKUP($B30,MMWR_TRAD_AGG_RO_COMP[],E$1,0),"ERROR")</f>
        <v>816</v>
      </c>
      <c r="F30" s="191">
        <f>IFERROR(VLOOKUP($B30,MMWR_TRAD_AGG_RO_COMP[],F$1,0),"ERROR")</f>
        <v>148</v>
      </c>
      <c r="G30" s="216">
        <f t="shared" si="0"/>
        <v>0.18137254901960784</v>
      </c>
      <c r="H30" s="190">
        <f>IFERROR(VLOOKUP($B30,MMWR_TRAD_AGG_RO_COMP[],H$1,0),"ERROR")</f>
        <v>192</v>
      </c>
      <c r="I30" s="191">
        <f>IFERROR(VLOOKUP($B30,MMWR_TRAD_AGG_RO_COMP[],I$1,0),"ERROR")</f>
        <v>20</v>
      </c>
      <c r="J30" s="216">
        <f t="shared" si="1"/>
        <v>0.10416666666666667</v>
      </c>
      <c r="K30" s="204">
        <f>IFERROR(VLOOKUP($B30,MMWR_TRAD_AGG_RO_COMP[],K$1,0),"ERROR")</f>
        <v>100</v>
      </c>
      <c r="L30" s="205">
        <f>IFERROR(VLOOKUP($B30,MMWR_TRAD_AGG_RO_COMP[],L$1,0),"ERROR")</f>
        <v>40</v>
      </c>
      <c r="M30" s="216">
        <f t="shared" si="2"/>
        <v>0.4</v>
      </c>
      <c r="N30" s="204">
        <f>IFERROR(VLOOKUP($B30,MMWR_TRAD_AGG_RO_COMP[],N$1,0),"ERROR")</f>
        <v>82</v>
      </c>
      <c r="O30" s="205">
        <f>IFERROR(VLOOKUP($B30,MMWR_TRAD_AGG_RO_COMP[],O$1,0),"ERROR")</f>
        <v>35</v>
      </c>
      <c r="P30" s="216">
        <f t="shared" si="3"/>
        <v>0.42682926829268292</v>
      </c>
      <c r="Q30" s="201">
        <f>IFERROR(VLOOKUP($B30,MMWR_TRAD_AGG_RO_COMP[],Q$1,0),"ERROR")</f>
        <v>0</v>
      </c>
      <c r="R30" s="201">
        <f>IFERROR(VLOOKUP($B30,MMWR_TRAD_AGG_RO_COMP[],R$1,0),"ERROR")</f>
        <v>2</v>
      </c>
      <c r="S30" s="201">
        <f>IFERROR(VLOOKUP($B30,MMWR_APP_RO[],S$1,0),"ERROR")</f>
        <v>617</v>
      </c>
      <c r="T30" s="25"/>
    </row>
    <row r="31" spans="1:20" x14ac:dyDescent="0.2">
      <c r="A31" s="107"/>
      <c r="B31" s="108" t="s">
        <v>51</v>
      </c>
      <c r="C31" s="209">
        <f>IFERROR(VLOOKUP($B31,MMWR_TRAD_AGG_RO_COMP[],C$1,0),"ERROR")</f>
        <v>7130</v>
      </c>
      <c r="D31" s="198">
        <f>IFERROR(VLOOKUP($B31,MMWR_TRAD_AGG_RO_COMP[],D$1,0),"ERROR")</f>
        <v>584.69354838710001</v>
      </c>
      <c r="E31" s="195">
        <f>IFERROR(VLOOKUP($B31,MMWR_TRAD_AGG_RO_COMP[],E$1,0),"ERROR")</f>
        <v>4664</v>
      </c>
      <c r="F31" s="191">
        <f>IFERROR(VLOOKUP($B31,MMWR_TRAD_AGG_RO_COMP[],F$1,0),"ERROR")</f>
        <v>996</v>
      </c>
      <c r="G31" s="216">
        <f t="shared" si="0"/>
        <v>0.21355060034305318</v>
      </c>
      <c r="H31" s="190">
        <f>IFERROR(VLOOKUP($B31,MMWR_TRAD_AGG_RO_COMP[],H$1,0),"ERROR")</f>
        <v>11229</v>
      </c>
      <c r="I31" s="191">
        <f>IFERROR(VLOOKUP($B31,MMWR_TRAD_AGG_RO_COMP[],I$1,0),"ERROR")</f>
        <v>8577</v>
      </c>
      <c r="J31" s="216">
        <f t="shared" si="1"/>
        <v>0.76382580817526047</v>
      </c>
      <c r="K31" s="204">
        <f>IFERROR(VLOOKUP($B31,MMWR_TRAD_AGG_RO_COMP[],K$1,0),"ERROR")</f>
        <v>1903</v>
      </c>
      <c r="L31" s="205">
        <f>IFERROR(VLOOKUP($B31,MMWR_TRAD_AGG_RO_COMP[],L$1,0),"ERROR")</f>
        <v>1330</v>
      </c>
      <c r="M31" s="216">
        <f t="shared" si="2"/>
        <v>0.69889647924330001</v>
      </c>
      <c r="N31" s="204">
        <f>IFERROR(VLOOKUP($B31,MMWR_TRAD_AGG_RO_COMP[],N$1,0),"ERROR")</f>
        <v>1831</v>
      </c>
      <c r="O31" s="205">
        <f>IFERROR(VLOOKUP($B31,MMWR_TRAD_AGG_RO_COMP[],O$1,0),"ERROR")</f>
        <v>1407</v>
      </c>
      <c r="P31" s="216">
        <f t="shared" si="3"/>
        <v>0.76843255051884218</v>
      </c>
      <c r="Q31" s="201">
        <f>IFERROR(VLOOKUP($B31,MMWR_TRAD_AGG_RO_COMP[],Q$1,0),"ERROR")</f>
        <v>1</v>
      </c>
      <c r="R31" s="201">
        <f>IFERROR(VLOOKUP($B31,MMWR_TRAD_AGG_RO_COMP[],R$1,0),"ERROR")</f>
        <v>200</v>
      </c>
      <c r="S31" s="201">
        <f>IFERROR(VLOOKUP($B31,MMWR_APP_RO[],S$1,0),"ERROR")</f>
        <v>8287</v>
      </c>
      <c r="T31" s="25"/>
    </row>
    <row r="32" spans="1:20" x14ac:dyDescent="0.2">
      <c r="A32" s="107"/>
      <c r="B32" s="108" t="s">
        <v>53</v>
      </c>
      <c r="C32" s="209">
        <f>IFERROR(VLOOKUP($B32,MMWR_TRAD_AGG_RO_COMP[],C$1,0),"ERROR")</f>
        <v>2050</v>
      </c>
      <c r="D32" s="198">
        <f>IFERROR(VLOOKUP($B32,MMWR_TRAD_AGG_RO_COMP[],D$1,0),"ERROR")</f>
        <v>145.62146341459999</v>
      </c>
      <c r="E32" s="195">
        <f>IFERROR(VLOOKUP($B32,MMWR_TRAD_AGG_RO_COMP[],E$1,0),"ERROR")</f>
        <v>2214</v>
      </c>
      <c r="F32" s="191">
        <f>IFERROR(VLOOKUP($B32,MMWR_TRAD_AGG_RO_COMP[],F$1,0),"ERROR")</f>
        <v>232</v>
      </c>
      <c r="G32" s="216">
        <f t="shared" si="0"/>
        <v>0.10478771454381211</v>
      </c>
      <c r="H32" s="190">
        <f>IFERROR(VLOOKUP($B32,MMWR_TRAD_AGG_RO_COMP[],H$1,0),"ERROR")</f>
        <v>3172</v>
      </c>
      <c r="I32" s="191">
        <f>IFERROR(VLOOKUP($B32,MMWR_TRAD_AGG_RO_COMP[],I$1,0),"ERROR")</f>
        <v>1286</v>
      </c>
      <c r="J32" s="216">
        <f t="shared" si="1"/>
        <v>0.40542244640605296</v>
      </c>
      <c r="K32" s="204">
        <f>IFERROR(VLOOKUP($B32,MMWR_TRAD_AGG_RO_COMP[],K$1,0),"ERROR")</f>
        <v>808</v>
      </c>
      <c r="L32" s="205">
        <f>IFERROR(VLOOKUP($B32,MMWR_TRAD_AGG_RO_COMP[],L$1,0),"ERROR")</f>
        <v>584</v>
      </c>
      <c r="M32" s="216">
        <f t="shared" si="2"/>
        <v>0.72277227722772275</v>
      </c>
      <c r="N32" s="204">
        <f>IFERROR(VLOOKUP($B32,MMWR_TRAD_AGG_RO_COMP[],N$1,0),"ERROR")</f>
        <v>632</v>
      </c>
      <c r="O32" s="205">
        <f>IFERROR(VLOOKUP($B32,MMWR_TRAD_AGG_RO_COMP[],O$1,0),"ERROR")</f>
        <v>286</v>
      </c>
      <c r="P32" s="216">
        <f t="shared" si="3"/>
        <v>0.45253164556962028</v>
      </c>
      <c r="Q32" s="201">
        <f>IFERROR(VLOOKUP($B32,MMWR_TRAD_AGG_RO_COMP[],Q$1,0),"ERROR")</f>
        <v>2</v>
      </c>
      <c r="R32" s="201">
        <f>IFERROR(VLOOKUP($B32,MMWR_TRAD_AGG_RO_COMP[],R$1,0),"ERROR")</f>
        <v>16</v>
      </c>
      <c r="S32" s="201">
        <f>IFERROR(VLOOKUP($B32,MMWR_APP_RO[],S$1,0),"ERROR")</f>
        <v>1111</v>
      </c>
      <c r="T32" s="25"/>
    </row>
    <row r="33" spans="1:20" x14ac:dyDescent="0.2">
      <c r="A33" s="107"/>
      <c r="B33" s="108" t="s">
        <v>59</v>
      </c>
      <c r="C33" s="209">
        <f>IFERROR(VLOOKUP($B33,MMWR_TRAD_AGG_RO_COMP[],C$1,0),"ERROR")</f>
        <v>4509</v>
      </c>
      <c r="D33" s="198">
        <f>IFERROR(VLOOKUP($B33,MMWR_TRAD_AGG_RO_COMP[],D$1,0),"ERROR")</f>
        <v>197.63251275229999</v>
      </c>
      <c r="E33" s="195">
        <f>IFERROR(VLOOKUP($B33,MMWR_TRAD_AGG_RO_COMP[],E$1,0),"ERROR")</f>
        <v>6183</v>
      </c>
      <c r="F33" s="191">
        <f>IFERROR(VLOOKUP($B33,MMWR_TRAD_AGG_RO_COMP[],F$1,0),"ERROR")</f>
        <v>1198</v>
      </c>
      <c r="G33" s="216">
        <f t="shared" si="0"/>
        <v>0.19375707585314572</v>
      </c>
      <c r="H33" s="190">
        <f>IFERROR(VLOOKUP($B33,MMWR_TRAD_AGG_RO_COMP[],H$1,0),"ERROR")</f>
        <v>5724</v>
      </c>
      <c r="I33" s="191">
        <f>IFERROR(VLOOKUP($B33,MMWR_TRAD_AGG_RO_COMP[],I$1,0),"ERROR")</f>
        <v>2783</v>
      </c>
      <c r="J33" s="216">
        <f t="shared" si="1"/>
        <v>0.48619846261355698</v>
      </c>
      <c r="K33" s="204">
        <f>IFERROR(VLOOKUP($B33,MMWR_TRAD_AGG_RO_COMP[],K$1,0),"ERROR")</f>
        <v>595</v>
      </c>
      <c r="L33" s="205">
        <f>IFERROR(VLOOKUP($B33,MMWR_TRAD_AGG_RO_COMP[],L$1,0),"ERROR")</f>
        <v>397</v>
      </c>
      <c r="M33" s="216">
        <f t="shared" si="2"/>
        <v>0.66722689075630248</v>
      </c>
      <c r="N33" s="204">
        <f>IFERROR(VLOOKUP($B33,MMWR_TRAD_AGG_RO_COMP[],N$1,0),"ERROR")</f>
        <v>584</v>
      </c>
      <c r="O33" s="205">
        <f>IFERROR(VLOOKUP($B33,MMWR_TRAD_AGG_RO_COMP[],O$1,0),"ERROR")</f>
        <v>290</v>
      </c>
      <c r="P33" s="216">
        <f t="shared" si="3"/>
        <v>0.49657534246575341</v>
      </c>
      <c r="Q33" s="201">
        <f>IFERROR(VLOOKUP($B33,MMWR_TRAD_AGG_RO_COMP[],Q$1,0),"ERROR")</f>
        <v>6001</v>
      </c>
      <c r="R33" s="201">
        <f>IFERROR(VLOOKUP($B33,MMWR_TRAD_AGG_RO_COMP[],R$1,0),"ERROR")</f>
        <v>0</v>
      </c>
      <c r="S33" s="201">
        <f>IFERROR(VLOOKUP($B33,MMWR_APP_RO[],S$1,0),"ERROR")</f>
        <v>3309</v>
      </c>
      <c r="T33" s="25"/>
    </row>
    <row r="34" spans="1:20" x14ac:dyDescent="0.2">
      <c r="A34" s="107"/>
      <c r="B34" s="108" t="s">
        <v>77</v>
      </c>
      <c r="C34" s="209">
        <f>IFERROR(VLOOKUP($B34,MMWR_TRAD_AGG_RO_COMP[],C$1,0),"ERROR")</f>
        <v>241</v>
      </c>
      <c r="D34" s="198">
        <f>IFERROR(VLOOKUP($B34,MMWR_TRAD_AGG_RO_COMP[],D$1,0),"ERROR")</f>
        <v>116.7510373444</v>
      </c>
      <c r="E34" s="195">
        <f>IFERROR(VLOOKUP($B34,MMWR_TRAD_AGG_RO_COMP[],E$1,0),"ERROR")</f>
        <v>808</v>
      </c>
      <c r="F34" s="191">
        <f>IFERROR(VLOOKUP($B34,MMWR_TRAD_AGG_RO_COMP[],F$1,0),"ERROR")</f>
        <v>143</v>
      </c>
      <c r="G34" s="216">
        <f t="shared" si="0"/>
        <v>0.17698019801980197</v>
      </c>
      <c r="H34" s="190">
        <f>IFERROR(VLOOKUP($B34,MMWR_TRAD_AGG_RO_COMP[],H$1,0),"ERROR")</f>
        <v>441</v>
      </c>
      <c r="I34" s="191">
        <f>IFERROR(VLOOKUP($B34,MMWR_TRAD_AGG_RO_COMP[],I$1,0),"ERROR")</f>
        <v>117</v>
      </c>
      <c r="J34" s="216">
        <f t="shared" si="1"/>
        <v>0.26530612244897961</v>
      </c>
      <c r="K34" s="204">
        <f>IFERROR(VLOOKUP($B34,MMWR_TRAD_AGG_RO_COMP[],K$1,0),"ERROR")</f>
        <v>334</v>
      </c>
      <c r="L34" s="205">
        <f>IFERROR(VLOOKUP($B34,MMWR_TRAD_AGG_RO_COMP[],L$1,0),"ERROR")</f>
        <v>142</v>
      </c>
      <c r="M34" s="216">
        <f t="shared" si="2"/>
        <v>0.42514970059880242</v>
      </c>
      <c r="N34" s="204">
        <f>IFERROR(VLOOKUP($B34,MMWR_TRAD_AGG_RO_COMP[],N$1,0),"ERROR")</f>
        <v>47</v>
      </c>
      <c r="O34" s="205">
        <f>IFERROR(VLOOKUP($B34,MMWR_TRAD_AGG_RO_COMP[],O$1,0),"ERROR")</f>
        <v>15</v>
      </c>
      <c r="P34" s="216">
        <f t="shared" si="3"/>
        <v>0.31914893617021278</v>
      </c>
      <c r="Q34" s="201">
        <f>IFERROR(VLOOKUP($B34,MMWR_TRAD_AGG_RO_COMP[],Q$1,0),"ERROR")</f>
        <v>0</v>
      </c>
      <c r="R34" s="201">
        <f>IFERROR(VLOOKUP($B34,MMWR_TRAD_AGG_RO_COMP[],R$1,0),"ERROR")</f>
        <v>0</v>
      </c>
      <c r="S34" s="201">
        <f>IFERROR(VLOOKUP($B34,MMWR_APP_RO[],S$1,0),"ERROR")</f>
        <v>231</v>
      </c>
      <c r="T34" s="25"/>
    </row>
    <row r="35" spans="1:20" x14ac:dyDescent="0.2">
      <c r="A35" s="107"/>
      <c r="B35" s="108" t="s">
        <v>78</v>
      </c>
      <c r="C35" s="209">
        <f>IFERROR(VLOOKUP($B35,MMWR_TRAD_AGG_RO_COMP[],C$1,0),"ERROR")</f>
        <v>4574</v>
      </c>
      <c r="D35" s="198">
        <f>IFERROR(VLOOKUP($B35,MMWR_TRAD_AGG_RO_COMP[],D$1,0),"ERROR")</f>
        <v>255.93900306079999</v>
      </c>
      <c r="E35" s="195">
        <f>IFERROR(VLOOKUP($B35,MMWR_TRAD_AGG_RO_COMP[],E$1,0),"ERROR")</f>
        <v>5867</v>
      </c>
      <c r="F35" s="191">
        <f>IFERROR(VLOOKUP($B35,MMWR_TRAD_AGG_RO_COMP[],F$1,0),"ERROR")</f>
        <v>1117</v>
      </c>
      <c r="G35" s="216">
        <f t="shared" si="0"/>
        <v>0.19038690983466849</v>
      </c>
      <c r="H35" s="190">
        <f>IFERROR(VLOOKUP($B35,MMWR_TRAD_AGG_RO_COMP[],H$1,0),"ERROR")</f>
        <v>6191</v>
      </c>
      <c r="I35" s="191">
        <f>IFERROR(VLOOKUP($B35,MMWR_TRAD_AGG_RO_COMP[],I$1,0),"ERROR")</f>
        <v>3842</v>
      </c>
      <c r="J35" s="216">
        <f t="shared" si="1"/>
        <v>0.6205782587627201</v>
      </c>
      <c r="K35" s="204">
        <f>IFERROR(VLOOKUP($B35,MMWR_TRAD_AGG_RO_COMP[],K$1,0),"ERROR")</f>
        <v>2363</v>
      </c>
      <c r="L35" s="205">
        <f>IFERROR(VLOOKUP($B35,MMWR_TRAD_AGG_RO_COMP[],L$1,0),"ERROR")</f>
        <v>1862</v>
      </c>
      <c r="M35" s="216">
        <f t="shared" si="2"/>
        <v>0.7879813796022006</v>
      </c>
      <c r="N35" s="204">
        <f>IFERROR(VLOOKUP($B35,MMWR_TRAD_AGG_RO_COMP[],N$1,0),"ERROR")</f>
        <v>5567</v>
      </c>
      <c r="O35" s="205">
        <f>IFERROR(VLOOKUP($B35,MMWR_TRAD_AGG_RO_COMP[],O$1,0),"ERROR")</f>
        <v>4785</v>
      </c>
      <c r="P35" s="216">
        <f t="shared" si="3"/>
        <v>0.85952936949883241</v>
      </c>
      <c r="Q35" s="201">
        <f>IFERROR(VLOOKUP($B35,MMWR_TRAD_AGG_RO_COMP[],Q$1,0),"ERROR")</f>
        <v>0</v>
      </c>
      <c r="R35" s="201">
        <f>IFERROR(VLOOKUP($B35,MMWR_TRAD_AGG_RO_COMP[],R$1,0),"ERROR")</f>
        <v>64</v>
      </c>
      <c r="S35" s="201">
        <f>IFERROR(VLOOKUP($B35,MMWR_APP_RO[],S$1,0),"ERROR")</f>
        <v>6438</v>
      </c>
      <c r="T35" s="25"/>
    </row>
    <row r="36" spans="1:20" x14ac:dyDescent="0.2">
      <c r="A36" s="28"/>
      <c r="B36" s="108" t="s">
        <v>79</v>
      </c>
      <c r="C36" s="219">
        <f>IFERROR(VLOOKUP($B36,MMWR_TRAD_AGG_RO_COMP[],C$1,0),"ERROR")</f>
        <v>2665</v>
      </c>
      <c r="D36" s="220">
        <f>IFERROR(VLOOKUP($B36,MMWR_TRAD_AGG_RO_COMP[],D$1,0),"ERROR")</f>
        <v>146.21651031889999</v>
      </c>
      <c r="E36" s="221">
        <f>IFERROR(VLOOKUP($B36,MMWR_TRAD_AGG_RO_COMP[],E$1,0),"ERROR")</f>
        <v>9047</v>
      </c>
      <c r="F36" s="222">
        <f>IFERROR(VLOOKUP($B36,MMWR_TRAD_AGG_RO_COMP[],F$1,0),"ERROR")</f>
        <v>1622</v>
      </c>
      <c r="G36" s="223">
        <f t="shared" si="0"/>
        <v>0.17928595114402565</v>
      </c>
      <c r="H36" s="224">
        <f>IFERROR(VLOOKUP($B36,MMWR_TRAD_AGG_RO_COMP[],H$1,0),"ERROR")</f>
        <v>10969</v>
      </c>
      <c r="I36" s="222">
        <f>IFERROR(VLOOKUP($B36,MMWR_TRAD_AGG_RO_COMP[],I$1,0),"ERROR")</f>
        <v>3259</v>
      </c>
      <c r="J36" s="223">
        <f t="shared" si="1"/>
        <v>0.29711003737806546</v>
      </c>
      <c r="K36" s="225">
        <f>IFERROR(VLOOKUP($B36,MMWR_TRAD_AGG_RO_COMP[],K$1,0),"ERROR")</f>
        <v>1135</v>
      </c>
      <c r="L36" s="226">
        <f>IFERROR(VLOOKUP($B36,MMWR_TRAD_AGG_RO_COMP[],L$1,0),"ERROR")</f>
        <v>251</v>
      </c>
      <c r="M36" s="223">
        <f t="shared" si="2"/>
        <v>0.22114537444933921</v>
      </c>
      <c r="N36" s="225">
        <f>IFERROR(VLOOKUP($B36,MMWR_TRAD_AGG_RO_COMP[],N$1,0),"ERROR")</f>
        <v>1163</v>
      </c>
      <c r="O36" s="226">
        <f>IFERROR(VLOOKUP($B36,MMWR_TRAD_AGG_RO_COMP[],O$1,0),"ERROR")</f>
        <v>620</v>
      </c>
      <c r="P36" s="223">
        <f t="shared" si="3"/>
        <v>0.53310404127257094</v>
      </c>
      <c r="Q36" s="227">
        <f>IFERROR(VLOOKUP($B36,MMWR_TRAD_AGG_RO_COMP[],Q$1,0),"ERROR")</f>
        <v>25</v>
      </c>
      <c r="R36" s="227">
        <f>IFERROR(VLOOKUP($B36,MMWR_TRAD_AGG_RO_COMP[],R$1,0),"ERROR")</f>
        <v>0</v>
      </c>
      <c r="S36" s="201">
        <f>IFERROR(VLOOKUP($B36,MMWR_APP_RO[],S$1,0),"ERROR")</f>
        <v>1751</v>
      </c>
      <c r="T36" s="28"/>
    </row>
    <row r="37" spans="1:20" x14ac:dyDescent="0.2">
      <c r="A37" s="28"/>
      <c r="B37" s="116" t="s">
        <v>84</v>
      </c>
      <c r="C37" s="228">
        <f>IFERROR(VLOOKUP($B37,MMWR_TRAD_AGG_RO_COMP[],C$1,0),"ERROR")</f>
        <v>1720</v>
      </c>
      <c r="D37" s="229">
        <f>IFERROR(VLOOKUP($B37,MMWR_TRAD_AGG_RO_COMP[],D$1,0),"ERROR")</f>
        <v>183.18023255809999</v>
      </c>
      <c r="E37" s="230">
        <f>IFERROR(VLOOKUP($B37,MMWR_TRAD_AGG_RO_COMP[],E$1,0),"ERROR")</f>
        <v>2593</v>
      </c>
      <c r="F37" s="231">
        <f>IFERROR(VLOOKUP($B37,MMWR_TRAD_AGG_RO_COMP[],F$1,0),"ERROR")</f>
        <v>436</v>
      </c>
      <c r="G37" s="232">
        <f t="shared" si="0"/>
        <v>0.16814500578480523</v>
      </c>
      <c r="H37" s="233">
        <f>IFERROR(VLOOKUP($B37,MMWR_TRAD_AGG_RO_COMP[],H$1,0),"ERROR")</f>
        <v>2408</v>
      </c>
      <c r="I37" s="231">
        <f>IFERROR(VLOOKUP($B37,MMWR_TRAD_AGG_RO_COMP[],I$1,0),"ERROR")</f>
        <v>1210</v>
      </c>
      <c r="J37" s="232">
        <f t="shared" si="1"/>
        <v>0.50249169435215946</v>
      </c>
      <c r="K37" s="234">
        <f>IFERROR(VLOOKUP($B37,MMWR_TRAD_AGG_RO_COMP[],K$1,0),"ERROR")</f>
        <v>1105</v>
      </c>
      <c r="L37" s="235">
        <f>IFERROR(VLOOKUP($B37,MMWR_TRAD_AGG_RO_COMP[],L$1,0),"ERROR")</f>
        <v>441</v>
      </c>
      <c r="M37" s="232">
        <f t="shared" si="2"/>
        <v>0.39909502262443441</v>
      </c>
      <c r="N37" s="234">
        <f>IFERROR(VLOOKUP($B37,MMWR_TRAD_AGG_RO_COMP[],N$1,0),"ERROR")</f>
        <v>245</v>
      </c>
      <c r="O37" s="235">
        <f>IFERROR(VLOOKUP($B37,MMWR_TRAD_AGG_RO_COMP[],O$1,0),"ERROR")</f>
        <v>100</v>
      </c>
      <c r="P37" s="232">
        <f t="shared" si="3"/>
        <v>0.40816326530612246</v>
      </c>
      <c r="Q37" s="236">
        <f>IFERROR(VLOOKUP($B37,MMWR_TRAD_AGG_RO_COMP[],Q$1,0),"ERROR")</f>
        <v>0</v>
      </c>
      <c r="R37" s="236">
        <f>IFERROR(VLOOKUP($B37,MMWR_TRAD_AGG_RO_COMP[],R$1,0),"ERROR")</f>
        <v>9</v>
      </c>
      <c r="S37" s="201">
        <f>IFERROR(VLOOKUP($B37,MMWR_APP_RO[],S$1,0),"ERROR")</f>
        <v>1221</v>
      </c>
      <c r="T37" s="28"/>
    </row>
    <row r="38" spans="1:20" x14ac:dyDescent="0.2">
      <c r="A38" s="28"/>
      <c r="B38" s="101" t="s">
        <v>389</v>
      </c>
      <c r="C38" s="212">
        <f>IFERROR(VLOOKUP($B38,MMWR_TRAD_AGG_DISTRICT_COMP[],C$1,0),"ERROR")</f>
        <v>53166</v>
      </c>
      <c r="D38" s="197">
        <f>IFERROR(VLOOKUP($B38,MMWR_TRAD_AGG_DISTRICT_COMP[],D$1,0),"ERROR")</f>
        <v>361.11437760979999</v>
      </c>
      <c r="E38" s="213">
        <f>IFERROR(VLOOKUP($B38,MMWR_TRAD_AGG_DISTRICT_COMP[],E$1,0),"ERROR")</f>
        <v>63473</v>
      </c>
      <c r="F38" s="218">
        <f>IFERROR(VLOOKUP($B38,MMWR_TRAD_AGG_DISTRICT_COMP[],F$1,0),"ERROR")</f>
        <v>14213</v>
      </c>
      <c r="G38" s="214">
        <f t="shared" si="0"/>
        <v>0.22392198257526821</v>
      </c>
      <c r="H38" s="218">
        <f>IFERROR(VLOOKUP($B38,MMWR_TRAD_AGG_DISTRICT_COMP[],H$1,0),"ERROR")</f>
        <v>82759</v>
      </c>
      <c r="I38" s="218">
        <f>IFERROR(VLOOKUP($B38,MMWR_TRAD_AGG_DISTRICT_COMP[],I$1,0),"ERROR")</f>
        <v>50985</v>
      </c>
      <c r="J38" s="214">
        <f t="shared" si="1"/>
        <v>0.61606592636450419</v>
      </c>
      <c r="K38" s="212">
        <f>IFERROR(VLOOKUP($B38,MMWR_TRAD_AGG_DISTRICT_COMP[],K$1,0),"ERROR")</f>
        <v>20409</v>
      </c>
      <c r="L38" s="212">
        <f>IFERROR(VLOOKUP($B38,MMWR_TRAD_AGG_DISTRICT_COMP[],L$1,0),"ERROR")</f>
        <v>13374</v>
      </c>
      <c r="M38" s="214">
        <f t="shared" si="2"/>
        <v>0.65529913273555784</v>
      </c>
      <c r="N38" s="212">
        <f>IFERROR(VLOOKUP($B38,MMWR_TRAD_AGG_DISTRICT_COMP[],N$1,0),"ERROR")</f>
        <v>16786</v>
      </c>
      <c r="O38" s="212">
        <f>IFERROR(VLOOKUP($B38,MMWR_TRAD_AGG_DISTRICT_COMP[],O$1,0),"ERROR")</f>
        <v>8871</v>
      </c>
      <c r="P38" s="214">
        <f t="shared" si="3"/>
        <v>0.52847611104491843</v>
      </c>
      <c r="Q38" s="212">
        <f>IFERROR(VLOOKUP($B38,MMWR_TRAD_AGG_DISTRICT_COMP[],Q$1,0),"ERROR")</f>
        <v>49</v>
      </c>
      <c r="R38" s="215">
        <f>IFERROR(VLOOKUP($B38,MMWR_TRAD_AGG_DISTRICT_COMP[],R$1,0),"ERROR")</f>
        <v>1119</v>
      </c>
      <c r="S38" s="215">
        <f>IFERROR(VLOOKUP($B38,MMWR_APP_RO[],S$1,0),"ERROR")</f>
        <v>67771</v>
      </c>
      <c r="T38" s="28"/>
    </row>
    <row r="39" spans="1:20" x14ac:dyDescent="0.2">
      <c r="A39" s="28"/>
      <c r="B39" s="108" t="s">
        <v>39</v>
      </c>
      <c r="C39" s="219">
        <f>IFERROR(VLOOKUP($B39,MMWR_TRAD_AGG_RO_COMP[],C$1,0),"ERROR")</f>
        <v>323</v>
      </c>
      <c r="D39" s="220">
        <f>IFERROR(VLOOKUP($B39,MMWR_TRAD_AGG_RO_COMP[],D$1,0),"ERROR")</f>
        <v>272.26315789469999</v>
      </c>
      <c r="E39" s="221">
        <f>IFERROR(VLOOKUP($B39,MMWR_TRAD_AGG_RO_COMP[],E$1,0),"ERROR")</f>
        <v>823</v>
      </c>
      <c r="F39" s="222">
        <f>IFERROR(VLOOKUP($B39,MMWR_TRAD_AGG_RO_COMP[],F$1,0),"ERROR")</f>
        <v>103</v>
      </c>
      <c r="G39" s="223">
        <f t="shared" si="0"/>
        <v>0.12515188335358446</v>
      </c>
      <c r="H39" s="224">
        <f>IFERROR(VLOOKUP($B39,MMWR_TRAD_AGG_RO_COMP[],H$1,0),"ERROR")</f>
        <v>533</v>
      </c>
      <c r="I39" s="222">
        <f>IFERROR(VLOOKUP($B39,MMWR_TRAD_AGG_RO_COMP[],I$1,0),"ERROR")</f>
        <v>285</v>
      </c>
      <c r="J39" s="223">
        <f t="shared" si="1"/>
        <v>0.53470919324577859</v>
      </c>
      <c r="K39" s="225">
        <f>IFERROR(VLOOKUP($B39,MMWR_TRAD_AGG_RO_COMP[],K$1,0),"ERROR")</f>
        <v>145</v>
      </c>
      <c r="L39" s="226">
        <f>IFERROR(VLOOKUP($B39,MMWR_TRAD_AGG_RO_COMP[],L$1,0),"ERROR")</f>
        <v>56</v>
      </c>
      <c r="M39" s="223">
        <f t="shared" si="2"/>
        <v>0.38620689655172413</v>
      </c>
      <c r="N39" s="225">
        <f>IFERROR(VLOOKUP($B39,MMWR_TRAD_AGG_RO_COMP[],N$1,0),"ERROR")</f>
        <v>84</v>
      </c>
      <c r="O39" s="226">
        <f>IFERROR(VLOOKUP($B39,MMWR_TRAD_AGG_RO_COMP[],O$1,0),"ERROR")</f>
        <v>32</v>
      </c>
      <c r="P39" s="223">
        <f t="shared" si="3"/>
        <v>0.38095238095238093</v>
      </c>
      <c r="Q39" s="227">
        <f>IFERROR(VLOOKUP($B39,MMWR_TRAD_AGG_RO_COMP[],Q$1,0),"ERROR")</f>
        <v>2</v>
      </c>
      <c r="R39" s="227">
        <f>IFERROR(VLOOKUP($B39,MMWR_TRAD_AGG_RO_COMP[],R$1,0),"ERROR")</f>
        <v>2</v>
      </c>
      <c r="S39" s="201">
        <f>IFERROR(VLOOKUP($B39,MMWR_APP_RO[],S$1,0),"ERROR")</f>
        <v>272</v>
      </c>
      <c r="T39" s="28"/>
    </row>
    <row r="40" spans="1:20" x14ac:dyDescent="0.2">
      <c r="A40" s="28"/>
      <c r="B40" s="108" t="s">
        <v>43</v>
      </c>
      <c r="C40" s="219">
        <f>IFERROR(VLOOKUP($B40,MMWR_TRAD_AGG_RO_COMP[],C$1,0),"ERROR")</f>
        <v>6595</v>
      </c>
      <c r="D40" s="220">
        <f>IFERROR(VLOOKUP($B40,MMWR_TRAD_AGG_RO_COMP[],D$1,0),"ERROR")</f>
        <v>501.37846853680003</v>
      </c>
      <c r="E40" s="221">
        <f>IFERROR(VLOOKUP($B40,MMWR_TRAD_AGG_RO_COMP[],E$1,0),"ERROR")</f>
        <v>8443</v>
      </c>
      <c r="F40" s="222">
        <f>IFERROR(VLOOKUP($B40,MMWR_TRAD_AGG_RO_COMP[],F$1,0),"ERROR")</f>
        <v>2399</v>
      </c>
      <c r="G40" s="223">
        <f t="shared" si="0"/>
        <v>0.28414070827904775</v>
      </c>
      <c r="H40" s="224">
        <f>IFERROR(VLOOKUP($B40,MMWR_TRAD_AGG_RO_COMP[],H$1,0),"ERROR")</f>
        <v>8960</v>
      </c>
      <c r="I40" s="222">
        <f>IFERROR(VLOOKUP($B40,MMWR_TRAD_AGG_RO_COMP[],I$1,0),"ERROR")</f>
        <v>6444</v>
      </c>
      <c r="J40" s="223">
        <f t="shared" si="1"/>
        <v>0.71919642857142863</v>
      </c>
      <c r="K40" s="225">
        <f>IFERROR(VLOOKUP($B40,MMWR_TRAD_AGG_RO_COMP[],K$1,0),"ERROR")</f>
        <v>3155</v>
      </c>
      <c r="L40" s="226">
        <f>IFERROR(VLOOKUP($B40,MMWR_TRAD_AGG_RO_COMP[],L$1,0),"ERROR")</f>
        <v>2224</v>
      </c>
      <c r="M40" s="223">
        <f t="shared" si="2"/>
        <v>0.70491283676703642</v>
      </c>
      <c r="N40" s="225">
        <f>IFERROR(VLOOKUP($B40,MMWR_TRAD_AGG_RO_COMP[],N$1,0),"ERROR")</f>
        <v>816</v>
      </c>
      <c r="O40" s="226">
        <f>IFERROR(VLOOKUP($B40,MMWR_TRAD_AGG_RO_COMP[],O$1,0),"ERROR")</f>
        <v>398</v>
      </c>
      <c r="P40" s="223">
        <f t="shared" si="3"/>
        <v>0.48774509803921567</v>
      </c>
      <c r="Q40" s="227">
        <f>IFERROR(VLOOKUP($B40,MMWR_TRAD_AGG_RO_COMP[],Q$1,0),"ERROR")</f>
        <v>0</v>
      </c>
      <c r="R40" s="227">
        <f>IFERROR(VLOOKUP($B40,MMWR_TRAD_AGG_RO_COMP[],R$1,0),"ERROR")</f>
        <v>56</v>
      </c>
      <c r="S40" s="201">
        <f>IFERROR(VLOOKUP($B40,MMWR_APP_RO[],S$1,0),"ERROR")</f>
        <v>6339</v>
      </c>
      <c r="T40" s="28"/>
    </row>
    <row r="41" spans="1:20" x14ac:dyDescent="0.2">
      <c r="A41" s="28"/>
      <c r="B41" s="108" t="s">
        <v>184</v>
      </c>
      <c r="C41" s="219">
        <f>IFERROR(VLOOKUP($B41,MMWR_TRAD_AGG_RO_COMP[],C$1,0),"ERROR")</f>
        <v>501</v>
      </c>
      <c r="D41" s="220">
        <f>IFERROR(VLOOKUP($B41,MMWR_TRAD_AGG_RO_COMP[],D$1,0),"ERROR")</f>
        <v>153.51497005990001</v>
      </c>
      <c r="E41" s="221">
        <f>IFERROR(VLOOKUP($B41,MMWR_TRAD_AGG_RO_COMP[],E$1,0),"ERROR")</f>
        <v>638</v>
      </c>
      <c r="F41" s="222">
        <f>IFERROR(VLOOKUP($B41,MMWR_TRAD_AGG_RO_COMP[],F$1,0),"ERROR")</f>
        <v>52</v>
      </c>
      <c r="G41" s="223">
        <f t="shared" si="0"/>
        <v>8.1504702194357362E-2</v>
      </c>
      <c r="H41" s="224">
        <f>IFERROR(VLOOKUP($B41,MMWR_TRAD_AGG_RO_COMP[],H$1,0),"ERROR")</f>
        <v>689</v>
      </c>
      <c r="I41" s="222">
        <f>IFERROR(VLOOKUP($B41,MMWR_TRAD_AGG_RO_COMP[],I$1,0),"ERROR")</f>
        <v>240</v>
      </c>
      <c r="J41" s="223">
        <f t="shared" si="1"/>
        <v>0.34833091436865021</v>
      </c>
      <c r="K41" s="225">
        <f>IFERROR(VLOOKUP($B41,MMWR_TRAD_AGG_RO_COMP[],K$1,0),"ERROR")</f>
        <v>440</v>
      </c>
      <c r="L41" s="226">
        <f>IFERROR(VLOOKUP($B41,MMWR_TRAD_AGG_RO_COMP[],L$1,0),"ERROR")</f>
        <v>145</v>
      </c>
      <c r="M41" s="223">
        <f t="shared" si="2"/>
        <v>0.32954545454545453</v>
      </c>
      <c r="N41" s="225">
        <f>IFERROR(VLOOKUP($B41,MMWR_TRAD_AGG_RO_COMP[],N$1,0),"ERROR")</f>
        <v>171</v>
      </c>
      <c r="O41" s="226">
        <f>IFERROR(VLOOKUP($B41,MMWR_TRAD_AGG_RO_COMP[],O$1,0),"ERROR")</f>
        <v>65</v>
      </c>
      <c r="P41" s="223">
        <f t="shared" si="3"/>
        <v>0.38011695906432746</v>
      </c>
      <c r="Q41" s="227">
        <f>IFERROR(VLOOKUP($B41,MMWR_TRAD_AGG_RO_COMP[],Q$1,0),"ERROR")</f>
        <v>0</v>
      </c>
      <c r="R41" s="227">
        <f>IFERROR(VLOOKUP($B41,MMWR_TRAD_AGG_RO_COMP[],R$1,0),"ERROR")</f>
        <v>7</v>
      </c>
      <c r="S41" s="201">
        <f>IFERROR(VLOOKUP($B41,MMWR_APP_RO[],S$1,0),"ERROR")</f>
        <v>351</v>
      </c>
      <c r="T41" s="28"/>
    </row>
    <row r="42" spans="1:20" x14ac:dyDescent="0.2">
      <c r="A42" s="28"/>
      <c r="B42" s="108" t="s">
        <v>49</v>
      </c>
      <c r="C42" s="219">
        <f>IFERROR(VLOOKUP($B42,MMWR_TRAD_AGG_RO_COMP[],C$1,0),"ERROR")</f>
        <v>12974</v>
      </c>
      <c r="D42" s="220">
        <f>IFERROR(VLOOKUP($B42,MMWR_TRAD_AGG_RO_COMP[],D$1,0),"ERROR")</f>
        <v>351.4855865577</v>
      </c>
      <c r="E42" s="221">
        <f>IFERROR(VLOOKUP($B42,MMWR_TRAD_AGG_RO_COMP[],E$1,0),"ERROR")</f>
        <v>15236</v>
      </c>
      <c r="F42" s="222">
        <f>IFERROR(VLOOKUP($B42,MMWR_TRAD_AGG_RO_COMP[],F$1,0),"ERROR")</f>
        <v>3775</v>
      </c>
      <c r="G42" s="223">
        <f t="shared" si="0"/>
        <v>0.24776844316093463</v>
      </c>
      <c r="H42" s="224">
        <f>IFERROR(VLOOKUP($B42,MMWR_TRAD_AGG_RO_COMP[],H$1,0),"ERROR")</f>
        <v>17027</v>
      </c>
      <c r="I42" s="222">
        <f>IFERROR(VLOOKUP($B42,MMWR_TRAD_AGG_RO_COMP[],I$1,0),"ERROR")</f>
        <v>11718</v>
      </c>
      <c r="J42" s="223">
        <f t="shared" si="1"/>
        <v>0.68820109238268634</v>
      </c>
      <c r="K42" s="225">
        <f>IFERROR(VLOOKUP($B42,MMWR_TRAD_AGG_RO_COMP[],K$1,0),"ERROR")</f>
        <v>3184</v>
      </c>
      <c r="L42" s="226">
        <f>IFERROR(VLOOKUP($B42,MMWR_TRAD_AGG_RO_COMP[],L$1,0),"ERROR")</f>
        <v>1873</v>
      </c>
      <c r="M42" s="223">
        <f t="shared" si="2"/>
        <v>0.58825376884422109</v>
      </c>
      <c r="N42" s="225">
        <f>IFERROR(VLOOKUP($B42,MMWR_TRAD_AGG_RO_COMP[],N$1,0),"ERROR")</f>
        <v>3371</v>
      </c>
      <c r="O42" s="226">
        <f>IFERROR(VLOOKUP($B42,MMWR_TRAD_AGG_RO_COMP[],O$1,0),"ERROR")</f>
        <v>2492</v>
      </c>
      <c r="P42" s="223">
        <f t="shared" si="3"/>
        <v>0.73924651438742217</v>
      </c>
      <c r="Q42" s="227">
        <f>IFERROR(VLOOKUP($B42,MMWR_TRAD_AGG_RO_COMP[],Q$1,0),"ERROR")</f>
        <v>1</v>
      </c>
      <c r="R42" s="227">
        <f>IFERROR(VLOOKUP($B42,MMWR_TRAD_AGG_RO_COMP[],R$1,0),"ERROR")</f>
        <v>225</v>
      </c>
      <c r="S42" s="201">
        <f>IFERROR(VLOOKUP($B42,MMWR_APP_RO[],S$1,0),"ERROR")</f>
        <v>20380</v>
      </c>
      <c r="T42" s="28"/>
    </row>
    <row r="43" spans="1:20" x14ac:dyDescent="0.2">
      <c r="A43" s="28"/>
      <c r="B43" s="108" t="s">
        <v>52</v>
      </c>
      <c r="C43" s="219">
        <f>IFERROR(VLOOKUP($B43,MMWR_TRAD_AGG_RO_COMP[],C$1,0),"ERROR")</f>
        <v>4050</v>
      </c>
      <c r="D43" s="220">
        <f>IFERROR(VLOOKUP($B43,MMWR_TRAD_AGG_RO_COMP[],D$1,0),"ERROR")</f>
        <v>411.27012345679998</v>
      </c>
      <c r="E43" s="221">
        <f>IFERROR(VLOOKUP($B43,MMWR_TRAD_AGG_RO_COMP[],E$1,0),"ERROR")</f>
        <v>4058</v>
      </c>
      <c r="F43" s="222">
        <f>IFERROR(VLOOKUP($B43,MMWR_TRAD_AGG_RO_COMP[],F$1,0),"ERROR")</f>
        <v>1200</v>
      </c>
      <c r="G43" s="223">
        <f t="shared" si="0"/>
        <v>0.29571217348447509</v>
      </c>
      <c r="H43" s="224">
        <f>IFERROR(VLOOKUP($B43,MMWR_TRAD_AGG_RO_COMP[],H$1,0),"ERROR")</f>
        <v>6183</v>
      </c>
      <c r="I43" s="222">
        <f>IFERROR(VLOOKUP($B43,MMWR_TRAD_AGG_RO_COMP[],I$1,0),"ERROR")</f>
        <v>4459</v>
      </c>
      <c r="J43" s="223">
        <f t="shared" si="1"/>
        <v>0.72117095261200059</v>
      </c>
      <c r="K43" s="225">
        <f>IFERROR(VLOOKUP($B43,MMWR_TRAD_AGG_RO_COMP[],K$1,0),"ERROR")</f>
        <v>2044</v>
      </c>
      <c r="L43" s="226">
        <f>IFERROR(VLOOKUP($B43,MMWR_TRAD_AGG_RO_COMP[],L$1,0),"ERROR")</f>
        <v>1601</v>
      </c>
      <c r="M43" s="223">
        <f t="shared" si="2"/>
        <v>0.7832681017612525</v>
      </c>
      <c r="N43" s="225">
        <f>IFERROR(VLOOKUP($B43,MMWR_TRAD_AGG_RO_COMP[],N$1,0),"ERROR")</f>
        <v>2213</v>
      </c>
      <c r="O43" s="226">
        <f>IFERROR(VLOOKUP($B43,MMWR_TRAD_AGG_RO_COMP[],O$1,0),"ERROR")</f>
        <v>1822</v>
      </c>
      <c r="P43" s="223">
        <f t="shared" si="3"/>
        <v>0.82331676457297787</v>
      </c>
      <c r="Q43" s="227">
        <f>IFERROR(VLOOKUP($B43,MMWR_TRAD_AGG_RO_COMP[],Q$1,0),"ERROR")</f>
        <v>42</v>
      </c>
      <c r="R43" s="227">
        <f>IFERROR(VLOOKUP($B43,MMWR_TRAD_AGG_RO_COMP[],R$1,0),"ERROR")</f>
        <v>189</v>
      </c>
      <c r="S43" s="201">
        <f>IFERROR(VLOOKUP($B43,MMWR_APP_RO[],S$1,0),"ERROR")</f>
        <v>4672</v>
      </c>
      <c r="T43" s="28"/>
    </row>
    <row r="44" spans="1:20" x14ac:dyDescent="0.2">
      <c r="A44" s="28"/>
      <c r="B44" s="108" t="s">
        <v>54</v>
      </c>
      <c r="C44" s="219">
        <f>IFERROR(VLOOKUP($B44,MMWR_TRAD_AGG_RO_COMP[],C$1,0),"ERROR")</f>
        <v>4348</v>
      </c>
      <c r="D44" s="220">
        <f>IFERROR(VLOOKUP($B44,MMWR_TRAD_AGG_RO_COMP[],D$1,0),"ERROR")</f>
        <v>384.54461821529998</v>
      </c>
      <c r="E44" s="221">
        <f>IFERROR(VLOOKUP($B44,MMWR_TRAD_AGG_RO_COMP[],E$1,0),"ERROR")</f>
        <v>3228</v>
      </c>
      <c r="F44" s="222">
        <f>IFERROR(VLOOKUP($B44,MMWR_TRAD_AGG_RO_COMP[],F$1,0),"ERROR")</f>
        <v>571</v>
      </c>
      <c r="G44" s="223">
        <f t="shared" si="0"/>
        <v>0.17688971499380421</v>
      </c>
      <c r="H44" s="224">
        <f>IFERROR(VLOOKUP($B44,MMWR_TRAD_AGG_RO_COMP[],H$1,0),"ERROR")</f>
        <v>7976</v>
      </c>
      <c r="I44" s="222">
        <f>IFERROR(VLOOKUP($B44,MMWR_TRAD_AGG_RO_COMP[],I$1,0),"ERROR")</f>
        <v>4330</v>
      </c>
      <c r="J44" s="223">
        <f t="shared" si="1"/>
        <v>0.54287863590772312</v>
      </c>
      <c r="K44" s="225">
        <f>IFERROR(VLOOKUP($B44,MMWR_TRAD_AGG_RO_COMP[],K$1,0),"ERROR")</f>
        <v>4029</v>
      </c>
      <c r="L44" s="226">
        <f>IFERROR(VLOOKUP($B44,MMWR_TRAD_AGG_RO_COMP[],L$1,0),"ERROR")</f>
        <v>3418</v>
      </c>
      <c r="M44" s="223">
        <f t="shared" si="2"/>
        <v>0.84834946636882602</v>
      </c>
      <c r="N44" s="225">
        <f>IFERROR(VLOOKUP($B44,MMWR_TRAD_AGG_RO_COMP[],N$1,0),"ERROR")</f>
        <v>1398</v>
      </c>
      <c r="O44" s="226">
        <f>IFERROR(VLOOKUP($B44,MMWR_TRAD_AGG_RO_COMP[],O$1,0),"ERROR")</f>
        <v>709</v>
      </c>
      <c r="P44" s="223">
        <f t="shared" si="3"/>
        <v>0.50715307582260372</v>
      </c>
      <c r="Q44" s="227">
        <f>IFERROR(VLOOKUP($B44,MMWR_TRAD_AGG_RO_COMP[],Q$1,0),"ERROR")</f>
        <v>1</v>
      </c>
      <c r="R44" s="227">
        <f>IFERROR(VLOOKUP($B44,MMWR_TRAD_AGG_RO_COMP[],R$1,0),"ERROR")</f>
        <v>112</v>
      </c>
      <c r="S44" s="201">
        <f>IFERROR(VLOOKUP($B44,MMWR_APP_RO[],S$1,0),"ERROR")</f>
        <v>5303</v>
      </c>
      <c r="T44" s="28"/>
    </row>
    <row r="45" spans="1:20" x14ac:dyDescent="0.2">
      <c r="A45" s="28"/>
      <c r="B45" s="108" t="s">
        <v>27</v>
      </c>
      <c r="C45" s="219">
        <f>IFERROR(VLOOKUP($B45,MMWR_TRAD_AGG_RO_COMP[],C$1,0),"ERROR")</f>
        <v>1204</v>
      </c>
      <c r="D45" s="220">
        <f>IFERROR(VLOOKUP($B45,MMWR_TRAD_AGG_RO_COMP[],D$1,0),"ERROR")</f>
        <v>95.247508305599993</v>
      </c>
      <c r="E45" s="221">
        <f>IFERROR(VLOOKUP($B45,MMWR_TRAD_AGG_RO_COMP[],E$1,0),"ERROR")</f>
        <v>5512</v>
      </c>
      <c r="F45" s="222">
        <f>IFERROR(VLOOKUP($B45,MMWR_TRAD_AGG_RO_COMP[],F$1,0),"ERROR")</f>
        <v>831</v>
      </c>
      <c r="G45" s="223">
        <f t="shared" si="0"/>
        <v>0.15076197387518142</v>
      </c>
      <c r="H45" s="224">
        <f>IFERROR(VLOOKUP($B45,MMWR_TRAD_AGG_RO_COMP[],H$1,0),"ERROR")</f>
        <v>7100</v>
      </c>
      <c r="I45" s="222">
        <f>IFERROR(VLOOKUP($B45,MMWR_TRAD_AGG_RO_COMP[],I$1,0),"ERROR")</f>
        <v>2698</v>
      </c>
      <c r="J45" s="223">
        <f t="shared" si="1"/>
        <v>0.38</v>
      </c>
      <c r="K45" s="225">
        <f>IFERROR(VLOOKUP($B45,MMWR_TRAD_AGG_RO_COMP[],K$1,0),"ERROR")</f>
        <v>1472</v>
      </c>
      <c r="L45" s="226">
        <f>IFERROR(VLOOKUP($B45,MMWR_TRAD_AGG_RO_COMP[],L$1,0),"ERROR")</f>
        <v>562</v>
      </c>
      <c r="M45" s="223">
        <f t="shared" si="2"/>
        <v>0.38179347826086957</v>
      </c>
      <c r="N45" s="225">
        <f>IFERROR(VLOOKUP($B45,MMWR_TRAD_AGG_RO_COMP[],N$1,0),"ERROR")</f>
        <v>1394</v>
      </c>
      <c r="O45" s="226">
        <f>IFERROR(VLOOKUP($B45,MMWR_TRAD_AGG_RO_COMP[],O$1,0),"ERROR")</f>
        <v>589</v>
      </c>
      <c r="P45" s="223">
        <f t="shared" si="3"/>
        <v>0.42252510760401724</v>
      </c>
      <c r="Q45" s="227">
        <f>IFERROR(VLOOKUP($B45,MMWR_TRAD_AGG_RO_COMP[],Q$1,0),"ERROR")</f>
        <v>0</v>
      </c>
      <c r="R45" s="227">
        <f>IFERROR(VLOOKUP($B45,MMWR_TRAD_AGG_RO_COMP[],R$1,0),"ERROR")</f>
        <v>69</v>
      </c>
      <c r="S45" s="201">
        <f>IFERROR(VLOOKUP($B45,MMWR_APP_RO[],S$1,0),"ERROR")</f>
        <v>4560</v>
      </c>
      <c r="T45" s="28"/>
    </row>
    <row r="46" spans="1:20" x14ac:dyDescent="0.2">
      <c r="A46" s="28"/>
      <c r="B46" s="108" t="s">
        <v>62</v>
      </c>
      <c r="C46" s="219">
        <f>IFERROR(VLOOKUP($B46,MMWR_TRAD_AGG_RO_COMP[],C$1,0),"ERROR")</f>
        <v>4492</v>
      </c>
      <c r="D46" s="220">
        <f>IFERROR(VLOOKUP($B46,MMWR_TRAD_AGG_RO_COMP[],D$1,0),"ERROR")</f>
        <v>443.68477292969999</v>
      </c>
      <c r="E46" s="221">
        <f>IFERROR(VLOOKUP($B46,MMWR_TRAD_AGG_RO_COMP[],E$1,0),"ERROR")</f>
        <v>5714</v>
      </c>
      <c r="F46" s="222">
        <f>IFERROR(VLOOKUP($B46,MMWR_TRAD_AGG_RO_COMP[],F$1,0),"ERROR")</f>
        <v>1276</v>
      </c>
      <c r="G46" s="223">
        <f t="shared" si="0"/>
        <v>0.2233111655582779</v>
      </c>
      <c r="H46" s="224">
        <f>IFERROR(VLOOKUP($B46,MMWR_TRAD_AGG_RO_COMP[],H$1,0),"ERROR")</f>
        <v>5621</v>
      </c>
      <c r="I46" s="222">
        <f>IFERROR(VLOOKUP($B46,MMWR_TRAD_AGG_RO_COMP[],I$1,0),"ERROR")</f>
        <v>4029</v>
      </c>
      <c r="J46" s="223">
        <f t="shared" si="1"/>
        <v>0.71677637431062091</v>
      </c>
      <c r="K46" s="225">
        <f>IFERROR(VLOOKUP($B46,MMWR_TRAD_AGG_RO_COMP[],K$1,0),"ERROR")</f>
        <v>1010</v>
      </c>
      <c r="L46" s="226">
        <f>IFERROR(VLOOKUP($B46,MMWR_TRAD_AGG_RO_COMP[],L$1,0),"ERROR")</f>
        <v>639</v>
      </c>
      <c r="M46" s="223">
        <f t="shared" si="2"/>
        <v>0.63267326732673268</v>
      </c>
      <c r="N46" s="225">
        <f>IFERROR(VLOOKUP($B46,MMWR_TRAD_AGG_RO_COMP[],N$1,0),"ERROR")</f>
        <v>1315</v>
      </c>
      <c r="O46" s="226">
        <f>IFERROR(VLOOKUP($B46,MMWR_TRAD_AGG_RO_COMP[],O$1,0),"ERROR")</f>
        <v>809</v>
      </c>
      <c r="P46" s="223">
        <f t="shared" si="3"/>
        <v>0.61520912547528517</v>
      </c>
      <c r="Q46" s="227">
        <f>IFERROR(VLOOKUP($B46,MMWR_TRAD_AGG_RO_COMP[],Q$1,0),"ERROR")</f>
        <v>1</v>
      </c>
      <c r="R46" s="227">
        <f>IFERROR(VLOOKUP($B46,MMWR_TRAD_AGG_RO_COMP[],R$1,0),"ERROR")</f>
        <v>252</v>
      </c>
      <c r="S46" s="201">
        <f>IFERROR(VLOOKUP($B46,MMWR_APP_RO[],S$1,0),"ERROR")</f>
        <v>5726</v>
      </c>
      <c r="T46" s="28"/>
    </row>
    <row r="47" spans="1:20" x14ac:dyDescent="0.2">
      <c r="A47" s="28"/>
      <c r="B47" s="108" t="s">
        <v>73</v>
      </c>
      <c r="C47" s="219">
        <f>IFERROR(VLOOKUP($B47,MMWR_TRAD_AGG_RO_COMP[],C$1,0),"ERROR")</f>
        <v>7015</v>
      </c>
      <c r="D47" s="220">
        <f>IFERROR(VLOOKUP($B47,MMWR_TRAD_AGG_RO_COMP[],D$1,0),"ERROR")</f>
        <v>252.50833927299999</v>
      </c>
      <c r="E47" s="221">
        <f>IFERROR(VLOOKUP($B47,MMWR_TRAD_AGG_RO_COMP[],E$1,0),"ERROR")</f>
        <v>2219</v>
      </c>
      <c r="F47" s="222">
        <f>IFERROR(VLOOKUP($B47,MMWR_TRAD_AGG_RO_COMP[],F$1,0),"ERROR")</f>
        <v>550</v>
      </c>
      <c r="G47" s="223">
        <f t="shared" si="0"/>
        <v>0.24785939612438035</v>
      </c>
      <c r="H47" s="224">
        <f>IFERROR(VLOOKUP($B47,MMWR_TRAD_AGG_RO_COMP[],H$1,0),"ERROR")</f>
        <v>14639</v>
      </c>
      <c r="I47" s="222">
        <f>IFERROR(VLOOKUP($B47,MMWR_TRAD_AGG_RO_COMP[],I$1,0),"ERROR")</f>
        <v>8064</v>
      </c>
      <c r="J47" s="223">
        <f t="shared" si="1"/>
        <v>0.55085729899583302</v>
      </c>
      <c r="K47" s="225">
        <f>IFERROR(VLOOKUP($B47,MMWR_TRAD_AGG_RO_COMP[],K$1,0),"ERROR")</f>
        <v>1278</v>
      </c>
      <c r="L47" s="226">
        <f>IFERROR(VLOOKUP($B47,MMWR_TRAD_AGG_RO_COMP[],L$1,0),"ERROR")</f>
        <v>654</v>
      </c>
      <c r="M47" s="223">
        <f t="shared" si="2"/>
        <v>0.51173708920187788</v>
      </c>
      <c r="N47" s="225">
        <f>IFERROR(VLOOKUP($B47,MMWR_TRAD_AGG_RO_COMP[],N$1,0),"ERROR")</f>
        <v>377</v>
      </c>
      <c r="O47" s="226">
        <f>IFERROR(VLOOKUP($B47,MMWR_TRAD_AGG_RO_COMP[],O$1,0),"ERROR")</f>
        <v>131</v>
      </c>
      <c r="P47" s="223">
        <f t="shared" si="3"/>
        <v>0.34748010610079577</v>
      </c>
      <c r="Q47" s="227">
        <f>IFERROR(VLOOKUP($B47,MMWR_TRAD_AGG_RO_COMP[],Q$1,0),"ERROR")</f>
        <v>0</v>
      </c>
      <c r="R47" s="227">
        <f>IFERROR(VLOOKUP($B47,MMWR_TRAD_AGG_RO_COMP[],R$1,0),"ERROR")</f>
        <v>1</v>
      </c>
      <c r="S47" s="201">
        <f>IFERROR(VLOOKUP($B47,MMWR_APP_RO[],S$1,0),"ERROR")</f>
        <v>894</v>
      </c>
      <c r="T47" s="28"/>
    </row>
    <row r="48" spans="1:20" x14ac:dyDescent="0.2">
      <c r="A48" s="28"/>
      <c r="B48" s="116" t="s">
        <v>82</v>
      </c>
      <c r="C48" s="228">
        <f>IFERROR(VLOOKUP($B48,MMWR_TRAD_AGG_RO_COMP[],C$1,0),"ERROR")</f>
        <v>11664</v>
      </c>
      <c r="D48" s="229">
        <f>IFERROR(VLOOKUP($B48,MMWR_TRAD_AGG_RO_COMP[],D$1,0),"ERROR")</f>
        <v>338.70799039780002</v>
      </c>
      <c r="E48" s="230">
        <f>IFERROR(VLOOKUP($B48,MMWR_TRAD_AGG_RO_COMP[],E$1,0),"ERROR")</f>
        <v>17602</v>
      </c>
      <c r="F48" s="231">
        <f>IFERROR(VLOOKUP($B48,MMWR_TRAD_AGG_RO_COMP[],F$1,0),"ERROR")</f>
        <v>3456</v>
      </c>
      <c r="G48" s="232">
        <f t="shared" si="0"/>
        <v>0.19634132484944894</v>
      </c>
      <c r="H48" s="233">
        <f>IFERROR(VLOOKUP($B48,MMWR_TRAD_AGG_RO_COMP[],H$1,0),"ERROR")</f>
        <v>14031</v>
      </c>
      <c r="I48" s="231">
        <f>IFERROR(VLOOKUP($B48,MMWR_TRAD_AGG_RO_COMP[],I$1,0),"ERROR")</f>
        <v>8718</v>
      </c>
      <c r="J48" s="232">
        <f t="shared" si="1"/>
        <v>0.62133846482788113</v>
      </c>
      <c r="K48" s="234">
        <f>IFERROR(VLOOKUP($B48,MMWR_TRAD_AGG_RO_COMP[],K$1,0),"ERROR")</f>
        <v>3652</v>
      </c>
      <c r="L48" s="235">
        <f>IFERROR(VLOOKUP($B48,MMWR_TRAD_AGG_RO_COMP[],L$1,0),"ERROR")</f>
        <v>2202</v>
      </c>
      <c r="M48" s="232">
        <f t="shared" si="2"/>
        <v>0.6029572836801752</v>
      </c>
      <c r="N48" s="234">
        <f>IFERROR(VLOOKUP($B48,MMWR_TRAD_AGG_RO_COMP[],N$1,0),"ERROR")</f>
        <v>5647</v>
      </c>
      <c r="O48" s="235">
        <f>IFERROR(VLOOKUP($B48,MMWR_TRAD_AGG_RO_COMP[],O$1,0),"ERROR")</f>
        <v>1824</v>
      </c>
      <c r="P48" s="232">
        <f t="shared" si="3"/>
        <v>0.32300336461838142</v>
      </c>
      <c r="Q48" s="236">
        <f>IFERROR(VLOOKUP($B48,MMWR_TRAD_AGG_RO_COMP[],Q$1,0),"ERROR")</f>
        <v>2</v>
      </c>
      <c r="R48" s="236">
        <f>IFERROR(VLOOKUP($B48,MMWR_TRAD_AGG_RO_COMP[],R$1,0),"ERROR")</f>
        <v>206</v>
      </c>
      <c r="S48" s="201">
        <f>IFERROR(VLOOKUP($B48,MMWR_APP_RO[],S$1,0),"ERROR")</f>
        <v>19274</v>
      </c>
      <c r="T48" s="28"/>
    </row>
    <row r="49" spans="1:20" x14ac:dyDescent="0.2">
      <c r="A49" s="28"/>
      <c r="B49" s="101" t="s">
        <v>408</v>
      </c>
      <c r="C49" s="212">
        <f>IFERROR(VLOOKUP($B49,MMWR_TRAD_AGG_DISTRICT_COMP[],C$1,0),"ERROR")</f>
        <v>56762</v>
      </c>
      <c r="D49" s="197">
        <f>IFERROR(VLOOKUP($B49,MMWR_TRAD_AGG_DISTRICT_COMP[],D$1,0),"ERROR")</f>
        <v>378.53105951160001</v>
      </c>
      <c r="E49" s="213">
        <f>IFERROR(VLOOKUP($B49,MMWR_TRAD_AGG_DISTRICT_COMP[],E$1,0),"ERROR")</f>
        <v>59093</v>
      </c>
      <c r="F49" s="218">
        <f>IFERROR(VLOOKUP($B49,MMWR_TRAD_AGG_DISTRICT_COMP[],F$1,0),"ERROR")</f>
        <v>12994</v>
      </c>
      <c r="G49" s="214">
        <f t="shared" si="0"/>
        <v>0.21989068079129509</v>
      </c>
      <c r="H49" s="218">
        <f>IFERROR(VLOOKUP($B49,MMWR_TRAD_AGG_DISTRICT_COMP[],H$1,0),"ERROR")</f>
        <v>81216</v>
      </c>
      <c r="I49" s="218">
        <f>IFERROR(VLOOKUP($B49,MMWR_TRAD_AGG_DISTRICT_COMP[],I$1,0),"ERROR")</f>
        <v>54529</v>
      </c>
      <c r="J49" s="214">
        <f t="shared" si="1"/>
        <v>0.67140711189913316</v>
      </c>
      <c r="K49" s="212">
        <f>IFERROR(VLOOKUP($B49,MMWR_TRAD_AGG_DISTRICT_COMP[],K$1,0),"ERROR")</f>
        <v>22919</v>
      </c>
      <c r="L49" s="212">
        <f>IFERROR(VLOOKUP($B49,MMWR_TRAD_AGG_DISTRICT_COMP[],L$1,0),"ERROR")</f>
        <v>16370</v>
      </c>
      <c r="M49" s="214">
        <f t="shared" si="2"/>
        <v>0.71425454862777604</v>
      </c>
      <c r="N49" s="212">
        <f>IFERROR(VLOOKUP($B49,MMWR_TRAD_AGG_DISTRICT_COMP[],N$1,0),"ERROR")</f>
        <v>21394</v>
      </c>
      <c r="O49" s="212">
        <f>IFERROR(VLOOKUP($B49,MMWR_TRAD_AGG_DISTRICT_COMP[],O$1,0),"ERROR")</f>
        <v>15732</v>
      </c>
      <c r="P49" s="214">
        <f t="shared" si="3"/>
        <v>0.73534635879218468</v>
      </c>
      <c r="Q49" s="212">
        <f>IFERROR(VLOOKUP($B49,MMWR_TRAD_AGG_DISTRICT_COMP[],Q$1,0),"ERROR")</f>
        <v>404</v>
      </c>
      <c r="R49" s="215">
        <f>IFERROR(VLOOKUP($B49,MMWR_TRAD_AGG_DISTRICT_COMP[],R$1,0),"ERROR")</f>
        <v>694</v>
      </c>
      <c r="S49" s="215">
        <f>IFERROR(VLOOKUP($B49,MMWR_APP_RO[],S$1,0),"ERROR")</f>
        <v>44100</v>
      </c>
      <c r="T49" s="28"/>
    </row>
    <row r="50" spans="1:20" x14ac:dyDescent="0.2">
      <c r="A50" s="28"/>
      <c r="B50" s="108" t="s">
        <v>34</v>
      </c>
      <c r="C50" s="219">
        <f>IFERROR(VLOOKUP($B50,MMWR_TRAD_AGG_RO_COMP[],C$1,0),"ERROR")</f>
        <v>997</v>
      </c>
      <c r="D50" s="220">
        <f>IFERROR(VLOOKUP($B50,MMWR_TRAD_AGG_RO_COMP[],D$1,0),"ERROR")</f>
        <v>132.00802407219999</v>
      </c>
      <c r="E50" s="221">
        <f>IFERROR(VLOOKUP($B50,MMWR_TRAD_AGG_RO_COMP[],E$1,0),"ERROR")</f>
        <v>2875</v>
      </c>
      <c r="F50" s="222">
        <f>IFERROR(VLOOKUP($B50,MMWR_TRAD_AGG_RO_COMP[],F$1,0),"ERROR")</f>
        <v>551</v>
      </c>
      <c r="G50" s="223">
        <f t="shared" si="0"/>
        <v>0.19165217391304348</v>
      </c>
      <c r="H50" s="224">
        <f>IFERROR(VLOOKUP($B50,MMWR_TRAD_AGG_RO_COMP[],H$1,0),"ERROR")</f>
        <v>1403</v>
      </c>
      <c r="I50" s="222">
        <f>IFERROR(VLOOKUP($B50,MMWR_TRAD_AGG_RO_COMP[],I$1,0),"ERROR")</f>
        <v>430</v>
      </c>
      <c r="J50" s="223">
        <f t="shared" si="1"/>
        <v>0.30648610121168923</v>
      </c>
      <c r="K50" s="225">
        <f>IFERROR(VLOOKUP($B50,MMWR_TRAD_AGG_RO_COMP[],K$1,0),"ERROR")</f>
        <v>324</v>
      </c>
      <c r="L50" s="226">
        <f>IFERROR(VLOOKUP($B50,MMWR_TRAD_AGG_RO_COMP[],L$1,0),"ERROR")</f>
        <v>96</v>
      </c>
      <c r="M50" s="223">
        <f t="shared" si="2"/>
        <v>0.29629629629629628</v>
      </c>
      <c r="N50" s="225">
        <f>IFERROR(VLOOKUP($B50,MMWR_TRAD_AGG_RO_COMP[],N$1,0),"ERROR")</f>
        <v>418</v>
      </c>
      <c r="O50" s="226">
        <f>IFERROR(VLOOKUP($B50,MMWR_TRAD_AGG_RO_COMP[],O$1,0),"ERROR")</f>
        <v>253</v>
      </c>
      <c r="P50" s="223">
        <f t="shared" si="3"/>
        <v>0.60526315789473684</v>
      </c>
      <c r="Q50" s="227">
        <f>IFERROR(VLOOKUP($B50,MMWR_TRAD_AGG_RO_COMP[],Q$1,0),"ERROR")</f>
        <v>0</v>
      </c>
      <c r="R50" s="227">
        <f>IFERROR(VLOOKUP($B50,MMWR_TRAD_AGG_RO_COMP[],R$1,0),"ERROR")</f>
        <v>10</v>
      </c>
      <c r="S50" s="201">
        <f>IFERROR(VLOOKUP($B50,MMWR_APP_RO[],S$1,0),"ERROR")</f>
        <v>1751</v>
      </c>
      <c r="T50" s="28"/>
    </row>
    <row r="51" spans="1:20" x14ac:dyDescent="0.2">
      <c r="A51" s="28"/>
      <c r="B51" s="108" t="s">
        <v>35</v>
      </c>
      <c r="C51" s="219">
        <f>IFERROR(VLOOKUP($B51,MMWR_TRAD_AGG_RO_COMP[],C$1,0),"ERROR")</f>
        <v>2011</v>
      </c>
      <c r="D51" s="220">
        <f>IFERROR(VLOOKUP($B51,MMWR_TRAD_AGG_RO_COMP[],D$1,0),"ERROR")</f>
        <v>456.5683739433</v>
      </c>
      <c r="E51" s="221">
        <f>IFERROR(VLOOKUP($B51,MMWR_TRAD_AGG_RO_COMP[],E$1,0),"ERROR")</f>
        <v>1179</v>
      </c>
      <c r="F51" s="222">
        <f>IFERROR(VLOOKUP($B51,MMWR_TRAD_AGG_RO_COMP[],F$1,0),"ERROR")</f>
        <v>338</v>
      </c>
      <c r="G51" s="223">
        <f t="shared" si="0"/>
        <v>0.28668363019508059</v>
      </c>
      <c r="H51" s="224">
        <f>IFERROR(VLOOKUP($B51,MMWR_TRAD_AGG_RO_COMP[],H$1,0),"ERROR")</f>
        <v>2729</v>
      </c>
      <c r="I51" s="222">
        <f>IFERROR(VLOOKUP($B51,MMWR_TRAD_AGG_RO_COMP[],I$1,0),"ERROR")</f>
        <v>1995</v>
      </c>
      <c r="J51" s="223">
        <f t="shared" si="1"/>
        <v>0.73103700989373399</v>
      </c>
      <c r="K51" s="225">
        <f>IFERROR(VLOOKUP($B51,MMWR_TRAD_AGG_RO_COMP[],K$1,0),"ERROR")</f>
        <v>2132</v>
      </c>
      <c r="L51" s="226">
        <f>IFERROR(VLOOKUP($B51,MMWR_TRAD_AGG_RO_COMP[],L$1,0),"ERROR")</f>
        <v>1825</v>
      </c>
      <c r="M51" s="223">
        <f t="shared" si="2"/>
        <v>0.85600375234521575</v>
      </c>
      <c r="N51" s="225">
        <f>IFERROR(VLOOKUP($B51,MMWR_TRAD_AGG_RO_COMP[],N$1,0),"ERROR")</f>
        <v>513</v>
      </c>
      <c r="O51" s="226">
        <f>IFERROR(VLOOKUP($B51,MMWR_TRAD_AGG_RO_COMP[],O$1,0),"ERROR")</f>
        <v>241</v>
      </c>
      <c r="P51" s="223">
        <f t="shared" si="3"/>
        <v>0.46978557504873292</v>
      </c>
      <c r="Q51" s="227">
        <f>IFERROR(VLOOKUP($B51,MMWR_TRAD_AGG_RO_COMP[],Q$1,0),"ERROR")</f>
        <v>0</v>
      </c>
      <c r="R51" s="227">
        <f>IFERROR(VLOOKUP($B51,MMWR_TRAD_AGG_RO_COMP[],R$1,0),"ERROR")</f>
        <v>2</v>
      </c>
      <c r="S51" s="201">
        <f>IFERROR(VLOOKUP($B51,MMWR_APP_RO[],S$1,0),"ERROR")</f>
        <v>219</v>
      </c>
      <c r="T51" s="28"/>
    </row>
    <row r="52" spans="1:20" x14ac:dyDescent="0.2">
      <c r="A52" s="28"/>
      <c r="B52" s="108" t="s">
        <v>37</v>
      </c>
      <c r="C52" s="219">
        <f>IFERROR(VLOOKUP($B52,MMWR_TRAD_AGG_RO_COMP[],C$1,0),"ERROR")</f>
        <v>177</v>
      </c>
      <c r="D52" s="220">
        <f>IFERROR(VLOOKUP($B52,MMWR_TRAD_AGG_RO_COMP[],D$1,0),"ERROR")</f>
        <v>66.158192090399993</v>
      </c>
      <c r="E52" s="221">
        <f>IFERROR(VLOOKUP($B52,MMWR_TRAD_AGG_RO_COMP[],E$1,0),"ERROR")</f>
        <v>1379</v>
      </c>
      <c r="F52" s="222">
        <f>IFERROR(VLOOKUP($B52,MMWR_TRAD_AGG_RO_COMP[],F$1,0),"ERROR")</f>
        <v>264</v>
      </c>
      <c r="G52" s="223">
        <f t="shared" si="0"/>
        <v>0.19144307469180566</v>
      </c>
      <c r="H52" s="224">
        <f>IFERROR(VLOOKUP($B52,MMWR_TRAD_AGG_RO_COMP[],H$1,0),"ERROR")</f>
        <v>365</v>
      </c>
      <c r="I52" s="222">
        <f>IFERROR(VLOOKUP($B52,MMWR_TRAD_AGG_RO_COMP[],I$1,0),"ERROR")</f>
        <v>43</v>
      </c>
      <c r="J52" s="223">
        <f t="shared" si="1"/>
        <v>0.11780821917808219</v>
      </c>
      <c r="K52" s="225">
        <f>IFERROR(VLOOKUP($B52,MMWR_TRAD_AGG_RO_COMP[],K$1,0),"ERROR")</f>
        <v>240</v>
      </c>
      <c r="L52" s="226">
        <f>IFERROR(VLOOKUP($B52,MMWR_TRAD_AGG_RO_COMP[],L$1,0),"ERROR")</f>
        <v>22</v>
      </c>
      <c r="M52" s="223">
        <f t="shared" si="2"/>
        <v>9.166666666666666E-2</v>
      </c>
      <c r="N52" s="225">
        <f>IFERROR(VLOOKUP($B52,MMWR_TRAD_AGG_RO_COMP[],N$1,0),"ERROR")</f>
        <v>167</v>
      </c>
      <c r="O52" s="226">
        <f>IFERROR(VLOOKUP($B52,MMWR_TRAD_AGG_RO_COMP[],O$1,0),"ERROR")</f>
        <v>54</v>
      </c>
      <c r="P52" s="223">
        <f t="shared" si="3"/>
        <v>0.32335329341317365</v>
      </c>
      <c r="Q52" s="227">
        <f>IFERROR(VLOOKUP($B52,MMWR_TRAD_AGG_RO_COMP[],Q$1,0),"ERROR")</f>
        <v>0</v>
      </c>
      <c r="R52" s="227">
        <f>IFERROR(VLOOKUP($B52,MMWR_TRAD_AGG_RO_COMP[],R$1,0),"ERROR")</f>
        <v>2</v>
      </c>
      <c r="S52" s="201">
        <f>IFERROR(VLOOKUP($B52,MMWR_APP_RO[],S$1,0),"ERROR")</f>
        <v>920</v>
      </c>
      <c r="T52" s="28"/>
    </row>
    <row r="53" spans="1:20" x14ac:dyDescent="0.2">
      <c r="A53" s="28"/>
      <c r="B53" s="108" t="s">
        <v>48</v>
      </c>
      <c r="C53" s="219">
        <f>IFERROR(VLOOKUP($B53,MMWR_TRAD_AGG_RO_COMP[],C$1,0),"ERROR")</f>
        <v>1589</v>
      </c>
      <c r="D53" s="220">
        <f>IFERROR(VLOOKUP($B53,MMWR_TRAD_AGG_RO_COMP[],D$1,0),"ERROR")</f>
        <v>270.7847702958</v>
      </c>
      <c r="E53" s="221">
        <f>IFERROR(VLOOKUP($B53,MMWR_TRAD_AGG_RO_COMP[],E$1,0),"ERROR")</f>
        <v>1927</v>
      </c>
      <c r="F53" s="222">
        <f>IFERROR(VLOOKUP($B53,MMWR_TRAD_AGG_RO_COMP[],F$1,0),"ERROR")</f>
        <v>478</v>
      </c>
      <c r="G53" s="223">
        <f t="shared" si="0"/>
        <v>0.24805396990140113</v>
      </c>
      <c r="H53" s="224">
        <f>IFERROR(VLOOKUP($B53,MMWR_TRAD_AGG_RO_COMP[],H$1,0),"ERROR")</f>
        <v>1978</v>
      </c>
      <c r="I53" s="222">
        <f>IFERROR(VLOOKUP($B53,MMWR_TRAD_AGG_RO_COMP[],I$1,0),"ERROR")</f>
        <v>1384</v>
      </c>
      <c r="J53" s="223">
        <f t="shared" si="1"/>
        <v>0.6996966632962589</v>
      </c>
      <c r="K53" s="225">
        <f>IFERROR(VLOOKUP($B53,MMWR_TRAD_AGG_RO_COMP[],K$1,0),"ERROR")</f>
        <v>1021</v>
      </c>
      <c r="L53" s="226">
        <f>IFERROR(VLOOKUP($B53,MMWR_TRAD_AGG_RO_COMP[],L$1,0),"ERROR")</f>
        <v>550</v>
      </c>
      <c r="M53" s="223">
        <f t="shared" si="2"/>
        <v>0.53868756121449557</v>
      </c>
      <c r="N53" s="225">
        <f>IFERROR(VLOOKUP($B53,MMWR_TRAD_AGG_RO_COMP[],N$1,0),"ERROR")</f>
        <v>202</v>
      </c>
      <c r="O53" s="226">
        <f>IFERROR(VLOOKUP($B53,MMWR_TRAD_AGG_RO_COMP[],O$1,0),"ERROR")</f>
        <v>76</v>
      </c>
      <c r="P53" s="223">
        <f t="shared" si="3"/>
        <v>0.37623762376237624</v>
      </c>
      <c r="Q53" s="227">
        <f>IFERROR(VLOOKUP($B53,MMWR_TRAD_AGG_RO_COMP[],Q$1,0),"ERROR")</f>
        <v>0</v>
      </c>
      <c r="R53" s="227">
        <f>IFERROR(VLOOKUP($B53,MMWR_TRAD_AGG_RO_COMP[],R$1,0),"ERROR")</f>
        <v>0</v>
      </c>
      <c r="S53" s="201">
        <f>IFERROR(VLOOKUP($B53,MMWR_APP_RO[],S$1,0),"ERROR")</f>
        <v>1443</v>
      </c>
      <c r="T53" s="28"/>
    </row>
    <row r="54" spans="1:20" x14ac:dyDescent="0.2">
      <c r="A54" s="28"/>
      <c r="B54" s="108" t="s">
        <v>55</v>
      </c>
      <c r="C54" s="219">
        <f>IFERROR(VLOOKUP($B54,MMWR_TRAD_AGG_RO_COMP[],C$1,0),"ERROR")</f>
        <v>7483</v>
      </c>
      <c r="D54" s="220">
        <f>IFERROR(VLOOKUP($B54,MMWR_TRAD_AGG_RO_COMP[],D$1,0),"ERROR")</f>
        <v>381.91968461850001</v>
      </c>
      <c r="E54" s="221">
        <f>IFERROR(VLOOKUP($B54,MMWR_TRAD_AGG_RO_COMP[],E$1,0),"ERROR")</f>
        <v>9144</v>
      </c>
      <c r="F54" s="222">
        <f>IFERROR(VLOOKUP($B54,MMWR_TRAD_AGG_RO_COMP[],F$1,0),"ERROR")</f>
        <v>1975</v>
      </c>
      <c r="G54" s="223">
        <f t="shared" si="0"/>
        <v>0.21598862642169728</v>
      </c>
      <c r="H54" s="224">
        <f>IFERROR(VLOOKUP($B54,MMWR_TRAD_AGG_RO_COMP[],H$1,0),"ERROR")</f>
        <v>9008</v>
      </c>
      <c r="I54" s="222">
        <f>IFERROR(VLOOKUP($B54,MMWR_TRAD_AGG_RO_COMP[],I$1,0),"ERROR")</f>
        <v>6137</v>
      </c>
      <c r="J54" s="223">
        <f t="shared" si="1"/>
        <v>0.68128330373001778</v>
      </c>
      <c r="K54" s="225">
        <f>IFERROR(VLOOKUP($B54,MMWR_TRAD_AGG_RO_COMP[],K$1,0),"ERROR")</f>
        <v>1029</v>
      </c>
      <c r="L54" s="226">
        <f>IFERROR(VLOOKUP($B54,MMWR_TRAD_AGG_RO_COMP[],L$1,0),"ERROR")</f>
        <v>887</v>
      </c>
      <c r="M54" s="223">
        <f t="shared" si="2"/>
        <v>0.8620019436345967</v>
      </c>
      <c r="N54" s="225">
        <f>IFERROR(VLOOKUP($B54,MMWR_TRAD_AGG_RO_COMP[],N$1,0),"ERROR")</f>
        <v>4156</v>
      </c>
      <c r="O54" s="226">
        <f>IFERROR(VLOOKUP($B54,MMWR_TRAD_AGG_RO_COMP[],O$1,0),"ERROR")</f>
        <v>3451</v>
      </c>
      <c r="P54" s="223">
        <f t="shared" si="3"/>
        <v>0.8303657362848893</v>
      </c>
      <c r="Q54" s="227">
        <f>IFERROR(VLOOKUP($B54,MMWR_TRAD_AGG_RO_COMP[],Q$1,0),"ERROR")</f>
        <v>2</v>
      </c>
      <c r="R54" s="227">
        <f>IFERROR(VLOOKUP($B54,MMWR_TRAD_AGG_RO_COMP[],R$1,0),"ERROR")</f>
        <v>31</v>
      </c>
      <c r="S54" s="201">
        <f>IFERROR(VLOOKUP($B54,MMWR_APP_RO[],S$1,0),"ERROR")</f>
        <v>4740</v>
      </c>
      <c r="T54" s="28"/>
    </row>
    <row r="55" spans="1:20" x14ac:dyDescent="0.2">
      <c r="A55" s="28"/>
      <c r="B55" s="108" t="s">
        <v>58</v>
      </c>
      <c r="C55" s="219">
        <f>IFERROR(VLOOKUP($B55,MMWR_TRAD_AGG_RO_COMP[],C$1,0),"ERROR")</f>
        <v>795</v>
      </c>
      <c r="D55" s="220">
        <f>IFERROR(VLOOKUP($B55,MMWR_TRAD_AGG_RO_COMP[],D$1,0),"ERROR")</f>
        <v>177.48176100629999</v>
      </c>
      <c r="E55" s="221">
        <f>IFERROR(VLOOKUP($B55,MMWR_TRAD_AGG_RO_COMP[],E$1,0),"ERROR")</f>
        <v>782</v>
      </c>
      <c r="F55" s="222">
        <f>IFERROR(VLOOKUP($B55,MMWR_TRAD_AGG_RO_COMP[],F$1,0),"ERROR")</f>
        <v>203</v>
      </c>
      <c r="G55" s="223">
        <f t="shared" si="0"/>
        <v>0.25959079283887471</v>
      </c>
      <c r="H55" s="224">
        <f>IFERROR(VLOOKUP($B55,MMWR_TRAD_AGG_RO_COMP[],H$1,0),"ERROR")</f>
        <v>911</v>
      </c>
      <c r="I55" s="222">
        <f>IFERROR(VLOOKUP($B55,MMWR_TRAD_AGG_RO_COMP[],I$1,0),"ERROR")</f>
        <v>527</v>
      </c>
      <c r="J55" s="223">
        <f t="shared" si="1"/>
        <v>0.57848518111964875</v>
      </c>
      <c r="K55" s="225">
        <f>IFERROR(VLOOKUP($B55,MMWR_TRAD_AGG_RO_COMP[],K$1,0),"ERROR")</f>
        <v>255</v>
      </c>
      <c r="L55" s="226">
        <f>IFERROR(VLOOKUP($B55,MMWR_TRAD_AGG_RO_COMP[],L$1,0),"ERROR")</f>
        <v>93</v>
      </c>
      <c r="M55" s="223">
        <f t="shared" si="2"/>
        <v>0.36470588235294116</v>
      </c>
      <c r="N55" s="225">
        <f>IFERROR(VLOOKUP($B55,MMWR_TRAD_AGG_RO_COMP[],N$1,0),"ERROR")</f>
        <v>1018</v>
      </c>
      <c r="O55" s="226">
        <f>IFERROR(VLOOKUP($B55,MMWR_TRAD_AGG_RO_COMP[],O$1,0),"ERROR")</f>
        <v>570</v>
      </c>
      <c r="P55" s="223">
        <f t="shared" si="3"/>
        <v>0.55992141453831046</v>
      </c>
      <c r="Q55" s="227">
        <f>IFERROR(VLOOKUP($B55,MMWR_TRAD_AGG_RO_COMP[],Q$1,0),"ERROR")</f>
        <v>399</v>
      </c>
      <c r="R55" s="227">
        <f>IFERROR(VLOOKUP($B55,MMWR_TRAD_AGG_RO_COMP[],R$1,0),"ERROR")</f>
        <v>145</v>
      </c>
      <c r="S55" s="201">
        <f>IFERROR(VLOOKUP($B55,MMWR_APP_RO[],S$1,0),"ERROR")</f>
        <v>979</v>
      </c>
      <c r="T55" s="28"/>
    </row>
    <row r="56" spans="1:20" x14ac:dyDescent="0.2">
      <c r="A56" s="28"/>
      <c r="B56" s="108" t="s">
        <v>65</v>
      </c>
      <c r="C56" s="219">
        <f>IFERROR(VLOOKUP($B56,MMWR_TRAD_AGG_RO_COMP[],C$1,0),"ERROR")</f>
        <v>10681</v>
      </c>
      <c r="D56" s="220">
        <f>IFERROR(VLOOKUP($B56,MMWR_TRAD_AGG_RO_COMP[],D$1,0),"ERROR")</f>
        <v>428.80919389569999</v>
      </c>
      <c r="E56" s="221">
        <f>IFERROR(VLOOKUP($B56,MMWR_TRAD_AGG_RO_COMP[],E$1,0),"ERROR")</f>
        <v>11176</v>
      </c>
      <c r="F56" s="222">
        <f>IFERROR(VLOOKUP($B56,MMWR_TRAD_AGG_RO_COMP[],F$1,0),"ERROR")</f>
        <v>2996</v>
      </c>
      <c r="G56" s="223">
        <f t="shared" si="0"/>
        <v>0.26807444523979956</v>
      </c>
      <c r="H56" s="224">
        <f>IFERROR(VLOOKUP($B56,MMWR_TRAD_AGG_RO_COMP[],H$1,0),"ERROR")</f>
        <v>13606</v>
      </c>
      <c r="I56" s="222">
        <f>IFERROR(VLOOKUP($B56,MMWR_TRAD_AGG_RO_COMP[],I$1,0),"ERROR")</f>
        <v>10601</v>
      </c>
      <c r="J56" s="223">
        <f t="shared" si="1"/>
        <v>0.77914155519623696</v>
      </c>
      <c r="K56" s="225">
        <f>IFERROR(VLOOKUP($B56,MMWR_TRAD_AGG_RO_COMP[],K$1,0),"ERROR")</f>
        <v>3780</v>
      </c>
      <c r="L56" s="226">
        <f>IFERROR(VLOOKUP($B56,MMWR_TRAD_AGG_RO_COMP[],L$1,0),"ERROR")</f>
        <v>3115</v>
      </c>
      <c r="M56" s="223">
        <f t="shared" si="2"/>
        <v>0.82407407407407407</v>
      </c>
      <c r="N56" s="225">
        <f>IFERROR(VLOOKUP($B56,MMWR_TRAD_AGG_RO_COMP[],N$1,0),"ERROR")</f>
        <v>2316</v>
      </c>
      <c r="O56" s="226">
        <f>IFERROR(VLOOKUP($B56,MMWR_TRAD_AGG_RO_COMP[],O$1,0),"ERROR")</f>
        <v>1766</v>
      </c>
      <c r="P56" s="223">
        <f t="shared" si="3"/>
        <v>0.76252158894645938</v>
      </c>
      <c r="Q56" s="227">
        <f>IFERROR(VLOOKUP($B56,MMWR_TRAD_AGG_RO_COMP[],Q$1,0),"ERROR")</f>
        <v>0</v>
      </c>
      <c r="R56" s="227">
        <f>IFERROR(VLOOKUP($B56,MMWR_TRAD_AGG_RO_COMP[],R$1,0),"ERROR")</f>
        <v>31</v>
      </c>
      <c r="S56" s="201">
        <f>IFERROR(VLOOKUP($B56,MMWR_APP_RO[],S$1,0),"ERROR")</f>
        <v>8693</v>
      </c>
      <c r="T56" s="28"/>
    </row>
    <row r="57" spans="1:20" x14ac:dyDescent="0.2">
      <c r="A57" s="28"/>
      <c r="B57" s="108" t="s">
        <v>67</v>
      </c>
      <c r="C57" s="219">
        <f>IFERROR(VLOOKUP($B57,MMWR_TRAD_AGG_RO_COMP[],C$1,0),"ERROR")</f>
        <v>4250</v>
      </c>
      <c r="D57" s="220">
        <f>IFERROR(VLOOKUP($B57,MMWR_TRAD_AGG_RO_COMP[],D$1,0),"ERROR")</f>
        <v>250.0371764706</v>
      </c>
      <c r="E57" s="221">
        <f>IFERROR(VLOOKUP($B57,MMWR_TRAD_AGG_RO_COMP[],E$1,0),"ERROR")</f>
        <v>4112</v>
      </c>
      <c r="F57" s="222">
        <f>IFERROR(VLOOKUP($B57,MMWR_TRAD_AGG_RO_COMP[],F$1,0),"ERROR")</f>
        <v>1056</v>
      </c>
      <c r="G57" s="223">
        <f t="shared" si="0"/>
        <v>0.25680933852140075</v>
      </c>
      <c r="H57" s="224">
        <f>IFERROR(VLOOKUP($B57,MMWR_TRAD_AGG_RO_COMP[],H$1,0),"ERROR")</f>
        <v>5146</v>
      </c>
      <c r="I57" s="222">
        <f>IFERROR(VLOOKUP($B57,MMWR_TRAD_AGG_RO_COMP[],I$1,0),"ERROR")</f>
        <v>3015</v>
      </c>
      <c r="J57" s="223">
        <f t="shared" si="1"/>
        <v>0.58589195491643997</v>
      </c>
      <c r="K57" s="225">
        <f>IFERROR(VLOOKUP($B57,MMWR_TRAD_AGG_RO_COMP[],K$1,0),"ERROR")</f>
        <v>1084</v>
      </c>
      <c r="L57" s="226">
        <f>IFERROR(VLOOKUP($B57,MMWR_TRAD_AGG_RO_COMP[],L$1,0),"ERROR")</f>
        <v>305</v>
      </c>
      <c r="M57" s="223">
        <f t="shared" si="2"/>
        <v>0.28136531365313655</v>
      </c>
      <c r="N57" s="225">
        <f>IFERROR(VLOOKUP($B57,MMWR_TRAD_AGG_RO_COMP[],N$1,0),"ERROR")</f>
        <v>2692</v>
      </c>
      <c r="O57" s="226">
        <f>IFERROR(VLOOKUP($B57,MMWR_TRAD_AGG_RO_COMP[],O$1,0),"ERROR")</f>
        <v>2039</v>
      </c>
      <c r="P57" s="223">
        <f t="shared" si="3"/>
        <v>0.75742942050520057</v>
      </c>
      <c r="Q57" s="227">
        <f>IFERROR(VLOOKUP($B57,MMWR_TRAD_AGG_RO_COMP[],Q$1,0),"ERROR")</f>
        <v>1</v>
      </c>
      <c r="R57" s="227">
        <f>IFERROR(VLOOKUP($B57,MMWR_TRAD_AGG_RO_COMP[],R$1,0),"ERROR")</f>
        <v>69</v>
      </c>
      <c r="S57" s="201">
        <f>IFERROR(VLOOKUP($B57,MMWR_APP_RO[],S$1,0),"ERROR")</f>
        <v>7158</v>
      </c>
      <c r="T57" s="28"/>
    </row>
    <row r="58" spans="1:20" x14ac:dyDescent="0.2">
      <c r="A58" s="28"/>
      <c r="B58" s="108" t="s">
        <v>69</v>
      </c>
      <c r="C58" s="219">
        <f>IFERROR(VLOOKUP($B58,MMWR_TRAD_AGG_RO_COMP[],C$1,0),"ERROR")</f>
        <v>6911</v>
      </c>
      <c r="D58" s="220">
        <f>IFERROR(VLOOKUP($B58,MMWR_TRAD_AGG_RO_COMP[],D$1,0),"ERROR")</f>
        <v>446.59875560699999</v>
      </c>
      <c r="E58" s="221">
        <f>IFERROR(VLOOKUP($B58,MMWR_TRAD_AGG_RO_COMP[],E$1,0),"ERROR")</f>
        <v>4278</v>
      </c>
      <c r="F58" s="222">
        <f>IFERROR(VLOOKUP($B58,MMWR_TRAD_AGG_RO_COMP[],F$1,0),"ERROR")</f>
        <v>1124</v>
      </c>
      <c r="G58" s="223">
        <f t="shared" si="0"/>
        <v>0.26273959794296398</v>
      </c>
      <c r="H58" s="224">
        <f>IFERROR(VLOOKUP($B58,MMWR_TRAD_AGG_RO_COMP[],H$1,0),"ERROR")</f>
        <v>8392</v>
      </c>
      <c r="I58" s="222">
        <f>IFERROR(VLOOKUP($B58,MMWR_TRAD_AGG_RO_COMP[],I$1,0),"ERROR")</f>
        <v>6319</v>
      </c>
      <c r="J58" s="223">
        <f t="shared" si="1"/>
        <v>0.7529790276453765</v>
      </c>
      <c r="K58" s="225">
        <f>IFERROR(VLOOKUP($B58,MMWR_TRAD_AGG_RO_COMP[],K$1,0),"ERROR")</f>
        <v>3049</v>
      </c>
      <c r="L58" s="226">
        <f>IFERROR(VLOOKUP($B58,MMWR_TRAD_AGG_RO_COMP[],L$1,0),"ERROR")</f>
        <v>2714</v>
      </c>
      <c r="M58" s="223">
        <f t="shared" si="2"/>
        <v>0.89012791079042308</v>
      </c>
      <c r="N58" s="225">
        <f>IFERROR(VLOOKUP($B58,MMWR_TRAD_AGG_RO_COMP[],N$1,0),"ERROR")</f>
        <v>1926</v>
      </c>
      <c r="O58" s="226">
        <f>IFERROR(VLOOKUP($B58,MMWR_TRAD_AGG_RO_COMP[],O$1,0),"ERROR")</f>
        <v>1198</v>
      </c>
      <c r="P58" s="223">
        <f t="shared" si="3"/>
        <v>0.62201453790238836</v>
      </c>
      <c r="Q58" s="227">
        <f>IFERROR(VLOOKUP($B58,MMWR_TRAD_AGG_RO_COMP[],Q$1,0),"ERROR")</f>
        <v>0</v>
      </c>
      <c r="R58" s="227">
        <f>IFERROR(VLOOKUP($B58,MMWR_TRAD_AGG_RO_COMP[],R$1,0),"ERROR")</f>
        <v>76</v>
      </c>
      <c r="S58" s="201">
        <f>IFERROR(VLOOKUP($B58,MMWR_APP_RO[],S$1,0),"ERROR")</f>
        <v>5510</v>
      </c>
      <c r="T58" s="28"/>
    </row>
    <row r="59" spans="1:20" x14ac:dyDescent="0.2">
      <c r="A59" s="28"/>
      <c r="B59" s="108" t="s">
        <v>71</v>
      </c>
      <c r="C59" s="219">
        <f>IFERROR(VLOOKUP($B59,MMWR_TRAD_AGG_RO_COMP[],C$1,0),"ERROR")</f>
        <v>2910</v>
      </c>
      <c r="D59" s="220">
        <f>IFERROR(VLOOKUP($B59,MMWR_TRAD_AGG_RO_COMP[],D$1,0),"ERROR")</f>
        <v>432.09484536079998</v>
      </c>
      <c r="E59" s="221">
        <f>IFERROR(VLOOKUP($B59,MMWR_TRAD_AGG_RO_COMP[],E$1,0),"ERROR")</f>
        <v>3302</v>
      </c>
      <c r="F59" s="222">
        <f>IFERROR(VLOOKUP($B59,MMWR_TRAD_AGG_RO_COMP[],F$1,0),"ERROR")</f>
        <v>758</v>
      </c>
      <c r="G59" s="223">
        <f t="shared" si="0"/>
        <v>0.22955784373107208</v>
      </c>
      <c r="H59" s="224">
        <f>IFERROR(VLOOKUP($B59,MMWR_TRAD_AGG_RO_COMP[],H$1,0),"ERROR")</f>
        <v>3383</v>
      </c>
      <c r="I59" s="222">
        <f>IFERROR(VLOOKUP($B59,MMWR_TRAD_AGG_RO_COMP[],I$1,0),"ERROR")</f>
        <v>2400</v>
      </c>
      <c r="J59" s="223">
        <f t="shared" si="1"/>
        <v>0.70942950044339348</v>
      </c>
      <c r="K59" s="225">
        <f>IFERROR(VLOOKUP($B59,MMWR_TRAD_AGG_RO_COMP[],K$1,0),"ERROR")</f>
        <v>520</v>
      </c>
      <c r="L59" s="226">
        <f>IFERROR(VLOOKUP($B59,MMWR_TRAD_AGG_RO_COMP[],L$1,0),"ERROR")</f>
        <v>366</v>
      </c>
      <c r="M59" s="223">
        <f t="shared" si="2"/>
        <v>0.7038461538461539</v>
      </c>
      <c r="N59" s="225">
        <f>IFERROR(VLOOKUP($B59,MMWR_TRAD_AGG_RO_COMP[],N$1,0),"ERROR")</f>
        <v>1129</v>
      </c>
      <c r="O59" s="226">
        <f>IFERROR(VLOOKUP($B59,MMWR_TRAD_AGG_RO_COMP[],O$1,0),"ERROR")</f>
        <v>829</v>
      </c>
      <c r="P59" s="223">
        <f t="shared" si="3"/>
        <v>0.73427812223206379</v>
      </c>
      <c r="Q59" s="227">
        <f>IFERROR(VLOOKUP($B59,MMWR_TRAD_AGG_RO_COMP[],Q$1,0),"ERROR")</f>
        <v>0</v>
      </c>
      <c r="R59" s="227">
        <f>IFERROR(VLOOKUP($B59,MMWR_TRAD_AGG_RO_COMP[],R$1,0),"ERROR")</f>
        <v>119</v>
      </c>
      <c r="S59" s="201">
        <f>IFERROR(VLOOKUP($B59,MMWR_APP_RO[],S$1,0),"ERROR")</f>
        <v>3058</v>
      </c>
      <c r="T59" s="28"/>
    </row>
    <row r="60" spans="1:20" x14ac:dyDescent="0.2">
      <c r="A60" s="28"/>
      <c r="B60" s="108" t="s">
        <v>74</v>
      </c>
      <c r="C60" s="219">
        <f>IFERROR(VLOOKUP($B60,MMWR_TRAD_AGG_RO_COMP[],C$1,0),"ERROR")</f>
        <v>7213</v>
      </c>
      <c r="D60" s="220">
        <f>IFERROR(VLOOKUP($B60,MMWR_TRAD_AGG_RO_COMP[],D$1,0),"ERROR")</f>
        <v>341.3025093581</v>
      </c>
      <c r="E60" s="221">
        <f>IFERROR(VLOOKUP($B60,MMWR_TRAD_AGG_RO_COMP[],E$1,0),"ERROR")</f>
        <v>11340</v>
      </c>
      <c r="F60" s="222">
        <f>IFERROR(VLOOKUP($B60,MMWR_TRAD_AGG_RO_COMP[],F$1,0),"ERROR")</f>
        <v>2088</v>
      </c>
      <c r="G60" s="223">
        <f t="shared" si="0"/>
        <v>0.18412698412698414</v>
      </c>
      <c r="H60" s="224">
        <f>IFERROR(VLOOKUP($B60,MMWR_TRAD_AGG_RO_COMP[],H$1,0),"ERROR")</f>
        <v>17634</v>
      </c>
      <c r="I60" s="222">
        <f>IFERROR(VLOOKUP($B60,MMWR_TRAD_AGG_RO_COMP[],I$1,0),"ERROR")</f>
        <v>9725</v>
      </c>
      <c r="J60" s="223">
        <f t="shared" si="1"/>
        <v>0.55149143699671088</v>
      </c>
      <c r="K60" s="225">
        <f>IFERROR(VLOOKUP($B60,MMWR_TRAD_AGG_RO_COMP[],K$1,0),"ERROR")</f>
        <v>4434</v>
      </c>
      <c r="L60" s="226">
        <f>IFERROR(VLOOKUP($B60,MMWR_TRAD_AGG_RO_COMP[],L$1,0),"ERROR")</f>
        <v>2523</v>
      </c>
      <c r="M60" s="223">
        <f t="shared" si="2"/>
        <v>0.56901217861975639</v>
      </c>
      <c r="N60" s="225">
        <f>IFERROR(VLOOKUP($B60,MMWR_TRAD_AGG_RO_COMP[],N$1,0),"ERROR")</f>
        <v>2584</v>
      </c>
      <c r="O60" s="226">
        <f>IFERROR(VLOOKUP($B60,MMWR_TRAD_AGG_RO_COMP[],O$1,0),"ERROR")</f>
        <v>1658</v>
      </c>
      <c r="P60" s="223">
        <f t="shared" si="3"/>
        <v>0.64164086687306499</v>
      </c>
      <c r="Q60" s="227">
        <f>IFERROR(VLOOKUP($B60,MMWR_TRAD_AGG_RO_COMP[],Q$1,0),"ERROR")</f>
        <v>0</v>
      </c>
      <c r="R60" s="227">
        <f>IFERROR(VLOOKUP($B60,MMWR_TRAD_AGG_RO_COMP[],R$1,0),"ERROR")</f>
        <v>59</v>
      </c>
      <c r="S60" s="201">
        <f>IFERROR(VLOOKUP($B60,MMWR_APP_RO[],S$1,0),"ERROR")</f>
        <v>4398</v>
      </c>
      <c r="T60" s="28"/>
    </row>
    <row r="61" spans="1:20" x14ac:dyDescent="0.2">
      <c r="A61" s="28"/>
      <c r="B61" s="116" t="s">
        <v>76</v>
      </c>
      <c r="C61" s="228">
        <f>IFERROR(VLOOKUP($B61,MMWR_TRAD_AGG_RO_COMP[],C$1,0),"ERROR")</f>
        <v>11745</v>
      </c>
      <c r="D61" s="229">
        <f>IFERROR(VLOOKUP($B61,MMWR_TRAD_AGG_RO_COMP[],D$1,0),"ERROR")</f>
        <v>387.14303959130001</v>
      </c>
      <c r="E61" s="230">
        <f>IFERROR(VLOOKUP($B61,MMWR_TRAD_AGG_RO_COMP[],E$1,0),"ERROR")</f>
        <v>7599</v>
      </c>
      <c r="F61" s="231">
        <f>IFERROR(VLOOKUP($B61,MMWR_TRAD_AGG_RO_COMP[],F$1,0),"ERROR")</f>
        <v>1163</v>
      </c>
      <c r="G61" s="232">
        <f t="shared" si="0"/>
        <v>0.15304645348072116</v>
      </c>
      <c r="H61" s="233">
        <f>IFERROR(VLOOKUP($B61,MMWR_TRAD_AGG_RO_COMP[],H$1,0),"ERROR")</f>
        <v>16661</v>
      </c>
      <c r="I61" s="231">
        <f>IFERROR(VLOOKUP($B61,MMWR_TRAD_AGG_RO_COMP[],I$1,0),"ERROR")</f>
        <v>11953</v>
      </c>
      <c r="J61" s="232">
        <f t="shared" si="1"/>
        <v>0.71742392413420564</v>
      </c>
      <c r="K61" s="234">
        <f>IFERROR(VLOOKUP($B61,MMWR_TRAD_AGG_RO_COMP[],K$1,0),"ERROR")</f>
        <v>5051</v>
      </c>
      <c r="L61" s="235">
        <f>IFERROR(VLOOKUP($B61,MMWR_TRAD_AGG_RO_COMP[],L$1,0),"ERROR")</f>
        <v>3874</v>
      </c>
      <c r="M61" s="232">
        <f t="shared" si="2"/>
        <v>0.76697683627004554</v>
      </c>
      <c r="N61" s="234">
        <f>IFERROR(VLOOKUP($B61,MMWR_TRAD_AGG_RO_COMP[],N$1,0),"ERROR")</f>
        <v>4273</v>
      </c>
      <c r="O61" s="235">
        <f>IFERROR(VLOOKUP($B61,MMWR_TRAD_AGG_RO_COMP[],O$1,0),"ERROR")</f>
        <v>3597</v>
      </c>
      <c r="P61" s="232">
        <f t="shared" si="3"/>
        <v>0.84179733208518603</v>
      </c>
      <c r="Q61" s="236">
        <f>IFERROR(VLOOKUP($B61,MMWR_TRAD_AGG_RO_COMP[],Q$1,0),"ERROR")</f>
        <v>2</v>
      </c>
      <c r="R61" s="236">
        <f>IFERROR(VLOOKUP($B61,MMWR_TRAD_AGG_RO_COMP[],R$1,0),"ERROR")</f>
        <v>150</v>
      </c>
      <c r="S61" s="201">
        <f>IFERROR(VLOOKUP($B61,MMWR_APP_RO[],S$1,0),"ERROR")</f>
        <v>5231</v>
      </c>
      <c r="T61" s="28"/>
    </row>
    <row r="62" spans="1:20" x14ac:dyDescent="0.2">
      <c r="A62" s="28"/>
      <c r="B62" s="101" t="s">
        <v>384</v>
      </c>
      <c r="C62" s="212">
        <f>IFERROR(VLOOKUP($B62,MMWR_TRAD_AGG_DISTRICT_COMP[],C$1,0),"ERROR")</f>
        <v>65500</v>
      </c>
      <c r="D62" s="197">
        <f>IFERROR(VLOOKUP($B62,MMWR_TRAD_AGG_DISTRICT_COMP[],D$1,0),"ERROR")</f>
        <v>339.6992366412</v>
      </c>
      <c r="E62" s="213">
        <f>IFERROR(VLOOKUP($B62,MMWR_TRAD_AGG_DISTRICT_COMP[],E$1,0),"ERROR")</f>
        <v>69583</v>
      </c>
      <c r="F62" s="218">
        <f>IFERROR(VLOOKUP($B62,MMWR_TRAD_AGG_DISTRICT_COMP[],F$1,0),"ERROR")</f>
        <v>17430</v>
      </c>
      <c r="G62" s="214">
        <f t="shared" si="0"/>
        <v>0.25049221792679244</v>
      </c>
      <c r="H62" s="218">
        <f>IFERROR(VLOOKUP($B62,MMWR_TRAD_AGG_DISTRICT_COMP[],H$1,0),"ERROR")</f>
        <v>91247</v>
      </c>
      <c r="I62" s="218">
        <f>IFERROR(VLOOKUP($B62,MMWR_TRAD_AGG_DISTRICT_COMP[],I$1,0),"ERROR")</f>
        <v>61194</v>
      </c>
      <c r="J62" s="214">
        <f t="shared" si="1"/>
        <v>0.67064122656087322</v>
      </c>
      <c r="K62" s="212">
        <f>IFERROR(VLOOKUP($B62,MMWR_TRAD_AGG_DISTRICT_COMP[],K$1,0),"ERROR")</f>
        <v>26778</v>
      </c>
      <c r="L62" s="212">
        <f>IFERROR(VLOOKUP($B62,MMWR_TRAD_AGG_DISTRICT_COMP[],L$1,0),"ERROR")</f>
        <v>18347</v>
      </c>
      <c r="M62" s="214">
        <f t="shared" si="2"/>
        <v>0.68515199043991337</v>
      </c>
      <c r="N62" s="212">
        <f>IFERROR(VLOOKUP($B62,MMWR_TRAD_AGG_DISTRICT_COMP[],N$1,0),"ERROR")</f>
        <v>30014</v>
      </c>
      <c r="O62" s="212">
        <f>IFERROR(VLOOKUP($B62,MMWR_TRAD_AGG_DISTRICT_COMP[],O$1,0),"ERROR")</f>
        <v>21573</v>
      </c>
      <c r="P62" s="214">
        <f t="shared" si="3"/>
        <v>0.71876457653095227</v>
      </c>
      <c r="Q62" s="212">
        <f>IFERROR(VLOOKUP($B62,MMWR_TRAD_AGG_DISTRICT_COMP[],Q$1,0),"ERROR")</f>
        <v>158</v>
      </c>
      <c r="R62" s="215">
        <f>IFERROR(VLOOKUP($B62,MMWR_TRAD_AGG_DISTRICT_COMP[],R$1,0),"ERROR")</f>
        <v>1210</v>
      </c>
      <c r="S62" s="215">
        <f>IFERROR(VLOOKUP($B62,MMWR_APP_RO[],S$1,0),"ERROR")</f>
        <v>88203</v>
      </c>
      <c r="T62" s="28"/>
    </row>
    <row r="63" spans="1:20" x14ac:dyDescent="0.2">
      <c r="A63" s="28"/>
      <c r="B63" s="108" t="s">
        <v>25</v>
      </c>
      <c r="C63" s="219">
        <f>IFERROR(VLOOKUP($B63,MMWR_TRAD_AGG_RO_COMP[],C$1,0),"ERROR")</f>
        <v>12985</v>
      </c>
      <c r="D63" s="220">
        <f>IFERROR(VLOOKUP($B63,MMWR_TRAD_AGG_RO_COMP[],D$1,0),"ERROR")</f>
        <v>342.3708894879</v>
      </c>
      <c r="E63" s="221">
        <f>IFERROR(VLOOKUP($B63,MMWR_TRAD_AGG_RO_COMP[],E$1,0),"ERROR")</f>
        <v>16377</v>
      </c>
      <c r="F63" s="222">
        <f>IFERROR(VLOOKUP($B63,MMWR_TRAD_AGG_RO_COMP[],F$1,0),"ERROR")</f>
        <v>4196</v>
      </c>
      <c r="G63" s="223">
        <f t="shared" si="0"/>
        <v>0.25621298162056544</v>
      </c>
      <c r="H63" s="224">
        <f>IFERROR(VLOOKUP($B63,MMWR_TRAD_AGG_RO_COMP[],H$1,0),"ERROR")</f>
        <v>18551</v>
      </c>
      <c r="I63" s="222">
        <f>IFERROR(VLOOKUP($B63,MMWR_TRAD_AGG_RO_COMP[],I$1,0),"ERROR")</f>
        <v>13233</v>
      </c>
      <c r="J63" s="223">
        <f t="shared" si="1"/>
        <v>0.71333081774567408</v>
      </c>
      <c r="K63" s="225">
        <f>IFERROR(VLOOKUP($B63,MMWR_TRAD_AGG_RO_COMP[],K$1,0),"ERROR")</f>
        <v>7381</v>
      </c>
      <c r="L63" s="226">
        <f>IFERROR(VLOOKUP($B63,MMWR_TRAD_AGG_RO_COMP[],L$1,0),"ERROR")</f>
        <v>4968</v>
      </c>
      <c r="M63" s="223">
        <f t="shared" si="2"/>
        <v>0.67307952851917086</v>
      </c>
      <c r="N63" s="225">
        <f>IFERROR(VLOOKUP($B63,MMWR_TRAD_AGG_RO_COMP[],N$1,0),"ERROR")</f>
        <v>10948</v>
      </c>
      <c r="O63" s="226">
        <f>IFERROR(VLOOKUP($B63,MMWR_TRAD_AGG_RO_COMP[],O$1,0),"ERROR")</f>
        <v>9773</v>
      </c>
      <c r="P63" s="223">
        <f t="shared" si="3"/>
        <v>0.89267446108878334</v>
      </c>
      <c r="Q63" s="227">
        <f>IFERROR(VLOOKUP($B63,MMWR_TRAD_AGG_RO_COMP[],Q$1,0),"ERROR")</f>
        <v>64</v>
      </c>
      <c r="R63" s="227">
        <f>IFERROR(VLOOKUP($B63,MMWR_TRAD_AGG_RO_COMP[],R$1,0),"ERROR")</f>
        <v>6</v>
      </c>
      <c r="S63" s="201">
        <f>IFERROR(VLOOKUP($B63,MMWR_APP_RO[],S$1,0),"ERROR")</f>
        <v>17158</v>
      </c>
      <c r="T63" s="28"/>
    </row>
    <row r="64" spans="1:20" x14ac:dyDescent="0.2">
      <c r="A64" s="28"/>
      <c r="B64" s="108" t="s">
        <v>42</v>
      </c>
      <c r="C64" s="219">
        <f>IFERROR(VLOOKUP($B64,MMWR_TRAD_AGG_RO_COMP[],C$1,0),"ERROR")</f>
        <v>10523</v>
      </c>
      <c r="D64" s="220">
        <f>IFERROR(VLOOKUP($B64,MMWR_TRAD_AGG_RO_COMP[],D$1,0),"ERROR")</f>
        <v>282.37688871990002</v>
      </c>
      <c r="E64" s="221">
        <f>IFERROR(VLOOKUP($B64,MMWR_TRAD_AGG_RO_COMP[],E$1,0),"ERROR")</f>
        <v>8596</v>
      </c>
      <c r="F64" s="222">
        <f>IFERROR(VLOOKUP($B64,MMWR_TRAD_AGG_RO_COMP[],F$1,0),"ERROR")</f>
        <v>2487</v>
      </c>
      <c r="G64" s="223">
        <f t="shared" si="0"/>
        <v>0.28932061423918104</v>
      </c>
      <c r="H64" s="224">
        <f>IFERROR(VLOOKUP($B64,MMWR_TRAD_AGG_RO_COMP[],H$1,0),"ERROR")</f>
        <v>17777</v>
      </c>
      <c r="I64" s="222">
        <f>IFERROR(VLOOKUP($B64,MMWR_TRAD_AGG_RO_COMP[],I$1,0),"ERROR")</f>
        <v>11766</v>
      </c>
      <c r="J64" s="223">
        <f t="shared" si="1"/>
        <v>0.66186645665747879</v>
      </c>
      <c r="K64" s="225">
        <f>IFERROR(VLOOKUP($B64,MMWR_TRAD_AGG_RO_COMP[],K$1,0),"ERROR")</f>
        <v>2971</v>
      </c>
      <c r="L64" s="226">
        <f>IFERROR(VLOOKUP($B64,MMWR_TRAD_AGG_RO_COMP[],L$1,0),"ERROR")</f>
        <v>2000</v>
      </c>
      <c r="M64" s="223">
        <f t="shared" si="2"/>
        <v>0.67317401548300237</v>
      </c>
      <c r="N64" s="225">
        <f>IFERROR(VLOOKUP($B64,MMWR_TRAD_AGG_RO_COMP[],N$1,0),"ERROR")</f>
        <v>1277</v>
      </c>
      <c r="O64" s="226">
        <f>IFERROR(VLOOKUP($B64,MMWR_TRAD_AGG_RO_COMP[],O$1,0),"ERROR")</f>
        <v>491</v>
      </c>
      <c r="P64" s="223">
        <f t="shared" si="3"/>
        <v>0.38449490994518404</v>
      </c>
      <c r="Q64" s="227">
        <f>IFERROR(VLOOKUP($B64,MMWR_TRAD_AGG_RO_COMP[],Q$1,0),"ERROR")</f>
        <v>0</v>
      </c>
      <c r="R64" s="227">
        <f>IFERROR(VLOOKUP($B64,MMWR_TRAD_AGG_RO_COMP[],R$1,0),"ERROR")</f>
        <v>53</v>
      </c>
      <c r="S64" s="201">
        <f>IFERROR(VLOOKUP($B64,MMWR_APP_RO[],S$1,0),"ERROR")</f>
        <v>12919</v>
      </c>
      <c r="T64" s="28"/>
    </row>
    <row r="65" spans="1:20" x14ac:dyDescent="0.2">
      <c r="A65" s="28"/>
      <c r="B65" s="108" t="s">
        <v>56</v>
      </c>
      <c r="C65" s="219">
        <f>IFERROR(VLOOKUP($B65,MMWR_TRAD_AGG_RO_COMP[],C$1,0),"ERROR")</f>
        <v>7522</v>
      </c>
      <c r="D65" s="220">
        <f>IFERROR(VLOOKUP($B65,MMWR_TRAD_AGG_RO_COMP[],D$1,0),"ERROR")</f>
        <v>500.53017814409998</v>
      </c>
      <c r="E65" s="221">
        <f>IFERROR(VLOOKUP($B65,MMWR_TRAD_AGG_RO_COMP[],E$1,0),"ERROR")</f>
        <v>3903</v>
      </c>
      <c r="F65" s="222">
        <f>IFERROR(VLOOKUP($B65,MMWR_TRAD_AGG_RO_COMP[],F$1,0),"ERROR")</f>
        <v>968</v>
      </c>
      <c r="G65" s="223">
        <f t="shared" si="0"/>
        <v>0.24801434793748398</v>
      </c>
      <c r="H65" s="224">
        <f>IFERROR(VLOOKUP($B65,MMWR_TRAD_AGG_RO_COMP[],H$1,0),"ERROR")</f>
        <v>11634</v>
      </c>
      <c r="I65" s="222">
        <f>IFERROR(VLOOKUP($B65,MMWR_TRAD_AGG_RO_COMP[],I$1,0),"ERROR")</f>
        <v>7950</v>
      </c>
      <c r="J65" s="223">
        <f t="shared" si="1"/>
        <v>0.68334192882929345</v>
      </c>
      <c r="K65" s="225">
        <f>IFERROR(VLOOKUP($B65,MMWR_TRAD_AGG_RO_COMP[],K$1,0),"ERROR")</f>
        <v>3414</v>
      </c>
      <c r="L65" s="226">
        <f>IFERROR(VLOOKUP($B65,MMWR_TRAD_AGG_RO_COMP[],L$1,0),"ERROR")</f>
        <v>2907</v>
      </c>
      <c r="M65" s="223">
        <f t="shared" si="2"/>
        <v>0.85149384885764501</v>
      </c>
      <c r="N65" s="225">
        <f>IFERROR(VLOOKUP($B65,MMWR_TRAD_AGG_RO_COMP[],N$1,0),"ERROR")</f>
        <v>1060</v>
      </c>
      <c r="O65" s="226">
        <f>IFERROR(VLOOKUP($B65,MMWR_TRAD_AGG_RO_COMP[],O$1,0),"ERROR")</f>
        <v>480</v>
      </c>
      <c r="P65" s="223">
        <f t="shared" si="3"/>
        <v>0.45283018867924529</v>
      </c>
      <c r="Q65" s="227">
        <f>IFERROR(VLOOKUP($B65,MMWR_TRAD_AGG_RO_COMP[],Q$1,0),"ERROR")</f>
        <v>82</v>
      </c>
      <c r="R65" s="227">
        <f>IFERROR(VLOOKUP($B65,MMWR_TRAD_AGG_RO_COMP[],R$1,0),"ERROR")</f>
        <v>264</v>
      </c>
      <c r="S65" s="201">
        <f>IFERROR(VLOOKUP($B65,MMWR_APP_RO[],S$1,0),"ERROR")</f>
        <v>4921</v>
      </c>
      <c r="T65" s="28"/>
    </row>
    <row r="66" spans="1:20" x14ac:dyDescent="0.2">
      <c r="A66" s="28"/>
      <c r="B66" s="108" t="s">
        <v>60</v>
      </c>
      <c r="C66" s="219">
        <f>IFERROR(VLOOKUP($B66,MMWR_TRAD_AGG_RO_COMP[],C$1,0),"ERROR")</f>
        <v>12184</v>
      </c>
      <c r="D66" s="220">
        <f>IFERROR(VLOOKUP($B66,MMWR_TRAD_AGG_RO_COMP[],D$1,0),"ERROR")</f>
        <v>377.38681877869999</v>
      </c>
      <c r="E66" s="221">
        <f>IFERROR(VLOOKUP($B66,MMWR_TRAD_AGG_RO_COMP[],E$1,0),"ERROR")</f>
        <v>7061</v>
      </c>
      <c r="F66" s="222">
        <f>IFERROR(VLOOKUP($B66,MMWR_TRAD_AGG_RO_COMP[],F$1,0),"ERROR")</f>
        <v>1452</v>
      </c>
      <c r="G66" s="223">
        <f t="shared" si="0"/>
        <v>0.2056365953830902</v>
      </c>
      <c r="H66" s="224">
        <f>IFERROR(VLOOKUP($B66,MMWR_TRAD_AGG_RO_COMP[],H$1,0),"ERROR")</f>
        <v>13533</v>
      </c>
      <c r="I66" s="222">
        <f>IFERROR(VLOOKUP($B66,MMWR_TRAD_AGG_RO_COMP[],I$1,0),"ERROR")</f>
        <v>9910</v>
      </c>
      <c r="J66" s="223">
        <f t="shared" si="1"/>
        <v>0.73228404640508382</v>
      </c>
      <c r="K66" s="225">
        <f>IFERROR(VLOOKUP($B66,MMWR_TRAD_AGG_RO_COMP[],K$1,0),"ERROR")</f>
        <v>4636</v>
      </c>
      <c r="L66" s="226">
        <f>IFERROR(VLOOKUP($B66,MMWR_TRAD_AGG_RO_COMP[],L$1,0),"ERROR")</f>
        <v>3706</v>
      </c>
      <c r="M66" s="223">
        <f t="shared" si="2"/>
        <v>0.79939603106125967</v>
      </c>
      <c r="N66" s="225">
        <f>IFERROR(VLOOKUP($B66,MMWR_TRAD_AGG_RO_COMP[],N$1,0),"ERROR")</f>
        <v>1797</v>
      </c>
      <c r="O66" s="226">
        <f>IFERROR(VLOOKUP($B66,MMWR_TRAD_AGG_RO_COMP[],O$1,0),"ERROR")</f>
        <v>1248</v>
      </c>
      <c r="P66" s="223">
        <f t="shared" si="3"/>
        <v>0.69449081803005008</v>
      </c>
      <c r="Q66" s="227">
        <f>IFERROR(VLOOKUP($B66,MMWR_TRAD_AGG_RO_COMP[],Q$1,0),"ERROR")</f>
        <v>0</v>
      </c>
      <c r="R66" s="227">
        <f>IFERROR(VLOOKUP($B66,MMWR_TRAD_AGG_RO_COMP[],R$1,0),"ERROR")</f>
        <v>374</v>
      </c>
      <c r="S66" s="201">
        <f>IFERROR(VLOOKUP($B66,MMWR_APP_RO[],S$1,0),"ERROR")</f>
        <v>10313</v>
      </c>
      <c r="T66" s="28"/>
    </row>
    <row r="67" spans="1:20" x14ac:dyDescent="0.2">
      <c r="A67" s="28"/>
      <c r="B67" s="108" t="s">
        <v>61</v>
      </c>
      <c r="C67" s="219">
        <f>IFERROR(VLOOKUP($B67,MMWR_TRAD_AGG_RO_COMP[],C$1,0),"ERROR")</f>
        <v>4654</v>
      </c>
      <c r="D67" s="220">
        <f>IFERROR(VLOOKUP($B67,MMWR_TRAD_AGG_RO_COMP[],D$1,0),"ERROR")</f>
        <v>237.3205844435</v>
      </c>
      <c r="E67" s="221">
        <f>IFERROR(VLOOKUP($B67,MMWR_TRAD_AGG_RO_COMP[],E$1,0),"ERROR")</f>
        <v>10194</v>
      </c>
      <c r="F67" s="222">
        <f>IFERROR(VLOOKUP($B67,MMWR_TRAD_AGG_RO_COMP[],F$1,0),"ERROR")</f>
        <v>2368</v>
      </c>
      <c r="G67" s="223">
        <f t="shared" si="0"/>
        <v>0.2322935059839121</v>
      </c>
      <c r="H67" s="224">
        <f>IFERROR(VLOOKUP($B67,MMWR_TRAD_AGG_RO_COMP[],H$1,0),"ERROR")</f>
        <v>7722</v>
      </c>
      <c r="I67" s="222">
        <f>IFERROR(VLOOKUP($B67,MMWR_TRAD_AGG_RO_COMP[],I$1,0),"ERROR")</f>
        <v>3889</v>
      </c>
      <c r="J67" s="223">
        <f t="shared" si="1"/>
        <v>0.50362600362600363</v>
      </c>
      <c r="K67" s="225">
        <f>IFERROR(VLOOKUP($B67,MMWR_TRAD_AGG_RO_COMP[],K$1,0),"ERROR")</f>
        <v>3041</v>
      </c>
      <c r="L67" s="226">
        <f>IFERROR(VLOOKUP($B67,MMWR_TRAD_AGG_RO_COMP[],L$1,0),"ERROR")</f>
        <v>1809</v>
      </c>
      <c r="M67" s="223">
        <f t="shared" si="2"/>
        <v>0.59487010851693523</v>
      </c>
      <c r="N67" s="225">
        <f>IFERROR(VLOOKUP($B67,MMWR_TRAD_AGG_RO_COMP[],N$1,0),"ERROR")</f>
        <v>1713</v>
      </c>
      <c r="O67" s="226">
        <f>IFERROR(VLOOKUP($B67,MMWR_TRAD_AGG_RO_COMP[],O$1,0),"ERROR")</f>
        <v>1108</v>
      </c>
      <c r="P67" s="223">
        <f t="shared" si="3"/>
        <v>0.64681844716870984</v>
      </c>
      <c r="Q67" s="227">
        <f>IFERROR(VLOOKUP($B67,MMWR_TRAD_AGG_RO_COMP[],Q$1,0),"ERROR")</f>
        <v>1</v>
      </c>
      <c r="R67" s="227">
        <f>IFERROR(VLOOKUP($B67,MMWR_TRAD_AGG_RO_COMP[],R$1,0),"ERROR")</f>
        <v>257</v>
      </c>
      <c r="S67" s="201">
        <f>IFERROR(VLOOKUP($B67,MMWR_APP_RO[],S$1,0),"ERROR")</f>
        <v>6492</v>
      </c>
      <c r="T67" s="28"/>
    </row>
    <row r="68" spans="1:20" x14ac:dyDescent="0.2">
      <c r="A68" s="28"/>
      <c r="B68" s="108" t="s">
        <v>75</v>
      </c>
      <c r="C68" s="219">
        <f>IFERROR(VLOOKUP($B68,MMWR_TRAD_AGG_RO_COMP[],C$1,0),"ERROR")</f>
        <v>1700</v>
      </c>
      <c r="D68" s="220">
        <f>IFERROR(VLOOKUP($B68,MMWR_TRAD_AGG_RO_COMP[],D$1,0),"ERROR")</f>
        <v>301.85647058820001</v>
      </c>
      <c r="E68" s="221">
        <f>IFERROR(VLOOKUP($B68,MMWR_TRAD_AGG_RO_COMP[],E$1,0),"ERROR")</f>
        <v>3160</v>
      </c>
      <c r="F68" s="222">
        <f>IFERROR(VLOOKUP($B68,MMWR_TRAD_AGG_RO_COMP[],F$1,0),"ERROR")</f>
        <v>842</v>
      </c>
      <c r="G68" s="223">
        <f t="shared" si="0"/>
        <v>0.26645569620253162</v>
      </c>
      <c r="H68" s="224">
        <f>IFERROR(VLOOKUP($B68,MMWR_TRAD_AGG_RO_COMP[],H$1,0),"ERROR")</f>
        <v>2736</v>
      </c>
      <c r="I68" s="222">
        <f>IFERROR(VLOOKUP($B68,MMWR_TRAD_AGG_RO_COMP[],I$1,0),"ERROR")</f>
        <v>2054</v>
      </c>
      <c r="J68" s="223">
        <f t="shared" si="1"/>
        <v>0.7507309941520468</v>
      </c>
      <c r="K68" s="225">
        <f>IFERROR(VLOOKUP($B68,MMWR_TRAD_AGG_RO_COMP[],K$1,0),"ERROR")</f>
        <v>830</v>
      </c>
      <c r="L68" s="226">
        <f>IFERROR(VLOOKUP($B68,MMWR_TRAD_AGG_RO_COMP[],L$1,0),"ERROR")</f>
        <v>601</v>
      </c>
      <c r="M68" s="223">
        <f t="shared" si="2"/>
        <v>0.72409638554216871</v>
      </c>
      <c r="N68" s="225">
        <f>IFERROR(VLOOKUP($B68,MMWR_TRAD_AGG_RO_COMP[],N$1,0),"ERROR")</f>
        <v>1043</v>
      </c>
      <c r="O68" s="226">
        <f>IFERROR(VLOOKUP($B68,MMWR_TRAD_AGG_RO_COMP[],O$1,0),"ERROR")</f>
        <v>780</v>
      </c>
      <c r="P68" s="223">
        <f t="shared" si="3"/>
        <v>0.74784276126558002</v>
      </c>
      <c r="Q68" s="227">
        <f>IFERROR(VLOOKUP($B68,MMWR_TRAD_AGG_RO_COMP[],Q$1,0),"ERROR")</f>
        <v>0</v>
      </c>
      <c r="R68" s="227">
        <f>IFERROR(VLOOKUP($B68,MMWR_TRAD_AGG_RO_COMP[],R$1,0),"ERROR")</f>
        <v>3</v>
      </c>
      <c r="S68" s="201">
        <f>IFERROR(VLOOKUP($B68,MMWR_APP_RO[],S$1,0),"ERROR")</f>
        <v>5996</v>
      </c>
      <c r="T68" s="28"/>
    </row>
    <row r="69" spans="1:20" x14ac:dyDescent="0.2">
      <c r="A69" s="28"/>
      <c r="B69" s="116" t="s">
        <v>80</v>
      </c>
      <c r="C69" s="228">
        <f>IFERROR(VLOOKUP($B69,MMWR_TRAD_AGG_RO_COMP[],C$1,0),"ERROR")</f>
        <v>15932</v>
      </c>
      <c r="D69" s="229">
        <f>IFERROR(VLOOKUP($B69,MMWR_TRAD_AGG_RO_COMP[],D$1,0),"ERROR")</f>
        <v>304.57237007280003</v>
      </c>
      <c r="E69" s="230">
        <f>IFERROR(VLOOKUP($B69,MMWR_TRAD_AGG_RO_COMP[],E$1,0),"ERROR")</f>
        <v>20292</v>
      </c>
      <c r="F69" s="231">
        <f>IFERROR(VLOOKUP($B69,MMWR_TRAD_AGG_RO_COMP[],F$1,0),"ERROR")</f>
        <v>5117</v>
      </c>
      <c r="G69" s="232">
        <f t="shared" si="0"/>
        <v>0.25216834220382417</v>
      </c>
      <c r="H69" s="233">
        <f>IFERROR(VLOOKUP($B69,MMWR_TRAD_AGG_RO_COMP[],H$1,0),"ERROR")</f>
        <v>19294</v>
      </c>
      <c r="I69" s="231">
        <f>IFERROR(VLOOKUP($B69,MMWR_TRAD_AGG_RO_COMP[],I$1,0),"ERROR")</f>
        <v>12392</v>
      </c>
      <c r="J69" s="232">
        <f t="shared" si="1"/>
        <v>0.64227220897688397</v>
      </c>
      <c r="K69" s="234">
        <f>IFERROR(VLOOKUP($B69,MMWR_TRAD_AGG_RO_COMP[],K$1,0),"ERROR")</f>
        <v>4505</v>
      </c>
      <c r="L69" s="235">
        <f>IFERROR(VLOOKUP($B69,MMWR_TRAD_AGG_RO_COMP[],L$1,0),"ERROR")</f>
        <v>2356</v>
      </c>
      <c r="M69" s="232">
        <f t="shared" si="2"/>
        <v>0.52297447280799114</v>
      </c>
      <c r="N69" s="234">
        <f>IFERROR(VLOOKUP($B69,MMWR_TRAD_AGG_RO_COMP[],N$1,0),"ERROR")</f>
        <v>12176</v>
      </c>
      <c r="O69" s="235">
        <f>IFERROR(VLOOKUP($B69,MMWR_TRAD_AGG_RO_COMP[],O$1,0),"ERROR")</f>
        <v>7693</v>
      </c>
      <c r="P69" s="232">
        <f t="shared" si="3"/>
        <v>0.63181668856767415</v>
      </c>
      <c r="Q69" s="236">
        <f>IFERROR(VLOOKUP($B69,MMWR_TRAD_AGG_RO_COMP[],Q$1,0),"ERROR")</f>
        <v>11</v>
      </c>
      <c r="R69" s="236">
        <f>IFERROR(VLOOKUP($B69,MMWR_TRAD_AGG_RO_COMP[],R$1,0),"ERROR")</f>
        <v>253</v>
      </c>
      <c r="S69" s="201">
        <f>IFERROR(VLOOKUP($B69,MMWR_APP_RO[],S$1,0),"ERROR")</f>
        <v>30404</v>
      </c>
      <c r="T69" s="28"/>
    </row>
    <row r="70" spans="1:20" x14ac:dyDescent="0.2">
      <c r="A70" s="28"/>
      <c r="B70" s="101" t="s">
        <v>8</v>
      </c>
      <c r="C70" s="212">
        <f>IFERROR(VLOOKUP($B70,MMWR_TRAD_AGG_RO_COMP[],C$1,0),"ERROR")</f>
        <v>54</v>
      </c>
      <c r="D70" s="197">
        <f>IFERROR(VLOOKUP($B70,MMWR_TRAD_AGG_RO_COMP[],D$1,0),"ERROR")</f>
        <v>850.2777777778</v>
      </c>
      <c r="E70" s="213">
        <f>IFERROR(VLOOKUP($B70,MMWR_TRAD_AGG_RO_COMP[],E$1,0),"ERROR")</f>
        <v>40</v>
      </c>
      <c r="F70" s="218">
        <f>IFERROR(VLOOKUP($B70,MMWR_TRAD_AGG_RO_COMP[],F$1,0),"ERROR")</f>
        <v>2</v>
      </c>
      <c r="G70" s="214">
        <f>IFERROR(F70/E70,"0%")</f>
        <v>0.05</v>
      </c>
      <c r="H70" s="218">
        <f>IFERROR(VLOOKUP($B70,MMWR_TRAD_AGG_RO_COMP[],H$1,0),"ERROR")</f>
        <v>59</v>
      </c>
      <c r="I70" s="218">
        <f>IFERROR(VLOOKUP($B70,MMWR_TRAD_AGG_RO_COMP[],I$1,0),"ERROR")</f>
        <v>50</v>
      </c>
      <c r="J70" s="214">
        <f>IFERROR(I70/H70,"0%")</f>
        <v>0.84745762711864403</v>
      </c>
      <c r="K70" s="212">
        <f>IFERROR(VLOOKUP($B70,MMWR_TRAD_AGG_RO_COMP[],K$1,0),"ERROR")</f>
        <v>9</v>
      </c>
      <c r="L70" s="212">
        <f>IFERROR(VLOOKUP($B70,MMWR_TRAD_AGG_RO_COMP[],L$1,0),"ERROR")</f>
        <v>8</v>
      </c>
      <c r="M70" s="214">
        <f>IFERROR(L70/K70,"0%")</f>
        <v>0.88888888888888884</v>
      </c>
      <c r="N70" s="212">
        <f>IFERROR(VLOOKUP($B70,MMWR_TRAD_AGG_RO_COMP[],N$1,0),"ERROR")</f>
        <v>49201</v>
      </c>
      <c r="O70" s="212">
        <f>IFERROR(VLOOKUP($B70,MMWR_TRAD_AGG_RO_COMP[],O$1,0),"ERROR")</f>
        <v>26138</v>
      </c>
      <c r="P70" s="214">
        <f>IFERROR(O70/N70,"0%")</f>
        <v>0.53124936485030794</v>
      </c>
      <c r="Q70" s="212">
        <f>IFERROR(VLOOKUP($B70,MMWR_TRAD_AGG_RO_COMP[],Q$1,0),"ERROR")</f>
        <v>0</v>
      </c>
      <c r="R70" s="215">
        <f>IFERROR(VLOOKUP($B70,MMWR_TRAD_AGG_RO_COMP[],R$1,0),"ERROR")</f>
        <v>1</v>
      </c>
      <c r="S70" s="215">
        <f>IFERROR(VLOOKUP($B70,MMWR_APP_RO[],S$1,0),"ERROR")</f>
        <v>10864</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491</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228</v>
      </c>
      <c r="D73" s="457"/>
      <c r="E73" s="458" t="s">
        <v>208</v>
      </c>
      <c r="F73" s="459"/>
      <c r="G73" s="460"/>
      <c r="H73" s="458" t="s">
        <v>7</v>
      </c>
      <c r="I73" s="459"/>
      <c r="J73" s="460"/>
      <c r="K73" s="458" t="s">
        <v>33</v>
      </c>
      <c r="L73" s="459"/>
      <c r="M73" s="460"/>
      <c r="N73" s="458" t="s">
        <v>8</v>
      </c>
      <c r="O73" s="459"/>
      <c r="P73" s="460"/>
      <c r="Q73" s="81" t="s">
        <v>9</v>
      </c>
      <c r="R73" s="82" t="s">
        <v>10</v>
      </c>
      <c r="S73" s="82" t="s">
        <v>11</v>
      </c>
      <c r="T73" s="28"/>
    </row>
    <row r="74" spans="1:20" ht="38.25" x14ac:dyDescent="0.2">
      <c r="A74" s="91"/>
      <c r="B74" s="118"/>
      <c r="C74" s="84" t="s">
        <v>12</v>
      </c>
      <c r="D74" s="85" t="s">
        <v>137</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492</v>
      </c>
      <c r="T74" s="28"/>
    </row>
    <row r="75" spans="1:20" x14ac:dyDescent="0.2">
      <c r="A75" s="25"/>
      <c r="B75" s="101" t="s">
        <v>466</v>
      </c>
      <c r="C75" s="237">
        <f>IFERROR(VLOOKUP($B75,MMWR_TRAD_AGG_RO_PEN[],C$1,0),"ERROR")</f>
        <v>21626</v>
      </c>
      <c r="D75" s="238">
        <f>IFERROR(VLOOKUP($B75,MMWR_TRAD_AGG_RO_PEN[],D$1,0),"ERROR")</f>
        <v>77.239249052100007</v>
      </c>
      <c r="E75" s="237">
        <f>IFERROR(VLOOKUP($B75,MMWR_TRAD_AGG_RO_PEN[],E$1,0),"ERROR")</f>
        <v>32086</v>
      </c>
      <c r="F75" s="237">
        <f>IFERROR(VLOOKUP($B75,MMWR_TRAD_AGG_RO_PEN[],F$1,0),"ERROR")</f>
        <v>5319</v>
      </c>
      <c r="G75" s="239">
        <f>IFERROR(F75/E75,"0%")</f>
        <v>0.16577323443246275</v>
      </c>
      <c r="H75" s="237">
        <f>IFERROR(VLOOKUP($B75,MMWR_TRAD_AGG_RO_PEN[],H$1,0),"ERROR")</f>
        <v>29656</v>
      </c>
      <c r="I75" s="237">
        <f>IFERROR(VLOOKUP($B75,MMWR_TRAD_AGG_RO_PEN[],I$1,0),"ERROR")</f>
        <v>6890</v>
      </c>
      <c r="J75" s="239">
        <f>IFERROR(I75/H75,"0%")</f>
        <v>0.23233072565416779</v>
      </c>
      <c r="K75" s="237">
        <f>IFERROR(VLOOKUP($B75,MMWR_TRAD_AGG_RO_PEN[],K$1,0),"ERROR")</f>
        <v>367</v>
      </c>
      <c r="L75" s="237">
        <f>IFERROR(VLOOKUP($B75,MMWR_TRAD_AGG_RO_PEN[],L$1,0),"ERROR")</f>
        <v>342</v>
      </c>
      <c r="M75" s="239">
        <f>IFERROR(L75/K75,"0%")</f>
        <v>0.93188010899182561</v>
      </c>
      <c r="N75" s="237">
        <f>IFERROR(VLOOKUP($B75,MMWR_TRAD_AGG_RO_PEN[],N$1,0),"ERROR")</f>
        <v>1702</v>
      </c>
      <c r="O75" s="237">
        <f>IFERROR(VLOOKUP($B75,MMWR_TRAD_AGG_RO_PEN[],O$1,0),"ERROR")</f>
        <v>611</v>
      </c>
      <c r="P75" s="239">
        <f>IFERROR(O75/N75,"0%")</f>
        <v>0.35898942420681551</v>
      </c>
      <c r="Q75" s="237">
        <f>IFERROR(VLOOKUP($B75,MMWR_TRAD_AGG_RO_PEN[],Q$1,0),"ERROR")</f>
        <v>9623</v>
      </c>
      <c r="R75" s="240">
        <f>IFERROR(VLOOKUP($B75,MMWR_TRAD_AGG_RO_PEN[],R$1,0),"ERROR")</f>
        <v>6020</v>
      </c>
      <c r="S75" s="240">
        <f>IFERROR(VLOOKUP($B75,MMWR_APP_RO[],S$1,0),"ERROR")</f>
        <v>7217</v>
      </c>
      <c r="T75" s="28"/>
    </row>
    <row r="76" spans="1:20" x14ac:dyDescent="0.2">
      <c r="A76" s="107"/>
      <c r="B76" s="122" t="s">
        <v>213</v>
      </c>
      <c r="C76" s="241">
        <f>IFERROR(VLOOKUP($B76,MMWR_TRAD_AGG_RO_PEN[],C$1,0),"ERROR")</f>
        <v>14183</v>
      </c>
      <c r="D76" s="242">
        <f>IFERROR(VLOOKUP($B76,MMWR_TRAD_AGG_RO_PEN[],D$1,0),"ERROR")</f>
        <v>94.700627511799993</v>
      </c>
      <c r="E76" s="241">
        <f>IFERROR(VLOOKUP($B76,MMWR_TRAD_AGG_RO_PEN[],E$1,0),"ERROR")</f>
        <v>18268</v>
      </c>
      <c r="F76" s="241">
        <f>IFERROR(VLOOKUP($B76,MMWR_TRAD_AGG_RO_PEN[],F$1,0),"ERROR")</f>
        <v>4107</v>
      </c>
      <c r="G76" s="223">
        <f>IFERROR(F76/E76,"0%")</f>
        <v>0.22481935625136851</v>
      </c>
      <c r="H76" s="241">
        <f>IFERROR(VLOOKUP($B76,MMWR_TRAD_AGG_RO_PEN[],H$1,0),"ERROR")</f>
        <v>18674</v>
      </c>
      <c r="I76" s="241">
        <f>IFERROR(VLOOKUP($B76,MMWR_TRAD_AGG_RO_PEN[],I$1,0),"ERROR")</f>
        <v>6212</v>
      </c>
      <c r="J76" s="223">
        <f>IFERROR(I76/H76,"0%")</f>
        <v>0.33265502838170719</v>
      </c>
      <c r="K76" s="241">
        <f>IFERROR(VLOOKUP($B76,MMWR_TRAD_AGG_RO_PEN[],K$1,0),"ERROR")</f>
        <v>110</v>
      </c>
      <c r="L76" s="241">
        <f>IFERROR(VLOOKUP($B76,MMWR_TRAD_AGG_RO_PEN[],L$1,0),"ERROR")</f>
        <v>107</v>
      </c>
      <c r="M76" s="223">
        <f>IFERROR(L76/K76,"0%")</f>
        <v>0.97272727272727277</v>
      </c>
      <c r="N76" s="241">
        <f>IFERROR(VLOOKUP($B76,MMWR_TRAD_AGG_RO_PEN[],N$1,0),"ERROR")</f>
        <v>872</v>
      </c>
      <c r="O76" s="241">
        <f>IFERROR(VLOOKUP($B76,MMWR_TRAD_AGG_RO_PEN[],O$1,0),"ERROR")</f>
        <v>305</v>
      </c>
      <c r="P76" s="223">
        <f>IFERROR(O76/N76,"0%")</f>
        <v>0.34977064220183485</v>
      </c>
      <c r="Q76" s="241">
        <f>IFERROR(VLOOKUP($B76,MMWR_TRAD_AGG_RO_PEN[],Q$1,0),"ERROR")</f>
        <v>2200</v>
      </c>
      <c r="R76" s="241">
        <f>IFERROR(VLOOKUP($B76,MMWR_TRAD_AGG_RO_PEN[],R$1,0),"ERROR")</f>
        <v>4394</v>
      </c>
      <c r="S76" s="243">
        <f>IFERROR(VLOOKUP($B76,MMWR_APP_RO[],S$1,0),"ERROR")</f>
        <v>2753</v>
      </c>
      <c r="T76" s="28"/>
    </row>
    <row r="77" spans="1:20" x14ac:dyDescent="0.2">
      <c r="A77" s="107"/>
      <c r="B77" s="122" t="s">
        <v>212</v>
      </c>
      <c r="C77" s="241">
        <f>IFERROR(VLOOKUP($B77,MMWR_TRAD_AGG_RO_PEN[],C$1,0),"ERROR")</f>
        <v>4197</v>
      </c>
      <c r="D77" s="242">
        <f>IFERROR(VLOOKUP($B77,MMWR_TRAD_AGG_RO_PEN[],D$1,0),"ERROR")</f>
        <v>45.2127710269</v>
      </c>
      <c r="E77" s="241">
        <f>IFERROR(VLOOKUP($B77,MMWR_TRAD_AGG_RO_PEN[],E$1,0),"ERROR")</f>
        <v>7628</v>
      </c>
      <c r="F77" s="241">
        <f>IFERROR(VLOOKUP($B77,MMWR_TRAD_AGG_RO_PEN[],F$1,0),"ERROR")</f>
        <v>853</v>
      </c>
      <c r="G77" s="223">
        <f>IFERROR(F77/E77,"0%")</f>
        <v>0.11182485579444153</v>
      </c>
      <c r="H77" s="241">
        <f>IFERROR(VLOOKUP($B77,MMWR_TRAD_AGG_RO_PEN[],H$1,0),"ERROR")</f>
        <v>6071</v>
      </c>
      <c r="I77" s="241">
        <f>IFERROR(VLOOKUP($B77,MMWR_TRAD_AGG_RO_PEN[],I$1,0),"ERROR")</f>
        <v>298</v>
      </c>
      <c r="J77" s="223">
        <f>IFERROR(I77/H77,"0%")</f>
        <v>4.9085817822434527E-2</v>
      </c>
      <c r="K77" s="241">
        <f>IFERROR(VLOOKUP($B77,MMWR_TRAD_AGG_RO_PEN[],K$1,0),"ERROR")</f>
        <v>3</v>
      </c>
      <c r="L77" s="241">
        <f>IFERROR(VLOOKUP($B77,MMWR_TRAD_AGG_RO_PEN[],L$1,0),"ERROR")</f>
        <v>3</v>
      </c>
      <c r="M77" s="223">
        <f>IFERROR(L77/K77,"0%")</f>
        <v>1</v>
      </c>
      <c r="N77" s="241">
        <f>IFERROR(VLOOKUP($B77,MMWR_TRAD_AGG_RO_PEN[],N$1,0),"ERROR")</f>
        <v>428</v>
      </c>
      <c r="O77" s="241">
        <f>IFERROR(VLOOKUP($B77,MMWR_TRAD_AGG_RO_PEN[],O$1,0),"ERROR")</f>
        <v>78</v>
      </c>
      <c r="P77" s="223">
        <f>IFERROR(O77/N77,"0%")</f>
        <v>0.1822429906542056</v>
      </c>
      <c r="Q77" s="241">
        <f>IFERROR(VLOOKUP($B77,MMWR_TRAD_AGG_RO_PEN[],Q$1,0),"ERROR")</f>
        <v>1012</v>
      </c>
      <c r="R77" s="241">
        <f>IFERROR(VLOOKUP($B77,MMWR_TRAD_AGG_RO_PEN[],R$1,0),"ERROR")</f>
        <v>757</v>
      </c>
      <c r="S77" s="243">
        <f>IFERROR(VLOOKUP($B77,MMWR_APP_RO[],S$1,0),"ERROR")</f>
        <v>2693</v>
      </c>
      <c r="T77" s="28"/>
    </row>
    <row r="78" spans="1:20" x14ac:dyDescent="0.2">
      <c r="A78" s="107"/>
      <c r="B78" s="122" t="s">
        <v>215</v>
      </c>
      <c r="C78" s="241">
        <f>IFERROR(VLOOKUP($B78,MMWR_TRAD_AGG_RO_PEN[],C$1,0),"ERROR")</f>
        <v>3246</v>
      </c>
      <c r="D78" s="242">
        <f>IFERROR(VLOOKUP($B78,MMWR_TRAD_AGG_RO_PEN[],D$1,0),"ERROR")</f>
        <v>42.353357979099997</v>
      </c>
      <c r="E78" s="241">
        <f>IFERROR(VLOOKUP($B78,MMWR_TRAD_AGG_RO_PEN[],E$1,0),"ERROR")</f>
        <v>5907</v>
      </c>
      <c r="F78" s="241">
        <f>IFERROR(VLOOKUP($B78,MMWR_TRAD_AGG_RO_PEN[],F$1,0),"ERROR")</f>
        <v>236</v>
      </c>
      <c r="G78" s="223">
        <f>IFERROR(F78/E78,"0%")</f>
        <v>3.9952598611816492E-2</v>
      </c>
      <c r="H78" s="241">
        <f>IFERROR(VLOOKUP($B78,MMWR_TRAD_AGG_RO_PEN[],H$1,0),"ERROR")</f>
        <v>4430</v>
      </c>
      <c r="I78" s="241">
        <f>IFERROR(VLOOKUP($B78,MMWR_TRAD_AGG_RO_PEN[],I$1,0),"ERROR")</f>
        <v>41</v>
      </c>
      <c r="J78" s="223">
        <f>IFERROR(I78/H78,"0%")</f>
        <v>9.2550790067720094E-3</v>
      </c>
      <c r="K78" s="241">
        <f>IFERROR(VLOOKUP($B78,MMWR_TRAD_AGG_RO_PEN[],K$1,0),"ERROR")</f>
        <v>31</v>
      </c>
      <c r="L78" s="241">
        <f>IFERROR(VLOOKUP($B78,MMWR_TRAD_AGG_RO_PEN[],L$1,0),"ERROR")</f>
        <v>12</v>
      </c>
      <c r="M78" s="223">
        <f>IFERROR(L78/K78,"0%")</f>
        <v>0.38709677419354838</v>
      </c>
      <c r="N78" s="241">
        <f>IFERROR(VLOOKUP($B78,MMWR_TRAD_AGG_RO_PEN[],N$1,0),"ERROR")</f>
        <v>201</v>
      </c>
      <c r="O78" s="241">
        <f>IFERROR(VLOOKUP($B78,MMWR_TRAD_AGG_RO_PEN[],O$1,0),"ERROR")</f>
        <v>64</v>
      </c>
      <c r="P78" s="223">
        <f>IFERROR(O78/N78,"0%")</f>
        <v>0.31840796019900497</v>
      </c>
      <c r="Q78" s="241">
        <f>IFERROR(VLOOKUP($B78,MMWR_TRAD_AGG_RO_PEN[],Q$1,0),"ERROR")</f>
        <v>6400</v>
      </c>
      <c r="R78" s="241">
        <f>IFERROR(VLOOKUP($B78,MMWR_TRAD_AGG_RO_PEN[],R$1,0),"ERROR")</f>
        <v>869</v>
      </c>
      <c r="S78" s="243">
        <f>IFERROR(VLOOKUP($B78,MMWR_APP_RO[],S$1,0),"ERROR")</f>
        <v>1771</v>
      </c>
      <c r="T78" s="28"/>
    </row>
    <row r="79" spans="1:20" x14ac:dyDescent="0.2">
      <c r="A79" s="92"/>
      <c r="B79" s="101" t="s">
        <v>227</v>
      </c>
      <c r="C79" s="218">
        <f>IFERROR(VLOOKUP($B79,MMWR_TRAD_AGG_RO_PEN[],C$1,0),"ERROR")</f>
        <v>0</v>
      </c>
      <c r="D79" s="189">
        <f>IFERROR(VLOOKUP($B79,MMWR_TRAD_AGG_RO_PEN[],D$1,0),"ERROR")</f>
        <v>0</v>
      </c>
      <c r="E79" s="218">
        <f>IFERROR(VLOOKUP($B79,MMWR_TRAD_AGG_RO_PEN[],E$1,0),"ERROR")</f>
        <v>283</v>
      </c>
      <c r="F79" s="218">
        <f>IFERROR(VLOOKUP($B79,MMWR_TRAD_AGG_RO_PEN[],F$1,0),"ERROR")</f>
        <v>123</v>
      </c>
      <c r="G79" s="214">
        <f>IFERROR(F79/E79,"0%")</f>
        <v>0.43462897526501765</v>
      </c>
      <c r="H79" s="218">
        <f>IFERROR(VLOOKUP($B79,MMWR_TRAD_AGG_RO_PEN[],H$1,0),"ERROR")</f>
        <v>481</v>
      </c>
      <c r="I79" s="218">
        <f>IFERROR(VLOOKUP($B79,MMWR_TRAD_AGG_RO_PEN[],I$1,0),"ERROR")</f>
        <v>339</v>
      </c>
      <c r="J79" s="214">
        <f>IFERROR(I79/H79,"0%")</f>
        <v>0.70478170478170477</v>
      </c>
      <c r="K79" s="218">
        <f>IFERROR(VLOOKUP($B79,MMWR_TRAD_AGG_RO_PEN[],K$1,0),"ERROR")</f>
        <v>223</v>
      </c>
      <c r="L79" s="218">
        <f>IFERROR(VLOOKUP($B79,MMWR_TRAD_AGG_RO_PEN[],L$1,0),"ERROR")</f>
        <v>220</v>
      </c>
      <c r="M79" s="214">
        <f>IFERROR(L79/K79,"0%")</f>
        <v>0.98654708520179368</v>
      </c>
      <c r="N79" s="218">
        <f>IFERROR(VLOOKUP($B79,MMWR_TRAD_AGG_RO_PEN[],N$1,0),"ERROR")</f>
        <v>201</v>
      </c>
      <c r="O79" s="218">
        <f>IFERROR(VLOOKUP($B79,MMWR_TRAD_AGG_RO_PEN[],O$1,0),"ERROR")</f>
        <v>164</v>
      </c>
      <c r="P79" s="214">
        <f>IFERROR(O79/N79,"0%")</f>
        <v>0.8159203980099502</v>
      </c>
      <c r="Q79" s="218">
        <f>IFERROR(VLOOKUP($B79,MMWR_TRAD_AGG_RO_PEN[],Q$1,0),"ERROR")</f>
        <v>11</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JANUARY 30,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228</v>
      </c>
      <c r="D3" s="461"/>
      <c r="E3" s="458" t="s">
        <v>208</v>
      </c>
      <c r="F3" s="459"/>
      <c r="G3" s="460"/>
      <c r="H3" s="458" t="s">
        <v>7</v>
      </c>
      <c r="I3" s="459"/>
      <c r="J3" s="460"/>
      <c r="K3" s="458" t="s">
        <v>33</v>
      </c>
      <c r="L3" s="459"/>
      <c r="M3" s="460"/>
      <c r="N3" s="458" t="s">
        <v>8</v>
      </c>
      <c r="O3" s="459"/>
      <c r="P3" s="460"/>
      <c r="Q3" s="81" t="s">
        <v>9</v>
      </c>
      <c r="R3" s="82" t="s">
        <v>10</v>
      </c>
      <c r="S3" s="82" t="s">
        <v>11</v>
      </c>
      <c r="T3" s="28"/>
    </row>
    <row r="4" spans="1:20" s="123" customFormat="1"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492</v>
      </c>
      <c r="T4" s="28"/>
    </row>
    <row r="5" spans="1:20" s="123" customFormat="1" ht="26.25" x14ac:dyDescent="0.4">
      <c r="A5" s="25"/>
      <c r="B5" s="124"/>
      <c r="C5" s="453" t="s">
        <v>490</v>
      </c>
      <c r="D5" s="454"/>
      <c r="E5" s="454"/>
      <c r="F5" s="454"/>
      <c r="G5" s="454"/>
      <c r="H5" s="454"/>
      <c r="I5" s="454"/>
      <c r="J5" s="454"/>
      <c r="K5" s="454"/>
      <c r="L5" s="454"/>
      <c r="M5" s="454"/>
      <c r="N5" s="454"/>
      <c r="O5" s="454"/>
      <c r="P5" s="454"/>
      <c r="Q5" s="454"/>
      <c r="R5" s="454"/>
      <c r="S5" s="455"/>
      <c r="T5" s="28"/>
    </row>
    <row r="6" spans="1:20" s="123" customFormat="1" x14ac:dyDescent="0.2">
      <c r="A6" s="92"/>
      <c r="B6" s="125" t="s">
        <v>465</v>
      </c>
      <c r="C6" s="94">
        <f>IFERROR(VLOOKUP($B6,MMWR_TRAD_AGG_ST_DISTRICT_COMP[],C$1,0),"ERROR")</f>
        <v>314665</v>
      </c>
      <c r="D6" s="95">
        <f>IFERROR(VLOOKUP($B6,MMWR_TRAD_AGG_ST_DISTRICT_COMP[],D$1,0),"ERROR")</f>
        <v>388.3307358619</v>
      </c>
      <c r="E6" s="96">
        <f>IFERROR(VLOOKUP($B6,MMWR_TRAD_AGG_ST_DISTRICT_COMP[],E$1,0),"ERROR")</f>
        <v>323537</v>
      </c>
      <c r="F6" s="97">
        <f>IFERROR(VLOOKUP($B6,MMWR_TRAD_AGG_ST_DISTRICT_COMP[],F$1,0),"ERROR")</f>
        <v>75680</v>
      </c>
      <c r="G6" s="98">
        <f t="shared" ref="G6:G37" si="0">IFERROR(F6/E6,"0%")</f>
        <v>0.23391451364140731</v>
      </c>
      <c r="H6" s="96">
        <f>IFERROR(VLOOKUP($B6,MMWR_TRAD_AGG_ST_DISTRICT_COMP[],H$1,0),"ERROR")</f>
        <v>453285</v>
      </c>
      <c r="I6" s="97">
        <f>IFERROR(VLOOKUP($B6,MMWR_TRAD_AGG_ST_DISTRICT_COMP[],I$1,0),"ERROR")</f>
        <v>302098</v>
      </c>
      <c r="J6" s="99">
        <f t="shared" ref="J6:J37" si="1">IFERROR(I6/H6,"0%")</f>
        <v>0.66646370385077824</v>
      </c>
      <c r="K6" s="96">
        <f>IFERROR(VLOOKUP($B6,MMWR_TRAD_AGG_ST_DISTRICT_COMP[],K$1,0),"ERROR")</f>
        <v>121342</v>
      </c>
      <c r="L6" s="97">
        <f>IFERROR(VLOOKUP($B6,MMWR_TRAD_AGG_ST_DISTRICT_COMP[],L$1,0),"ERROR")</f>
        <v>82514</v>
      </c>
      <c r="M6" s="99">
        <f t="shared" ref="M6:M37" si="2">IFERROR(L6/K6,"0%")</f>
        <v>0.68001186728420493</v>
      </c>
      <c r="N6" s="96">
        <f>IFERROR(VLOOKUP($B6,MMWR_TRAD_AGG_ST_DISTRICT_COMP[],N$1,0),"ERROR")</f>
        <v>166097</v>
      </c>
      <c r="O6" s="97">
        <f>IFERROR(VLOOKUP($B6,MMWR_TRAD_AGG_ST_DISTRICT_COMP[],O$1,0),"ERROR")</f>
        <v>104149</v>
      </c>
      <c r="P6" s="99">
        <f t="shared" ref="P6:P37" si="3">IFERROR(O6/N6,"0%")</f>
        <v>0.62703721319469952</v>
      </c>
      <c r="Q6" s="100">
        <f>IFERROR(VLOOKUP($B6,MMWR_TRAD_AGG_ST_DISTRICT_COMP[],Q$1,0),"ERROR")</f>
        <v>19033</v>
      </c>
      <c r="R6" s="100">
        <f>IFERROR(VLOOKUP($B6,MMWR_TRAD_AGG_ST_DISTRICT_COMP[],R$1,0),"ERROR")</f>
        <v>4105</v>
      </c>
      <c r="S6" s="100">
        <f>S7+S23+S36+S46+S56+S64</f>
        <v>313993</v>
      </c>
      <c r="T6" s="28"/>
    </row>
    <row r="7" spans="1:20" s="123" customFormat="1" x14ac:dyDescent="0.2">
      <c r="A7" s="92"/>
      <c r="B7" s="126" t="s">
        <v>373</v>
      </c>
      <c r="C7" s="102">
        <f>IF(SUM(C8:C22)&lt;&gt;VLOOKUP($B7,MMWR_TRAD_AGG_ST_DISTRICT_COMP[],C$1,0),"ERROR",
VLOOKUP($B7,MMWR_TRAD_AGG_ST_DISTRICT_COMP[],C$1,0))</f>
        <v>71135</v>
      </c>
      <c r="D7" s="103">
        <f>IFERROR(VLOOKUP($B7,MMWR_TRAD_AGG_ST_DISTRICT_COMP[],D$1,0),"ERROR")</f>
        <v>415.13357700149999</v>
      </c>
      <c r="E7" s="102">
        <f>IF(SUM(E8:E22)&lt;&gt;VLOOKUP($B7,MMWR_TRAD_AGG_ST_DISTRICT_COMP[],E$1,0),"ERROR",
VLOOKUP($B7,MMWR_TRAD_AGG_ST_DISTRICT_COMP[],E$1,0))</f>
        <v>70313</v>
      </c>
      <c r="F7" s="102">
        <f>IFERROR(VLOOKUP($B7,MMWR_TRAD_AGG_ST_DISTRICT_COMP[],F$1,0),"ERROR")</f>
        <v>17312</v>
      </c>
      <c r="G7" s="104">
        <f t="shared" si="0"/>
        <v>0.24621336026054927</v>
      </c>
      <c r="H7" s="102">
        <f>IF(SUM(H8:H22)&lt;&gt;VLOOKUP($B7,MMWR_TRAD_AGG_ST_DISTRICT_COMP[],H$1,0),"ERROR",
VLOOKUP($B7,MMWR_TRAD_AGG_ST_DISTRICT_COMP[],H$1,0))</f>
        <v>101307</v>
      </c>
      <c r="I7" s="102">
        <f>IF(SUM(I8:I22)&lt;&gt;VLOOKUP($B7,MMWR_TRAD_AGG_ST_DISTRICT_COMP[],I$1,0),"ERROR",
VLOOKUP($B7,MMWR_TRAD_AGG_ST_DISTRICT_COMP[],I$1,0))</f>
        <v>69733</v>
      </c>
      <c r="J7" s="105">
        <f t="shared" si="1"/>
        <v>0.68833348139812645</v>
      </c>
      <c r="K7" s="102">
        <f>IF(SUM(K8:K22)&lt;&gt;VLOOKUP($B7,MMWR_TRAD_AGG_ST_DISTRICT_COMP[],K$1,0),"ERROR",
VLOOKUP($B7,MMWR_TRAD_AGG_ST_DISTRICT_COMP[],K$1,0))</f>
        <v>34312</v>
      </c>
      <c r="L7" s="102">
        <f>IF(SUM(L8:L22)&lt;&gt;VLOOKUP($B7,MMWR_TRAD_AGG_ST_DISTRICT_COMP[],L$1,0),"ERROR",
VLOOKUP($B7,MMWR_TRAD_AGG_ST_DISTRICT_COMP[],L$1,0))</f>
        <v>24352</v>
      </c>
      <c r="M7" s="105">
        <f t="shared" si="2"/>
        <v>0.70972254604802987</v>
      </c>
      <c r="N7" s="102">
        <f>IF(SUM(N8:N22)&lt;&gt;VLOOKUP($B7,MMWR_TRAD_AGG_ST_DISTRICT_COMP[],N$1,0),"ERROR",
VLOOKUP($B7,MMWR_TRAD_AGG_ST_DISTRICT_COMP[],N$1,0))</f>
        <v>35397</v>
      </c>
      <c r="O7" s="102">
        <f>IF(SUM(O8:O22)&lt;&gt;VLOOKUP($B7,MMWR_TRAD_AGG_ST_DISTRICT_COMP[],O$1,0),"ERROR",
VLOOKUP($B7,MMWR_TRAD_AGG_ST_DISTRICT_COMP[],O$1,0))</f>
        <v>23616</v>
      </c>
      <c r="P7" s="105">
        <f t="shared" si="3"/>
        <v>0.66717518433765577</v>
      </c>
      <c r="Q7" s="102">
        <f>IF(SUM(Q8:Q22)&lt;&gt;VLOOKUP($B7,MMWR_TRAD_AGG_ST_DISTRICT_COMP[],Q$1,0),"ERROR",
VLOOKUP($B7,MMWR_TRAD_AGG_ST_DISTRICT_COMP[],Q$1,0))</f>
        <v>8321</v>
      </c>
      <c r="R7" s="106">
        <f>IFERROR(VLOOKUP($B7,MMWR_TRAD_AGG_ST_DISTRICT_COMP[],R$1,0),"ERROR")</f>
        <v>133</v>
      </c>
      <c r="S7" s="106">
        <f>SUM(S8:S22)</f>
        <v>56849</v>
      </c>
      <c r="T7" s="28"/>
    </row>
    <row r="8" spans="1:20" s="123" customFormat="1" x14ac:dyDescent="0.2">
      <c r="A8" s="107"/>
      <c r="B8" s="127" t="s">
        <v>377</v>
      </c>
      <c r="C8" s="109">
        <f>IFERROR(VLOOKUP($B8,MMWR_TRAD_AGG_STATE_COMP[],C$1,0),"ERROR")</f>
        <v>1432</v>
      </c>
      <c r="D8" s="110">
        <f>IFERROR(VLOOKUP($B8,MMWR_TRAD_AGG_STATE_COMP[],D$1,0),"ERROR")</f>
        <v>317.80586592179998</v>
      </c>
      <c r="E8" s="111">
        <f>IFERROR(VLOOKUP($B8,MMWR_TRAD_AGG_STATE_COMP[],E$1,0),"ERROR")</f>
        <v>2009</v>
      </c>
      <c r="F8" s="112">
        <f>IFERROR(VLOOKUP($B8,MMWR_TRAD_AGG_STATE_COMP[],F$1,0),"ERROR")</f>
        <v>412</v>
      </c>
      <c r="G8" s="113">
        <f t="shared" si="0"/>
        <v>0.20507715281234445</v>
      </c>
      <c r="H8" s="111">
        <f>IFERROR(VLOOKUP($B8,MMWR_TRAD_AGG_STATE_COMP[],H$1,0),"ERROR")</f>
        <v>3038</v>
      </c>
      <c r="I8" s="112">
        <f>IFERROR(VLOOKUP($B8,MMWR_TRAD_AGG_STATE_COMP[],I$1,0),"ERROR")</f>
        <v>2078</v>
      </c>
      <c r="J8" s="114">
        <f t="shared" si="1"/>
        <v>0.68400263331138911</v>
      </c>
      <c r="K8" s="111">
        <f>IFERROR(VLOOKUP($B8,MMWR_TRAD_AGG_STATE_COMP[],K$1,0),"ERROR")</f>
        <v>610</v>
      </c>
      <c r="L8" s="112">
        <f>IFERROR(VLOOKUP($B8,MMWR_TRAD_AGG_STATE_COMP[],L$1,0),"ERROR")</f>
        <v>367</v>
      </c>
      <c r="M8" s="114">
        <f t="shared" si="2"/>
        <v>0.60163934426229504</v>
      </c>
      <c r="N8" s="111">
        <f>IFERROR(VLOOKUP($B8,MMWR_TRAD_AGG_STATE_COMP[],N$1,0),"ERROR")</f>
        <v>1030</v>
      </c>
      <c r="O8" s="112">
        <f>IFERROR(VLOOKUP($B8,MMWR_TRAD_AGG_STATE_COMP[],O$1,0),"ERROR")</f>
        <v>702</v>
      </c>
      <c r="P8" s="114">
        <f t="shared" si="3"/>
        <v>0.68155339805825244</v>
      </c>
      <c r="Q8" s="115">
        <f>IFERROR(VLOOKUP($B8,MMWR_TRAD_AGG_STATE_COMP[],Q$1,0),"ERROR")</f>
        <v>303</v>
      </c>
      <c r="R8" s="115">
        <f>IFERROR(VLOOKUP($B8,MMWR_TRAD_AGG_STATE_COMP[],R$1,0),"ERROR")</f>
        <v>5</v>
      </c>
      <c r="S8" s="115">
        <f>IFERROR(VLOOKUP($B8,MMWR_APP_STATE_COMP[],S$1,0),"ERROR")</f>
        <v>1136</v>
      </c>
      <c r="T8" s="28"/>
    </row>
    <row r="9" spans="1:20" s="123" customFormat="1" x14ac:dyDescent="0.2">
      <c r="A9" s="107"/>
      <c r="B9" s="127" t="s">
        <v>427</v>
      </c>
      <c r="C9" s="109">
        <f>IFERROR(VLOOKUP($B9,MMWR_TRAD_AGG_STATE_COMP[],C$1,0),"ERROR")</f>
        <v>852</v>
      </c>
      <c r="D9" s="110">
        <f>IFERROR(VLOOKUP($B9,MMWR_TRAD_AGG_STATE_COMP[],D$1,0),"ERROR")</f>
        <v>407.60798122070003</v>
      </c>
      <c r="E9" s="111">
        <f>IFERROR(VLOOKUP($B9,MMWR_TRAD_AGG_STATE_COMP[],E$1,0),"ERROR")</f>
        <v>876</v>
      </c>
      <c r="F9" s="112">
        <f>IFERROR(VLOOKUP($B9,MMWR_TRAD_AGG_STATE_COMP[],F$1,0),"ERROR")</f>
        <v>243</v>
      </c>
      <c r="G9" s="113">
        <f t="shared" si="0"/>
        <v>0.2773972602739726</v>
      </c>
      <c r="H9" s="111">
        <f>IFERROR(VLOOKUP($B9,MMWR_TRAD_AGG_STATE_COMP[],H$1,0),"ERROR")</f>
        <v>1138</v>
      </c>
      <c r="I9" s="112">
        <f>IFERROR(VLOOKUP($B9,MMWR_TRAD_AGG_STATE_COMP[],I$1,0),"ERROR")</f>
        <v>795</v>
      </c>
      <c r="J9" s="114">
        <f t="shared" si="1"/>
        <v>0.69859402460456943</v>
      </c>
      <c r="K9" s="111">
        <f>IFERROR(VLOOKUP($B9,MMWR_TRAD_AGG_STATE_COMP[],K$1,0),"ERROR")</f>
        <v>243</v>
      </c>
      <c r="L9" s="112">
        <f>IFERROR(VLOOKUP($B9,MMWR_TRAD_AGG_STATE_COMP[],L$1,0),"ERROR")</f>
        <v>149</v>
      </c>
      <c r="M9" s="114">
        <f t="shared" si="2"/>
        <v>0.61316872427983538</v>
      </c>
      <c r="N9" s="111">
        <f>IFERROR(VLOOKUP($B9,MMWR_TRAD_AGG_STATE_COMP[],N$1,0),"ERROR")</f>
        <v>342</v>
      </c>
      <c r="O9" s="112">
        <f>IFERROR(VLOOKUP($B9,MMWR_TRAD_AGG_STATE_COMP[],O$1,0),"ERROR")</f>
        <v>212</v>
      </c>
      <c r="P9" s="114">
        <f t="shared" si="3"/>
        <v>0.61988304093567248</v>
      </c>
      <c r="Q9" s="115">
        <f>IFERROR(VLOOKUP($B9,MMWR_TRAD_AGG_STATE_COMP[],Q$1,0),"ERROR")</f>
        <v>62</v>
      </c>
      <c r="R9" s="115">
        <f>IFERROR(VLOOKUP($B9,MMWR_TRAD_AGG_STATE_COMP[],R$1,0),"ERROR")</f>
        <v>1</v>
      </c>
      <c r="S9" s="115">
        <f>IFERROR(VLOOKUP($B9,MMWR_APP_STATE_COMP[],S$1,0),"ERROR")</f>
        <v>614</v>
      </c>
      <c r="T9" s="28"/>
    </row>
    <row r="10" spans="1:20" s="123" customFormat="1" x14ac:dyDescent="0.2">
      <c r="A10" s="107"/>
      <c r="B10" s="127" t="s">
        <v>418</v>
      </c>
      <c r="C10" s="109">
        <f>IFERROR(VLOOKUP($B10,MMWR_TRAD_AGG_STATE_COMP[],C$1,0),"ERROR")</f>
        <v>464</v>
      </c>
      <c r="D10" s="110">
        <f>IFERROR(VLOOKUP($B10,MMWR_TRAD_AGG_STATE_COMP[],D$1,0),"ERROR")</f>
        <v>532.84051724139999</v>
      </c>
      <c r="E10" s="111">
        <f>IFERROR(VLOOKUP($B10,MMWR_TRAD_AGG_STATE_COMP[],E$1,0),"ERROR")</f>
        <v>448</v>
      </c>
      <c r="F10" s="112">
        <f>IFERROR(VLOOKUP($B10,MMWR_TRAD_AGG_STATE_COMP[],F$1,0),"ERROR")</f>
        <v>108</v>
      </c>
      <c r="G10" s="113">
        <f t="shared" si="0"/>
        <v>0.24107142857142858</v>
      </c>
      <c r="H10" s="111">
        <f>IFERROR(VLOOKUP($B10,MMWR_TRAD_AGG_STATE_COMP[],H$1,0),"ERROR")</f>
        <v>647</v>
      </c>
      <c r="I10" s="112">
        <f>IFERROR(VLOOKUP($B10,MMWR_TRAD_AGG_STATE_COMP[],I$1,0),"ERROR")</f>
        <v>481</v>
      </c>
      <c r="J10" s="114">
        <f t="shared" si="1"/>
        <v>0.74343122102009274</v>
      </c>
      <c r="K10" s="111">
        <f>IFERROR(VLOOKUP($B10,MMWR_TRAD_AGG_STATE_COMP[],K$1,0),"ERROR")</f>
        <v>208</v>
      </c>
      <c r="L10" s="112">
        <f>IFERROR(VLOOKUP($B10,MMWR_TRAD_AGG_STATE_COMP[],L$1,0),"ERROR")</f>
        <v>160</v>
      </c>
      <c r="M10" s="114">
        <f t="shared" si="2"/>
        <v>0.76923076923076927</v>
      </c>
      <c r="N10" s="111">
        <f>IFERROR(VLOOKUP($B10,MMWR_TRAD_AGG_STATE_COMP[],N$1,0),"ERROR")</f>
        <v>350</v>
      </c>
      <c r="O10" s="112">
        <f>IFERROR(VLOOKUP($B10,MMWR_TRAD_AGG_STATE_COMP[],O$1,0),"ERROR")</f>
        <v>256</v>
      </c>
      <c r="P10" s="114">
        <f t="shared" si="3"/>
        <v>0.73142857142857143</v>
      </c>
      <c r="Q10" s="115">
        <f>IFERROR(VLOOKUP($B10,MMWR_TRAD_AGG_STATE_COMP[],Q$1,0),"ERROR")</f>
        <v>26</v>
      </c>
      <c r="R10" s="115">
        <f>IFERROR(VLOOKUP($B10,MMWR_TRAD_AGG_STATE_COMP[],R$1,0),"ERROR")</f>
        <v>0</v>
      </c>
      <c r="S10" s="115">
        <f>IFERROR(VLOOKUP($B10,MMWR_APP_STATE_COMP[],S$1,0),"ERROR")</f>
        <v>592</v>
      </c>
      <c r="T10" s="28"/>
    </row>
    <row r="11" spans="1:20" s="123" customFormat="1" x14ac:dyDescent="0.2">
      <c r="A11" s="107"/>
      <c r="B11" s="127" t="s">
        <v>420</v>
      </c>
      <c r="C11" s="109">
        <f>IFERROR(VLOOKUP($B11,MMWR_TRAD_AGG_STATE_COMP[],C$1,0),"ERROR")</f>
        <v>1422</v>
      </c>
      <c r="D11" s="110">
        <f>IFERROR(VLOOKUP($B11,MMWR_TRAD_AGG_STATE_COMP[],D$1,0),"ERROR")</f>
        <v>302.06399437409999</v>
      </c>
      <c r="E11" s="111">
        <f>IFERROR(VLOOKUP($B11,MMWR_TRAD_AGG_STATE_COMP[],E$1,0),"ERROR")</f>
        <v>1365</v>
      </c>
      <c r="F11" s="112">
        <f>IFERROR(VLOOKUP($B11,MMWR_TRAD_AGG_STATE_COMP[],F$1,0),"ERROR")</f>
        <v>185</v>
      </c>
      <c r="G11" s="113">
        <f t="shared" si="0"/>
        <v>0.13553113553113552</v>
      </c>
      <c r="H11" s="111">
        <f>IFERROR(VLOOKUP($B11,MMWR_TRAD_AGG_STATE_COMP[],H$1,0),"ERROR")</f>
        <v>2019</v>
      </c>
      <c r="I11" s="112">
        <f>IFERROR(VLOOKUP($B11,MMWR_TRAD_AGG_STATE_COMP[],I$1,0),"ERROR")</f>
        <v>1255</v>
      </c>
      <c r="J11" s="114">
        <f t="shared" si="1"/>
        <v>0.62159484893511641</v>
      </c>
      <c r="K11" s="111">
        <f>IFERROR(VLOOKUP($B11,MMWR_TRAD_AGG_STATE_COMP[],K$1,0),"ERROR")</f>
        <v>1029</v>
      </c>
      <c r="L11" s="112">
        <f>IFERROR(VLOOKUP($B11,MMWR_TRAD_AGG_STATE_COMP[],L$1,0),"ERROR")</f>
        <v>804</v>
      </c>
      <c r="M11" s="114">
        <f t="shared" si="2"/>
        <v>0.78134110787172006</v>
      </c>
      <c r="N11" s="111">
        <f>IFERROR(VLOOKUP($B11,MMWR_TRAD_AGG_STATE_COMP[],N$1,0),"ERROR")</f>
        <v>373</v>
      </c>
      <c r="O11" s="112">
        <f>IFERROR(VLOOKUP($B11,MMWR_TRAD_AGG_STATE_COMP[],O$1,0),"ERROR")</f>
        <v>227</v>
      </c>
      <c r="P11" s="114">
        <f t="shared" si="3"/>
        <v>0.60857908847184983</v>
      </c>
      <c r="Q11" s="115">
        <f>IFERROR(VLOOKUP($B11,MMWR_TRAD_AGG_STATE_COMP[],Q$1,0),"ERROR")</f>
        <v>356</v>
      </c>
      <c r="R11" s="115">
        <f>IFERROR(VLOOKUP($B11,MMWR_TRAD_AGG_STATE_COMP[],R$1,0),"ERROR")</f>
        <v>3</v>
      </c>
      <c r="S11" s="115">
        <f>IFERROR(VLOOKUP($B11,MMWR_APP_STATE_COMP[],S$1,0),"ERROR")</f>
        <v>458</v>
      </c>
      <c r="T11" s="28"/>
    </row>
    <row r="12" spans="1:20" s="123" customFormat="1" x14ac:dyDescent="0.2">
      <c r="A12" s="107"/>
      <c r="B12" s="127" t="s">
        <v>380</v>
      </c>
      <c r="C12" s="109">
        <f>IFERROR(VLOOKUP($B12,MMWR_TRAD_AGG_STATE_COMP[],C$1,0),"ERROR")</f>
        <v>8387</v>
      </c>
      <c r="D12" s="110">
        <f>IFERROR(VLOOKUP($B12,MMWR_TRAD_AGG_STATE_COMP[],D$1,0),"ERROR")</f>
        <v>638.1364015739</v>
      </c>
      <c r="E12" s="111">
        <f>IFERROR(VLOOKUP($B12,MMWR_TRAD_AGG_STATE_COMP[],E$1,0),"ERROR")</f>
        <v>5713</v>
      </c>
      <c r="F12" s="112">
        <f>IFERROR(VLOOKUP($B12,MMWR_TRAD_AGG_STATE_COMP[],F$1,0),"ERROR")</f>
        <v>1320</v>
      </c>
      <c r="G12" s="113">
        <f t="shared" si="0"/>
        <v>0.23105198669700683</v>
      </c>
      <c r="H12" s="111">
        <f>IFERROR(VLOOKUP($B12,MMWR_TRAD_AGG_STATE_COMP[],H$1,0),"ERROR")</f>
        <v>11503</v>
      </c>
      <c r="I12" s="112">
        <f>IFERROR(VLOOKUP($B12,MMWR_TRAD_AGG_STATE_COMP[],I$1,0),"ERROR")</f>
        <v>8343</v>
      </c>
      <c r="J12" s="114">
        <f t="shared" si="1"/>
        <v>0.72528905502912289</v>
      </c>
      <c r="K12" s="111">
        <f>IFERROR(VLOOKUP($B12,MMWR_TRAD_AGG_STATE_COMP[],K$1,0),"ERROR")</f>
        <v>3041</v>
      </c>
      <c r="L12" s="112">
        <f>IFERROR(VLOOKUP($B12,MMWR_TRAD_AGG_STATE_COMP[],L$1,0),"ERROR")</f>
        <v>2333</v>
      </c>
      <c r="M12" s="114">
        <f t="shared" si="2"/>
        <v>0.76718184807629064</v>
      </c>
      <c r="N12" s="111">
        <f>IFERROR(VLOOKUP($B12,MMWR_TRAD_AGG_STATE_COMP[],N$1,0),"ERROR")</f>
        <v>3519</v>
      </c>
      <c r="O12" s="112">
        <f>IFERROR(VLOOKUP($B12,MMWR_TRAD_AGG_STATE_COMP[],O$1,0),"ERROR")</f>
        <v>2403</v>
      </c>
      <c r="P12" s="114">
        <f t="shared" si="3"/>
        <v>0.68286445012787722</v>
      </c>
      <c r="Q12" s="115">
        <f>IFERROR(VLOOKUP($B12,MMWR_TRAD_AGG_STATE_COMP[],Q$1,0),"ERROR")</f>
        <v>409</v>
      </c>
      <c r="R12" s="115">
        <f>IFERROR(VLOOKUP($B12,MMWR_TRAD_AGG_STATE_COMP[],R$1,0),"ERROR")</f>
        <v>5</v>
      </c>
      <c r="S12" s="115">
        <f>IFERROR(VLOOKUP($B12,MMWR_APP_STATE_COMP[],S$1,0),"ERROR")</f>
        <v>5620</v>
      </c>
      <c r="T12" s="28"/>
    </row>
    <row r="13" spans="1:20" s="123" customFormat="1" x14ac:dyDescent="0.2">
      <c r="A13" s="107"/>
      <c r="B13" s="127" t="s">
        <v>375</v>
      </c>
      <c r="C13" s="109">
        <f>IFERROR(VLOOKUP($B13,MMWR_TRAD_AGG_STATE_COMP[],C$1,0),"ERROR")</f>
        <v>4690</v>
      </c>
      <c r="D13" s="110">
        <f>IFERROR(VLOOKUP($B13,MMWR_TRAD_AGG_STATE_COMP[],D$1,0),"ERROR")</f>
        <v>560.51194029850001</v>
      </c>
      <c r="E13" s="111">
        <f>IFERROR(VLOOKUP($B13,MMWR_TRAD_AGG_STATE_COMP[],E$1,0),"ERROR")</f>
        <v>4494</v>
      </c>
      <c r="F13" s="112">
        <f>IFERROR(VLOOKUP($B13,MMWR_TRAD_AGG_STATE_COMP[],F$1,0),"ERROR")</f>
        <v>1075</v>
      </c>
      <c r="G13" s="113">
        <f t="shared" si="0"/>
        <v>0.23920783266577658</v>
      </c>
      <c r="H13" s="111">
        <f>IFERROR(VLOOKUP($B13,MMWR_TRAD_AGG_STATE_COMP[],H$1,0),"ERROR")</f>
        <v>6772</v>
      </c>
      <c r="I13" s="112">
        <f>IFERROR(VLOOKUP($B13,MMWR_TRAD_AGG_STATE_COMP[],I$1,0),"ERROR")</f>
        <v>5224</v>
      </c>
      <c r="J13" s="114">
        <f t="shared" si="1"/>
        <v>0.77141169521559361</v>
      </c>
      <c r="K13" s="111">
        <f>IFERROR(VLOOKUP($B13,MMWR_TRAD_AGG_STATE_COMP[],K$1,0),"ERROR")</f>
        <v>3037</v>
      </c>
      <c r="L13" s="112">
        <f>IFERROR(VLOOKUP($B13,MMWR_TRAD_AGG_STATE_COMP[],L$1,0),"ERROR")</f>
        <v>2412</v>
      </c>
      <c r="M13" s="114">
        <f t="shared" si="2"/>
        <v>0.79420480737569965</v>
      </c>
      <c r="N13" s="111">
        <f>IFERROR(VLOOKUP($B13,MMWR_TRAD_AGG_STATE_COMP[],N$1,0),"ERROR")</f>
        <v>1532</v>
      </c>
      <c r="O13" s="112">
        <f>IFERROR(VLOOKUP($B13,MMWR_TRAD_AGG_STATE_COMP[],O$1,0),"ERROR")</f>
        <v>1068</v>
      </c>
      <c r="P13" s="114">
        <f t="shared" si="3"/>
        <v>0.69712793733681466</v>
      </c>
      <c r="Q13" s="115">
        <f>IFERROR(VLOOKUP($B13,MMWR_TRAD_AGG_STATE_COMP[],Q$1,0),"ERROR")</f>
        <v>767</v>
      </c>
      <c r="R13" s="115">
        <f>IFERROR(VLOOKUP($B13,MMWR_TRAD_AGG_STATE_COMP[],R$1,0),"ERROR")</f>
        <v>11</v>
      </c>
      <c r="S13" s="115">
        <f>IFERROR(VLOOKUP($B13,MMWR_APP_STATE_COMP[],S$1,0),"ERROR")</f>
        <v>3427</v>
      </c>
      <c r="T13" s="28"/>
    </row>
    <row r="14" spans="1:20" s="123" customFormat="1" x14ac:dyDescent="0.2">
      <c r="A14" s="107"/>
      <c r="B14" s="127" t="s">
        <v>419</v>
      </c>
      <c r="C14" s="109">
        <f>IFERROR(VLOOKUP($B14,MMWR_TRAD_AGG_STATE_COMP[],C$1,0),"ERROR")</f>
        <v>1508</v>
      </c>
      <c r="D14" s="110">
        <f>IFERROR(VLOOKUP($B14,MMWR_TRAD_AGG_STATE_COMP[],D$1,0),"ERROR")</f>
        <v>380.01193633949998</v>
      </c>
      <c r="E14" s="111">
        <f>IFERROR(VLOOKUP($B14,MMWR_TRAD_AGG_STATE_COMP[],E$1,0),"ERROR")</f>
        <v>1169</v>
      </c>
      <c r="F14" s="112">
        <f>IFERROR(VLOOKUP($B14,MMWR_TRAD_AGG_STATE_COMP[],F$1,0),"ERROR")</f>
        <v>288</v>
      </c>
      <c r="G14" s="113">
        <f t="shared" si="0"/>
        <v>0.24636441402908468</v>
      </c>
      <c r="H14" s="111">
        <f>IFERROR(VLOOKUP($B14,MMWR_TRAD_AGG_STATE_COMP[],H$1,0),"ERROR")</f>
        <v>2189</v>
      </c>
      <c r="I14" s="112">
        <f>IFERROR(VLOOKUP($B14,MMWR_TRAD_AGG_STATE_COMP[],I$1,0),"ERROR")</f>
        <v>1450</v>
      </c>
      <c r="J14" s="114">
        <f t="shared" si="1"/>
        <v>0.66240292370945641</v>
      </c>
      <c r="K14" s="111">
        <f>IFERROR(VLOOKUP($B14,MMWR_TRAD_AGG_STATE_COMP[],K$1,0),"ERROR")</f>
        <v>485</v>
      </c>
      <c r="L14" s="112">
        <f>IFERROR(VLOOKUP($B14,MMWR_TRAD_AGG_STATE_COMP[],L$1,0),"ERROR")</f>
        <v>428</v>
      </c>
      <c r="M14" s="114">
        <f t="shared" si="2"/>
        <v>0.88247422680412368</v>
      </c>
      <c r="N14" s="111">
        <f>IFERROR(VLOOKUP($B14,MMWR_TRAD_AGG_STATE_COMP[],N$1,0),"ERROR")</f>
        <v>240</v>
      </c>
      <c r="O14" s="112">
        <f>IFERROR(VLOOKUP($B14,MMWR_TRAD_AGG_STATE_COMP[],O$1,0),"ERROR")</f>
        <v>134</v>
      </c>
      <c r="P14" s="114">
        <f t="shared" si="3"/>
        <v>0.55833333333333335</v>
      </c>
      <c r="Q14" s="115">
        <f>IFERROR(VLOOKUP($B14,MMWR_TRAD_AGG_STATE_COMP[],Q$1,0),"ERROR")</f>
        <v>164</v>
      </c>
      <c r="R14" s="115">
        <f>IFERROR(VLOOKUP($B14,MMWR_TRAD_AGG_STATE_COMP[],R$1,0),"ERROR")</f>
        <v>4</v>
      </c>
      <c r="S14" s="115">
        <f>IFERROR(VLOOKUP($B14,MMWR_APP_STATE_COMP[],S$1,0),"ERROR")</f>
        <v>645</v>
      </c>
      <c r="T14" s="28"/>
    </row>
    <row r="15" spans="1:20" s="123" customFormat="1" x14ac:dyDescent="0.2">
      <c r="A15" s="107"/>
      <c r="B15" s="127" t="s">
        <v>378</v>
      </c>
      <c r="C15" s="109">
        <f>IFERROR(VLOOKUP($B15,MMWR_TRAD_AGG_STATE_COMP[],C$1,0),"ERROR")</f>
        <v>2498</v>
      </c>
      <c r="D15" s="110">
        <f>IFERROR(VLOOKUP($B15,MMWR_TRAD_AGG_STATE_COMP[],D$1,0),"ERROR")</f>
        <v>318.03562850280002</v>
      </c>
      <c r="E15" s="111">
        <f>IFERROR(VLOOKUP($B15,MMWR_TRAD_AGG_STATE_COMP[],E$1,0),"ERROR")</f>
        <v>3957</v>
      </c>
      <c r="F15" s="112">
        <f>IFERROR(VLOOKUP($B15,MMWR_TRAD_AGG_STATE_COMP[],F$1,0),"ERROR")</f>
        <v>996</v>
      </c>
      <c r="G15" s="113">
        <f t="shared" si="0"/>
        <v>0.25170583775587568</v>
      </c>
      <c r="H15" s="111">
        <f>IFERROR(VLOOKUP($B15,MMWR_TRAD_AGG_STATE_COMP[],H$1,0),"ERROR")</f>
        <v>3964</v>
      </c>
      <c r="I15" s="112">
        <f>IFERROR(VLOOKUP($B15,MMWR_TRAD_AGG_STATE_COMP[],I$1,0),"ERROR")</f>
        <v>2555</v>
      </c>
      <c r="J15" s="114">
        <f t="shared" si="1"/>
        <v>0.64455095862764888</v>
      </c>
      <c r="K15" s="111">
        <f>IFERROR(VLOOKUP($B15,MMWR_TRAD_AGG_STATE_COMP[],K$1,0),"ERROR")</f>
        <v>1340</v>
      </c>
      <c r="L15" s="112">
        <f>IFERROR(VLOOKUP($B15,MMWR_TRAD_AGG_STATE_COMP[],L$1,0),"ERROR")</f>
        <v>915</v>
      </c>
      <c r="M15" s="114">
        <f t="shared" si="2"/>
        <v>0.68283582089552242</v>
      </c>
      <c r="N15" s="111">
        <f>IFERROR(VLOOKUP($B15,MMWR_TRAD_AGG_STATE_COMP[],N$1,0),"ERROR")</f>
        <v>2184</v>
      </c>
      <c r="O15" s="112">
        <f>IFERROR(VLOOKUP($B15,MMWR_TRAD_AGG_STATE_COMP[],O$1,0),"ERROR")</f>
        <v>1489</v>
      </c>
      <c r="P15" s="114">
        <f t="shared" si="3"/>
        <v>0.6817765567765568</v>
      </c>
      <c r="Q15" s="115">
        <f>IFERROR(VLOOKUP($B15,MMWR_TRAD_AGG_STATE_COMP[],Q$1,0),"ERROR")</f>
        <v>671</v>
      </c>
      <c r="R15" s="115">
        <f>IFERROR(VLOOKUP($B15,MMWR_TRAD_AGG_STATE_COMP[],R$1,0),"ERROR")</f>
        <v>4</v>
      </c>
      <c r="S15" s="115">
        <f>IFERROR(VLOOKUP($B15,MMWR_APP_STATE_COMP[],S$1,0),"ERROR")</f>
        <v>4152</v>
      </c>
      <c r="T15" s="28"/>
    </row>
    <row r="16" spans="1:20" s="123" customFormat="1" x14ac:dyDescent="0.2">
      <c r="A16" s="107"/>
      <c r="B16" s="127" t="s">
        <v>63</v>
      </c>
      <c r="C16" s="109">
        <f>IFERROR(VLOOKUP($B16,MMWR_TRAD_AGG_STATE_COMP[],C$1,0),"ERROR")</f>
        <v>6191</v>
      </c>
      <c r="D16" s="110">
        <f>IFERROR(VLOOKUP($B16,MMWR_TRAD_AGG_STATE_COMP[],D$1,0),"ERROR")</f>
        <v>297.29946696820002</v>
      </c>
      <c r="E16" s="111">
        <f>IFERROR(VLOOKUP($B16,MMWR_TRAD_AGG_STATE_COMP[],E$1,0),"ERROR")</f>
        <v>8814</v>
      </c>
      <c r="F16" s="112">
        <f>IFERROR(VLOOKUP($B16,MMWR_TRAD_AGG_STATE_COMP[],F$1,0),"ERROR")</f>
        <v>1941</v>
      </c>
      <c r="G16" s="113">
        <f t="shared" si="0"/>
        <v>0.22021783526208305</v>
      </c>
      <c r="H16" s="111">
        <f>IFERROR(VLOOKUP($B16,MMWR_TRAD_AGG_STATE_COMP[],H$1,0),"ERROR")</f>
        <v>9548</v>
      </c>
      <c r="I16" s="112">
        <f>IFERROR(VLOOKUP($B16,MMWR_TRAD_AGG_STATE_COMP[],I$1,0),"ERROR")</f>
        <v>5771</v>
      </c>
      <c r="J16" s="114">
        <f t="shared" si="1"/>
        <v>0.60441977377461253</v>
      </c>
      <c r="K16" s="111">
        <f>IFERROR(VLOOKUP($B16,MMWR_TRAD_AGG_STATE_COMP[],K$1,0),"ERROR")</f>
        <v>4239</v>
      </c>
      <c r="L16" s="112">
        <f>IFERROR(VLOOKUP($B16,MMWR_TRAD_AGG_STATE_COMP[],L$1,0),"ERROR")</f>
        <v>3110</v>
      </c>
      <c r="M16" s="114">
        <f t="shared" si="2"/>
        <v>0.73366359990563812</v>
      </c>
      <c r="N16" s="111">
        <f>IFERROR(VLOOKUP($B16,MMWR_TRAD_AGG_STATE_COMP[],N$1,0),"ERROR")</f>
        <v>3873</v>
      </c>
      <c r="O16" s="112">
        <f>IFERROR(VLOOKUP($B16,MMWR_TRAD_AGG_STATE_COMP[],O$1,0),"ERROR")</f>
        <v>1583</v>
      </c>
      <c r="P16" s="114">
        <f t="shared" si="3"/>
        <v>0.40872708494706944</v>
      </c>
      <c r="Q16" s="115">
        <f>IFERROR(VLOOKUP($B16,MMWR_TRAD_AGG_STATE_COMP[],Q$1,0),"ERROR")</f>
        <v>1523</v>
      </c>
      <c r="R16" s="115">
        <f>IFERROR(VLOOKUP($B16,MMWR_TRAD_AGG_STATE_COMP[],R$1,0),"ERROR")</f>
        <v>10</v>
      </c>
      <c r="S16" s="115">
        <f>IFERROR(VLOOKUP($B16,MMWR_APP_STATE_COMP[],S$1,0),"ERROR")</f>
        <v>5391</v>
      </c>
      <c r="T16" s="28"/>
    </row>
    <row r="17" spans="1:20" s="123" customFormat="1" x14ac:dyDescent="0.2">
      <c r="A17" s="107"/>
      <c r="B17" s="127" t="s">
        <v>386</v>
      </c>
      <c r="C17" s="109">
        <f>IFERROR(VLOOKUP($B17,MMWR_TRAD_AGG_STATE_COMP[],C$1,0),"ERROR")</f>
        <v>16042</v>
      </c>
      <c r="D17" s="110">
        <f>IFERROR(VLOOKUP($B17,MMWR_TRAD_AGG_STATE_COMP[],D$1,0),"ERROR")</f>
        <v>321.195985538</v>
      </c>
      <c r="E17" s="111">
        <f>IFERROR(VLOOKUP($B17,MMWR_TRAD_AGG_STATE_COMP[],E$1,0),"ERROR")</f>
        <v>16883</v>
      </c>
      <c r="F17" s="112">
        <f>IFERROR(VLOOKUP($B17,MMWR_TRAD_AGG_STATE_COMP[],F$1,0),"ERROR")</f>
        <v>4622</v>
      </c>
      <c r="G17" s="113">
        <f t="shared" si="0"/>
        <v>0.27376651069122787</v>
      </c>
      <c r="H17" s="111">
        <f>IFERROR(VLOOKUP($B17,MMWR_TRAD_AGG_STATE_COMP[],H$1,0),"ERROR")</f>
        <v>21885</v>
      </c>
      <c r="I17" s="112">
        <f>IFERROR(VLOOKUP($B17,MMWR_TRAD_AGG_STATE_COMP[],I$1,0),"ERROR")</f>
        <v>15005</v>
      </c>
      <c r="J17" s="114">
        <f t="shared" si="1"/>
        <v>0.68562942654786385</v>
      </c>
      <c r="K17" s="111">
        <f>IFERROR(VLOOKUP($B17,MMWR_TRAD_AGG_STATE_COMP[],K$1,0),"ERROR")</f>
        <v>8884</v>
      </c>
      <c r="L17" s="112">
        <f>IFERROR(VLOOKUP($B17,MMWR_TRAD_AGG_STATE_COMP[],L$1,0),"ERROR")</f>
        <v>5840</v>
      </c>
      <c r="M17" s="114">
        <f t="shared" si="2"/>
        <v>0.65736154885186848</v>
      </c>
      <c r="N17" s="111">
        <f>IFERROR(VLOOKUP($B17,MMWR_TRAD_AGG_STATE_COMP[],N$1,0),"ERROR")</f>
        <v>6782</v>
      </c>
      <c r="O17" s="112">
        <f>IFERROR(VLOOKUP($B17,MMWR_TRAD_AGG_STATE_COMP[],O$1,0),"ERROR")</f>
        <v>4190</v>
      </c>
      <c r="P17" s="114">
        <f t="shared" si="3"/>
        <v>0.61781185491005608</v>
      </c>
      <c r="Q17" s="115">
        <f>IFERROR(VLOOKUP($B17,MMWR_TRAD_AGG_STATE_COMP[],Q$1,0),"ERROR")</f>
        <v>1139</v>
      </c>
      <c r="R17" s="115">
        <f>IFERROR(VLOOKUP($B17,MMWR_TRAD_AGG_STATE_COMP[],R$1,0),"ERROR")</f>
        <v>47</v>
      </c>
      <c r="S17" s="115">
        <f>IFERROR(VLOOKUP($B17,MMWR_APP_STATE_COMP[],S$1,0),"ERROR")</f>
        <v>9973</v>
      </c>
      <c r="T17" s="28"/>
    </row>
    <row r="18" spans="1:20" s="123" customFormat="1" x14ac:dyDescent="0.2">
      <c r="A18" s="107"/>
      <c r="B18" s="127" t="s">
        <v>379</v>
      </c>
      <c r="C18" s="109">
        <f>IFERROR(VLOOKUP($B18,MMWR_TRAD_AGG_STATE_COMP[],C$1,0),"ERROR")</f>
        <v>7895</v>
      </c>
      <c r="D18" s="110">
        <f>IFERROR(VLOOKUP($B18,MMWR_TRAD_AGG_STATE_COMP[],D$1,0),"ERROR")</f>
        <v>446.1747941735</v>
      </c>
      <c r="E18" s="111">
        <f>IFERROR(VLOOKUP($B18,MMWR_TRAD_AGG_STATE_COMP[],E$1,0),"ERROR")</f>
        <v>8638</v>
      </c>
      <c r="F18" s="112">
        <f>IFERROR(VLOOKUP($B18,MMWR_TRAD_AGG_STATE_COMP[],F$1,0),"ERROR")</f>
        <v>2397</v>
      </c>
      <c r="G18" s="113">
        <f t="shared" si="0"/>
        <v>0.27749479046075481</v>
      </c>
      <c r="H18" s="111">
        <f>IFERROR(VLOOKUP($B18,MMWR_TRAD_AGG_STATE_COMP[],H$1,0),"ERROR")</f>
        <v>11930</v>
      </c>
      <c r="I18" s="112">
        <f>IFERROR(VLOOKUP($B18,MMWR_TRAD_AGG_STATE_COMP[],I$1,0),"ERROR")</f>
        <v>8747</v>
      </c>
      <c r="J18" s="114">
        <f t="shared" si="1"/>
        <v>0.73319362950544842</v>
      </c>
      <c r="K18" s="111">
        <f>IFERROR(VLOOKUP($B18,MMWR_TRAD_AGG_STATE_COMP[],K$1,0),"ERROR")</f>
        <v>2035</v>
      </c>
      <c r="L18" s="112">
        <f>IFERROR(VLOOKUP($B18,MMWR_TRAD_AGG_STATE_COMP[],L$1,0),"ERROR")</f>
        <v>1293</v>
      </c>
      <c r="M18" s="114">
        <f t="shared" si="2"/>
        <v>0.63538083538083534</v>
      </c>
      <c r="N18" s="111">
        <f>IFERROR(VLOOKUP($B18,MMWR_TRAD_AGG_STATE_COMP[],N$1,0),"ERROR")</f>
        <v>6534</v>
      </c>
      <c r="O18" s="112">
        <f>IFERROR(VLOOKUP($B18,MMWR_TRAD_AGG_STATE_COMP[],O$1,0),"ERROR")</f>
        <v>5117</v>
      </c>
      <c r="P18" s="114">
        <f t="shared" si="3"/>
        <v>0.78313437404346498</v>
      </c>
      <c r="Q18" s="115">
        <f>IFERROR(VLOOKUP($B18,MMWR_TRAD_AGG_STATE_COMP[],Q$1,0),"ERROR")</f>
        <v>1373</v>
      </c>
      <c r="R18" s="115">
        <f>IFERROR(VLOOKUP($B18,MMWR_TRAD_AGG_STATE_COMP[],R$1,0),"ERROR")</f>
        <v>12</v>
      </c>
      <c r="S18" s="115">
        <f>IFERROR(VLOOKUP($B18,MMWR_APP_STATE_COMP[],S$1,0),"ERROR")</f>
        <v>7116</v>
      </c>
      <c r="T18" s="28"/>
    </row>
    <row r="19" spans="1:20" s="123" customFormat="1" x14ac:dyDescent="0.2">
      <c r="A19" s="107"/>
      <c r="B19" s="127" t="s">
        <v>376</v>
      </c>
      <c r="C19" s="109">
        <f>IFERROR(VLOOKUP($B19,MMWR_TRAD_AGG_STATE_COMP[],C$1,0),"ERROR")</f>
        <v>345</v>
      </c>
      <c r="D19" s="110">
        <f>IFERROR(VLOOKUP($B19,MMWR_TRAD_AGG_STATE_COMP[],D$1,0),"ERROR")</f>
        <v>255.69565217389999</v>
      </c>
      <c r="E19" s="111">
        <f>IFERROR(VLOOKUP($B19,MMWR_TRAD_AGG_STATE_COMP[],E$1,0),"ERROR")</f>
        <v>861</v>
      </c>
      <c r="F19" s="112">
        <f>IFERROR(VLOOKUP($B19,MMWR_TRAD_AGG_STATE_COMP[],F$1,0),"ERROR")</f>
        <v>201</v>
      </c>
      <c r="G19" s="113">
        <f t="shared" si="0"/>
        <v>0.23344947735191637</v>
      </c>
      <c r="H19" s="111">
        <f>IFERROR(VLOOKUP($B19,MMWR_TRAD_AGG_STATE_COMP[],H$1,0),"ERROR")</f>
        <v>668</v>
      </c>
      <c r="I19" s="112">
        <f>IFERROR(VLOOKUP($B19,MMWR_TRAD_AGG_STATE_COMP[],I$1,0),"ERROR")</f>
        <v>350</v>
      </c>
      <c r="J19" s="114">
        <f t="shared" si="1"/>
        <v>0.5239520958083832</v>
      </c>
      <c r="K19" s="111">
        <f>IFERROR(VLOOKUP($B19,MMWR_TRAD_AGG_STATE_COMP[],K$1,0),"ERROR")</f>
        <v>278</v>
      </c>
      <c r="L19" s="112">
        <f>IFERROR(VLOOKUP($B19,MMWR_TRAD_AGG_STATE_COMP[],L$1,0),"ERROR")</f>
        <v>192</v>
      </c>
      <c r="M19" s="114">
        <f t="shared" si="2"/>
        <v>0.69064748201438853</v>
      </c>
      <c r="N19" s="111">
        <f>IFERROR(VLOOKUP($B19,MMWR_TRAD_AGG_STATE_COMP[],N$1,0),"ERROR")</f>
        <v>202</v>
      </c>
      <c r="O19" s="112">
        <f>IFERROR(VLOOKUP($B19,MMWR_TRAD_AGG_STATE_COMP[],O$1,0),"ERROR")</f>
        <v>112</v>
      </c>
      <c r="P19" s="114">
        <f t="shared" si="3"/>
        <v>0.5544554455445545</v>
      </c>
      <c r="Q19" s="115">
        <f>IFERROR(VLOOKUP($B19,MMWR_TRAD_AGG_STATE_COMP[],Q$1,0),"ERROR")</f>
        <v>213</v>
      </c>
      <c r="R19" s="115">
        <f>IFERROR(VLOOKUP($B19,MMWR_TRAD_AGG_STATE_COMP[],R$1,0),"ERROR")</f>
        <v>2</v>
      </c>
      <c r="S19" s="115">
        <f>IFERROR(VLOOKUP($B19,MMWR_APP_STATE_COMP[],S$1,0),"ERROR")</f>
        <v>313</v>
      </c>
      <c r="T19" s="28"/>
    </row>
    <row r="20" spans="1:20" s="123" customFormat="1" x14ac:dyDescent="0.2">
      <c r="A20" s="107"/>
      <c r="B20" s="127" t="s">
        <v>421</v>
      </c>
      <c r="C20" s="109">
        <f>IFERROR(VLOOKUP($B20,MMWR_TRAD_AGG_STATE_COMP[],C$1,0),"ERROR")</f>
        <v>432</v>
      </c>
      <c r="D20" s="110">
        <f>IFERROR(VLOOKUP($B20,MMWR_TRAD_AGG_STATE_COMP[],D$1,0),"ERROR")</f>
        <v>365.8101851852</v>
      </c>
      <c r="E20" s="111">
        <f>IFERROR(VLOOKUP($B20,MMWR_TRAD_AGG_STATE_COMP[],E$1,0),"ERROR")</f>
        <v>489</v>
      </c>
      <c r="F20" s="112">
        <f>IFERROR(VLOOKUP($B20,MMWR_TRAD_AGG_STATE_COMP[],F$1,0),"ERROR")</f>
        <v>104</v>
      </c>
      <c r="G20" s="113">
        <f t="shared" si="0"/>
        <v>0.21267893660531698</v>
      </c>
      <c r="H20" s="111">
        <f>IFERROR(VLOOKUP($B20,MMWR_TRAD_AGG_STATE_COMP[],H$1,0),"ERROR")</f>
        <v>911</v>
      </c>
      <c r="I20" s="112">
        <f>IFERROR(VLOOKUP($B20,MMWR_TRAD_AGG_STATE_COMP[],I$1,0),"ERROR")</f>
        <v>473</v>
      </c>
      <c r="J20" s="114">
        <f t="shared" si="1"/>
        <v>0.51920965971459931</v>
      </c>
      <c r="K20" s="111">
        <f>IFERROR(VLOOKUP($B20,MMWR_TRAD_AGG_STATE_COMP[],K$1,0),"ERROR")</f>
        <v>214</v>
      </c>
      <c r="L20" s="112">
        <f>IFERROR(VLOOKUP($B20,MMWR_TRAD_AGG_STATE_COMP[],L$1,0),"ERROR")</f>
        <v>143</v>
      </c>
      <c r="M20" s="114">
        <f t="shared" si="2"/>
        <v>0.66822429906542058</v>
      </c>
      <c r="N20" s="111">
        <f>IFERROR(VLOOKUP($B20,MMWR_TRAD_AGG_STATE_COMP[],N$1,0),"ERROR")</f>
        <v>126</v>
      </c>
      <c r="O20" s="112">
        <f>IFERROR(VLOOKUP($B20,MMWR_TRAD_AGG_STATE_COMP[],O$1,0),"ERROR")</f>
        <v>88</v>
      </c>
      <c r="P20" s="114">
        <f t="shared" si="3"/>
        <v>0.69841269841269837</v>
      </c>
      <c r="Q20" s="115">
        <f>IFERROR(VLOOKUP($B20,MMWR_TRAD_AGG_STATE_COMP[],Q$1,0),"ERROR")</f>
        <v>82</v>
      </c>
      <c r="R20" s="115">
        <f>IFERROR(VLOOKUP($B20,MMWR_TRAD_AGG_STATE_COMP[],R$1,0),"ERROR")</f>
        <v>1</v>
      </c>
      <c r="S20" s="115">
        <f>IFERROR(VLOOKUP($B20,MMWR_APP_STATE_COMP[],S$1,0),"ERROR")</f>
        <v>126</v>
      </c>
      <c r="T20" s="28"/>
    </row>
    <row r="21" spans="1:20" s="123" customFormat="1" x14ac:dyDescent="0.2">
      <c r="A21" s="107"/>
      <c r="B21" s="127" t="s">
        <v>382</v>
      </c>
      <c r="C21" s="109">
        <f>IFERROR(VLOOKUP($B21,MMWR_TRAD_AGG_STATE_COMP[],C$1,0),"ERROR")</f>
        <v>16808</v>
      </c>
      <c r="D21" s="110">
        <f>IFERROR(VLOOKUP($B21,MMWR_TRAD_AGG_STATE_COMP[],D$1,0),"ERROR")</f>
        <v>437.87577344120001</v>
      </c>
      <c r="E21" s="111">
        <f>IFERROR(VLOOKUP($B21,MMWR_TRAD_AGG_STATE_COMP[],E$1,0),"ERROR")</f>
        <v>12027</v>
      </c>
      <c r="F21" s="112">
        <f>IFERROR(VLOOKUP($B21,MMWR_TRAD_AGG_STATE_COMP[],F$1,0),"ERROR")</f>
        <v>2916</v>
      </c>
      <c r="G21" s="113">
        <f t="shared" si="0"/>
        <v>0.24245447742579196</v>
      </c>
      <c r="H21" s="111">
        <f>IFERROR(VLOOKUP($B21,MMWR_TRAD_AGG_STATE_COMP[],H$1,0),"ERROR")</f>
        <v>21538</v>
      </c>
      <c r="I21" s="112">
        <f>IFERROR(VLOOKUP($B21,MMWR_TRAD_AGG_STATE_COMP[],I$1,0),"ERROR")</f>
        <v>14958</v>
      </c>
      <c r="J21" s="114">
        <f t="shared" si="1"/>
        <v>0.69449345343114499</v>
      </c>
      <c r="K21" s="111">
        <f>IFERROR(VLOOKUP($B21,MMWR_TRAD_AGG_STATE_COMP[],K$1,0),"ERROR")</f>
        <v>8202</v>
      </c>
      <c r="L21" s="112">
        <f>IFERROR(VLOOKUP($B21,MMWR_TRAD_AGG_STATE_COMP[],L$1,0),"ERROR")</f>
        <v>5993</v>
      </c>
      <c r="M21" s="114">
        <f t="shared" si="2"/>
        <v>0.73067544501341142</v>
      </c>
      <c r="N21" s="111">
        <f>IFERROR(VLOOKUP($B21,MMWR_TRAD_AGG_STATE_COMP[],N$1,0),"ERROR")</f>
        <v>6970</v>
      </c>
      <c r="O21" s="112">
        <f>IFERROR(VLOOKUP($B21,MMWR_TRAD_AGG_STATE_COMP[],O$1,0),"ERROR")</f>
        <v>5040</v>
      </c>
      <c r="P21" s="114">
        <f t="shared" si="3"/>
        <v>0.72309899569583935</v>
      </c>
      <c r="Q21" s="115">
        <f>IFERROR(VLOOKUP($B21,MMWR_TRAD_AGG_STATE_COMP[],Q$1,0),"ERROR")</f>
        <v>863</v>
      </c>
      <c r="R21" s="115">
        <f>IFERROR(VLOOKUP($B21,MMWR_TRAD_AGG_STATE_COMP[],R$1,0),"ERROR")</f>
        <v>15</v>
      </c>
      <c r="S21" s="115">
        <f>IFERROR(VLOOKUP($B21,MMWR_APP_STATE_COMP[],S$1,0),"ERROR")</f>
        <v>15016</v>
      </c>
      <c r="T21" s="28"/>
    </row>
    <row r="22" spans="1:20" s="123" customFormat="1" x14ac:dyDescent="0.2">
      <c r="A22" s="107"/>
      <c r="B22" s="127" t="s">
        <v>383</v>
      </c>
      <c r="C22" s="109">
        <f>IFERROR(VLOOKUP($B22,MMWR_TRAD_AGG_STATE_COMP[],C$1,0),"ERROR")</f>
        <v>2169</v>
      </c>
      <c r="D22" s="110">
        <f>IFERROR(VLOOKUP($B22,MMWR_TRAD_AGG_STATE_COMP[],D$1,0),"ERROR")</f>
        <v>267.95481788839999</v>
      </c>
      <c r="E22" s="111">
        <f>IFERROR(VLOOKUP($B22,MMWR_TRAD_AGG_STATE_COMP[],E$1,0),"ERROR")</f>
        <v>2570</v>
      </c>
      <c r="F22" s="112">
        <f>IFERROR(VLOOKUP($B22,MMWR_TRAD_AGG_STATE_COMP[],F$1,0),"ERROR")</f>
        <v>504</v>
      </c>
      <c r="G22" s="113">
        <f t="shared" si="0"/>
        <v>0.19610894941634241</v>
      </c>
      <c r="H22" s="111">
        <f>IFERROR(VLOOKUP($B22,MMWR_TRAD_AGG_STATE_COMP[],H$1,0),"ERROR")</f>
        <v>3557</v>
      </c>
      <c r="I22" s="112">
        <f>IFERROR(VLOOKUP($B22,MMWR_TRAD_AGG_STATE_COMP[],I$1,0),"ERROR")</f>
        <v>2248</v>
      </c>
      <c r="J22" s="114">
        <f t="shared" si="1"/>
        <v>0.63199325274107399</v>
      </c>
      <c r="K22" s="111">
        <f>IFERROR(VLOOKUP($B22,MMWR_TRAD_AGG_STATE_COMP[],K$1,0),"ERROR")</f>
        <v>467</v>
      </c>
      <c r="L22" s="112">
        <f>IFERROR(VLOOKUP($B22,MMWR_TRAD_AGG_STATE_COMP[],L$1,0),"ERROR")</f>
        <v>213</v>
      </c>
      <c r="M22" s="114">
        <f t="shared" si="2"/>
        <v>0.45610278372591007</v>
      </c>
      <c r="N22" s="111">
        <f>IFERROR(VLOOKUP($B22,MMWR_TRAD_AGG_STATE_COMP[],N$1,0),"ERROR")</f>
        <v>1340</v>
      </c>
      <c r="O22" s="112">
        <f>IFERROR(VLOOKUP($B22,MMWR_TRAD_AGG_STATE_COMP[],O$1,0),"ERROR")</f>
        <v>995</v>
      </c>
      <c r="P22" s="114">
        <f t="shared" si="3"/>
        <v>0.7425373134328358</v>
      </c>
      <c r="Q22" s="115">
        <f>IFERROR(VLOOKUP($B22,MMWR_TRAD_AGG_STATE_COMP[],Q$1,0),"ERROR")</f>
        <v>370</v>
      </c>
      <c r="R22" s="115">
        <f>IFERROR(VLOOKUP($B22,MMWR_TRAD_AGG_STATE_COMP[],R$1,0),"ERROR")</f>
        <v>13</v>
      </c>
      <c r="S22" s="115">
        <f>IFERROR(VLOOKUP($B22,MMWR_APP_STATE_COMP[],S$1,0),"ERROR")</f>
        <v>2270</v>
      </c>
      <c r="T22" s="28"/>
    </row>
    <row r="23" spans="1:20" s="123" customFormat="1" x14ac:dyDescent="0.2">
      <c r="A23" s="107"/>
      <c r="B23" s="126" t="s">
        <v>394</v>
      </c>
      <c r="C23" s="102">
        <f>IF(SUM(C24:C35)&lt;&gt;VLOOKUP($B23,MMWR_TRAD_AGG_ST_DISTRICT_COMP[],C$1,0),"ERROR",
VLOOKUP($B23,MMWR_TRAD_AGG_ST_DISTRICT_COMP[],C$1,0))</f>
        <v>40768</v>
      </c>
      <c r="D23" s="103">
        <f>IFERROR(VLOOKUP($B23,MMWR_TRAD_AGG_ST_DISTRICT_COMP[],D$1,0),"ERROR")</f>
        <v>385.56362833589998</v>
      </c>
      <c r="E23" s="102">
        <f>IF(SUM(E24:E35)&lt;&gt;VLOOKUP($B23,MMWR_TRAD_AGG_ST_DISTRICT_COMP[],E$1,0),"ERROR",
VLOOKUP($B23,MMWR_TRAD_AGG_ST_DISTRICT_COMP[],E$1,0))</f>
        <v>51142</v>
      </c>
      <c r="F23" s="102">
        <f>IF(SUM(F24:F35)&lt;&gt;VLOOKUP($B23,MMWR_TRAD_AGG_ST_DISTRICT_COMP[],F$1,0),"ERROR",
VLOOKUP($B23,MMWR_TRAD_AGG_ST_DISTRICT_COMP[],F$1,0))</f>
        <v>11295</v>
      </c>
      <c r="G23" s="104">
        <f t="shared" si="0"/>
        <v>0.2208556567987173</v>
      </c>
      <c r="H23" s="102">
        <f>IF(SUM(H24:H35)&lt;&gt;VLOOKUP($B23,MMWR_TRAD_AGG_ST_DISTRICT_COMP[],H$1,0),"ERROR",
VLOOKUP($B23,MMWR_TRAD_AGG_ST_DISTRICT_COMP[],H$1,0))</f>
        <v>63581</v>
      </c>
      <c r="I23" s="102">
        <f>IF(SUM(I24:I35)&lt;&gt;VLOOKUP($B23,MMWR_TRAD_AGG_ST_DISTRICT_COMP[],I$1,0),"ERROR",
VLOOKUP($B23,MMWR_TRAD_AGG_ST_DISTRICT_COMP[],I$1,0))</f>
        <v>38921</v>
      </c>
      <c r="J23" s="105">
        <f t="shared" si="1"/>
        <v>0.61214828329217852</v>
      </c>
      <c r="K23" s="102">
        <f>IF(SUM(K24:K35)&lt;&gt;VLOOKUP($B23,MMWR_TRAD_AGG_ST_DISTRICT_COMP[],K$1,0),"ERROR",
VLOOKUP($B23,MMWR_TRAD_AGG_ST_DISTRICT_COMP[],K$1,0))</f>
        <v>13628</v>
      </c>
      <c r="L23" s="102">
        <f>IF(SUM(L24:L35)&lt;&gt;VLOOKUP($B23,MMWR_TRAD_AGG_ST_DISTRICT_COMP[],L$1,0),"ERROR",
VLOOKUP($B23,MMWR_TRAD_AGG_ST_DISTRICT_COMP[],L$1,0))</f>
        <v>9220</v>
      </c>
      <c r="M23" s="105">
        <f t="shared" si="2"/>
        <v>0.67654828294687408</v>
      </c>
      <c r="N23" s="102">
        <f>IF(SUM(N24:N35)&lt;&gt;VLOOKUP($B23,MMWR_TRAD_AGG_ST_DISTRICT_COMP[],N$1,0),"ERROR",
VLOOKUP($B23,MMWR_TRAD_AGG_ST_DISTRICT_COMP[],N$1,0))</f>
        <v>28623</v>
      </c>
      <c r="O23" s="102">
        <f>IF(SUM(O24:O35)&lt;&gt;VLOOKUP($B23,MMWR_TRAD_AGG_ST_DISTRICT_COMP[],O$1,0),"ERROR",
VLOOKUP($B23,MMWR_TRAD_AGG_ST_DISTRICT_COMP[],O$1,0))</f>
        <v>15805</v>
      </c>
      <c r="P23" s="105">
        <f t="shared" si="3"/>
        <v>0.5521783181357649</v>
      </c>
      <c r="Q23" s="102">
        <f>IF(SUM(Q24:Q35)&lt;&gt;VLOOKUP($B23,MMWR_TRAD_AGG_ST_DISTRICT_COMP[],Q$1,0),"ERROR",
VLOOKUP($B23,MMWR_TRAD_AGG_ST_DISTRICT_COMP[],Q$1,0))</f>
        <v>3785</v>
      </c>
      <c r="R23" s="102">
        <f>IF(SUM(R24:R35)&lt;&gt;VLOOKUP($B23,MMWR_TRAD_AGG_ST_DISTRICT_COMP[],R$1,0),"ERROR",
VLOOKUP($B23,MMWR_TRAD_AGG_ST_DISTRICT_COMP[],R$1,0))</f>
        <v>1052</v>
      </c>
      <c r="S23" s="106">
        <f>SUM(S24:S35)</f>
        <v>53119</v>
      </c>
      <c r="T23" s="28"/>
    </row>
    <row r="24" spans="1:20" s="123" customFormat="1" x14ac:dyDescent="0.2">
      <c r="A24" s="92"/>
      <c r="B24" s="127" t="s">
        <v>398</v>
      </c>
      <c r="C24" s="109">
        <f>IFERROR(VLOOKUP($B24,MMWR_TRAD_AGG_STATE_COMP[],C$1,0),"ERROR")</f>
        <v>6974</v>
      </c>
      <c r="D24" s="110">
        <f>IFERROR(VLOOKUP($B24,MMWR_TRAD_AGG_STATE_COMP[],D$1,0),"ERROR")</f>
        <v>476.02996845429999</v>
      </c>
      <c r="E24" s="111">
        <f>IFERROR(VLOOKUP($B24,MMWR_TRAD_AGG_STATE_COMP[],E$1,0),"ERROR")</f>
        <v>7318</v>
      </c>
      <c r="F24" s="112">
        <f>IFERROR(VLOOKUP($B24,MMWR_TRAD_AGG_STATE_COMP[],F$1,0),"ERROR")</f>
        <v>1930</v>
      </c>
      <c r="G24" s="113">
        <f t="shared" si="0"/>
        <v>0.26373326045367584</v>
      </c>
      <c r="H24" s="111">
        <f>IFERROR(VLOOKUP($B24,MMWR_TRAD_AGG_STATE_COMP[],H$1,0),"ERROR")</f>
        <v>9763</v>
      </c>
      <c r="I24" s="112">
        <f>IFERROR(VLOOKUP($B24,MMWR_TRAD_AGG_STATE_COMP[],I$1,0),"ERROR")</f>
        <v>6862</v>
      </c>
      <c r="J24" s="114">
        <f t="shared" si="1"/>
        <v>0.70285772815732872</v>
      </c>
      <c r="K24" s="111">
        <f>IFERROR(VLOOKUP($B24,MMWR_TRAD_AGG_STATE_COMP[],K$1,0),"ERROR")</f>
        <v>2110</v>
      </c>
      <c r="L24" s="112">
        <f>IFERROR(VLOOKUP($B24,MMWR_TRAD_AGG_STATE_COMP[],L$1,0),"ERROR")</f>
        <v>1651</v>
      </c>
      <c r="M24" s="114">
        <f t="shared" si="2"/>
        <v>0.78246445497630335</v>
      </c>
      <c r="N24" s="111">
        <f>IFERROR(VLOOKUP($B24,MMWR_TRAD_AGG_STATE_COMP[],N$1,0),"ERROR")</f>
        <v>2961</v>
      </c>
      <c r="O24" s="112">
        <f>IFERROR(VLOOKUP($B24,MMWR_TRAD_AGG_STATE_COMP[],O$1,0),"ERROR")</f>
        <v>1530</v>
      </c>
      <c r="P24" s="114">
        <f t="shared" si="3"/>
        <v>0.51671732522796354</v>
      </c>
      <c r="Q24" s="115">
        <f>IFERROR(VLOOKUP($B24,MMWR_TRAD_AGG_STATE_COMP[],Q$1,0),"ERROR")</f>
        <v>681</v>
      </c>
      <c r="R24" s="115">
        <f>IFERROR(VLOOKUP($B24,MMWR_TRAD_AGG_STATE_COMP[],R$1,0),"ERROR")</f>
        <v>209</v>
      </c>
      <c r="S24" s="115">
        <f>IFERROR(VLOOKUP($B24,MMWR_APP_STATE_COMP[],S$1,0),"ERROR")</f>
        <v>8434</v>
      </c>
      <c r="T24" s="28"/>
    </row>
    <row r="25" spans="1:20" s="123" customFormat="1" x14ac:dyDescent="0.2">
      <c r="A25" s="107"/>
      <c r="B25" s="127" t="s">
        <v>396</v>
      </c>
      <c r="C25" s="109">
        <f>IFERROR(VLOOKUP($B25,MMWR_TRAD_AGG_STATE_COMP[],C$1,0),"ERROR")</f>
        <v>6941</v>
      </c>
      <c r="D25" s="110">
        <f>IFERROR(VLOOKUP($B25,MMWR_TRAD_AGG_STATE_COMP[],D$1,0),"ERROR")</f>
        <v>616.75551073329996</v>
      </c>
      <c r="E25" s="111">
        <f>IFERROR(VLOOKUP($B25,MMWR_TRAD_AGG_STATE_COMP[],E$1,0),"ERROR")</f>
        <v>5118</v>
      </c>
      <c r="F25" s="112">
        <f>IFERROR(VLOOKUP($B25,MMWR_TRAD_AGG_STATE_COMP[],F$1,0),"ERROR")</f>
        <v>1069</v>
      </c>
      <c r="G25" s="113">
        <f t="shared" si="0"/>
        <v>0.20887065259867135</v>
      </c>
      <c r="H25" s="111">
        <f>IFERROR(VLOOKUP($B25,MMWR_TRAD_AGG_STATE_COMP[],H$1,0),"ERROR")</f>
        <v>10517</v>
      </c>
      <c r="I25" s="112">
        <f>IFERROR(VLOOKUP($B25,MMWR_TRAD_AGG_STATE_COMP[],I$1,0),"ERROR")</f>
        <v>7721</v>
      </c>
      <c r="J25" s="114">
        <f t="shared" si="1"/>
        <v>0.73414471807549686</v>
      </c>
      <c r="K25" s="111">
        <f>IFERROR(VLOOKUP($B25,MMWR_TRAD_AGG_STATE_COMP[],K$1,0),"ERROR")</f>
        <v>2057</v>
      </c>
      <c r="L25" s="112">
        <f>IFERROR(VLOOKUP($B25,MMWR_TRAD_AGG_STATE_COMP[],L$1,0),"ERROR")</f>
        <v>1543</v>
      </c>
      <c r="M25" s="114">
        <f t="shared" si="2"/>
        <v>0.75012153621779287</v>
      </c>
      <c r="N25" s="111">
        <f>IFERROR(VLOOKUP($B25,MMWR_TRAD_AGG_STATE_COMP[],N$1,0),"ERROR")</f>
        <v>2922</v>
      </c>
      <c r="O25" s="112">
        <f>IFERROR(VLOOKUP($B25,MMWR_TRAD_AGG_STATE_COMP[],O$1,0),"ERROR")</f>
        <v>1961</v>
      </c>
      <c r="P25" s="114">
        <f t="shared" si="3"/>
        <v>0.67111567419575635</v>
      </c>
      <c r="Q25" s="115">
        <f>IFERROR(VLOOKUP($B25,MMWR_TRAD_AGG_STATE_COMP[],Q$1,0),"ERROR")</f>
        <v>517</v>
      </c>
      <c r="R25" s="115">
        <f>IFERROR(VLOOKUP($B25,MMWR_TRAD_AGG_STATE_COMP[],R$1,0),"ERROR")</f>
        <v>196</v>
      </c>
      <c r="S25" s="115">
        <f>IFERROR(VLOOKUP($B25,MMWR_APP_STATE_COMP[],S$1,0),"ERROR")</f>
        <v>8169</v>
      </c>
      <c r="T25" s="28"/>
    </row>
    <row r="26" spans="1:20" s="123" customFormat="1" x14ac:dyDescent="0.2">
      <c r="A26" s="107"/>
      <c r="B26" s="127" t="s">
        <v>403</v>
      </c>
      <c r="C26" s="109">
        <f>IFERROR(VLOOKUP($B26,MMWR_TRAD_AGG_STATE_COMP[],C$1,0),"ERROR")</f>
        <v>1382</v>
      </c>
      <c r="D26" s="110">
        <f>IFERROR(VLOOKUP($B26,MMWR_TRAD_AGG_STATE_COMP[],D$1,0),"ERROR")</f>
        <v>198.5824891462</v>
      </c>
      <c r="E26" s="111">
        <f>IFERROR(VLOOKUP($B26,MMWR_TRAD_AGG_STATE_COMP[],E$1,0),"ERROR")</f>
        <v>2462</v>
      </c>
      <c r="F26" s="112">
        <f>IFERROR(VLOOKUP($B26,MMWR_TRAD_AGG_STATE_COMP[],F$1,0),"ERROR")</f>
        <v>438</v>
      </c>
      <c r="G26" s="113">
        <f t="shared" si="0"/>
        <v>0.17790414297319251</v>
      </c>
      <c r="H26" s="111">
        <f>IFERROR(VLOOKUP($B26,MMWR_TRAD_AGG_STATE_COMP[],H$1,0),"ERROR")</f>
        <v>2079</v>
      </c>
      <c r="I26" s="112">
        <f>IFERROR(VLOOKUP($B26,MMWR_TRAD_AGG_STATE_COMP[],I$1,0),"ERROR")</f>
        <v>1019</v>
      </c>
      <c r="J26" s="114">
        <f t="shared" si="1"/>
        <v>0.49013949013949015</v>
      </c>
      <c r="K26" s="111">
        <f>IFERROR(VLOOKUP($B26,MMWR_TRAD_AGG_STATE_COMP[],K$1,0),"ERROR")</f>
        <v>397</v>
      </c>
      <c r="L26" s="112">
        <f>IFERROR(VLOOKUP($B26,MMWR_TRAD_AGG_STATE_COMP[],L$1,0),"ERROR")</f>
        <v>193</v>
      </c>
      <c r="M26" s="114">
        <f t="shared" si="2"/>
        <v>0.48614609571788414</v>
      </c>
      <c r="N26" s="111">
        <f>IFERROR(VLOOKUP($B26,MMWR_TRAD_AGG_STATE_COMP[],N$1,0),"ERROR")</f>
        <v>583</v>
      </c>
      <c r="O26" s="112">
        <f>IFERROR(VLOOKUP($B26,MMWR_TRAD_AGG_STATE_COMP[],O$1,0),"ERROR")</f>
        <v>358</v>
      </c>
      <c r="P26" s="114">
        <f t="shared" si="3"/>
        <v>0.614065180102916</v>
      </c>
      <c r="Q26" s="115">
        <f>IFERROR(VLOOKUP($B26,MMWR_TRAD_AGG_STATE_COMP[],Q$1,0),"ERROR")</f>
        <v>2</v>
      </c>
      <c r="R26" s="115">
        <f>IFERROR(VLOOKUP($B26,MMWR_TRAD_AGG_STATE_COMP[],R$1,0),"ERROR")</f>
        <v>7</v>
      </c>
      <c r="S26" s="115">
        <f>IFERROR(VLOOKUP($B26,MMWR_APP_STATE_COMP[],S$1,0),"ERROR")</f>
        <v>1360</v>
      </c>
      <c r="T26" s="28"/>
    </row>
    <row r="27" spans="1:20" s="123" customFormat="1" x14ac:dyDescent="0.2">
      <c r="A27" s="107"/>
      <c r="B27" s="127" t="s">
        <v>426</v>
      </c>
      <c r="C27" s="109">
        <f>IFERROR(VLOOKUP($B27,MMWR_TRAD_AGG_STATE_COMP[],C$1,0),"ERROR")</f>
        <v>2104</v>
      </c>
      <c r="D27" s="110">
        <f>IFERROR(VLOOKUP($B27,MMWR_TRAD_AGG_STATE_COMP[],D$1,0),"ERROR")</f>
        <v>241.18393536120001</v>
      </c>
      <c r="E27" s="111">
        <f>IFERROR(VLOOKUP($B27,MMWR_TRAD_AGG_STATE_COMP[],E$1,0),"ERROR")</f>
        <v>2491</v>
      </c>
      <c r="F27" s="112">
        <f>IFERROR(VLOOKUP($B27,MMWR_TRAD_AGG_STATE_COMP[],F$1,0),"ERROR")</f>
        <v>440</v>
      </c>
      <c r="G27" s="113">
        <f t="shared" si="0"/>
        <v>0.17663588920112405</v>
      </c>
      <c r="H27" s="111">
        <f>IFERROR(VLOOKUP($B27,MMWR_TRAD_AGG_STATE_COMP[],H$1,0),"ERROR")</f>
        <v>3117</v>
      </c>
      <c r="I27" s="112">
        <f>IFERROR(VLOOKUP($B27,MMWR_TRAD_AGG_STATE_COMP[],I$1,0),"ERROR")</f>
        <v>1731</v>
      </c>
      <c r="J27" s="114">
        <f t="shared" si="1"/>
        <v>0.55534167468719919</v>
      </c>
      <c r="K27" s="111">
        <f>IFERROR(VLOOKUP($B27,MMWR_TRAD_AGG_STATE_COMP[],K$1,0),"ERROR")</f>
        <v>1126</v>
      </c>
      <c r="L27" s="112">
        <f>IFERROR(VLOOKUP($B27,MMWR_TRAD_AGG_STATE_COMP[],L$1,0),"ERROR")</f>
        <v>473</v>
      </c>
      <c r="M27" s="114">
        <f t="shared" si="2"/>
        <v>0.42007104795737121</v>
      </c>
      <c r="N27" s="111">
        <f>IFERROR(VLOOKUP($B27,MMWR_TRAD_AGG_STATE_COMP[],N$1,0),"ERROR")</f>
        <v>651</v>
      </c>
      <c r="O27" s="112">
        <f>IFERROR(VLOOKUP($B27,MMWR_TRAD_AGG_STATE_COMP[],O$1,0),"ERROR")</f>
        <v>343</v>
      </c>
      <c r="P27" s="114">
        <f t="shared" si="3"/>
        <v>0.5268817204301075</v>
      </c>
      <c r="Q27" s="115">
        <f>IFERROR(VLOOKUP($B27,MMWR_TRAD_AGG_STATE_COMP[],Q$1,0),"ERROR")</f>
        <v>10</v>
      </c>
      <c r="R27" s="115">
        <f>IFERROR(VLOOKUP($B27,MMWR_TRAD_AGG_STATE_COMP[],R$1,0),"ERROR")</f>
        <v>15</v>
      </c>
      <c r="S27" s="115">
        <f>IFERROR(VLOOKUP($B27,MMWR_APP_STATE_COMP[],S$1,0),"ERROR")</f>
        <v>1359</v>
      </c>
      <c r="T27" s="28"/>
    </row>
    <row r="28" spans="1:20" s="123" customFormat="1" x14ac:dyDescent="0.2">
      <c r="A28" s="107"/>
      <c r="B28" s="127" t="s">
        <v>399</v>
      </c>
      <c r="C28" s="109">
        <f>IFERROR(VLOOKUP($B28,MMWR_TRAD_AGG_STATE_COMP[],C$1,0),"ERROR")</f>
        <v>3802</v>
      </c>
      <c r="D28" s="110">
        <f>IFERROR(VLOOKUP($B28,MMWR_TRAD_AGG_STATE_COMP[],D$1,0),"ERROR")</f>
        <v>302.33771699110002</v>
      </c>
      <c r="E28" s="111">
        <f>IFERROR(VLOOKUP($B28,MMWR_TRAD_AGG_STATE_COMP[],E$1,0),"ERROR")</f>
        <v>7136</v>
      </c>
      <c r="F28" s="112">
        <f>IFERROR(VLOOKUP($B28,MMWR_TRAD_AGG_STATE_COMP[],F$1,0),"ERROR")</f>
        <v>1830</v>
      </c>
      <c r="G28" s="113">
        <f t="shared" si="0"/>
        <v>0.25644618834080718</v>
      </c>
      <c r="H28" s="111">
        <f>IFERROR(VLOOKUP($B28,MMWR_TRAD_AGG_STATE_COMP[],H$1,0),"ERROR")</f>
        <v>6835</v>
      </c>
      <c r="I28" s="112">
        <f>IFERROR(VLOOKUP($B28,MMWR_TRAD_AGG_STATE_COMP[],I$1,0),"ERROR")</f>
        <v>4439</v>
      </c>
      <c r="J28" s="114">
        <f t="shared" si="1"/>
        <v>0.64945135332845649</v>
      </c>
      <c r="K28" s="111">
        <f>IFERROR(VLOOKUP($B28,MMWR_TRAD_AGG_STATE_COMP[],K$1,0),"ERROR")</f>
        <v>1370</v>
      </c>
      <c r="L28" s="112">
        <f>IFERROR(VLOOKUP($B28,MMWR_TRAD_AGG_STATE_COMP[],L$1,0),"ERROR")</f>
        <v>1004</v>
      </c>
      <c r="M28" s="114">
        <f t="shared" si="2"/>
        <v>0.73284671532846712</v>
      </c>
      <c r="N28" s="111">
        <f>IFERROR(VLOOKUP($B28,MMWR_TRAD_AGG_STATE_COMP[],N$1,0),"ERROR")</f>
        <v>5865</v>
      </c>
      <c r="O28" s="112">
        <f>IFERROR(VLOOKUP($B28,MMWR_TRAD_AGG_STATE_COMP[],O$1,0),"ERROR")</f>
        <v>1114</v>
      </c>
      <c r="P28" s="114">
        <f t="shared" si="3"/>
        <v>0.18994032395566923</v>
      </c>
      <c r="Q28" s="115">
        <f>IFERROR(VLOOKUP($B28,MMWR_TRAD_AGG_STATE_COMP[],Q$1,0),"ERROR")</f>
        <v>719</v>
      </c>
      <c r="R28" s="115">
        <f>IFERROR(VLOOKUP($B28,MMWR_TRAD_AGG_STATE_COMP[],R$1,0),"ERROR")</f>
        <v>199</v>
      </c>
      <c r="S28" s="115">
        <f>IFERROR(VLOOKUP($B28,MMWR_APP_STATE_COMP[],S$1,0),"ERROR")</f>
        <v>5913</v>
      </c>
      <c r="T28" s="28"/>
    </row>
    <row r="29" spans="1:20" s="123" customFormat="1" x14ac:dyDescent="0.2">
      <c r="A29" s="107"/>
      <c r="B29" s="127" t="s">
        <v>405</v>
      </c>
      <c r="C29" s="109">
        <f>IFERROR(VLOOKUP($B29,MMWR_TRAD_AGG_STATE_COMP[],C$1,0),"ERROR")</f>
        <v>1510</v>
      </c>
      <c r="D29" s="110">
        <f>IFERROR(VLOOKUP($B29,MMWR_TRAD_AGG_STATE_COMP[],D$1,0),"ERROR")</f>
        <v>194.62251655630001</v>
      </c>
      <c r="E29" s="111">
        <f>IFERROR(VLOOKUP($B29,MMWR_TRAD_AGG_STATE_COMP[],E$1,0),"ERROR")</f>
        <v>4428</v>
      </c>
      <c r="F29" s="112">
        <f>IFERROR(VLOOKUP($B29,MMWR_TRAD_AGG_STATE_COMP[],F$1,0),"ERROR")</f>
        <v>857</v>
      </c>
      <c r="G29" s="113">
        <f t="shared" si="0"/>
        <v>0.19354110207768743</v>
      </c>
      <c r="H29" s="111">
        <f>IFERROR(VLOOKUP($B29,MMWR_TRAD_AGG_STATE_COMP[],H$1,0),"ERROR")</f>
        <v>2877</v>
      </c>
      <c r="I29" s="112">
        <f>IFERROR(VLOOKUP($B29,MMWR_TRAD_AGG_STATE_COMP[],I$1,0),"ERROR")</f>
        <v>1314</v>
      </c>
      <c r="J29" s="114">
        <f t="shared" si="1"/>
        <v>0.45672575599582899</v>
      </c>
      <c r="K29" s="111">
        <f>IFERROR(VLOOKUP($B29,MMWR_TRAD_AGG_STATE_COMP[],K$1,0),"ERROR")</f>
        <v>505</v>
      </c>
      <c r="L29" s="112">
        <f>IFERROR(VLOOKUP($B29,MMWR_TRAD_AGG_STATE_COMP[],L$1,0),"ERROR")</f>
        <v>239</v>
      </c>
      <c r="M29" s="114">
        <f t="shared" si="2"/>
        <v>0.47326732673267324</v>
      </c>
      <c r="N29" s="111">
        <f>IFERROR(VLOOKUP($B29,MMWR_TRAD_AGG_STATE_COMP[],N$1,0),"ERROR")</f>
        <v>1140</v>
      </c>
      <c r="O29" s="112">
        <f>IFERROR(VLOOKUP($B29,MMWR_TRAD_AGG_STATE_COMP[],O$1,0),"ERROR")</f>
        <v>713</v>
      </c>
      <c r="P29" s="114">
        <f t="shared" si="3"/>
        <v>0.62543859649122802</v>
      </c>
      <c r="Q29" s="115">
        <f>IFERROR(VLOOKUP($B29,MMWR_TRAD_AGG_STATE_COMP[],Q$1,0),"ERROR")</f>
        <v>4</v>
      </c>
      <c r="R29" s="115">
        <f>IFERROR(VLOOKUP($B29,MMWR_TRAD_AGG_STATE_COMP[],R$1,0),"ERROR")</f>
        <v>5</v>
      </c>
      <c r="S29" s="115">
        <f>IFERROR(VLOOKUP($B29,MMWR_APP_STATE_COMP[],S$1,0),"ERROR")</f>
        <v>2183</v>
      </c>
      <c r="T29" s="28"/>
    </row>
    <row r="30" spans="1:20" s="123" customFormat="1" x14ac:dyDescent="0.2">
      <c r="A30" s="107"/>
      <c r="B30" s="127" t="s">
        <v>401</v>
      </c>
      <c r="C30" s="109">
        <f>IFERROR(VLOOKUP($B30,MMWR_TRAD_AGG_STATE_COMP[],C$1,0),"ERROR")</f>
        <v>5386</v>
      </c>
      <c r="D30" s="110">
        <f>IFERROR(VLOOKUP($B30,MMWR_TRAD_AGG_STATE_COMP[],D$1,0),"ERROR")</f>
        <v>281.37894541399999</v>
      </c>
      <c r="E30" s="111">
        <f>IFERROR(VLOOKUP($B30,MMWR_TRAD_AGG_STATE_COMP[],E$1,0),"ERROR")</f>
        <v>6136</v>
      </c>
      <c r="F30" s="112">
        <f>IFERROR(VLOOKUP($B30,MMWR_TRAD_AGG_STATE_COMP[],F$1,0),"ERROR")</f>
        <v>1172</v>
      </c>
      <c r="G30" s="113">
        <f t="shared" si="0"/>
        <v>0.19100391134289441</v>
      </c>
      <c r="H30" s="111">
        <f>IFERROR(VLOOKUP($B30,MMWR_TRAD_AGG_STATE_COMP[],H$1,0),"ERROR")</f>
        <v>7710</v>
      </c>
      <c r="I30" s="112">
        <f>IFERROR(VLOOKUP($B30,MMWR_TRAD_AGG_STATE_COMP[],I$1,0),"ERROR")</f>
        <v>4526</v>
      </c>
      <c r="J30" s="114">
        <f t="shared" si="1"/>
        <v>0.58702983138780807</v>
      </c>
      <c r="K30" s="111">
        <f>IFERROR(VLOOKUP($B30,MMWR_TRAD_AGG_STATE_COMP[],K$1,0),"ERROR")</f>
        <v>2366</v>
      </c>
      <c r="L30" s="112">
        <f>IFERROR(VLOOKUP($B30,MMWR_TRAD_AGG_STATE_COMP[],L$1,0),"ERROR")</f>
        <v>1804</v>
      </c>
      <c r="M30" s="114">
        <f t="shared" si="2"/>
        <v>0.76246830092983942</v>
      </c>
      <c r="N30" s="111">
        <f>IFERROR(VLOOKUP($B30,MMWR_TRAD_AGG_STATE_COMP[],N$1,0),"ERROR")</f>
        <v>8335</v>
      </c>
      <c r="O30" s="112">
        <f>IFERROR(VLOOKUP($B30,MMWR_TRAD_AGG_STATE_COMP[],O$1,0),"ERROR")</f>
        <v>6026</v>
      </c>
      <c r="P30" s="114">
        <f t="shared" si="3"/>
        <v>0.72297540491901624</v>
      </c>
      <c r="Q30" s="115">
        <f>IFERROR(VLOOKUP($B30,MMWR_TRAD_AGG_STATE_COMP[],Q$1,0),"ERROR")</f>
        <v>665</v>
      </c>
      <c r="R30" s="115">
        <f>IFERROR(VLOOKUP($B30,MMWR_TRAD_AGG_STATE_COMP[],R$1,0),"ERROR")</f>
        <v>80</v>
      </c>
      <c r="S30" s="115">
        <f>IFERROR(VLOOKUP($B30,MMWR_APP_STATE_COMP[],S$1,0),"ERROR")</f>
        <v>6799</v>
      </c>
      <c r="T30" s="28"/>
    </row>
    <row r="31" spans="1:20" s="123" customFormat="1" x14ac:dyDescent="0.2">
      <c r="A31" s="107"/>
      <c r="B31" s="127" t="s">
        <v>404</v>
      </c>
      <c r="C31" s="109">
        <f>IFERROR(VLOOKUP($B31,MMWR_TRAD_AGG_STATE_COMP[],C$1,0),"ERROR")</f>
        <v>1383</v>
      </c>
      <c r="D31" s="110">
        <f>IFERROR(VLOOKUP($B31,MMWR_TRAD_AGG_STATE_COMP[],D$1,0),"ERROR")</f>
        <v>226.04989154009999</v>
      </c>
      <c r="E31" s="111">
        <f>IFERROR(VLOOKUP($B31,MMWR_TRAD_AGG_STATE_COMP[],E$1,0),"ERROR")</f>
        <v>2247</v>
      </c>
      <c r="F31" s="112">
        <f>IFERROR(VLOOKUP($B31,MMWR_TRAD_AGG_STATE_COMP[],F$1,0),"ERROR")</f>
        <v>251</v>
      </c>
      <c r="G31" s="113">
        <f t="shared" si="0"/>
        <v>0.11170449488206498</v>
      </c>
      <c r="H31" s="111">
        <f>IFERROR(VLOOKUP($B31,MMWR_TRAD_AGG_STATE_COMP[],H$1,0),"ERROR")</f>
        <v>2176</v>
      </c>
      <c r="I31" s="112">
        <f>IFERROR(VLOOKUP($B31,MMWR_TRAD_AGG_STATE_COMP[],I$1,0),"ERROR")</f>
        <v>1143</v>
      </c>
      <c r="J31" s="114">
        <f t="shared" si="1"/>
        <v>0.52527573529411764</v>
      </c>
      <c r="K31" s="111">
        <f>IFERROR(VLOOKUP($B31,MMWR_TRAD_AGG_STATE_COMP[],K$1,0),"ERROR")</f>
        <v>751</v>
      </c>
      <c r="L31" s="112">
        <f>IFERROR(VLOOKUP($B31,MMWR_TRAD_AGG_STATE_COMP[],L$1,0),"ERROR")</f>
        <v>564</v>
      </c>
      <c r="M31" s="114">
        <f t="shared" si="2"/>
        <v>0.75099866844207719</v>
      </c>
      <c r="N31" s="111">
        <f>IFERROR(VLOOKUP($B31,MMWR_TRAD_AGG_STATE_COMP[],N$1,0),"ERROR")</f>
        <v>589</v>
      </c>
      <c r="O31" s="112">
        <f>IFERROR(VLOOKUP($B31,MMWR_TRAD_AGG_STATE_COMP[],O$1,0),"ERROR")</f>
        <v>330</v>
      </c>
      <c r="P31" s="114">
        <f t="shared" si="3"/>
        <v>0.56027164685908315</v>
      </c>
      <c r="Q31" s="115">
        <f>IFERROR(VLOOKUP($B31,MMWR_TRAD_AGG_STATE_COMP[],Q$1,0),"ERROR")</f>
        <v>1</v>
      </c>
      <c r="R31" s="115">
        <f>IFERROR(VLOOKUP($B31,MMWR_TRAD_AGG_STATE_COMP[],R$1,0),"ERROR")</f>
        <v>13</v>
      </c>
      <c r="S31" s="115">
        <f>IFERROR(VLOOKUP($B31,MMWR_APP_STATE_COMP[],S$1,0),"ERROR")</f>
        <v>1253</v>
      </c>
      <c r="T31" s="28"/>
    </row>
    <row r="32" spans="1:20" s="123" customFormat="1" x14ac:dyDescent="0.2">
      <c r="A32" s="107"/>
      <c r="B32" s="127" t="s">
        <v>423</v>
      </c>
      <c r="C32" s="109">
        <f>IFERROR(VLOOKUP($B32,MMWR_TRAD_AGG_STATE_COMP[],C$1,0),"ERROR")</f>
        <v>166</v>
      </c>
      <c r="D32" s="110">
        <f>IFERROR(VLOOKUP($B32,MMWR_TRAD_AGG_STATE_COMP[],D$1,0),"ERROR")</f>
        <v>306.43975903609999</v>
      </c>
      <c r="E32" s="111">
        <f>IFERROR(VLOOKUP($B32,MMWR_TRAD_AGG_STATE_COMP[],E$1,0),"ERROR")</f>
        <v>645</v>
      </c>
      <c r="F32" s="112">
        <f>IFERROR(VLOOKUP($B32,MMWR_TRAD_AGG_STATE_COMP[],F$1,0),"ERROR")</f>
        <v>110</v>
      </c>
      <c r="G32" s="113">
        <f t="shared" si="0"/>
        <v>0.17054263565891473</v>
      </c>
      <c r="H32" s="111">
        <f>IFERROR(VLOOKUP($B32,MMWR_TRAD_AGG_STATE_COMP[],H$1,0),"ERROR")</f>
        <v>317</v>
      </c>
      <c r="I32" s="112">
        <f>IFERROR(VLOOKUP($B32,MMWR_TRAD_AGG_STATE_COMP[],I$1,0),"ERROR")</f>
        <v>149</v>
      </c>
      <c r="J32" s="114">
        <f t="shared" si="1"/>
        <v>0.47003154574132494</v>
      </c>
      <c r="K32" s="111">
        <f>IFERROR(VLOOKUP($B32,MMWR_TRAD_AGG_STATE_COMP[],K$1,0),"ERROR")</f>
        <v>114</v>
      </c>
      <c r="L32" s="112">
        <f>IFERROR(VLOOKUP($B32,MMWR_TRAD_AGG_STATE_COMP[],L$1,0),"ERROR")</f>
        <v>56</v>
      </c>
      <c r="M32" s="114">
        <f t="shared" si="2"/>
        <v>0.49122807017543857</v>
      </c>
      <c r="N32" s="111">
        <f>IFERROR(VLOOKUP($B32,MMWR_TRAD_AGG_STATE_COMP[],N$1,0),"ERROR")</f>
        <v>147</v>
      </c>
      <c r="O32" s="112">
        <f>IFERROR(VLOOKUP($B32,MMWR_TRAD_AGG_STATE_COMP[],O$1,0),"ERROR")</f>
        <v>81</v>
      </c>
      <c r="P32" s="114">
        <f t="shared" si="3"/>
        <v>0.55102040816326525</v>
      </c>
      <c r="Q32" s="115">
        <f>IFERROR(VLOOKUP($B32,MMWR_TRAD_AGG_STATE_COMP[],Q$1,0),"ERROR")</f>
        <v>0</v>
      </c>
      <c r="R32" s="115">
        <f>IFERROR(VLOOKUP($B32,MMWR_TRAD_AGG_STATE_COMP[],R$1,0),"ERROR")</f>
        <v>0</v>
      </c>
      <c r="S32" s="115">
        <f>IFERROR(VLOOKUP($B32,MMWR_APP_STATE_COMP[],S$1,0),"ERROR")</f>
        <v>476</v>
      </c>
      <c r="T32" s="28"/>
    </row>
    <row r="33" spans="1:20" s="123" customFormat="1" x14ac:dyDescent="0.2">
      <c r="A33" s="107"/>
      <c r="B33" s="127" t="s">
        <v>395</v>
      </c>
      <c r="C33" s="109">
        <f>IFERROR(VLOOKUP($B33,MMWR_TRAD_AGG_STATE_COMP[],C$1,0),"ERROR")</f>
        <v>6601</v>
      </c>
      <c r="D33" s="110">
        <f>IFERROR(VLOOKUP($B33,MMWR_TRAD_AGG_STATE_COMP[],D$1,0),"ERROR")</f>
        <v>412.52779881840002</v>
      </c>
      <c r="E33" s="111">
        <f>IFERROR(VLOOKUP($B33,MMWR_TRAD_AGG_STATE_COMP[],E$1,0),"ERROR")</f>
        <v>8499</v>
      </c>
      <c r="F33" s="112">
        <f>IFERROR(VLOOKUP($B33,MMWR_TRAD_AGG_STATE_COMP[],F$1,0),"ERROR")</f>
        <v>2272</v>
      </c>
      <c r="G33" s="113">
        <f t="shared" si="0"/>
        <v>0.26732556771384869</v>
      </c>
      <c r="H33" s="111">
        <f>IFERROR(VLOOKUP($B33,MMWR_TRAD_AGG_STATE_COMP[],H$1,0),"ERROR")</f>
        <v>11408</v>
      </c>
      <c r="I33" s="112">
        <f>IFERROR(VLOOKUP($B33,MMWR_TRAD_AGG_STATE_COMP[],I$1,0),"ERROR")</f>
        <v>6421</v>
      </c>
      <c r="J33" s="114">
        <f t="shared" si="1"/>
        <v>0.56285063113604483</v>
      </c>
      <c r="K33" s="111">
        <f>IFERROR(VLOOKUP($B33,MMWR_TRAD_AGG_STATE_COMP[],K$1,0),"ERROR")</f>
        <v>1847</v>
      </c>
      <c r="L33" s="112">
        <f>IFERROR(VLOOKUP($B33,MMWR_TRAD_AGG_STATE_COMP[],L$1,0),"ERROR")</f>
        <v>1093</v>
      </c>
      <c r="M33" s="114">
        <f t="shared" si="2"/>
        <v>0.59177043854899836</v>
      </c>
      <c r="N33" s="111">
        <f>IFERROR(VLOOKUP($B33,MMWR_TRAD_AGG_STATE_COMP[],N$1,0),"ERROR")</f>
        <v>4392</v>
      </c>
      <c r="O33" s="112">
        <f>IFERROR(VLOOKUP($B33,MMWR_TRAD_AGG_STATE_COMP[],O$1,0),"ERROR")</f>
        <v>2763</v>
      </c>
      <c r="P33" s="114">
        <f t="shared" si="3"/>
        <v>0.62909836065573765</v>
      </c>
      <c r="Q33" s="115">
        <f>IFERROR(VLOOKUP($B33,MMWR_TRAD_AGG_STATE_COMP[],Q$1,0),"ERROR")</f>
        <v>759</v>
      </c>
      <c r="R33" s="115">
        <f>IFERROR(VLOOKUP($B33,MMWR_TRAD_AGG_STATE_COMP[],R$1,0),"ERROR")</f>
        <v>321</v>
      </c>
      <c r="S33" s="115">
        <f>IFERROR(VLOOKUP($B33,MMWR_APP_STATE_COMP[],S$1,0),"ERROR")</f>
        <v>13576</v>
      </c>
      <c r="T33" s="28"/>
    </row>
    <row r="34" spans="1:20" s="123" customFormat="1" x14ac:dyDescent="0.2">
      <c r="A34" s="107"/>
      <c r="B34" s="127" t="s">
        <v>424</v>
      </c>
      <c r="C34" s="109">
        <f>IFERROR(VLOOKUP($B34,MMWR_TRAD_AGG_STATE_COMP[],C$1,0),"ERROR")</f>
        <v>372</v>
      </c>
      <c r="D34" s="110">
        <f>IFERROR(VLOOKUP($B34,MMWR_TRAD_AGG_STATE_COMP[],D$1,0),"ERROR")</f>
        <v>278.47043010750002</v>
      </c>
      <c r="E34" s="111">
        <f>IFERROR(VLOOKUP($B34,MMWR_TRAD_AGG_STATE_COMP[],E$1,0),"ERROR")</f>
        <v>861</v>
      </c>
      <c r="F34" s="112">
        <f>IFERROR(VLOOKUP($B34,MMWR_TRAD_AGG_STATE_COMP[],F$1,0),"ERROR")</f>
        <v>150</v>
      </c>
      <c r="G34" s="113">
        <f t="shared" si="0"/>
        <v>0.17421602787456447</v>
      </c>
      <c r="H34" s="111">
        <f>IFERROR(VLOOKUP($B34,MMWR_TRAD_AGG_STATE_COMP[],H$1,0),"ERROR")</f>
        <v>699</v>
      </c>
      <c r="I34" s="112">
        <f>IFERROR(VLOOKUP($B34,MMWR_TRAD_AGG_STATE_COMP[],I$1,0),"ERROR")</f>
        <v>355</v>
      </c>
      <c r="J34" s="114">
        <f t="shared" si="1"/>
        <v>0.50786838340486407</v>
      </c>
      <c r="K34" s="111">
        <f>IFERROR(VLOOKUP($B34,MMWR_TRAD_AGG_STATE_COMP[],K$1,0),"ERROR")</f>
        <v>308</v>
      </c>
      <c r="L34" s="112">
        <f>IFERROR(VLOOKUP($B34,MMWR_TRAD_AGG_STATE_COMP[],L$1,0),"ERROR")</f>
        <v>136</v>
      </c>
      <c r="M34" s="114">
        <f t="shared" si="2"/>
        <v>0.44155844155844154</v>
      </c>
      <c r="N34" s="111">
        <f>IFERROR(VLOOKUP($B34,MMWR_TRAD_AGG_STATE_COMP[],N$1,0),"ERROR")</f>
        <v>125</v>
      </c>
      <c r="O34" s="112">
        <f>IFERROR(VLOOKUP($B34,MMWR_TRAD_AGG_STATE_COMP[],O$1,0),"ERROR")</f>
        <v>74</v>
      </c>
      <c r="P34" s="114">
        <f t="shared" si="3"/>
        <v>0.59199999999999997</v>
      </c>
      <c r="Q34" s="115">
        <f>IFERROR(VLOOKUP($B34,MMWR_TRAD_AGG_STATE_COMP[],Q$1,0),"ERROR")</f>
        <v>1</v>
      </c>
      <c r="R34" s="115">
        <f>IFERROR(VLOOKUP($B34,MMWR_TRAD_AGG_STATE_COMP[],R$1,0),"ERROR")</f>
        <v>1</v>
      </c>
      <c r="S34" s="115">
        <f>IFERROR(VLOOKUP($B34,MMWR_APP_STATE_COMP[],S$1,0),"ERROR")</f>
        <v>199</v>
      </c>
      <c r="T34" s="28"/>
    </row>
    <row r="35" spans="1:20" s="123" customFormat="1" x14ac:dyDescent="0.2">
      <c r="A35" s="107"/>
      <c r="B35" s="127" t="s">
        <v>400</v>
      </c>
      <c r="C35" s="109">
        <f>IFERROR(VLOOKUP($B35,MMWR_TRAD_AGG_STATE_COMP[],C$1,0),"ERROR")</f>
        <v>4147</v>
      </c>
      <c r="D35" s="110">
        <f>IFERROR(VLOOKUP($B35,MMWR_TRAD_AGG_STATE_COMP[],D$1,0),"ERROR")</f>
        <v>286.22498191459999</v>
      </c>
      <c r="E35" s="111">
        <f>IFERROR(VLOOKUP($B35,MMWR_TRAD_AGG_STATE_COMP[],E$1,0),"ERROR")</f>
        <v>3801</v>
      </c>
      <c r="F35" s="112">
        <f>IFERROR(VLOOKUP($B35,MMWR_TRAD_AGG_STATE_COMP[],F$1,0),"ERROR")</f>
        <v>776</v>
      </c>
      <c r="G35" s="113">
        <f t="shared" si="0"/>
        <v>0.2041568008418837</v>
      </c>
      <c r="H35" s="111">
        <f>IFERROR(VLOOKUP($B35,MMWR_TRAD_AGG_STATE_COMP[],H$1,0),"ERROR")</f>
        <v>6083</v>
      </c>
      <c r="I35" s="112">
        <f>IFERROR(VLOOKUP($B35,MMWR_TRAD_AGG_STATE_COMP[],I$1,0),"ERROR")</f>
        <v>3241</v>
      </c>
      <c r="J35" s="114">
        <f t="shared" si="1"/>
        <v>0.53279631760644419</v>
      </c>
      <c r="K35" s="111">
        <f>IFERROR(VLOOKUP($B35,MMWR_TRAD_AGG_STATE_COMP[],K$1,0),"ERROR")</f>
        <v>677</v>
      </c>
      <c r="L35" s="112">
        <f>IFERROR(VLOOKUP($B35,MMWR_TRAD_AGG_STATE_COMP[],L$1,0),"ERROR")</f>
        <v>464</v>
      </c>
      <c r="M35" s="114">
        <f t="shared" si="2"/>
        <v>0.68537666174298373</v>
      </c>
      <c r="N35" s="111">
        <f>IFERROR(VLOOKUP($B35,MMWR_TRAD_AGG_STATE_COMP[],N$1,0),"ERROR")</f>
        <v>913</v>
      </c>
      <c r="O35" s="112">
        <f>IFERROR(VLOOKUP($B35,MMWR_TRAD_AGG_STATE_COMP[],O$1,0),"ERROR")</f>
        <v>512</v>
      </c>
      <c r="P35" s="114">
        <f t="shared" si="3"/>
        <v>0.56078860898138005</v>
      </c>
      <c r="Q35" s="115">
        <f>IFERROR(VLOOKUP($B35,MMWR_TRAD_AGG_STATE_COMP[],Q$1,0),"ERROR")</f>
        <v>426</v>
      </c>
      <c r="R35" s="115">
        <f>IFERROR(VLOOKUP($B35,MMWR_TRAD_AGG_STATE_COMP[],R$1,0),"ERROR")</f>
        <v>6</v>
      </c>
      <c r="S35" s="115">
        <f>IFERROR(VLOOKUP($B35,MMWR_APP_STATE_COMP[],S$1,0),"ERROR")</f>
        <v>3398</v>
      </c>
      <c r="T35" s="28"/>
    </row>
    <row r="36" spans="1:20" s="123" customFormat="1" x14ac:dyDescent="0.2">
      <c r="A36" s="28"/>
      <c r="B36" s="126" t="s">
        <v>389</v>
      </c>
      <c r="C36" s="102">
        <f>IF(SUM(C37:C45)&lt;&gt;VLOOKUP($B36,MMWR_TRAD_AGG_ST_DISTRICT_COMP[],C$1,0),"ERROR",
VLOOKUP($B36,MMWR_TRAD_AGG_ST_DISTRICT_COMP[],C$1,0))</f>
        <v>58077</v>
      </c>
      <c r="D36" s="103">
        <f>IFERROR(VLOOKUP($B36,MMWR_TRAD_AGG_ST_DISTRICT_COMP[],D$1,0),"ERROR")</f>
        <v>380.89803192310001</v>
      </c>
      <c r="E36" s="102">
        <f>IFERROR(VLOOKUP($B36,MMWR_TRAD_AGG_ST_DISTRICT_COMP[],E$1,0),"ERROR")</f>
        <v>65902</v>
      </c>
      <c r="F36" s="102">
        <f>IFERROR(VLOOKUP($B36,MMWR_TRAD_AGG_ST_DISTRICT_COMP[],F$1,0),"ERROR")</f>
        <v>14180</v>
      </c>
      <c r="G36" s="104">
        <f t="shared" si="0"/>
        <v>0.21516797669266485</v>
      </c>
      <c r="H36" s="102">
        <f>IFERROR(VLOOKUP($B36,MMWR_TRAD_AGG_ST_DISTRICT_COMP[],H$1,0),"ERROR")</f>
        <v>81028</v>
      </c>
      <c r="I36" s="102">
        <f>IFERROR(VLOOKUP($B36,MMWR_TRAD_AGG_ST_DISTRICT_COMP[],I$1,0),"ERROR")</f>
        <v>52792</v>
      </c>
      <c r="J36" s="105">
        <f t="shared" si="1"/>
        <v>0.65152786691020392</v>
      </c>
      <c r="K36" s="102">
        <f>IFERROR(VLOOKUP($B36,MMWR_TRAD_AGG_ST_DISTRICT_COMP[],K$1,0),"ERROR")</f>
        <v>19257</v>
      </c>
      <c r="L36" s="102">
        <f>IFERROR(VLOOKUP($B36,MMWR_TRAD_AGG_ST_DISTRICT_COMP[],L$1,0),"ERROR")</f>
        <v>12179</v>
      </c>
      <c r="M36" s="105">
        <f t="shared" si="2"/>
        <v>0.63244534455003376</v>
      </c>
      <c r="N36" s="102">
        <f>IFERROR(VLOOKUP($B36,MMWR_TRAD_AGG_ST_DISTRICT_COMP[],N$1,0),"ERROR")</f>
        <v>26267</v>
      </c>
      <c r="O36" s="102">
        <f>IFERROR(VLOOKUP($B36,MMWR_TRAD_AGG_ST_DISTRICT_COMP[],O$1,0),"ERROR")</f>
        <v>14635</v>
      </c>
      <c r="P36" s="105">
        <f t="shared" si="3"/>
        <v>0.55716298016522636</v>
      </c>
      <c r="Q36" s="102">
        <f>IFERROR(VLOOKUP($B36,MMWR_TRAD_AGG_ST_DISTRICT_COMP[],Q$1,0),"ERROR")</f>
        <v>926</v>
      </c>
      <c r="R36" s="106">
        <f>IFERROR(VLOOKUP($B36,MMWR_TRAD_AGG_ST_DISTRICT_COMP[],R$1,0),"ERROR")</f>
        <v>1058</v>
      </c>
      <c r="S36" s="106">
        <f>SUM(S37:S45)</f>
        <v>69706</v>
      </c>
      <c r="T36" s="28"/>
    </row>
    <row r="37" spans="1:20" s="123" customFormat="1" x14ac:dyDescent="0.2">
      <c r="A37" s="28"/>
      <c r="B37" s="127" t="s">
        <v>415</v>
      </c>
      <c r="C37" s="109">
        <f>IFERROR(VLOOKUP($B37,MMWR_TRAD_AGG_STATE_COMP[],C$1,0),"ERROR")</f>
        <v>4681</v>
      </c>
      <c r="D37" s="110">
        <f>IFERROR(VLOOKUP($B37,MMWR_TRAD_AGG_STATE_COMP[],D$1,0),"ERROR")</f>
        <v>387.53856013670003</v>
      </c>
      <c r="E37" s="111">
        <f>IFERROR(VLOOKUP($B37,MMWR_TRAD_AGG_STATE_COMP[],E$1,0),"ERROR")</f>
        <v>3575</v>
      </c>
      <c r="F37" s="112">
        <f>IFERROR(VLOOKUP($B37,MMWR_TRAD_AGG_STATE_COMP[],F$1,0),"ERROR")</f>
        <v>641</v>
      </c>
      <c r="G37" s="113">
        <f t="shared" si="0"/>
        <v>0.17930069930069931</v>
      </c>
      <c r="H37" s="111">
        <f>IFERROR(VLOOKUP($B37,MMWR_TRAD_AGG_STATE_COMP[],H$1,0),"ERROR")</f>
        <v>6232</v>
      </c>
      <c r="I37" s="112">
        <f>IFERROR(VLOOKUP($B37,MMWR_TRAD_AGG_STATE_COMP[],I$1,0),"ERROR")</f>
        <v>4394</v>
      </c>
      <c r="J37" s="114">
        <f t="shared" si="1"/>
        <v>0.70507060333761229</v>
      </c>
      <c r="K37" s="111">
        <f>IFERROR(VLOOKUP($B37,MMWR_TRAD_AGG_STATE_COMP[],K$1,0),"ERROR")</f>
        <v>1944</v>
      </c>
      <c r="L37" s="112">
        <f>IFERROR(VLOOKUP($B37,MMWR_TRAD_AGG_STATE_COMP[],L$1,0),"ERROR")</f>
        <v>1471</v>
      </c>
      <c r="M37" s="114">
        <f t="shared" si="2"/>
        <v>0.75668724279835387</v>
      </c>
      <c r="N37" s="111">
        <f>IFERROR(VLOOKUP($B37,MMWR_TRAD_AGG_STATE_COMP[],N$1,0),"ERROR")</f>
        <v>2175</v>
      </c>
      <c r="O37" s="112">
        <f>IFERROR(VLOOKUP($B37,MMWR_TRAD_AGG_STATE_COMP[],O$1,0),"ERROR")</f>
        <v>1230</v>
      </c>
      <c r="P37" s="114">
        <f t="shared" si="3"/>
        <v>0.56551724137931036</v>
      </c>
      <c r="Q37" s="115">
        <f>IFERROR(VLOOKUP($B37,MMWR_TRAD_AGG_STATE_COMP[],Q$1,0),"ERROR")</f>
        <v>305</v>
      </c>
      <c r="R37" s="115">
        <f>IFERROR(VLOOKUP($B37,MMWR_TRAD_AGG_STATE_COMP[],R$1,0),"ERROR")</f>
        <v>114</v>
      </c>
      <c r="S37" s="115">
        <f>IFERROR(VLOOKUP($B37,MMWR_APP_STATE_COMP[],S$1,0),"ERROR")</f>
        <v>5344</v>
      </c>
      <c r="T37" s="28"/>
    </row>
    <row r="38" spans="1:20" s="123" customFormat="1" x14ac:dyDescent="0.2">
      <c r="A38" s="28"/>
      <c r="B38" s="127" t="s">
        <v>407</v>
      </c>
      <c r="C38" s="109">
        <f>IFERROR(VLOOKUP($B38,MMWR_TRAD_AGG_STATE_COMP[],C$1,0),"ERROR")</f>
        <v>7271</v>
      </c>
      <c r="D38" s="110">
        <f>IFERROR(VLOOKUP($B38,MMWR_TRAD_AGG_STATE_COMP[],D$1,0),"ERROR")</f>
        <v>454.93866043190002</v>
      </c>
      <c r="E38" s="111">
        <f>IFERROR(VLOOKUP($B38,MMWR_TRAD_AGG_STATE_COMP[],E$1,0),"ERROR")</f>
        <v>7334</v>
      </c>
      <c r="F38" s="112">
        <f>IFERROR(VLOOKUP($B38,MMWR_TRAD_AGG_STATE_COMP[],F$1,0),"ERROR")</f>
        <v>1620</v>
      </c>
      <c r="G38" s="113">
        <f t="shared" ref="G38:G64" si="4">IFERROR(F38/E38,"0%")</f>
        <v>0.22088901008999182</v>
      </c>
      <c r="H38" s="111">
        <f>IFERROR(VLOOKUP($B38,MMWR_TRAD_AGG_STATE_COMP[],H$1,0),"ERROR")</f>
        <v>10639</v>
      </c>
      <c r="I38" s="112">
        <f>IFERROR(VLOOKUP($B38,MMWR_TRAD_AGG_STATE_COMP[],I$1,0),"ERROR")</f>
        <v>7015</v>
      </c>
      <c r="J38" s="114">
        <f t="shared" ref="J38:J64" si="5">IFERROR(I38/H38,"0%")</f>
        <v>0.65936648181220037</v>
      </c>
      <c r="K38" s="111">
        <f>IFERROR(VLOOKUP($B38,MMWR_TRAD_AGG_STATE_COMP[],K$1,0),"ERROR")</f>
        <v>3166</v>
      </c>
      <c r="L38" s="112">
        <f>IFERROR(VLOOKUP($B38,MMWR_TRAD_AGG_STATE_COMP[],L$1,0),"ERROR")</f>
        <v>2190</v>
      </c>
      <c r="M38" s="114">
        <f t="shared" ref="M38:M64" si="6">IFERROR(L38/K38,"0%")</f>
        <v>0.69172457359444095</v>
      </c>
      <c r="N38" s="111">
        <f>IFERROR(VLOOKUP($B38,MMWR_TRAD_AGG_STATE_COMP[],N$1,0),"ERROR")</f>
        <v>1626</v>
      </c>
      <c r="O38" s="112">
        <f>IFERROR(VLOOKUP($B38,MMWR_TRAD_AGG_STATE_COMP[],O$1,0),"ERROR")</f>
        <v>931</v>
      </c>
      <c r="P38" s="114">
        <f t="shared" ref="P38:P64" si="7">IFERROR(O38/N38,"0%")</f>
        <v>0.57257072570725709</v>
      </c>
      <c r="Q38" s="115">
        <f>IFERROR(VLOOKUP($B38,MMWR_TRAD_AGG_STATE_COMP[],Q$1,0),"ERROR")</f>
        <v>15</v>
      </c>
      <c r="R38" s="115">
        <f>IFERROR(VLOOKUP($B38,MMWR_TRAD_AGG_STATE_COMP[],R$1,0),"ERROR")</f>
        <v>59</v>
      </c>
      <c r="S38" s="115">
        <f>IFERROR(VLOOKUP($B38,MMWR_APP_STATE_COMP[],S$1,0),"ERROR")</f>
        <v>6451</v>
      </c>
      <c r="T38" s="28"/>
    </row>
    <row r="39" spans="1:20" s="123" customFormat="1" x14ac:dyDescent="0.2">
      <c r="A39" s="28"/>
      <c r="B39" s="127" t="s">
        <v>391</v>
      </c>
      <c r="C39" s="109">
        <f>IFERROR(VLOOKUP($B39,MMWR_TRAD_AGG_STATE_COMP[],C$1,0),"ERROR")</f>
        <v>5351</v>
      </c>
      <c r="D39" s="110">
        <f>IFERROR(VLOOKUP($B39,MMWR_TRAD_AGG_STATE_COMP[],D$1,0),"ERROR")</f>
        <v>441.89721547369999</v>
      </c>
      <c r="E39" s="111">
        <f>IFERROR(VLOOKUP($B39,MMWR_TRAD_AGG_STATE_COMP[],E$1,0),"ERROR")</f>
        <v>5847</v>
      </c>
      <c r="F39" s="112">
        <f>IFERROR(VLOOKUP($B39,MMWR_TRAD_AGG_STATE_COMP[],F$1,0),"ERROR")</f>
        <v>1342</v>
      </c>
      <c r="G39" s="113">
        <f t="shared" si="4"/>
        <v>0.22951941166410125</v>
      </c>
      <c r="H39" s="111">
        <f>IFERROR(VLOOKUP($B39,MMWR_TRAD_AGG_STATE_COMP[],H$1,0),"ERROR")</f>
        <v>7702</v>
      </c>
      <c r="I39" s="112">
        <f>IFERROR(VLOOKUP($B39,MMWR_TRAD_AGG_STATE_COMP[],I$1,0),"ERROR")</f>
        <v>5216</v>
      </c>
      <c r="J39" s="114">
        <f t="shared" si="5"/>
        <v>0.67722669436509997</v>
      </c>
      <c r="K39" s="111">
        <f>IFERROR(VLOOKUP($B39,MMWR_TRAD_AGG_STATE_COMP[],K$1,0),"ERROR")</f>
        <v>1782</v>
      </c>
      <c r="L39" s="112">
        <f>IFERROR(VLOOKUP($B39,MMWR_TRAD_AGG_STATE_COMP[],L$1,0),"ERROR")</f>
        <v>1241</v>
      </c>
      <c r="M39" s="114">
        <f t="shared" si="6"/>
        <v>0.69640852974186307</v>
      </c>
      <c r="N39" s="111">
        <f>IFERROR(VLOOKUP($B39,MMWR_TRAD_AGG_STATE_COMP[],N$1,0),"ERROR")</f>
        <v>2191</v>
      </c>
      <c r="O39" s="112">
        <f>IFERROR(VLOOKUP($B39,MMWR_TRAD_AGG_STATE_COMP[],O$1,0),"ERROR")</f>
        <v>1334</v>
      </c>
      <c r="P39" s="114">
        <f t="shared" si="7"/>
        <v>0.60885440438156091</v>
      </c>
      <c r="Q39" s="115">
        <f>IFERROR(VLOOKUP($B39,MMWR_TRAD_AGG_STATE_COMP[],Q$1,0),"ERROR")</f>
        <v>266</v>
      </c>
      <c r="R39" s="115">
        <f>IFERROR(VLOOKUP($B39,MMWR_TRAD_AGG_STATE_COMP[],R$1,0),"ERROR")</f>
        <v>247</v>
      </c>
      <c r="S39" s="115">
        <f>IFERROR(VLOOKUP($B39,MMWR_APP_STATE_COMP[],S$1,0),"ERROR")</f>
        <v>5890</v>
      </c>
      <c r="T39" s="28"/>
    </row>
    <row r="40" spans="1:20" s="123" customFormat="1" x14ac:dyDescent="0.2">
      <c r="A40" s="28"/>
      <c r="B40" s="127" t="s">
        <v>393</v>
      </c>
      <c r="C40" s="109">
        <f>IFERROR(VLOOKUP($B40,MMWR_TRAD_AGG_STATE_COMP[],C$1,0),"ERROR")</f>
        <v>4742</v>
      </c>
      <c r="D40" s="110">
        <f>IFERROR(VLOOKUP($B40,MMWR_TRAD_AGG_STATE_COMP[],D$1,0),"ERROR")</f>
        <v>410.4342049768</v>
      </c>
      <c r="E40" s="111">
        <f>IFERROR(VLOOKUP($B40,MMWR_TRAD_AGG_STATE_COMP[],E$1,0),"ERROR")</f>
        <v>4397</v>
      </c>
      <c r="F40" s="112">
        <f>IFERROR(VLOOKUP($B40,MMWR_TRAD_AGG_STATE_COMP[],F$1,0),"ERROR")</f>
        <v>1251</v>
      </c>
      <c r="G40" s="113">
        <f t="shared" si="4"/>
        <v>0.2845121673868547</v>
      </c>
      <c r="H40" s="111">
        <f>IFERROR(VLOOKUP($B40,MMWR_TRAD_AGG_STATE_COMP[],H$1,0),"ERROR")</f>
        <v>7005</v>
      </c>
      <c r="I40" s="112">
        <f>IFERROR(VLOOKUP($B40,MMWR_TRAD_AGG_STATE_COMP[],I$1,0),"ERROR")</f>
        <v>5061</v>
      </c>
      <c r="J40" s="114">
        <f t="shared" si="5"/>
        <v>0.72248394004282657</v>
      </c>
      <c r="K40" s="111">
        <f>IFERROR(VLOOKUP($B40,MMWR_TRAD_AGG_STATE_COMP[],K$1,0),"ERROR")</f>
        <v>1380</v>
      </c>
      <c r="L40" s="112">
        <f>IFERROR(VLOOKUP($B40,MMWR_TRAD_AGG_STATE_COMP[],L$1,0),"ERROR")</f>
        <v>974</v>
      </c>
      <c r="M40" s="114">
        <f t="shared" si="6"/>
        <v>0.70579710144927532</v>
      </c>
      <c r="N40" s="111">
        <f>IFERROR(VLOOKUP($B40,MMWR_TRAD_AGG_STATE_COMP[],N$1,0),"ERROR")</f>
        <v>2767</v>
      </c>
      <c r="O40" s="112">
        <f>IFERROR(VLOOKUP($B40,MMWR_TRAD_AGG_STATE_COMP[],O$1,0),"ERROR")</f>
        <v>2066</v>
      </c>
      <c r="P40" s="114">
        <f t="shared" si="7"/>
        <v>0.74665702927358146</v>
      </c>
      <c r="Q40" s="115">
        <f>IFERROR(VLOOKUP($B40,MMWR_TRAD_AGG_STATE_COMP[],Q$1,0),"ERROR")</f>
        <v>300</v>
      </c>
      <c r="R40" s="115">
        <f>IFERROR(VLOOKUP($B40,MMWR_TRAD_AGG_STATE_COMP[],R$1,0),"ERROR")</f>
        <v>153</v>
      </c>
      <c r="S40" s="115">
        <f>IFERROR(VLOOKUP($B40,MMWR_APP_STATE_COMP[],S$1,0),"ERROR")</f>
        <v>4884</v>
      </c>
      <c r="T40" s="28"/>
    </row>
    <row r="41" spans="1:20" s="123" customFormat="1" x14ac:dyDescent="0.2">
      <c r="A41" s="28"/>
      <c r="B41" s="127" t="s">
        <v>422</v>
      </c>
      <c r="C41" s="109">
        <f>IFERROR(VLOOKUP($B41,MMWR_TRAD_AGG_STATE_COMP[],C$1,0),"ERROR")</f>
        <v>815</v>
      </c>
      <c r="D41" s="110">
        <f>IFERROR(VLOOKUP($B41,MMWR_TRAD_AGG_STATE_COMP[],D$1,0),"ERROR")</f>
        <v>268.20858895710001</v>
      </c>
      <c r="E41" s="111">
        <f>IFERROR(VLOOKUP($B41,MMWR_TRAD_AGG_STATE_COMP[],E$1,0),"ERROR")</f>
        <v>731</v>
      </c>
      <c r="F41" s="112">
        <f>IFERROR(VLOOKUP($B41,MMWR_TRAD_AGG_STATE_COMP[],F$1,0),"ERROR")</f>
        <v>65</v>
      </c>
      <c r="G41" s="113">
        <f t="shared" si="4"/>
        <v>8.8919288645690833E-2</v>
      </c>
      <c r="H41" s="111">
        <f>IFERROR(VLOOKUP($B41,MMWR_TRAD_AGG_STATE_COMP[],H$1,0),"ERROR")</f>
        <v>1260</v>
      </c>
      <c r="I41" s="112">
        <f>IFERROR(VLOOKUP($B41,MMWR_TRAD_AGG_STATE_COMP[],I$1,0),"ERROR")</f>
        <v>635</v>
      </c>
      <c r="J41" s="114">
        <f t="shared" si="5"/>
        <v>0.50396825396825395</v>
      </c>
      <c r="K41" s="111">
        <f>IFERROR(VLOOKUP($B41,MMWR_TRAD_AGG_STATE_COMP[],K$1,0),"ERROR")</f>
        <v>443</v>
      </c>
      <c r="L41" s="112">
        <f>IFERROR(VLOOKUP($B41,MMWR_TRAD_AGG_STATE_COMP[],L$1,0),"ERROR")</f>
        <v>208</v>
      </c>
      <c r="M41" s="114">
        <f t="shared" si="6"/>
        <v>0.46952595936794583</v>
      </c>
      <c r="N41" s="111">
        <f>IFERROR(VLOOKUP($B41,MMWR_TRAD_AGG_STATE_COMP[],N$1,0),"ERROR")</f>
        <v>327</v>
      </c>
      <c r="O41" s="112">
        <f>IFERROR(VLOOKUP($B41,MMWR_TRAD_AGG_STATE_COMP[],O$1,0),"ERROR")</f>
        <v>156</v>
      </c>
      <c r="P41" s="114">
        <f t="shared" si="7"/>
        <v>0.47706422018348627</v>
      </c>
      <c r="Q41" s="115">
        <f>IFERROR(VLOOKUP($B41,MMWR_TRAD_AGG_STATE_COMP[],Q$1,0),"ERROR")</f>
        <v>2</v>
      </c>
      <c r="R41" s="115">
        <f>IFERROR(VLOOKUP($B41,MMWR_TRAD_AGG_STATE_COMP[],R$1,0),"ERROR")</f>
        <v>8</v>
      </c>
      <c r="S41" s="115">
        <f>IFERROR(VLOOKUP($B41,MMWR_APP_STATE_COMP[],S$1,0),"ERROR")</f>
        <v>429</v>
      </c>
      <c r="T41" s="28"/>
    </row>
    <row r="42" spans="1:20" s="123" customFormat="1" x14ac:dyDescent="0.2">
      <c r="A42" s="28"/>
      <c r="B42" s="127" t="s">
        <v>416</v>
      </c>
      <c r="C42" s="109">
        <f>IFERROR(VLOOKUP($B42,MMWR_TRAD_AGG_STATE_COMP[],C$1,0),"ERROR")</f>
        <v>2939</v>
      </c>
      <c r="D42" s="110">
        <f>IFERROR(VLOOKUP($B42,MMWR_TRAD_AGG_STATE_COMP[],D$1,0),"ERROR")</f>
        <v>342.10173528410002</v>
      </c>
      <c r="E42" s="111">
        <f>IFERROR(VLOOKUP($B42,MMWR_TRAD_AGG_STATE_COMP[],E$1,0),"ERROR")</f>
        <v>5857</v>
      </c>
      <c r="F42" s="112">
        <f>IFERROR(VLOOKUP($B42,MMWR_TRAD_AGG_STATE_COMP[],F$1,0),"ERROR")</f>
        <v>902</v>
      </c>
      <c r="G42" s="113">
        <f t="shared" si="4"/>
        <v>0.15400375618917533</v>
      </c>
      <c r="H42" s="111">
        <f>IFERROR(VLOOKUP($B42,MMWR_TRAD_AGG_STATE_COMP[],H$1,0),"ERROR")</f>
        <v>4229</v>
      </c>
      <c r="I42" s="112">
        <f>IFERROR(VLOOKUP($B42,MMWR_TRAD_AGG_STATE_COMP[],I$1,0),"ERROR")</f>
        <v>2214</v>
      </c>
      <c r="J42" s="114">
        <f t="shared" si="5"/>
        <v>0.52352802080870187</v>
      </c>
      <c r="K42" s="111">
        <f>IFERROR(VLOOKUP($B42,MMWR_TRAD_AGG_STATE_COMP[],K$1,0),"ERROR")</f>
        <v>1382</v>
      </c>
      <c r="L42" s="112">
        <f>IFERROR(VLOOKUP($B42,MMWR_TRAD_AGG_STATE_COMP[],L$1,0),"ERROR")</f>
        <v>624</v>
      </c>
      <c r="M42" s="114">
        <f t="shared" si="6"/>
        <v>0.45151953690303909</v>
      </c>
      <c r="N42" s="111">
        <f>IFERROR(VLOOKUP($B42,MMWR_TRAD_AGG_STATE_COMP[],N$1,0),"ERROR")</f>
        <v>2518</v>
      </c>
      <c r="O42" s="112">
        <f>IFERROR(VLOOKUP($B42,MMWR_TRAD_AGG_STATE_COMP[],O$1,0),"ERROR")</f>
        <v>1206</v>
      </c>
      <c r="P42" s="114">
        <f t="shared" si="7"/>
        <v>0.47895154884829227</v>
      </c>
      <c r="Q42" s="115">
        <f>IFERROR(VLOOKUP($B42,MMWR_TRAD_AGG_STATE_COMP[],Q$1,0),"ERROR")</f>
        <v>7</v>
      </c>
      <c r="R42" s="115">
        <f>IFERROR(VLOOKUP($B42,MMWR_TRAD_AGG_STATE_COMP[],R$1,0),"ERROR")</f>
        <v>68</v>
      </c>
      <c r="S42" s="115">
        <f>IFERROR(VLOOKUP($B42,MMWR_APP_STATE_COMP[],S$1,0),"ERROR")</f>
        <v>4888</v>
      </c>
      <c r="T42" s="28"/>
    </row>
    <row r="43" spans="1:20" s="123" customFormat="1" x14ac:dyDescent="0.2">
      <c r="A43" s="28"/>
      <c r="B43" s="127" t="s">
        <v>414</v>
      </c>
      <c r="C43" s="109">
        <f>IFERROR(VLOOKUP($B43,MMWR_TRAD_AGG_STATE_COMP[],C$1,0),"ERROR")</f>
        <v>29834</v>
      </c>
      <c r="D43" s="110">
        <f>IFERROR(VLOOKUP($B43,MMWR_TRAD_AGG_STATE_COMP[],D$1,0),"ERROR")</f>
        <v>359.60136086339998</v>
      </c>
      <c r="E43" s="111">
        <f>IFERROR(VLOOKUP($B43,MMWR_TRAD_AGG_STATE_COMP[],E$1,0),"ERROR")</f>
        <v>35125</v>
      </c>
      <c r="F43" s="112">
        <f>IFERROR(VLOOKUP($B43,MMWR_TRAD_AGG_STATE_COMP[],F$1,0),"ERROR")</f>
        <v>7694</v>
      </c>
      <c r="G43" s="113">
        <f t="shared" si="4"/>
        <v>0.21904626334519572</v>
      </c>
      <c r="H43" s="111">
        <f>IFERROR(VLOOKUP($B43,MMWR_TRAD_AGG_STATE_COMP[],H$1,0),"ERROR")</f>
        <v>40572</v>
      </c>
      <c r="I43" s="112">
        <f>IFERROR(VLOOKUP($B43,MMWR_TRAD_AGG_STATE_COMP[],I$1,0),"ERROR")</f>
        <v>26224</v>
      </c>
      <c r="J43" s="114">
        <f t="shared" si="5"/>
        <v>0.6463570935620625</v>
      </c>
      <c r="K43" s="111">
        <f>IFERROR(VLOOKUP($B43,MMWR_TRAD_AGG_STATE_COMP[],K$1,0),"ERROR")</f>
        <v>8422</v>
      </c>
      <c r="L43" s="112">
        <f>IFERROR(VLOOKUP($B43,MMWR_TRAD_AGG_STATE_COMP[],L$1,0),"ERROR")</f>
        <v>5052</v>
      </c>
      <c r="M43" s="114">
        <f t="shared" si="6"/>
        <v>0.5998575160294467</v>
      </c>
      <c r="N43" s="111">
        <f>IFERROR(VLOOKUP($B43,MMWR_TRAD_AGG_STATE_COMP[],N$1,0),"ERROR")</f>
        <v>14087</v>
      </c>
      <c r="O43" s="112">
        <f>IFERROR(VLOOKUP($B43,MMWR_TRAD_AGG_STATE_COMP[],O$1,0),"ERROR")</f>
        <v>7432</v>
      </c>
      <c r="P43" s="114">
        <f t="shared" si="7"/>
        <v>0.52757861858451049</v>
      </c>
      <c r="Q43" s="115">
        <f>IFERROR(VLOOKUP($B43,MMWR_TRAD_AGG_STATE_COMP[],Q$1,0),"ERROR")</f>
        <v>29</v>
      </c>
      <c r="R43" s="115">
        <f>IFERROR(VLOOKUP($B43,MMWR_TRAD_AGG_STATE_COMP[],R$1,0),"ERROR")</f>
        <v>406</v>
      </c>
      <c r="S43" s="115">
        <f>IFERROR(VLOOKUP($B43,MMWR_APP_STATE_COMP[],S$1,0),"ERROR")</f>
        <v>40971</v>
      </c>
      <c r="T43" s="28"/>
    </row>
    <row r="44" spans="1:20" s="123" customFormat="1" x14ac:dyDescent="0.2">
      <c r="A44" s="28"/>
      <c r="B44" s="127" t="s">
        <v>410</v>
      </c>
      <c r="C44" s="109">
        <f>IFERROR(VLOOKUP($B44,MMWR_TRAD_AGG_STATE_COMP[],C$1,0),"ERROR")</f>
        <v>2000</v>
      </c>
      <c r="D44" s="110">
        <f>IFERROR(VLOOKUP($B44,MMWR_TRAD_AGG_STATE_COMP[],D$1,0),"ERROR")</f>
        <v>295.8365</v>
      </c>
      <c r="E44" s="111">
        <f>IFERROR(VLOOKUP($B44,MMWR_TRAD_AGG_STATE_COMP[],E$1,0),"ERROR")</f>
        <v>2144</v>
      </c>
      <c r="F44" s="112">
        <f>IFERROR(VLOOKUP($B44,MMWR_TRAD_AGG_STATE_COMP[],F$1,0),"ERROR")</f>
        <v>546</v>
      </c>
      <c r="G44" s="113">
        <f t="shared" si="4"/>
        <v>0.25466417910447764</v>
      </c>
      <c r="H44" s="111">
        <f>IFERROR(VLOOKUP($B44,MMWR_TRAD_AGG_STATE_COMP[],H$1,0),"ERROR")</f>
        <v>2602</v>
      </c>
      <c r="I44" s="112">
        <f>IFERROR(VLOOKUP($B44,MMWR_TRAD_AGG_STATE_COMP[],I$1,0),"ERROR")</f>
        <v>1602</v>
      </c>
      <c r="J44" s="114">
        <f t="shared" si="5"/>
        <v>0.61568024596464255</v>
      </c>
      <c r="K44" s="111">
        <f>IFERROR(VLOOKUP($B44,MMWR_TRAD_AGG_STATE_COMP[],K$1,0),"ERROR")</f>
        <v>575</v>
      </c>
      <c r="L44" s="112">
        <f>IFERROR(VLOOKUP($B44,MMWR_TRAD_AGG_STATE_COMP[],L$1,0),"ERROR")</f>
        <v>334</v>
      </c>
      <c r="M44" s="114">
        <f t="shared" si="6"/>
        <v>0.5808695652173913</v>
      </c>
      <c r="N44" s="111">
        <f>IFERROR(VLOOKUP($B44,MMWR_TRAD_AGG_STATE_COMP[],N$1,0),"ERROR")</f>
        <v>410</v>
      </c>
      <c r="O44" s="112">
        <f>IFERROR(VLOOKUP($B44,MMWR_TRAD_AGG_STATE_COMP[],O$1,0),"ERROR")</f>
        <v>189</v>
      </c>
      <c r="P44" s="114">
        <f t="shared" si="7"/>
        <v>0.46097560975609758</v>
      </c>
      <c r="Q44" s="115">
        <f>IFERROR(VLOOKUP($B44,MMWR_TRAD_AGG_STATE_COMP[],Q$1,0),"ERROR")</f>
        <v>0</v>
      </c>
      <c r="R44" s="115">
        <f>IFERROR(VLOOKUP($B44,MMWR_TRAD_AGG_STATE_COMP[],R$1,0),"ERROR")</f>
        <v>1</v>
      </c>
      <c r="S44" s="115">
        <f>IFERROR(VLOOKUP($B44,MMWR_APP_STATE_COMP[],S$1,0),"ERROR")</f>
        <v>531</v>
      </c>
      <c r="T44" s="28"/>
    </row>
    <row r="45" spans="1:20" s="123" customFormat="1" x14ac:dyDescent="0.2">
      <c r="A45" s="28"/>
      <c r="B45" s="127" t="s">
        <v>425</v>
      </c>
      <c r="C45" s="109">
        <f>IFERROR(VLOOKUP($B45,MMWR_TRAD_AGG_STATE_COMP[],C$1,0),"ERROR")</f>
        <v>444</v>
      </c>
      <c r="D45" s="110">
        <f>IFERROR(VLOOKUP($B45,MMWR_TRAD_AGG_STATE_COMP[],D$1,0),"ERROR")</f>
        <v>325.6081081081</v>
      </c>
      <c r="E45" s="111">
        <f>IFERROR(VLOOKUP($B45,MMWR_TRAD_AGG_STATE_COMP[],E$1,0),"ERROR")</f>
        <v>892</v>
      </c>
      <c r="F45" s="112">
        <f>IFERROR(VLOOKUP($B45,MMWR_TRAD_AGG_STATE_COMP[],F$1,0),"ERROR")</f>
        <v>119</v>
      </c>
      <c r="G45" s="113">
        <f t="shared" si="4"/>
        <v>0.13340807174887892</v>
      </c>
      <c r="H45" s="111">
        <f>IFERROR(VLOOKUP($B45,MMWR_TRAD_AGG_STATE_COMP[],H$1,0),"ERROR")</f>
        <v>787</v>
      </c>
      <c r="I45" s="112">
        <f>IFERROR(VLOOKUP($B45,MMWR_TRAD_AGG_STATE_COMP[],I$1,0),"ERROR")</f>
        <v>431</v>
      </c>
      <c r="J45" s="114">
        <f t="shared" si="5"/>
        <v>0.54764930114358323</v>
      </c>
      <c r="K45" s="111">
        <f>IFERROR(VLOOKUP($B45,MMWR_TRAD_AGG_STATE_COMP[],K$1,0),"ERROR")</f>
        <v>163</v>
      </c>
      <c r="L45" s="112">
        <f>IFERROR(VLOOKUP($B45,MMWR_TRAD_AGG_STATE_COMP[],L$1,0),"ERROR")</f>
        <v>85</v>
      </c>
      <c r="M45" s="114">
        <f t="shared" si="6"/>
        <v>0.5214723926380368</v>
      </c>
      <c r="N45" s="111">
        <f>IFERROR(VLOOKUP($B45,MMWR_TRAD_AGG_STATE_COMP[],N$1,0),"ERROR")</f>
        <v>166</v>
      </c>
      <c r="O45" s="112">
        <f>IFERROR(VLOOKUP($B45,MMWR_TRAD_AGG_STATE_COMP[],O$1,0),"ERROR")</f>
        <v>91</v>
      </c>
      <c r="P45" s="114">
        <f t="shared" si="7"/>
        <v>0.54819277108433739</v>
      </c>
      <c r="Q45" s="115">
        <f>IFERROR(VLOOKUP($B45,MMWR_TRAD_AGG_STATE_COMP[],Q$1,0),"ERROR")</f>
        <v>2</v>
      </c>
      <c r="R45" s="115">
        <f>IFERROR(VLOOKUP($B45,MMWR_TRAD_AGG_STATE_COMP[],R$1,0),"ERROR")</f>
        <v>2</v>
      </c>
      <c r="S45" s="115">
        <f>IFERROR(VLOOKUP($B45,MMWR_APP_STATE_COMP[],S$1,0),"ERROR")</f>
        <v>318</v>
      </c>
      <c r="T45" s="28"/>
    </row>
    <row r="46" spans="1:20" s="123" customFormat="1" x14ac:dyDescent="0.2">
      <c r="A46" s="28"/>
      <c r="B46" s="126" t="s">
        <v>408</v>
      </c>
      <c r="C46" s="102">
        <f>IFERROR(VLOOKUP($B46,MMWR_TRAD_AGG_ST_DISTRICT_COMP[],C$1,0),"ERROR")</f>
        <v>64809</v>
      </c>
      <c r="D46" s="103">
        <f>IFERROR(VLOOKUP($B46,MMWR_TRAD_AGG_ST_DISTRICT_COMP[],D$1,0),"ERROR")</f>
        <v>397.9352404759</v>
      </c>
      <c r="E46" s="102">
        <f>IFERROR(VLOOKUP($B46,MMWR_TRAD_AGG_ST_DISTRICT_COMP[],E$1,0),"ERROR")</f>
        <v>58451</v>
      </c>
      <c r="F46" s="102">
        <f>IFERROR(VLOOKUP($B46,MMWR_TRAD_AGG_ST_DISTRICT_COMP[],F$1,0),"ERROR")</f>
        <v>12989</v>
      </c>
      <c r="G46" s="104">
        <f t="shared" si="4"/>
        <v>0.22222032129475972</v>
      </c>
      <c r="H46" s="102">
        <f>IFERROR(VLOOKUP($B46,MMWR_TRAD_AGG_ST_DISTRICT_COMP[],H$1,0),"ERROR")</f>
        <v>92588</v>
      </c>
      <c r="I46" s="102">
        <f>IFERROR(VLOOKUP($B46,MMWR_TRAD_AGG_ST_DISTRICT_COMP[],I$1,0),"ERROR")</f>
        <v>64377</v>
      </c>
      <c r="J46" s="105">
        <f t="shared" si="5"/>
        <v>0.69530608718192422</v>
      </c>
      <c r="K46" s="102">
        <f>IFERROR(VLOOKUP($B46,MMWR_TRAD_AGG_ST_DISTRICT_COMP[],K$1,0),"ERROR")</f>
        <v>22642</v>
      </c>
      <c r="L46" s="102">
        <f>IFERROR(VLOOKUP($B46,MMWR_TRAD_AGG_ST_DISTRICT_COMP[],L$1,0),"ERROR")</f>
        <v>15842</v>
      </c>
      <c r="M46" s="105">
        <f t="shared" si="6"/>
        <v>0.69967317374790217</v>
      </c>
      <c r="N46" s="102">
        <f>IFERROR(VLOOKUP($B46,MMWR_TRAD_AGG_ST_DISTRICT_COMP[],N$1,0),"ERROR")</f>
        <v>31867</v>
      </c>
      <c r="O46" s="102">
        <f>IFERROR(VLOOKUP($B46,MMWR_TRAD_AGG_ST_DISTRICT_COMP[],O$1,0),"ERROR")</f>
        <v>20475</v>
      </c>
      <c r="P46" s="105">
        <f t="shared" si="7"/>
        <v>0.6425141996422632</v>
      </c>
      <c r="Q46" s="102">
        <f>IFERROR(VLOOKUP($B46,MMWR_TRAD_AGG_ST_DISTRICT_COMP[],Q$1,0),"ERROR")</f>
        <v>102</v>
      </c>
      <c r="R46" s="106">
        <f>IFERROR(VLOOKUP($B46,MMWR_TRAD_AGG_ST_DISTRICT_COMP[],R$1,0),"ERROR")</f>
        <v>578</v>
      </c>
      <c r="S46" s="106">
        <f>SUM(S47:S55)</f>
        <v>44389</v>
      </c>
      <c r="T46" s="28"/>
    </row>
    <row r="47" spans="1:20" s="123" customFormat="1" x14ac:dyDescent="0.2">
      <c r="A47" s="28"/>
      <c r="B47" s="127" t="s">
        <v>428</v>
      </c>
      <c r="C47" s="109">
        <f>IFERROR(VLOOKUP($B47,MMWR_TRAD_AGG_STATE_COMP[],C$1,0),"ERROR")</f>
        <v>1967</v>
      </c>
      <c r="D47" s="110">
        <f>IFERROR(VLOOKUP($B47,MMWR_TRAD_AGG_STATE_COMP[],D$1,0),"ERROR")</f>
        <v>450.15556685310003</v>
      </c>
      <c r="E47" s="111">
        <f>IFERROR(VLOOKUP($B47,MMWR_TRAD_AGG_STATE_COMP[],E$1,0),"ERROR")</f>
        <v>1227</v>
      </c>
      <c r="F47" s="112">
        <f>IFERROR(VLOOKUP($B47,MMWR_TRAD_AGG_STATE_COMP[],F$1,0),"ERROR")</f>
        <v>323</v>
      </c>
      <c r="G47" s="113">
        <f t="shared" si="4"/>
        <v>0.26324368378158108</v>
      </c>
      <c r="H47" s="111">
        <f>IFERROR(VLOOKUP($B47,MMWR_TRAD_AGG_STATE_COMP[],H$1,0),"ERROR")</f>
        <v>2864</v>
      </c>
      <c r="I47" s="112">
        <f>IFERROR(VLOOKUP($B47,MMWR_TRAD_AGG_STATE_COMP[],I$1,0),"ERROR")</f>
        <v>2012</v>
      </c>
      <c r="J47" s="114">
        <f t="shared" si="5"/>
        <v>0.70251396648044695</v>
      </c>
      <c r="K47" s="111">
        <f>IFERROR(VLOOKUP($B47,MMWR_TRAD_AGG_STATE_COMP[],K$1,0),"ERROR")</f>
        <v>1884</v>
      </c>
      <c r="L47" s="112">
        <f>IFERROR(VLOOKUP($B47,MMWR_TRAD_AGG_STATE_COMP[],L$1,0),"ERROR")</f>
        <v>1541</v>
      </c>
      <c r="M47" s="114">
        <f t="shared" si="6"/>
        <v>0.81794055201698512</v>
      </c>
      <c r="N47" s="111">
        <f>IFERROR(VLOOKUP($B47,MMWR_TRAD_AGG_STATE_COMP[],N$1,0),"ERROR")</f>
        <v>643</v>
      </c>
      <c r="O47" s="112">
        <f>IFERROR(VLOOKUP($B47,MMWR_TRAD_AGG_STATE_COMP[],O$1,0),"ERROR")</f>
        <v>356</v>
      </c>
      <c r="P47" s="114">
        <f t="shared" si="7"/>
        <v>0.5536547433903577</v>
      </c>
      <c r="Q47" s="115">
        <f>IFERROR(VLOOKUP($B47,MMWR_TRAD_AGG_STATE_COMP[],Q$1,0),"ERROR")</f>
        <v>1</v>
      </c>
      <c r="R47" s="115">
        <f>IFERROR(VLOOKUP($B47,MMWR_TRAD_AGG_STATE_COMP[],R$1,0),"ERROR")</f>
        <v>2</v>
      </c>
      <c r="S47" s="115">
        <f>IFERROR(VLOOKUP($B47,MMWR_APP_STATE_COMP[],S$1,0),"ERROR")</f>
        <v>298</v>
      </c>
      <c r="T47" s="28"/>
    </row>
    <row r="48" spans="1:20" s="123" customFormat="1" x14ac:dyDescent="0.2">
      <c r="A48" s="28"/>
      <c r="B48" s="127" t="s">
        <v>430</v>
      </c>
      <c r="C48" s="109">
        <f>IFERROR(VLOOKUP($B48,MMWR_TRAD_AGG_STATE_COMP[],C$1,0),"ERROR")</f>
        <v>6028</v>
      </c>
      <c r="D48" s="110">
        <f>IFERROR(VLOOKUP($B48,MMWR_TRAD_AGG_STATE_COMP[],D$1,0),"ERROR")</f>
        <v>416.848540146</v>
      </c>
      <c r="E48" s="111">
        <f>IFERROR(VLOOKUP($B48,MMWR_TRAD_AGG_STATE_COMP[],E$1,0),"ERROR")</f>
        <v>5865</v>
      </c>
      <c r="F48" s="112">
        <f>IFERROR(VLOOKUP($B48,MMWR_TRAD_AGG_STATE_COMP[],F$1,0),"ERROR")</f>
        <v>1368</v>
      </c>
      <c r="G48" s="113">
        <f t="shared" si="4"/>
        <v>0.23324808184143223</v>
      </c>
      <c r="H48" s="111">
        <f>IFERROR(VLOOKUP($B48,MMWR_TRAD_AGG_STATE_COMP[],H$1,0),"ERROR")</f>
        <v>8276</v>
      </c>
      <c r="I48" s="112">
        <f>IFERROR(VLOOKUP($B48,MMWR_TRAD_AGG_STATE_COMP[],I$1,0),"ERROR")</f>
        <v>5312</v>
      </c>
      <c r="J48" s="114">
        <f t="shared" si="5"/>
        <v>0.64185596906718223</v>
      </c>
      <c r="K48" s="111">
        <f>IFERROR(VLOOKUP($B48,MMWR_TRAD_AGG_STATE_COMP[],K$1,0),"ERROR")</f>
        <v>1496</v>
      </c>
      <c r="L48" s="112">
        <f>IFERROR(VLOOKUP($B48,MMWR_TRAD_AGG_STATE_COMP[],L$1,0),"ERROR")</f>
        <v>737</v>
      </c>
      <c r="M48" s="114">
        <f t="shared" si="6"/>
        <v>0.49264705882352944</v>
      </c>
      <c r="N48" s="111">
        <f>IFERROR(VLOOKUP($B48,MMWR_TRAD_AGG_STATE_COMP[],N$1,0),"ERROR")</f>
        <v>3753</v>
      </c>
      <c r="O48" s="112">
        <f>IFERROR(VLOOKUP($B48,MMWR_TRAD_AGG_STATE_COMP[],O$1,0),"ERROR")</f>
        <v>2723</v>
      </c>
      <c r="P48" s="114">
        <f t="shared" si="7"/>
        <v>0.7255528910205169</v>
      </c>
      <c r="Q48" s="115">
        <f>IFERROR(VLOOKUP($B48,MMWR_TRAD_AGG_STATE_COMP[],Q$1,0),"ERROR")</f>
        <v>6</v>
      </c>
      <c r="R48" s="115">
        <f>IFERROR(VLOOKUP($B48,MMWR_TRAD_AGG_STATE_COMP[],R$1,0),"ERROR")</f>
        <v>76</v>
      </c>
      <c r="S48" s="115">
        <f>IFERROR(VLOOKUP($B48,MMWR_APP_STATE_COMP[],S$1,0),"ERROR")</f>
        <v>7279</v>
      </c>
      <c r="T48" s="28"/>
    </row>
    <row r="49" spans="1:20" s="123" customFormat="1" x14ac:dyDescent="0.2">
      <c r="A49" s="28"/>
      <c r="B49" s="127" t="s">
        <v>411</v>
      </c>
      <c r="C49" s="109">
        <f>IFERROR(VLOOKUP($B49,MMWR_TRAD_AGG_STATE_COMP[],C$1,0),"ERROR")</f>
        <v>29577</v>
      </c>
      <c r="D49" s="110">
        <f>IFERROR(VLOOKUP($B49,MMWR_TRAD_AGG_STATE_COMP[],D$1,0),"ERROR")</f>
        <v>393.52872164180002</v>
      </c>
      <c r="E49" s="111">
        <f>IFERROR(VLOOKUP($B49,MMWR_TRAD_AGG_STATE_COMP[],E$1,0),"ERROR")</f>
        <v>30938</v>
      </c>
      <c r="F49" s="112">
        <f>IFERROR(VLOOKUP($B49,MMWR_TRAD_AGG_STATE_COMP[],F$1,0),"ERROR")</f>
        <v>6933</v>
      </c>
      <c r="G49" s="113">
        <f t="shared" si="4"/>
        <v>0.22409334798629518</v>
      </c>
      <c r="H49" s="111">
        <f>IFERROR(VLOOKUP($B49,MMWR_TRAD_AGG_STATE_COMP[],H$1,0),"ERROR")</f>
        <v>42665</v>
      </c>
      <c r="I49" s="112">
        <f>IFERROR(VLOOKUP($B49,MMWR_TRAD_AGG_STATE_COMP[],I$1,0),"ERROR")</f>
        <v>29786</v>
      </c>
      <c r="J49" s="114">
        <f t="shared" si="5"/>
        <v>0.69813664596273295</v>
      </c>
      <c r="K49" s="111">
        <f>IFERROR(VLOOKUP($B49,MMWR_TRAD_AGG_STATE_COMP[],K$1,0),"ERROR")</f>
        <v>8891</v>
      </c>
      <c r="L49" s="112">
        <f>IFERROR(VLOOKUP($B49,MMWR_TRAD_AGG_STATE_COMP[],L$1,0),"ERROR")</f>
        <v>6247</v>
      </c>
      <c r="M49" s="114">
        <f t="shared" si="6"/>
        <v>0.70262062760094479</v>
      </c>
      <c r="N49" s="111">
        <f>IFERROR(VLOOKUP($B49,MMWR_TRAD_AGG_STATE_COMP[],N$1,0),"ERROR")</f>
        <v>15165</v>
      </c>
      <c r="O49" s="112">
        <f>IFERROR(VLOOKUP($B49,MMWR_TRAD_AGG_STATE_COMP[],O$1,0),"ERROR")</f>
        <v>9551</v>
      </c>
      <c r="P49" s="114">
        <f t="shared" si="7"/>
        <v>0.62980547312891522</v>
      </c>
      <c r="Q49" s="115">
        <f>IFERROR(VLOOKUP($B49,MMWR_TRAD_AGG_STATE_COMP[],Q$1,0),"ERROR")</f>
        <v>55</v>
      </c>
      <c r="R49" s="115">
        <f>IFERROR(VLOOKUP($B49,MMWR_TRAD_AGG_STATE_COMP[],R$1,0),"ERROR")</f>
        <v>139</v>
      </c>
      <c r="S49" s="115">
        <f>IFERROR(VLOOKUP($B49,MMWR_APP_STATE_COMP[],S$1,0),"ERROR")</f>
        <v>18575</v>
      </c>
      <c r="T49" s="28"/>
    </row>
    <row r="50" spans="1:20" s="123" customFormat="1" x14ac:dyDescent="0.2">
      <c r="A50" s="28"/>
      <c r="B50" s="127" t="s">
        <v>432</v>
      </c>
      <c r="C50" s="109">
        <f>IFERROR(VLOOKUP($B50,MMWR_TRAD_AGG_STATE_COMP[],C$1,0),"ERROR")</f>
        <v>1643</v>
      </c>
      <c r="D50" s="110">
        <f>IFERROR(VLOOKUP($B50,MMWR_TRAD_AGG_STATE_COMP[],D$1,0),"ERROR")</f>
        <v>311.79488740110003</v>
      </c>
      <c r="E50" s="111">
        <f>IFERROR(VLOOKUP($B50,MMWR_TRAD_AGG_STATE_COMP[],E$1,0),"ERROR")</f>
        <v>1802</v>
      </c>
      <c r="F50" s="112">
        <f>IFERROR(VLOOKUP($B50,MMWR_TRAD_AGG_STATE_COMP[],F$1,0),"ERROR")</f>
        <v>351</v>
      </c>
      <c r="G50" s="113">
        <f t="shared" si="4"/>
        <v>0.19478357380688124</v>
      </c>
      <c r="H50" s="111">
        <f>IFERROR(VLOOKUP($B50,MMWR_TRAD_AGG_STATE_COMP[],H$1,0),"ERROR")</f>
        <v>2286</v>
      </c>
      <c r="I50" s="112">
        <f>IFERROR(VLOOKUP($B50,MMWR_TRAD_AGG_STATE_COMP[],I$1,0),"ERROR")</f>
        <v>1538</v>
      </c>
      <c r="J50" s="114">
        <f t="shared" si="5"/>
        <v>0.67279090113735784</v>
      </c>
      <c r="K50" s="111">
        <f>IFERROR(VLOOKUP($B50,MMWR_TRAD_AGG_STATE_COMP[],K$1,0),"ERROR")</f>
        <v>1005</v>
      </c>
      <c r="L50" s="112">
        <f>IFERROR(VLOOKUP($B50,MMWR_TRAD_AGG_STATE_COMP[],L$1,0),"ERROR")</f>
        <v>509</v>
      </c>
      <c r="M50" s="114">
        <f t="shared" si="6"/>
        <v>0.50646766169154234</v>
      </c>
      <c r="N50" s="111">
        <f>IFERROR(VLOOKUP($B50,MMWR_TRAD_AGG_STATE_COMP[],N$1,0),"ERROR")</f>
        <v>527</v>
      </c>
      <c r="O50" s="112">
        <f>IFERROR(VLOOKUP($B50,MMWR_TRAD_AGG_STATE_COMP[],O$1,0),"ERROR")</f>
        <v>270</v>
      </c>
      <c r="P50" s="114">
        <f t="shared" si="7"/>
        <v>0.51233396584440227</v>
      </c>
      <c r="Q50" s="115">
        <f>IFERROR(VLOOKUP($B50,MMWR_TRAD_AGG_STATE_COMP[],Q$1,0),"ERROR")</f>
        <v>6</v>
      </c>
      <c r="R50" s="115">
        <f>IFERROR(VLOOKUP($B50,MMWR_TRAD_AGG_STATE_COMP[],R$1,0),"ERROR")</f>
        <v>4</v>
      </c>
      <c r="S50" s="115">
        <f>IFERROR(VLOOKUP($B50,MMWR_APP_STATE_COMP[],S$1,0),"ERROR")</f>
        <v>1193</v>
      </c>
      <c r="T50" s="28"/>
    </row>
    <row r="51" spans="1:20" s="123" customFormat="1" x14ac:dyDescent="0.2">
      <c r="A51" s="28"/>
      <c r="B51" s="127" t="s">
        <v>412</v>
      </c>
      <c r="C51" s="109">
        <f>IFERROR(VLOOKUP($B51,MMWR_TRAD_AGG_STATE_COMP[],C$1,0),"ERROR")</f>
        <v>708</v>
      </c>
      <c r="D51" s="110">
        <f>IFERROR(VLOOKUP($B51,MMWR_TRAD_AGG_STATE_COMP[],D$1,0),"ERROR")</f>
        <v>317.49011299440002</v>
      </c>
      <c r="E51" s="111">
        <f>IFERROR(VLOOKUP($B51,MMWR_TRAD_AGG_STATE_COMP[],E$1,0),"ERROR")</f>
        <v>1532</v>
      </c>
      <c r="F51" s="112">
        <f>IFERROR(VLOOKUP($B51,MMWR_TRAD_AGG_STATE_COMP[],F$1,0),"ERROR")</f>
        <v>303</v>
      </c>
      <c r="G51" s="113">
        <f t="shared" si="4"/>
        <v>0.19778067885117492</v>
      </c>
      <c r="H51" s="111">
        <f>IFERROR(VLOOKUP($B51,MMWR_TRAD_AGG_STATE_COMP[],H$1,0),"ERROR")</f>
        <v>1098</v>
      </c>
      <c r="I51" s="112">
        <f>IFERROR(VLOOKUP($B51,MMWR_TRAD_AGG_STATE_COMP[],I$1,0),"ERROR")</f>
        <v>618</v>
      </c>
      <c r="J51" s="114">
        <f t="shared" si="5"/>
        <v>0.56284153005464477</v>
      </c>
      <c r="K51" s="111">
        <f>IFERROR(VLOOKUP($B51,MMWR_TRAD_AGG_STATE_COMP[],K$1,0),"ERROR")</f>
        <v>372</v>
      </c>
      <c r="L51" s="112">
        <f>IFERROR(VLOOKUP($B51,MMWR_TRAD_AGG_STATE_COMP[],L$1,0),"ERROR")</f>
        <v>158</v>
      </c>
      <c r="M51" s="114">
        <f t="shared" si="6"/>
        <v>0.42473118279569894</v>
      </c>
      <c r="N51" s="111">
        <f>IFERROR(VLOOKUP($B51,MMWR_TRAD_AGG_STATE_COMP[],N$1,0),"ERROR")</f>
        <v>401</v>
      </c>
      <c r="O51" s="112">
        <f>IFERROR(VLOOKUP($B51,MMWR_TRAD_AGG_STATE_COMP[],O$1,0),"ERROR")</f>
        <v>227</v>
      </c>
      <c r="P51" s="114">
        <f t="shared" si="7"/>
        <v>0.56608478802992523</v>
      </c>
      <c r="Q51" s="115">
        <f>IFERROR(VLOOKUP($B51,MMWR_TRAD_AGG_STATE_COMP[],Q$1,0),"ERROR")</f>
        <v>1</v>
      </c>
      <c r="R51" s="115">
        <f>IFERROR(VLOOKUP($B51,MMWR_TRAD_AGG_STATE_COMP[],R$1,0),"ERROR")</f>
        <v>3</v>
      </c>
      <c r="S51" s="115">
        <f>IFERROR(VLOOKUP($B51,MMWR_APP_STATE_COMP[],S$1,0),"ERROR")</f>
        <v>1002</v>
      </c>
      <c r="T51" s="28"/>
    </row>
    <row r="52" spans="1:20" s="123" customFormat="1" x14ac:dyDescent="0.2">
      <c r="A52" s="28"/>
      <c r="B52" s="127" t="s">
        <v>417</v>
      </c>
      <c r="C52" s="109">
        <f>IFERROR(VLOOKUP($B52,MMWR_TRAD_AGG_STATE_COMP[],C$1,0),"ERROR")</f>
        <v>3632</v>
      </c>
      <c r="D52" s="110">
        <f>IFERROR(VLOOKUP($B52,MMWR_TRAD_AGG_STATE_COMP[],D$1,0),"ERROR")</f>
        <v>419.45016519820001</v>
      </c>
      <c r="E52" s="111">
        <f>IFERROR(VLOOKUP($B52,MMWR_TRAD_AGG_STATE_COMP[],E$1,0),"ERROR")</f>
        <v>3598</v>
      </c>
      <c r="F52" s="112">
        <f>IFERROR(VLOOKUP($B52,MMWR_TRAD_AGG_STATE_COMP[],F$1,0),"ERROR")</f>
        <v>834</v>
      </c>
      <c r="G52" s="113">
        <f t="shared" si="4"/>
        <v>0.23179544191217344</v>
      </c>
      <c r="H52" s="111">
        <f>IFERROR(VLOOKUP($B52,MMWR_TRAD_AGG_STATE_COMP[],H$1,0),"ERROR")</f>
        <v>4931</v>
      </c>
      <c r="I52" s="112">
        <f>IFERROR(VLOOKUP($B52,MMWR_TRAD_AGG_STATE_COMP[],I$1,0),"ERROR")</f>
        <v>3259</v>
      </c>
      <c r="J52" s="114">
        <f t="shared" si="5"/>
        <v>0.66092070573920092</v>
      </c>
      <c r="K52" s="111">
        <f>IFERROR(VLOOKUP($B52,MMWR_TRAD_AGG_STATE_COMP[],K$1,0),"ERROR")</f>
        <v>938</v>
      </c>
      <c r="L52" s="112">
        <f>IFERROR(VLOOKUP($B52,MMWR_TRAD_AGG_STATE_COMP[],L$1,0),"ERROR")</f>
        <v>549</v>
      </c>
      <c r="M52" s="114">
        <f t="shared" si="6"/>
        <v>0.58528784648187637</v>
      </c>
      <c r="N52" s="111">
        <f>IFERROR(VLOOKUP($B52,MMWR_TRAD_AGG_STATE_COMP[],N$1,0),"ERROR")</f>
        <v>1910</v>
      </c>
      <c r="O52" s="112">
        <f>IFERROR(VLOOKUP($B52,MMWR_TRAD_AGG_STATE_COMP[],O$1,0),"ERROR")</f>
        <v>1259</v>
      </c>
      <c r="P52" s="114">
        <f t="shared" si="7"/>
        <v>0.65916230366492146</v>
      </c>
      <c r="Q52" s="115">
        <f>IFERROR(VLOOKUP($B52,MMWR_TRAD_AGG_STATE_COMP[],Q$1,0),"ERROR")</f>
        <v>8</v>
      </c>
      <c r="R52" s="115">
        <f>IFERROR(VLOOKUP($B52,MMWR_TRAD_AGG_STATE_COMP[],R$1,0),"ERROR")</f>
        <v>117</v>
      </c>
      <c r="S52" s="115">
        <f>IFERROR(VLOOKUP($B52,MMWR_APP_STATE_COMP[],S$1,0),"ERROR")</f>
        <v>3135</v>
      </c>
      <c r="T52" s="28"/>
    </row>
    <row r="53" spans="1:20" s="123" customFormat="1" x14ac:dyDescent="0.2">
      <c r="A53" s="28"/>
      <c r="B53" s="127" t="s">
        <v>409</v>
      </c>
      <c r="C53" s="109">
        <f>IFERROR(VLOOKUP($B53,MMWR_TRAD_AGG_STATE_COMP[],C$1,0),"ERROR")</f>
        <v>1491</v>
      </c>
      <c r="D53" s="110">
        <f>IFERROR(VLOOKUP($B53,MMWR_TRAD_AGG_STATE_COMP[],D$1,0),"ERROR")</f>
        <v>231.30717639170001</v>
      </c>
      <c r="E53" s="111">
        <f>IFERROR(VLOOKUP($B53,MMWR_TRAD_AGG_STATE_COMP[],E$1,0),"ERROR")</f>
        <v>2703</v>
      </c>
      <c r="F53" s="112">
        <f>IFERROR(VLOOKUP($B53,MMWR_TRAD_AGG_STATE_COMP[],F$1,0),"ERROR")</f>
        <v>549</v>
      </c>
      <c r="G53" s="113">
        <f t="shared" si="4"/>
        <v>0.20310765815760268</v>
      </c>
      <c r="H53" s="111">
        <f>IFERROR(VLOOKUP($B53,MMWR_TRAD_AGG_STATE_COMP[],H$1,0),"ERROR")</f>
        <v>2280</v>
      </c>
      <c r="I53" s="112">
        <f>IFERROR(VLOOKUP($B53,MMWR_TRAD_AGG_STATE_COMP[],I$1,0),"ERROR")</f>
        <v>1023</v>
      </c>
      <c r="J53" s="114">
        <f t="shared" si="5"/>
        <v>0.4486842105263158</v>
      </c>
      <c r="K53" s="111">
        <f>IFERROR(VLOOKUP($B53,MMWR_TRAD_AGG_STATE_COMP[],K$1,0),"ERROR")</f>
        <v>540</v>
      </c>
      <c r="L53" s="112">
        <f>IFERROR(VLOOKUP($B53,MMWR_TRAD_AGG_STATE_COMP[],L$1,0),"ERROR")</f>
        <v>254</v>
      </c>
      <c r="M53" s="114">
        <f t="shared" si="6"/>
        <v>0.47037037037037038</v>
      </c>
      <c r="N53" s="111">
        <f>IFERROR(VLOOKUP($B53,MMWR_TRAD_AGG_STATE_COMP[],N$1,0),"ERROR")</f>
        <v>832</v>
      </c>
      <c r="O53" s="112">
        <f>IFERROR(VLOOKUP($B53,MMWR_TRAD_AGG_STATE_COMP[],O$1,0),"ERROR")</f>
        <v>500</v>
      </c>
      <c r="P53" s="114">
        <f t="shared" si="7"/>
        <v>0.60096153846153844</v>
      </c>
      <c r="Q53" s="115">
        <f>IFERROR(VLOOKUP($B53,MMWR_TRAD_AGG_STATE_COMP[],Q$1,0),"ERROR")</f>
        <v>6</v>
      </c>
      <c r="R53" s="115">
        <f>IFERROR(VLOOKUP($B53,MMWR_TRAD_AGG_STATE_COMP[],R$1,0),"ERROR")</f>
        <v>15</v>
      </c>
      <c r="S53" s="115">
        <f>IFERROR(VLOOKUP($B53,MMWR_APP_STATE_COMP[],S$1,0),"ERROR")</f>
        <v>1930</v>
      </c>
      <c r="T53" s="28"/>
    </row>
    <row r="54" spans="1:20" s="123" customFormat="1" x14ac:dyDescent="0.2">
      <c r="A54" s="28"/>
      <c r="B54" s="127" t="s">
        <v>413</v>
      </c>
      <c r="C54" s="109">
        <f>IFERROR(VLOOKUP($B54,MMWR_TRAD_AGG_STATE_COMP[],C$1,0),"ERROR")</f>
        <v>7699</v>
      </c>
      <c r="D54" s="110">
        <f>IFERROR(VLOOKUP($B54,MMWR_TRAD_AGG_STATE_COMP[],D$1,0),"ERROR")</f>
        <v>441.99805169500002</v>
      </c>
      <c r="E54" s="111">
        <f>IFERROR(VLOOKUP($B54,MMWR_TRAD_AGG_STATE_COMP[],E$1,0),"ERROR")</f>
        <v>4600</v>
      </c>
      <c r="F54" s="112">
        <f>IFERROR(VLOOKUP($B54,MMWR_TRAD_AGG_STATE_COMP[],F$1,0),"ERROR")</f>
        <v>1186</v>
      </c>
      <c r="G54" s="113">
        <f t="shared" si="4"/>
        <v>0.25782608695652176</v>
      </c>
      <c r="H54" s="111">
        <f>IFERROR(VLOOKUP($B54,MMWR_TRAD_AGG_STATE_COMP[],H$1,0),"ERROR")</f>
        <v>10320</v>
      </c>
      <c r="I54" s="112">
        <f>IFERROR(VLOOKUP($B54,MMWR_TRAD_AGG_STATE_COMP[],I$1,0),"ERROR")</f>
        <v>7748</v>
      </c>
      <c r="J54" s="114">
        <f t="shared" si="5"/>
        <v>0.75077519379844959</v>
      </c>
      <c r="K54" s="111">
        <f>IFERROR(VLOOKUP($B54,MMWR_TRAD_AGG_STATE_COMP[],K$1,0),"ERROR")</f>
        <v>3081</v>
      </c>
      <c r="L54" s="112">
        <f>IFERROR(VLOOKUP($B54,MMWR_TRAD_AGG_STATE_COMP[],L$1,0),"ERROR")</f>
        <v>2617</v>
      </c>
      <c r="M54" s="114">
        <f t="shared" si="6"/>
        <v>0.8493995456020772</v>
      </c>
      <c r="N54" s="111">
        <f>IFERROR(VLOOKUP($B54,MMWR_TRAD_AGG_STATE_COMP[],N$1,0),"ERROR")</f>
        <v>2698</v>
      </c>
      <c r="O54" s="112">
        <f>IFERROR(VLOOKUP($B54,MMWR_TRAD_AGG_STATE_COMP[],O$1,0),"ERROR")</f>
        <v>1533</v>
      </c>
      <c r="P54" s="114">
        <f t="shared" si="7"/>
        <v>0.56819866567828026</v>
      </c>
      <c r="Q54" s="115">
        <f>IFERROR(VLOOKUP($B54,MMWR_TRAD_AGG_STATE_COMP[],Q$1,0),"ERROR")</f>
        <v>7</v>
      </c>
      <c r="R54" s="115">
        <f>IFERROR(VLOOKUP($B54,MMWR_TRAD_AGG_STATE_COMP[],R$1,0),"ERROR")</f>
        <v>79</v>
      </c>
      <c r="S54" s="115">
        <f>IFERROR(VLOOKUP($B54,MMWR_APP_STATE_COMP[],S$1,0),"ERROR")</f>
        <v>5555</v>
      </c>
      <c r="T54" s="28"/>
    </row>
    <row r="55" spans="1:20" s="123" customFormat="1" x14ac:dyDescent="0.2">
      <c r="A55" s="28"/>
      <c r="B55" s="127" t="s">
        <v>83</v>
      </c>
      <c r="C55" s="109">
        <f>IFERROR(VLOOKUP($B55,MMWR_TRAD_AGG_STATE_COMP[],C$1,0),"ERROR")</f>
        <v>12064</v>
      </c>
      <c r="D55" s="110">
        <f>IFERROR(VLOOKUP($B55,MMWR_TRAD_AGG_STATE_COMP[],D$1,0),"ERROR")</f>
        <v>393.22281167109998</v>
      </c>
      <c r="E55" s="111">
        <f>IFERROR(VLOOKUP($B55,MMWR_TRAD_AGG_STATE_COMP[],E$1,0),"ERROR")</f>
        <v>6186</v>
      </c>
      <c r="F55" s="112">
        <f>IFERROR(VLOOKUP($B55,MMWR_TRAD_AGG_STATE_COMP[],F$1,0),"ERROR")</f>
        <v>1142</v>
      </c>
      <c r="G55" s="113">
        <f t="shared" si="4"/>
        <v>0.18461041060459102</v>
      </c>
      <c r="H55" s="111">
        <f>IFERROR(VLOOKUP($B55,MMWR_TRAD_AGG_STATE_COMP[],H$1,0),"ERROR")</f>
        <v>17868</v>
      </c>
      <c r="I55" s="112">
        <f>IFERROR(VLOOKUP($B55,MMWR_TRAD_AGG_STATE_COMP[],I$1,0),"ERROR")</f>
        <v>13081</v>
      </c>
      <c r="J55" s="114">
        <f t="shared" si="5"/>
        <v>0.73209088873964634</v>
      </c>
      <c r="K55" s="111">
        <f>IFERROR(VLOOKUP($B55,MMWR_TRAD_AGG_STATE_COMP[],K$1,0),"ERROR")</f>
        <v>4435</v>
      </c>
      <c r="L55" s="112">
        <f>IFERROR(VLOOKUP($B55,MMWR_TRAD_AGG_STATE_COMP[],L$1,0),"ERROR")</f>
        <v>3230</v>
      </c>
      <c r="M55" s="114">
        <f t="shared" si="6"/>
        <v>0.72829763246899659</v>
      </c>
      <c r="N55" s="111">
        <f>IFERROR(VLOOKUP($B55,MMWR_TRAD_AGG_STATE_COMP[],N$1,0),"ERROR")</f>
        <v>5938</v>
      </c>
      <c r="O55" s="112">
        <f>IFERROR(VLOOKUP($B55,MMWR_TRAD_AGG_STATE_COMP[],O$1,0),"ERROR")</f>
        <v>4056</v>
      </c>
      <c r="P55" s="114">
        <f t="shared" si="7"/>
        <v>0.68305826877736608</v>
      </c>
      <c r="Q55" s="115">
        <f>IFERROR(VLOOKUP($B55,MMWR_TRAD_AGG_STATE_COMP[],Q$1,0),"ERROR")</f>
        <v>12</v>
      </c>
      <c r="R55" s="115">
        <f>IFERROR(VLOOKUP($B55,MMWR_TRAD_AGG_STATE_COMP[],R$1,0),"ERROR")</f>
        <v>143</v>
      </c>
      <c r="S55" s="115">
        <f>IFERROR(VLOOKUP($B55,MMWR_APP_STATE_COMP[],S$1,0),"ERROR")</f>
        <v>5422</v>
      </c>
      <c r="T55" s="28"/>
    </row>
    <row r="56" spans="1:20" s="123" customFormat="1" x14ac:dyDescent="0.2">
      <c r="A56" s="28"/>
      <c r="B56" s="126" t="s">
        <v>384</v>
      </c>
      <c r="C56" s="102">
        <f>IFERROR(VLOOKUP($B56,MMWR_TRAD_AGG_ST_DISTRICT_COMP[],C$1,0),"ERROR")</f>
        <v>75761</v>
      </c>
      <c r="D56" s="103">
        <f>IFERROR(VLOOKUP($B56,MMWR_TRAD_AGG_ST_DISTRICT_COMP[],D$1,0),"ERROR")</f>
        <v>362.32774118610001</v>
      </c>
      <c r="E56" s="102">
        <f>IFERROR(VLOOKUP($B56,MMWR_TRAD_AGG_ST_DISTRICT_COMP[],E$1,0),"ERROR")</f>
        <v>73651</v>
      </c>
      <c r="F56" s="102">
        <f>IFERROR(VLOOKUP($B56,MMWR_TRAD_AGG_ST_DISTRICT_COMP[],F$1,0),"ERROR")</f>
        <v>18185</v>
      </c>
      <c r="G56" s="104">
        <f t="shared" si="4"/>
        <v>0.2469077134051133</v>
      </c>
      <c r="H56" s="102">
        <f>IFERROR(VLOOKUP($B56,MMWR_TRAD_AGG_ST_DISTRICT_COMP[],H$1,0),"ERROR")</f>
        <v>109083</v>
      </c>
      <c r="I56" s="102">
        <f>IFERROR(VLOOKUP($B56,MMWR_TRAD_AGG_ST_DISTRICT_COMP[],I$1,0),"ERROR")</f>
        <v>72286</v>
      </c>
      <c r="J56" s="105">
        <f t="shared" si="5"/>
        <v>0.66266971022065768</v>
      </c>
      <c r="K56" s="102">
        <f>IFERROR(VLOOKUP($B56,MMWR_TRAD_AGG_ST_DISTRICT_COMP[],K$1,0),"ERROR")</f>
        <v>30041</v>
      </c>
      <c r="L56" s="102">
        <f>IFERROR(VLOOKUP($B56,MMWR_TRAD_AGG_ST_DISTRICT_COMP[],L$1,0),"ERROR")</f>
        <v>20101</v>
      </c>
      <c r="M56" s="105">
        <f t="shared" si="6"/>
        <v>0.66911887087646882</v>
      </c>
      <c r="N56" s="102">
        <f>IFERROR(VLOOKUP($B56,MMWR_TRAD_AGG_ST_DISTRICT_COMP[],N$1,0),"ERROR")</f>
        <v>42050</v>
      </c>
      <c r="O56" s="102">
        <f>IFERROR(VLOOKUP($B56,MMWR_TRAD_AGG_ST_DISTRICT_COMP[],O$1,0),"ERROR")</f>
        <v>28471</v>
      </c>
      <c r="P56" s="105">
        <f t="shared" si="7"/>
        <v>0.67707491082045179</v>
      </c>
      <c r="Q56" s="102">
        <f>IFERROR(VLOOKUP($B56,MMWR_TRAD_AGG_ST_DISTRICT_COMP[],Q$1,0),"ERROR")</f>
        <v>5444</v>
      </c>
      <c r="R56" s="106">
        <f>IFERROR(VLOOKUP($B56,MMWR_TRAD_AGG_ST_DISTRICT_COMP[],R$1,0),"ERROR")</f>
        <v>1143</v>
      </c>
      <c r="S56" s="106">
        <f>SUM(S57:S63)</f>
        <v>89507</v>
      </c>
      <c r="T56" s="28"/>
    </row>
    <row r="57" spans="1:20" s="123" customFormat="1" x14ac:dyDescent="0.2">
      <c r="A57" s="28"/>
      <c r="B57" s="127" t="s">
        <v>392</v>
      </c>
      <c r="C57" s="109">
        <f>IFERROR(VLOOKUP($B57,MMWR_TRAD_AGG_STATE_COMP[],C$1,0),"ERROR")</f>
        <v>13312</v>
      </c>
      <c r="D57" s="110">
        <f>IFERROR(VLOOKUP($B57,MMWR_TRAD_AGG_STATE_COMP[],D$1,0),"ERROR")</f>
        <v>391.38333834129998</v>
      </c>
      <c r="E57" s="111">
        <f>IFERROR(VLOOKUP($B57,MMWR_TRAD_AGG_STATE_COMP[],E$1,0),"ERROR")</f>
        <v>7350</v>
      </c>
      <c r="F57" s="112">
        <f>IFERROR(VLOOKUP($B57,MMWR_TRAD_AGG_STATE_COMP[],F$1,0),"ERROR")</f>
        <v>1640</v>
      </c>
      <c r="G57" s="113">
        <f t="shared" si="4"/>
        <v>0.22312925170068026</v>
      </c>
      <c r="H57" s="111">
        <f>IFERROR(VLOOKUP($B57,MMWR_TRAD_AGG_STATE_COMP[],H$1,0),"ERROR")</f>
        <v>17056</v>
      </c>
      <c r="I57" s="112">
        <f>IFERROR(VLOOKUP($B57,MMWR_TRAD_AGG_STATE_COMP[],I$1,0),"ERROR")</f>
        <v>11583</v>
      </c>
      <c r="J57" s="114">
        <f t="shared" si="5"/>
        <v>0.67911585365853655</v>
      </c>
      <c r="K57" s="111">
        <f>IFERROR(VLOOKUP($B57,MMWR_TRAD_AGG_STATE_COMP[],K$1,0),"ERROR")</f>
        <v>5143</v>
      </c>
      <c r="L57" s="112">
        <f>IFERROR(VLOOKUP($B57,MMWR_TRAD_AGG_STATE_COMP[],L$1,0),"ERROR")</f>
        <v>3888</v>
      </c>
      <c r="M57" s="114">
        <f t="shared" si="6"/>
        <v>0.75597900058331713</v>
      </c>
      <c r="N57" s="111">
        <f>IFERROR(VLOOKUP($B57,MMWR_TRAD_AGG_STATE_COMP[],N$1,0),"ERROR")</f>
        <v>3485</v>
      </c>
      <c r="O57" s="112">
        <f>IFERROR(VLOOKUP($B57,MMWR_TRAD_AGG_STATE_COMP[],O$1,0),"ERROR")</f>
        <v>2200</v>
      </c>
      <c r="P57" s="114">
        <f t="shared" si="7"/>
        <v>0.63127690100430411</v>
      </c>
      <c r="Q57" s="115">
        <f>IFERROR(VLOOKUP($B57,MMWR_TRAD_AGG_STATE_COMP[],Q$1,0),"ERROR")</f>
        <v>405</v>
      </c>
      <c r="R57" s="115">
        <f>IFERROR(VLOOKUP($B57,MMWR_TRAD_AGG_STATE_COMP[],R$1,0),"ERROR")</f>
        <v>376</v>
      </c>
      <c r="S57" s="115">
        <f>IFERROR(VLOOKUP($B57,MMWR_APP_STATE_COMP[],S$1,0),"ERROR")</f>
        <v>10755</v>
      </c>
      <c r="T57" s="28"/>
    </row>
    <row r="58" spans="1:20" s="123" customFormat="1" x14ac:dyDescent="0.2">
      <c r="A58" s="28"/>
      <c r="B58" s="127" t="s">
        <v>429</v>
      </c>
      <c r="C58" s="109">
        <f>IFERROR(VLOOKUP($B58,MMWR_TRAD_AGG_STATE_COMP[],C$1,0),"ERROR")</f>
        <v>21017</v>
      </c>
      <c r="D58" s="110">
        <f>IFERROR(VLOOKUP($B58,MMWR_TRAD_AGG_STATE_COMP[],D$1,0),"ERROR")</f>
        <v>329.06361516869998</v>
      </c>
      <c r="E58" s="111">
        <f>IFERROR(VLOOKUP($B58,MMWR_TRAD_AGG_STATE_COMP[],E$1,0),"ERROR")</f>
        <v>22515</v>
      </c>
      <c r="F58" s="112">
        <f>IFERROR(VLOOKUP($B58,MMWR_TRAD_AGG_STATE_COMP[],F$1,0),"ERROR")</f>
        <v>5633</v>
      </c>
      <c r="G58" s="113">
        <f t="shared" si="4"/>
        <v>0.25018876304685767</v>
      </c>
      <c r="H58" s="111">
        <f>IFERROR(VLOOKUP($B58,MMWR_TRAD_AGG_STATE_COMP[],H$1,0),"ERROR")</f>
        <v>29034</v>
      </c>
      <c r="I58" s="112">
        <f>IFERROR(VLOOKUP($B58,MMWR_TRAD_AGG_STATE_COMP[],I$1,0),"ERROR")</f>
        <v>18918</v>
      </c>
      <c r="J58" s="114">
        <f t="shared" si="5"/>
        <v>0.65158090514569122</v>
      </c>
      <c r="K58" s="111">
        <f>IFERROR(VLOOKUP($B58,MMWR_TRAD_AGG_STATE_COMP[],K$1,0),"ERROR")</f>
        <v>6931</v>
      </c>
      <c r="L58" s="112">
        <f>IFERROR(VLOOKUP($B58,MMWR_TRAD_AGG_STATE_COMP[],L$1,0),"ERROR")</f>
        <v>3866</v>
      </c>
      <c r="M58" s="114">
        <f t="shared" si="6"/>
        <v>0.5577838695714904</v>
      </c>
      <c r="N58" s="111">
        <f>IFERROR(VLOOKUP($B58,MMWR_TRAD_AGG_STATE_COMP[],N$1,0),"ERROR")</f>
        <v>16529</v>
      </c>
      <c r="O58" s="112">
        <f>IFERROR(VLOOKUP($B58,MMWR_TRAD_AGG_STATE_COMP[],O$1,0),"ERROR")</f>
        <v>10345</v>
      </c>
      <c r="P58" s="114">
        <f t="shared" si="7"/>
        <v>0.62586968358642381</v>
      </c>
      <c r="Q58" s="115">
        <f>IFERROR(VLOOKUP($B58,MMWR_TRAD_AGG_STATE_COMP[],Q$1,0),"ERROR")</f>
        <v>2008</v>
      </c>
      <c r="R58" s="115">
        <f>IFERROR(VLOOKUP($B58,MMWR_TRAD_AGG_STATE_COMP[],R$1,0),"ERROR")</f>
        <v>276</v>
      </c>
      <c r="S58" s="115">
        <f>IFERROR(VLOOKUP($B58,MMWR_APP_STATE_COMP[],S$1,0),"ERROR")</f>
        <v>31217</v>
      </c>
      <c r="T58" s="28"/>
    </row>
    <row r="59" spans="1:20" s="123" customFormat="1" x14ac:dyDescent="0.2">
      <c r="A59" s="28"/>
      <c r="B59" s="127" t="s">
        <v>385</v>
      </c>
      <c r="C59" s="109">
        <f>IFERROR(VLOOKUP($B59,MMWR_TRAD_AGG_STATE_COMP[],C$1,0),"ERROR")</f>
        <v>16170</v>
      </c>
      <c r="D59" s="110">
        <f>IFERROR(VLOOKUP($B59,MMWR_TRAD_AGG_STATE_COMP[],D$1,0),"ERROR")</f>
        <v>352.01910946200002</v>
      </c>
      <c r="E59" s="111">
        <f>IFERROR(VLOOKUP($B59,MMWR_TRAD_AGG_STATE_COMP[],E$1,0),"ERROR")</f>
        <v>17920</v>
      </c>
      <c r="F59" s="112">
        <f>IFERROR(VLOOKUP($B59,MMWR_TRAD_AGG_STATE_COMP[],F$1,0),"ERROR")</f>
        <v>4384</v>
      </c>
      <c r="G59" s="113">
        <f t="shared" si="4"/>
        <v>0.24464285714285713</v>
      </c>
      <c r="H59" s="111">
        <f>IFERROR(VLOOKUP($B59,MMWR_TRAD_AGG_STATE_COMP[],H$1,0),"ERROR")</f>
        <v>23744</v>
      </c>
      <c r="I59" s="112">
        <f>IFERROR(VLOOKUP($B59,MMWR_TRAD_AGG_STATE_COMP[],I$1,0),"ERROR")</f>
        <v>16609</v>
      </c>
      <c r="J59" s="114">
        <f t="shared" si="5"/>
        <v>0.69950303234501343</v>
      </c>
      <c r="K59" s="111">
        <f>IFERROR(VLOOKUP($B59,MMWR_TRAD_AGG_STATE_COMP[],K$1,0),"ERROR")</f>
        <v>8162</v>
      </c>
      <c r="L59" s="112">
        <f>IFERROR(VLOOKUP($B59,MMWR_TRAD_AGG_STATE_COMP[],L$1,0),"ERROR")</f>
        <v>5527</v>
      </c>
      <c r="M59" s="114">
        <f t="shared" si="6"/>
        <v>0.67716246018132809</v>
      </c>
      <c r="N59" s="111">
        <f>IFERROR(VLOOKUP($B59,MMWR_TRAD_AGG_STATE_COMP[],N$1,0),"ERROR")</f>
        <v>13320</v>
      </c>
      <c r="O59" s="112">
        <f>IFERROR(VLOOKUP($B59,MMWR_TRAD_AGG_STATE_COMP[],O$1,0),"ERROR")</f>
        <v>10731</v>
      </c>
      <c r="P59" s="114">
        <f t="shared" si="7"/>
        <v>0.80563063063063067</v>
      </c>
      <c r="Q59" s="115">
        <f>IFERROR(VLOOKUP($B59,MMWR_TRAD_AGG_STATE_COMP[],Q$1,0),"ERROR")</f>
        <v>1016</v>
      </c>
      <c r="R59" s="115">
        <f>IFERROR(VLOOKUP($B59,MMWR_TRAD_AGG_STATE_COMP[],R$1,0),"ERROR")</f>
        <v>24</v>
      </c>
      <c r="S59" s="115">
        <f>IFERROR(VLOOKUP($B59,MMWR_APP_STATE_COMP[],S$1,0),"ERROR")</f>
        <v>17804</v>
      </c>
      <c r="T59" s="28"/>
    </row>
    <row r="60" spans="1:20" s="123" customFormat="1" x14ac:dyDescent="0.2">
      <c r="A60" s="28"/>
      <c r="B60" s="127" t="s">
        <v>397</v>
      </c>
      <c r="C60" s="109">
        <f>IFERROR(VLOOKUP($B60,MMWR_TRAD_AGG_STATE_COMP[],C$1,0),"ERROR")</f>
        <v>6569</v>
      </c>
      <c r="D60" s="110">
        <f>IFERROR(VLOOKUP($B60,MMWR_TRAD_AGG_STATE_COMP[],D$1,0),"ERROR")</f>
        <v>543.41985081439998</v>
      </c>
      <c r="E60" s="111">
        <f>IFERROR(VLOOKUP($B60,MMWR_TRAD_AGG_STATE_COMP[],E$1,0),"ERROR")</f>
        <v>3774</v>
      </c>
      <c r="F60" s="112">
        <f>IFERROR(VLOOKUP($B60,MMWR_TRAD_AGG_STATE_COMP[],F$1,0),"ERROR")</f>
        <v>743</v>
      </c>
      <c r="G60" s="113">
        <f t="shared" si="4"/>
        <v>0.19687334393216746</v>
      </c>
      <c r="H60" s="111">
        <f>IFERROR(VLOOKUP($B60,MMWR_TRAD_AGG_STATE_COMP[],H$1,0),"ERROR")</f>
        <v>9738</v>
      </c>
      <c r="I60" s="112">
        <f>IFERROR(VLOOKUP($B60,MMWR_TRAD_AGG_STATE_COMP[],I$1,0),"ERROR")</f>
        <v>6581</v>
      </c>
      <c r="J60" s="114">
        <f t="shared" si="5"/>
        <v>0.67580612035325527</v>
      </c>
      <c r="K60" s="111">
        <f>IFERROR(VLOOKUP($B60,MMWR_TRAD_AGG_STATE_COMP[],K$1,0),"ERROR")</f>
        <v>2669</v>
      </c>
      <c r="L60" s="112">
        <f>IFERROR(VLOOKUP($B60,MMWR_TRAD_AGG_STATE_COMP[],L$1,0),"ERROR")</f>
        <v>2087</v>
      </c>
      <c r="M60" s="114">
        <f t="shared" si="6"/>
        <v>0.7819408017984264</v>
      </c>
      <c r="N60" s="111">
        <f>IFERROR(VLOOKUP($B60,MMWR_TRAD_AGG_STATE_COMP[],N$1,0),"ERROR")</f>
        <v>1470</v>
      </c>
      <c r="O60" s="112">
        <f>IFERROR(VLOOKUP($B60,MMWR_TRAD_AGG_STATE_COMP[],O$1,0),"ERROR")</f>
        <v>775</v>
      </c>
      <c r="P60" s="114">
        <f t="shared" si="7"/>
        <v>0.52721088435374153</v>
      </c>
      <c r="Q60" s="115">
        <f>IFERROR(VLOOKUP($B60,MMWR_TRAD_AGG_STATE_COMP[],Q$1,0),"ERROR")</f>
        <v>475</v>
      </c>
      <c r="R60" s="115">
        <f>IFERROR(VLOOKUP($B60,MMWR_TRAD_AGG_STATE_COMP[],R$1,0),"ERROR")</f>
        <v>145</v>
      </c>
      <c r="S60" s="115">
        <f>IFERROR(VLOOKUP($B60,MMWR_APP_STATE_COMP[],S$1,0),"ERROR")</f>
        <v>3424</v>
      </c>
      <c r="T60" s="28"/>
    </row>
    <row r="61" spans="1:20" s="123" customFormat="1" x14ac:dyDescent="0.2">
      <c r="A61" s="28"/>
      <c r="B61" s="127" t="s">
        <v>431</v>
      </c>
      <c r="C61" s="109">
        <f>IFERROR(VLOOKUP($B61,MMWR_TRAD_AGG_STATE_COMP[],C$1,0),"ERROR")</f>
        <v>1973</v>
      </c>
      <c r="D61" s="110">
        <f>IFERROR(VLOOKUP($B61,MMWR_TRAD_AGG_STATE_COMP[],D$1,0),"ERROR")</f>
        <v>301.40040547389998</v>
      </c>
      <c r="E61" s="111">
        <f>IFERROR(VLOOKUP($B61,MMWR_TRAD_AGG_STATE_COMP[],E$1,0),"ERROR")</f>
        <v>3210</v>
      </c>
      <c r="F61" s="112">
        <f>IFERROR(VLOOKUP($B61,MMWR_TRAD_AGG_STATE_COMP[],F$1,0),"ERROR")</f>
        <v>850</v>
      </c>
      <c r="G61" s="113">
        <f t="shared" si="4"/>
        <v>0.26479750778816197</v>
      </c>
      <c r="H61" s="111">
        <f>IFERROR(VLOOKUP($B61,MMWR_TRAD_AGG_STATE_COMP[],H$1,0),"ERROR")</f>
        <v>4793</v>
      </c>
      <c r="I61" s="112">
        <f>IFERROR(VLOOKUP($B61,MMWR_TRAD_AGG_STATE_COMP[],I$1,0),"ERROR")</f>
        <v>2541</v>
      </c>
      <c r="J61" s="114">
        <f t="shared" si="5"/>
        <v>0.53014813269351135</v>
      </c>
      <c r="K61" s="111">
        <f>IFERROR(VLOOKUP($B61,MMWR_TRAD_AGG_STATE_COMP[],K$1,0),"ERROR")</f>
        <v>922</v>
      </c>
      <c r="L61" s="112">
        <f>IFERROR(VLOOKUP($B61,MMWR_TRAD_AGG_STATE_COMP[],L$1,0),"ERROR")</f>
        <v>674</v>
      </c>
      <c r="M61" s="114">
        <f t="shared" si="6"/>
        <v>0.73101952277657267</v>
      </c>
      <c r="N61" s="111">
        <f>IFERROR(VLOOKUP($B61,MMWR_TRAD_AGG_STATE_COMP[],N$1,0),"ERROR")</f>
        <v>1555</v>
      </c>
      <c r="O61" s="112">
        <f>IFERROR(VLOOKUP($B61,MMWR_TRAD_AGG_STATE_COMP[],O$1,0),"ERROR")</f>
        <v>1102</v>
      </c>
      <c r="P61" s="114">
        <f t="shared" si="7"/>
        <v>0.70868167202572352</v>
      </c>
      <c r="Q61" s="115">
        <f>IFERROR(VLOOKUP($B61,MMWR_TRAD_AGG_STATE_COMP[],Q$1,0),"ERROR")</f>
        <v>356</v>
      </c>
      <c r="R61" s="115">
        <f>IFERROR(VLOOKUP($B61,MMWR_TRAD_AGG_STATE_COMP[],R$1,0),"ERROR")</f>
        <v>3</v>
      </c>
      <c r="S61" s="115">
        <f>IFERROR(VLOOKUP($B61,MMWR_APP_STATE_COMP[],S$1,0),"ERROR")</f>
        <v>6084</v>
      </c>
      <c r="T61" s="28"/>
    </row>
    <row r="62" spans="1:20" s="123" customFormat="1" x14ac:dyDescent="0.2">
      <c r="A62" s="28"/>
      <c r="B62" s="127" t="s">
        <v>387</v>
      </c>
      <c r="C62" s="109">
        <f>IFERROR(VLOOKUP($B62,MMWR_TRAD_AGG_STATE_COMP[],C$1,0),"ERROR")</f>
        <v>10448</v>
      </c>
      <c r="D62" s="110">
        <f>IFERROR(VLOOKUP($B62,MMWR_TRAD_AGG_STATE_COMP[],D$1,0),"ERROR")</f>
        <v>345.00411562020003</v>
      </c>
      <c r="E62" s="111">
        <f>IFERROR(VLOOKUP($B62,MMWR_TRAD_AGG_STATE_COMP[],E$1,0),"ERROR")</f>
        <v>9173</v>
      </c>
      <c r="F62" s="112">
        <f>IFERROR(VLOOKUP($B62,MMWR_TRAD_AGG_STATE_COMP[],F$1,0),"ERROR")</f>
        <v>2707</v>
      </c>
      <c r="G62" s="113">
        <f t="shared" si="4"/>
        <v>0.29510520004360624</v>
      </c>
      <c r="H62" s="111">
        <f>IFERROR(VLOOKUP($B62,MMWR_TRAD_AGG_STATE_COMP[],H$1,0),"ERROR")</f>
        <v>14235</v>
      </c>
      <c r="I62" s="112">
        <f>IFERROR(VLOOKUP($B62,MMWR_TRAD_AGG_STATE_COMP[],I$1,0),"ERROR")</f>
        <v>10412</v>
      </c>
      <c r="J62" s="114">
        <f t="shared" si="5"/>
        <v>0.73143659992975063</v>
      </c>
      <c r="K62" s="111">
        <f>IFERROR(VLOOKUP($B62,MMWR_TRAD_AGG_STATE_COMP[],K$1,0),"ERROR")</f>
        <v>2818</v>
      </c>
      <c r="L62" s="112">
        <f>IFERROR(VLOOKUP($B62,MMWR_TRAD_AGG_STATE_COMP[],L$1,0),"ERROR")</f>
        <v>1745</v>
      </c>
      <c r="M62" s="114">
        <f t="shared" si="6"/>
        <v>0.61923349893541524</v>
      </c>
      <c r="N62" s="111">
        <f>IFERROR(VLOOKUP($B62,MMWR_TRAD_AGG_STATE_COMP[],N$1,0),"ERROR")</f>
        <v>3165</v>
      </c>
      <c r="O62" s="112">
        <f>IFERROR(VLOOKUP($B62,MMWR_TRAD_AGG_STATE_COMP[],O$1,0),"ERROR")</f>
        <v>1753</v>
      </c>
      <c r="P62" s="114">
        <f t="shared" si="7"/>
        <v>0.553870458135861</v>
      </c>
      <c r="Q62" s="115">
        <f>IFERROR(VLOOKUP($B62,MMWR_TRAD_AGG_STATE_COMP[],Q$1,0),"ERROR")</f>
        <v>623</v>
      </c>
      <c r="R62" s="115">
        <f>IFERROR(VLOOKUP($B62,MMWR_TRAD_AGG_STATE_COMP[],R$1,0),"ERROR")</f>
        <v>61</v>
      </c>
      <c r="S62" s="115">
        <f>IFERROR(VLOOKUP($B62,MMWR_APP_STATE_COMP[],S$1,0),"ERROR")</f>
        <v>13159</v>
      </c>
      <c r="T62" s="28"/>
    </row>
    <row r="63" spans="1:20" s="123" customFormat="1" x14ac:dyDescent="0.2">
      <c r="A63" s="28"/>
      <c r="B63" s="127" t="s">
        <v>388</v>
      </c>
      <c r="C63" s="109">
        <f>IFERROR(VLOOKUP($B63,MMWR_TRAD_AGG_STATE_COMP[],C$1,0),"ERROR")</f>
        <v>6272</v>
      </c>
      <c r="D63" s="110">
        <f>IFERROR(VLOOKUP($B63,MMWR_TRAD_AGG_STATE_COMP[],D$1,0),"ERROR")</f>
        <v>297.05787627550001</v>
      </c>
      <c r="E63" s="111">
        <f>IFERROR(VLOOKUP($B63,MMWR_TRAD_AGG_STATE_COMP[],E$1,0),"ERROR")</f>
        <v>9709</v>
      </c>
      <c r="F63" s="112">
        <f>IFERROR(VLOOKUP($B63,MMWR_TRAD_AGG_STATE_COMP[],F$1,0),"ERROR")</f>
        <v>2228</v>
      </c>
      <c r="G63" s="113">
        <f t="shared" si="4"/>
        <v>0.22947780409928931</v>
      </c>
      <c r="H63" s="111">
        <f>IFERROR(VLOOKUP($B63,MMWR_TRAD_AGG_STATE_COMP[],H$1,0),"ERROR")</f>
        <v>10483</v>
      </c>
      <c r="I63" s="112">
        <f>IFERROR(VLOOKUP($B63,MMWR_TRAD_AGG_STATE_COMP[],I$1,0),"ERROR")</f>
        <v>5642</v>
      </c>
      <c r="J63" s="114">
        <f t="shared" si="5"/>
        <v>0.53820471239149104</v>
      </c>
      <c r="K63" s="111">
        <f>IFERROR(VLOOKUP($B63,MMWR_TRAD_AGG_STATE_COMP[],K$1,0),"ERROR")</f>
        <v>3396</v>
      </c>
      <c r="L63" s="112">
        <f>IFERROR(VLOOKUP($B63,MMWR_TRAD_AGG_STATE_COMP[],L$1,0),"ERROR")</f>
        <v>2314</v>
      </c>
      <c r="M63" s="114">
        <f t="shared" si="6"/>
        <v>0.68138987043580679</v>
      </c>
      <c r="N63" s="111">
        <f>IFERROR(VLOOKUP($B63,MMWR_TRAD_AGG_STATE_COMP[],N$1,0),"ERROR")</f>
        <v>2526</v>
      </c>
      <c r="O63" s="112">
        <f>IFERROR(VLOOKUP($B63,MMWR_TRAD_AGG_STATE_COMP[],O$1,0),"ERROR")</f>
        <v>1565</v>
      </c>
      <c r="P63" s="114">
        <f t="shared" si="7"/>
        <v>0.61955661124307204</v>
      </c>
      <c r="Q63" s="115">
        <f>IFERROR(VLOOKUP($B63,MMWR_TRAD_AGG_STATE_COMP[],Q$1,0),"ERROR")</f>
        <v>561</v>
      </c>
      <c r="R63" s="115">
        <f>IFERROR(VLOOKUP($B63,MMWR_TRAD_AGG_STATE_COMP[],R$1,0),"ERROR")</f>
        <v>258</v>
      </c>
      <c r="S63" s="115">
        <f>IFERROR(VLOOKUP($B63,MMWR_APP_STATE_COMP[],S$1,0),"ERROR")</f>
        <v>7064</v>
      </c>
      <c r="T63" s="28"/>
    </row>
    <row r="64" spans="1:20" s="123" customFormat="1" x14ac:dyDescent="0.2">
      <c r="A64" s="28"/>
      <c r="B64" s="128" t="s">
        <v>8</v>
      </c>
      <c r="C64" s="102">
        <f>IFERROR(VLOOKUP($B64,MMWR_TRAD_AGG_ST_DISTRICT_COMP[],C$1,0),"ERROR")</f>
        <v>4115</v>
      </c>
      <c r="D64" s="103">
        <f>IFERROR(VLOOKUP($B64,MMWR_TRAD_AGG_ST_DISTRICT_COMP[],D$1,0),"ERROR")</f>
        <v>384.78590522479999</v>
      </c>
      <c r="E64" s="102">
        <f>IFERROR(VLOOKUP($B64,MMWR_TRAD_AGG_ST_DISTRICT_COMP[],E$1,0),"ERROR")</f>
        <v>4078</v>
      </c>
      <c r="F64" s="102">
        <f>IFERROR(VLOOKUP($B64,MMWR_TRAD_AGG_ST_DISTRICT_COMP[],F$1,0),"ERROR")</f>
        <v>1719</v>
      </c>
      <c r="G64" s="104">
        <f t="shared" si="4"/>
        <v>0.42153016184404118</v>
      </c>
      <c r="H64" s="102">
        <f>IFERROR(VLOOKUP($B64,MMWR_TRAD_AGG_ST_DISTRICT_COMP[],H$1,0),"ERROR")</f>
        <v>5698</v>
      </c>
      <c r="I64" s="102">
        <f>IFERROR(VLOOKUP($B64,MMWR_TRAD_AGG_ST_DISTRICT_COMP[],I$1,0),"ERROR")</f>
        <v>3989</v>
      </c>
      <c r="J64" s="105">
        <f t="shared" si="5"/>
        <v>0.70007020007020004</v>
      </c>
      <c r="K64" s="102">
        <f>IFERROR(VLOOKUP($B64,MMWR_TRAD_AGG_ST_DISTRICT_COMP[],K$1,0),"ERROR")</f>
        <v>1462</v>
      </c>
      <c r="L64" s="102">
        <f>IFERROR(VLOOKUP($B64,MMWR_TRAD_AGG_ST_DISTRICT_COMP[],L$1,0),"ERROR")</f>
        <v>820</v>
      </c>
      <c r="M64" s="105">
        <f t="shared" si="6"/>
        <v>0.560875512995896</v>
      </c>
      <c r="N64" s="102">
        <f>IFERROR(VLOOKUP($B64,MMWR_TRAD_AGG_ST_DISTRICT_COMP[],N$1,0),"ERROR")</f>
        <v>1893</v>
      </c>
      <c r="O64" s="102">
        <f>IFERROR(VLOOKUP($B64,MMWR_TRAD_AGG_ST_DISTRICT_COMP[],O$1,0),"ERROR")</f>
        <v>1147</v>
      </c>
      <c r="P64" s="105">
        <f t="shared" si="7"/>
        <v>0.60591653460116213</v>
      </c>
      <c r="Q64" s="102">
        <f>IFERROR(VLOOKUP($B64,MMWR_TRAD_AGG_ST_DISTRICT_COMP[],Q$1,0),"ERROR")</f>
        <v>455</v>
      </c>
      <c r="R64" s="106">
        <f>IFERROR(VLOOKUP($B64,MMWR_TRAD_AGG_ST_DISTRICT_COMP[],R$1,0),"ERROR")</f>
        <v>141</v>
      </c>
      <c r="S64" s="106">
        <f>IFERROR(VLOOKUP($B64,MMWR_APP_STATE_COMP[],S$1,0),"ERROR")</f>
        <v>423</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491</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228</v>
      </c>
      <c r="D67" s="461"/>
      <c r="E67" s="458" t="s">
        <v>208</v>
      </c>
      <c r="F67" s="459"/>
      <c r="G67" s="460"/>
      <c r="H67" s="458" t="s">
        <v>7</v>
      </c>
      <c r="I67" s="459"/>
      <c r="J67" s="460"/>
      <c r="K67" s="458" t="s">
        <v>33</v>
      </c>
      <c r="L67" s="459"/>
      <c r="M67" s="460"/>
      <c r="N67" s="458" t="s">
        <v>8</v>
      </c>
      <c r="O67" s="459"/>
      <c r="P67" s="460"/>
      <c r="Q67" s="81" t="s">
        <v>9</v>
      </c>
      <c r="R67" s="82" t="s">
        <v>10</v>
      </c>
      <c r="S67" s="82" t="s">
        <v>11</v>
      </c>
      <c r="T67" s="28"/>
    </row>
    <row r="68" spans="1:20" s="123" customFormat="1" ht="38.25" x14ac:dyDescent="0.2">
      <c r="A68" s="28"/>
      <c r="B68" s="54"/>
      <c r="C68" s="84" t="s">
        <v>12</v>
      </c>
      <c r="D68" s="85" t="s">
        <v>137</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492</v>
      </c>
      <c r="T68" s="28"/>
    </row>
    <row r="69" spans="1:20" s="123" customFormat="1" x14ac:dyDescent="0.2">
      <c r="A69" s="28"/>
      <c r="B69" s="129" t="s">
        <v>466</v>
      </c>
      <c r="C69" s="119">
        <f>IFERROR(VLOOKUP($B69,MMWR_TRAD_AGG_RO_PEN[],C$1,0),"ERROR")</f>
        <v>21626</v>
      </c>
      <c r="D69" s="120">
        <f>IFERROR(VLOOKUP($B69,MMWR_TRAD_AGG_RO_PEN[],D$1,0),"ERROR")</f>
        <v>77.239249052100007</v>
      </c>
      <c r="E69" s="119">
        <f>IFERROR(VLOOKUP($B69,MMWR_TRAD_AGG_RO_PEN[],E$1,0),"ERROR")</f>
        <v>32086</v>
      </c>
      <c r="F69" s="119">
        <f>IFERROR(VLOOKUP($B69,MMWR_TRAD_AGG_RO_PEN[],F$1,0),"ERROR")</f>
        <v>5319</v>
      </c>
      <c r="G69" s="98">
        <f t="shared" ref="G69:G100" si="8">IFERROR(F69/E69,"0%")</f>
        <v>0.16577323443246275</v>
      </c>
      <c r="H69" s="119">
        <f>IFERROR(VLOOKUP($B69,MMWR_TRAD_AGG_RO_PEN[],H$1,0),"ERROR")</f>
        <v>29656</v>
      </c>
      <c r="I69" s="119">
        <f>IFERROR(VLOOKUP($B69,MMWR_TRAD_AGG_RO_PEN[],I$1,0),"ERROR")</f>
        <v>6890</v>
      </c>
      <c r="J69" s="98">
        <f t="shared" ref="J69:J100" si="9">IFERROR(I69/H69,"0%")</f>
        <v>0.23233072565416779</v>
      </c>
      <c r="K69" s="119">
        <f>IFERROR(VLOOKUP($B69,MMWR_TRAD_AGG_RO_PEN[],K$1,0),"ERROR")</f>
        <v>367</v>
      </c>
      <c r="L69" s="119">
        <f>IFERROR(VLOOKUP($B69,MMWR_TRAD_AGG_RO_PEN[],L$1,0),"ERROR")</f>
        <v>342</v>
      </c>
      <c r="M69" s="98">
        <f t="shared" ref="M69:M100" si="10">IFERROR(L69/K69,"0%")</f>
        <v>0.93188010899182561</v>
      </c>
      <c r="N69" s="119">
        <f>IFERROR(VLOOKUP($B69,MMWR_TRAD_AGG_RO_PEN[],N$1,0),"ERROR")</f>
        <v>1702</v>
      </c>
      <c r="O69" s="119">
        <f>IFERROR(VLOOKUP($B69,MMWR_TRAD_AGG_RO_PEN[],O$1,0),"ERROR")</f>
        <v>611</v>
      </c>
      <c r="P69" s="98">
        <f t="shared" ref="P69:P100" si="11">IFERROR(O69/N69,"0%")</f>
        <v>0.35898942420681551</v>
      </c>
      <c r="Q69" s="119">
        <f>IFERROR(VLOOKUP($B69,MMWR_TRAD_AGG_RO_PEN[],Q$1,0),"ERROR")</f>
        <v>9623</v>
      </c>
      <c r="R69" s="121">
        <f>IFERROR(VLOOKUP($B69,MMWR_TRAD_AGG_RO_PEN[],R$1,0),"ERROR")</f>
        <v>6020</v>
      </c>
      <c r="S69" s="121">
        <f>S70+S86+S99+S109+S119+S127</f>
        <v>7167</v>
      </c>
      <c r="T69" s="28"/>
    </row>
    <row r="70" spans="1:20" s="123" customFormat="1" x14ac:dyDescent="0.2">
      <c r="A70" s="28"/>
      <c r="B70" s="126" t="s">
        <v>373</v>
      </c>
      <c r="C70" s="102">
        <f>IFERROR(VLOOKUP($B70,MMWR_TRAD_AGG_ST_DISTRICT_PEN[],C$1,0),"ERROR")</f>
        <v>7505</v>
      </c>
      <c r="D70" s="103">
        <f>IFERROR(VLOOKUP($B70,MMWR_TRAD_AGG_ST_DISTRICT_PEN[],D$1,0),"ERROR")</f>
        <v>94.200133244499995</v>
      </c>
      <c r="E70" s="102">
        <f>IFERROR(VLOOKUP($B70,MMWR_TRAD_AGG_ST_DISTRICT_PEN[],E$1,0),"ERROR")</f>
        <v>11006</v>
      </c>
      <c r="F70" s="102">
        <f>IFERROR(VLOOKUP($B70,MMWR_TRAD_AGG_ST_DISTRICT_PEN[],F$1,0),"ERROR")</f>
        <v>2479</v>
      </c>
      <c r="G70" s="104">
        <f t="shared" si="8"/>
        <v>0.22524077775758677</v>
      </c>
      <c r="H70" s="102">
        <f>IFERROR(VLOOKUP($B70,MMWR_TRAD_AGG_ST_DISTRICT_PEN[],H$1,0),"ERROR")</f>
        <v>10064</v>
      </c>
      <c r="I70" s="102">
        <f>IFERROR(VLOOKUP($B70,MMWR_TRAD_AGG_ST_DISTRICT_PEN[],I$1,0),"ERROR")</f>
        <v>3299</v>
      </c>
      <c r="J70" s="104">
        <f t="shared" si="9"/>
        <v>0.327802066772655</v>
      </c>
      <c r="K70" s="102">
        <f>IFERROR(VLOOKUP($B70,MMWR_TRAD_AGG_ST_DISTRICT_PEN[],K$1,0),"ERROR")</f>
        <v>223</v>
      </c>
      <c r="L70" s="102">
        <f>IFERROR(VLOOKUP($B70,MMWR_TRAD_AGG_ST_DISTRICT_PEN[],L$1,0),"ERROR")</f>
        <v>219</v>
      </c>
      <c r="M70" s="104">
        <f t="shared" si="10"/>
        <v>0.98206278026905824</v>
      </c>
      <c r="N70" s="102">
        <f>IFERROR(VLOOKUP($B70,MMWR_TRAD_AGG_ST_DISTRICT_PEN[],N$1,0),"ERROR")</f>
        <v>578</v>
      </c>
      <c r="O70" s="102">
        <f>IFERROR(VLOOKUP($B70,MMWR_TRAD_AGG_ST_DISTRICT_PEN[],O$1,0),"ERROR")</f>
        <v>204</v>
      </c>
      <c r="P70" s="104">
        <f t="shared" si="11"/>
        <v>0.35294117647058826</v>
      </c>
      <c r="Q70" s="102">
        <f>IFERROR(VLOOKUP($B70,MMWR_TRAD_AGG_ST_DISTRICT_PEN[],Q$1,0),"ERROR")</f>
        <v>1252</v>
      </c>
      <c r="R70" s="106">
        <f>IFERROR(VLOOKUP($B70,MMWR_TRAD_AGG_ST_DISTRICT_PEN[],R$1,0),"ERROR")</f>
        <v>2550</v>
      </c>
      <c r="S70" s="106">
        <f>IFERROR(VLOOKUP($B70,MMWR_APP_STATE_PEN[],S$1,0),"ERROR")</f>
        <v>1438</v>
      </c>
      <c r="T70" s="28"/>
    </row>
    <row r="71" spans="1:20" s="123" customFormat="1" x14ac:dyDescent="0.2">
      <c r="A71" s="28"/>
      <c r="B71" s="127" t="s">
        <v>377</v>
      </c>
      <c r="C71" s="109">
        <f>IFERROR(VLOOKUP($B71,MMWR_TRAD_AGG_STATE_PEN[],C$1,0),"ERROR")</f>
        <v>205</v>
      </c>
      <c r="D71" s="110">
        <f>IFERROR(VLOOKUP($B71,MMWR_TRAD_AGG_STATE_PEN[],D$1,0),"ERROR")</f>
        <v>92.834146341500002</v>
      </c>
      <c r="E71" s="111">
        <f>IFERROR(VLOOKUP($B71,MMWR_TRAD_AGG_STATE_PEN[],E$1,0),"ERROR")</f>
        <v>397</v>
      </c>
      <c r="F71" s="112">
        <f>IFERROR(VLOOKUP($B71,MMWR_TRAD_AGG_STATE_PEN[],F$1,0),"ERROR")</f>
        <v>108</v>
      </c>
      <c r="G71" s="113">
        <f t="shared" si="8"/>
        <v>0.27204030226700254</v>
      </c>
      <c r="H71" s="111">
        <f>IFERROR(VLOOKUP($B71,MMWR_TRAD_AGG_STATE_PEN[],H$1,0),"ERROR")</f>
        <v>282</v>
      </c>
      <c r="I71" s="112">
        <f>IFERROR(VLOOKUP($B71,MMWR_TRAD_AGG_STATE_PEN[],I$1,0),"ERROR")</f>
        <v>83</v>
      </c>
      <c r="J71" s="114">
        <f t="shared" si="9"/>
        <v>0.29432624113475175</v>
      </c>
      <c r="K71" s="111">
        <f>IFERROR(VLOOKUP($B71,MMWR_TRAD_AGG_STATE_PEN[],K$1,0),"ERROR")</f>
        <v>2</v>
      </c>
      <c r="L71" s="112">
        <f>IFERROR(VLOOKUP($B71,MMWR_TRAD_AGG_STATE_PEN[],L$1,0),"ERROR")</f>
        <v>2</v>
      </c>
      <c r="M71" s="114">
        <f t="shared" si="10"/>
        <v>1</v>
      </c>
      <c r="N71" s="111">
        <f>IFERROR(VLOOKUP($B71,MMWR_TRAD_AGG_STATE_PEN[],N$1,0),"ERROR")</f>
        <v>27</v>
      </c>
      <c r="O71" s="112">
        <f>IFERROR(VLOOKUP($B71,MMWR_TRAD_AGG_STATE_PEN[],O$1,0),"ERROR")</f>
        <v>4</v>
      </c>
      <c r="P71" s="114">
        <f t="shared" si="11"/>
        <v>0.14814814814814814</v>
      </c>
      <c r="Q71" s="115">
        <f>IFERROR(VLOOKUP($B71,MMWR_TRAD_AGG_STATE_PEN[],Q$1,0),"ERROR")</f>
        <v>27</v>
      </c>
      <c r="R71" s="115">
        <f>IFERROR(VLOOKUP($B71,MMWR_TRAD_AGG_STATE_PEN[],R$1,0),"ERROR")</f>
        <v>71</v>
      </c>
      <c r="S71" s="115">
        <f>IFERROR(VLOOKUP($B71,MMWR_APP_STATE_PEN[],S$1,0),"ERROR")</f>
        <v>53</v>
      </c>
      <c r="T71" s="28"/>
    </row>
    <row r="72" spans="1:20" s="123" customFormat="1" x14ac:dyDescent="0.2">
      <c r="A72" s="28"/>
      <c r="B72" s="127" t="s">
        <v>427</v>
      </c>
      <c r="C72" s="109">
        <f>IFERROR(VLOOKUP($B72,MMWR_TRAD_AGG_STATE_PEN[],C$1,0),"ERROR")</f>
        <v>55</v>
      </c>
      <c r="D72" s="110">
        <f>IFERROR(VLOOKUP($B72,MMWR_TRAD_AGG_STATE_PEN[],D$1,0),"ERROR")</f>
        <v>95.436363636400003</v>
      </c>
      <c r="E72" s="111">
        <f>IFERROR(VLOOKUP($B72,MMWR_TRAD_AGG_STATE_PEN[],E$1,0),"ERROR")</f>
        <v>105</v>
      </c>
      <c r="F72" s="112">
        <f>IFERROR(VLOOKUP($B72,MMWR_TRAD_AGG_STATE_PEN[],F$1,0),"ERROR")</f>
        <v>20</v>
      </c>
      <c r="G72" s="113">
        <f t="shared" si="8"/>
        <v>0.19047619047619047</v>
      </c>
      <c r="H72" s="111">
        <f>IFERROR(VLOOKUP($B72,MMWR_TRAD_AGG_STATE_PEN[],H$1,0),"ERROR")</f>
        <v>78</v>
      </c>
      <c r="I72" s="112">
        <f>IFERROR(VLOOKUP($B72,MMWR_TRAD_AGG_STATE_PEN[],I$1,0),"ERROR")</f>
        <v>25</v>
      </c>
      <c r="J72" s="114">
        <f t="shared" si="9"/>
        <v>0.32051282051282054</v>
      </c>
      <c r="K72" s="111">
        <f>IFERROR(VLOOKUP($B72,MMWR_TRAD_AGG_STATE_PEN[],K$1,0),"ERROR")</f>
        <v>2</v>
      </c>
      <c r="L72" s="112">
        <f>IFERROR(VLOOKUP($B72,MMWR_TRAD_AGG_STATE_PEN[],L$1,0),"ERROR")</f>
        <v>1</v>
      </c>
      <c r="M72" s="114">
        <f t="shared" si="10"/>
        <v>0.5</v>
      </c>
      <c r="N72" s="111">
        <f>IFERROR(VLOOKUP($B72,MMWR_TRAD_AGG_STATE_PEN[],N$1,0),"ERROR")</f>
        <v>7</v>
      </c>
      <c r="O72" s="112">
        <f>IFERROR(VLOOKUP($B72,MMWR_TRAD_AGG_STATE_PEN[],O$1,0),"ERROR")</f>
        <v>3</v>
      </c>
      <c r="P72" s="114">
        <f t="shared" si="11"/>
        <v>0.42857142857142855</v>
      </c>
      <c r="Q72" s="115">
        <f>IFERROR(VLOOKUP($B72,MMWR_TRAD_AGG_STATE_PEN[],Q$1,0),"ERROR")</f>
        <v>15</v>
      </c>
      <c r="R72" s="115">
        <f>IFERROR(VLOOKUP($B72,MMWR_TRAD_AGG_STATE_PEN[],R$1,0),"ERROR")</f>
        <v>28</v>
      </c>
      <c r="S72" s="115">
        <f>IFERROR(VLOOKUP($B72,MMWR_APP_STATE_PEN[],S$1,0),"ERROR")</f>
        <v>15</v>
      </c>
      <c r="T72" s="28"/>
    </row>
    <row r="73" spans="1:20" s="123" customFormat="1" x14ac:dyDescent="0.2">
      <c r="A73" s="28"/>
      <c r="B73" s="127" t="s">
        <v>418</v>
      </c>
      <c r="C73" s="109">
        <f>IFERROR(VLOOKUP($B73,MMWR_TRAD_AGG_STATE_PEN[],C$1,0),"ERROR")</f>
        <v>45</v>
      </c>
      <c r="D73" s="110">
        <f>IFERROR(VLOOKUP($B73,MMWR_TRAD_AGG_STATE_PEN[],D$1,0),"ERROR")</f>
        <v>111.1333333333</v>
      </c>
      <c r="E73" s="111">
        <f>IFERROR(VLOOKUP($B73,MMWR_TRAD_AGG_STATE_PEN[],E$1,0),"ERROR")</f>
        <v>73</v>
      </c>
      <c r="F73" s="112">
        <f>IFERROR(VLOOKUP($B73,MMWR_TRAD_AGG_STATE_PEN[],F$1,0),"ERROR")</f>
        <v>13</v>
      </c>
      <c r="G73" s="113">
        <f t="shared" si="8"/>
        <v>0.17808219178082191</v>
      </c>
      <c r="H73" s="111">
        <f>IFERROR(VLOOKUP($B73,MMWR_TRAD_AGG_STATE_PEN[],H$1,0),"ERROR")</f>
        <v>63</v>
      </c>
      <c r="I73" s="112">
        <f>IFERROR(VLOOKUP($B73,MMWR_TRAD_AGG_STATE_PEN[],I$1,0),"ERROR")</f>
        <v>21</v>
      </c>
      <c r="J73" s="114">
        <f t="shared" si="9"/>
        <v>0.33333333333333331</v>
      </c>
      <c r="K73" s="111">
        <f>IFERROR(VLOOKUP($B73,MMWR_TRAD_AGG_STATE_PEN[],K$1,0),"ERROR")</f>
        <v>2</v>
      </c>
      <c r="L73" s="112">
        <f>IFERROR(VLOOKUP($B73,MMWR_TRAD_AGG_STATE_PEN[],L$1,0),"ERROR")</f>
        <v>2</v>
      </c>
      <c r="M73" s="114">
        <f t="shared" si="10"/>
        <v>1</v>
      </c>
      <c r="N73" s="111">
        <f>IFERROR(VLOOKUP($B73,MMWR_TRAD_AGG_STATE_PEN[],N$1,0),"ERROR")</f>
        <v>3</v>
      </c>
      <c r="O73" s="112">
        <f>IFERROR(VLOOKUP($B73,MMWR_TRAD_AGG_STATE_PEN[],O$1,0),"ERROR")</f>
        <v>1</v>
      </c>
      <c r="P73" s="114">
        <f t="shared" si="11"/>
        <v>0.33333333333333331</v>
      </c>
      <c r="Q73" s="115">
        <f>IFERROR(VLOOKUP($B73,MMWR_TRAD_AGG_STATE_PEN[],Q$1,0),"ERROR")</f>
        <v>11</v>
      </c>
      <c r="R73" s="115">
        <f>IFERROR(VLOOKUP($B73,MMWR_TRAD_AGG_STATE_PEN[],R$1,0),"ERROR")</f>
        <v>20</v>
      </c>
      <c r="S73" s="115">
        <f>IFERROR(VLOOKUP($B73,MMWR_APP_STATE_PEN[],S$1,0),"ERROR")</f>
        <v>15</v>
      </c>
      <c r="T73" s="28"/>
    </row>
    <row r="74" spans="1:20" s="123" customFormat="1" x14ac:dyDescent="0.2">
      <c r="A74" s="28"/>
      <c r="B74" s="127" t="s">
        <v>420</v>
      </c>
      <c r="C74" s="109">
        <f>IFERROR(VLOOKUP($B74,MMWR_TRAD_AGG_STATE_PEN[],C$1,0),"ERROR")</f>
        <v>147</v>
      </c>
      <c r="D74" s="110">
        <f>IFERROR(VLOOKUP($B74,MMWR_TRAD_AGG_STATE_PEN[],D$1,0),"ERROR")</f>
        <v>103.80952380950001</v>
      </c>
      <c r="E74" s="111">
        <f>IFERROR(VLOOKUP($B74,MMWR_TRAD_AGG_STATE_PEN[],E$1,0),"ERROR")</f>
        <v>143</v>
      </c>
      <c r="F74" s="112">
        <f>IFERROR(VLOOKUP($B74,MMWR_TRAD_AGG_STATE_PEN[],F$1,0),"ERROR")</f>
        <v>28</v>
      </c>
      <c r="G74" s="113">
        <f t="shared" si="8"/>
        <v>0.19580419580419581</v>
      </c>
      <c r="H74" s="111">
        <f>IFERROR(VLOOKUP($B74,MMWR_TRAD_AGG_STATE_PEN[],H$1,0),"ERROR")</f>
        <v>186</v>
      </c>
      <c r="I74" s="112">
        <f>IFERROR(VLOOKUP($B74,MMWR_TRAD_AGG_STATE_PEN[],I$1,0),"ERROR")</f>
        <v>60</v>
      </c>
      <c r="J74" s="114">
        <f t="shared" si="9"/>
        <v>0.32258064516129031</v>
      </c>
      <c r="K74" s="111">
        <f>IFERROR(VLOOKUP($B74,MMWR_TRAD_AGG_STATE_PEN[],K$1,0),"ERROR")</f>
        <v>2</v>
      </c>
      <c r="L74" s="112">
        <f>IFERROR(VLOOKUP($B74,MMWR_TRAD_AGG_STATE_PEN[],L$1,0),"ERROR")</f>
        <v>2</v>
      </c>
      <c r="M74" s="114">
        <f t="shared" si="10"/>
        <v>1</v>
      </c>
      <c r="N74" s="111">
        <f>IFERROR(VLOOKUP($B74,MMWR_TRAD_AGG_STATE_PEN[],N$1,0),"ERROR")</f>
        <v>13</v>
      </c>
      <c r="O74" s="112">
        <f>IFERROR(VLOOKUP($B74,MMWR_TRAD_AGG_STATE_PEN[],O$1,0),"ERROR")</f>
        <v>3</v>
      </c>
      <c r="P74" s="114">
        <f t="shared" si="11"/>
        <v>0.23076923076923078</v>
      </c>
      <c r="Q74" s="115">
        <f>IFERROR(VLOOKUP($B74,MMWR_TRAD_AGG_STATE_PEN[],Q$1,0),"ERROR")</f>
        <v>28</v>
      </c>
      <c r="R74" s="115">
        <f>IFERROR(VLOOKUP($B74,MMWR_TRAD_AGG_STATE_PEN[],R$1,0),"ERROR")</f>
        <v>35</v>
      </c>
      <c r="S74" s="115">
        <f>IFERROR(VLOOKUP($B74,MMWR_APP_STATE_PEN[],S$1,0),"ERROR")</f>
        <v>22</v>
      </c>
      <c r="T74" s="28"/>
    </row>
    <row r="75" spans="1:20" s="123" customFormat="1" x14ac:dyDescent="0.2">
      <c r="A75" s="28"/>
      <c r="B75" s="127" t="s">
        <v>380</v>
      </c>
      <c r="C75" s="109">
        <f>IFERROR(VLOOKUP($B75,MMWR_TRAD_AGG_STATE_PEN[],C$1,0),"ERROR")</f>
        <v>365</v>
      </c>
      <c r="D75" s="110">
        <f>IFERROR(VLOOKUP($B75,MMWR_TRAD_AGG_STATE_PEN[],D$1,0),"ERROR")</f>
        <v>100.28219178080001</v>
      </c>
      <c r="E75" s="111">
        <f>IFERROR(VLOOKUP($B75,MMWR_TRAD_AGG_STATE_PEN[],E$1,0),"ERROR")</f>
        <v>634</v>
      </c>
      <c r="F75" s="112">
        <f>IFERROR(VLOOKUP($B75,MMWR_TRAD_AGG_STATE_PEN[],F$1,0),"ERROR")</f>
        <v>124</v>
      </c>
      <c r="G75" s="113">
        <f t="shared" si="8"/>
        <v>0.19558359621451105</v>
      </c>
      <c r="H75" s="111">
        <f>IFERROR(VLOOKUP($B75,MMWR_TRAD_AGG_STATE_PEN[],H$1,0),"ERROR")</f>
        <v>484</v>
      </c>
      <c r="I75" s="112">
        <f>IFERROR(VLOOKUP($B75,MMWR_TRAD_AGG_STATE_PEN[],I$1,0),"ERROR")</f>
        <v>186</v>
      </c>
      <c r="J75" s="114">
        <f t="shared" si="9"/>
        <v>0.38429752066115702</v>
      </c>
      <c r="K75" s="111">
        <f>IFERROR(VLOOKUP($B75,MMWR_TRAD_AGG_STATE_PEN[],K$1,0),"ERROR")</f>
        <v>11</v>
      </c>
      <c r="L75" s="112">
        <f>IFERROR(VLOOKUP($B75,MMWR_TRAD_AGG_STATE_PEN[],L$1,0),"ERROR")</f>
        <v>10</v>
      </c>
      <c r="M75" s="114">
        <f t="shared" si="10"/>
        <v>0.90909090909090906</v>
      </c>
      <c r="N75" s="111">
        <f>IFERROR(VLOOKUP($B75,MMWR_TRAD_AGG_STATE_PEN[],N$1,0),"ERROR")</f>
        <v>35</v>
      </c>
      <c r="O75" s="112">
        <f>IFERROR(VLOOKUP($B75,MMWR_TRAD_AGG_STATE_PEN[],O$1,0),"ERROR")</f>
        <v>17</v>
      </c>
      <c r="P75" s="114">
        <f t="shared" si="11"/>
        <v>0.48571428571428571</v>
      </c>
      <c r="Q75" s="115">
        <f>IFERROR(VLOOKUP($B75,MMWR_TRAD_AGG_STATE_PEN[],Q$1,0),"ERROR")</f>
        <v>76</v>
      </c>
      <c r="R75" s="115">
        <f>IFERROR(VLOOKUP($B75,MMWR_TRAD_AGG_STATE_PEN[],R$1,0),"ERROR")</f>
        <v>175</v>
      </c>
      <c r="S75" s="115">
        <f>IFERROR(VLOOKUP($B75,MMWR_APP_STATE_PEN[],S$1,0),"ERROR")</f>
        <v>90</v>
      </c>
      <c r="T75" s="28"/>
    </row>
    <row r="76" spans="1:20" s="123" customFormat="1" x14ac:dyDescent="0.2">
      <c r="A76" s="28"/>
      <c r="B76" s="127" t="s">
        <v>375</v>
      </c>
      <c r="C76" s="109">
        <f>IFERROR(VLOOKUP($B76,MMWR_TRAD_AGG_STATE_PEN[],C$1,0),"ERROR")</f>
        <v>406</v>
      </c>
      <c r="D76" s="110">
        <f>IFERROR(VLOOKUP($B76,MMWR_TRAD_AGG_STATE_PEN[],D$1,0),"ERROR")</f>
        <v>97.938423645300006</v>
      </c>
      <c r="E76" s="111">
        <f>IFERROR(VLOOKUP($B76,MMWR_TRAD_AGG_STATE_PEN[],E$1,0),"ERROR")</f>
        <v>660</v>
      </c>
      <c r="F76" s="112">
        <f>IFERROR(VLOOKUP($B76,MMWR_TRAD_AGG_STATE_PEN[],F$1,0),"ERROR")</f>
        <v>158</v>
      </c>
      <c r="G76" s="113">
        <f t="shared" si="8"/>
        <v>0.23939393939393938</v>
      </c>
      <c r="H76" s="111">
        <f>IFERROR(VLOOKUP($B76,MMWR_TRAD_AGG_STATE_PEN[],H$1,0),"ERROR")</f>
        <v>543</v>
      </c>
      <c r="I76" s="112">
        <f>IFERROR(VLOOKUP($B76,MMWR_TRAD_AGG_STATE_PEN[],I$1,0),"ERROR")</f>
        <v>196</v>
      </c>
      <c r="J76" s="114">
        <f t="shared" si="9"/>
        <v>0.36095764272559855</v>
      </c>
      <c r="K76" s="111">
        <f>IFERROR(VLOOKUP($B76,MMWR_TRAD_AGG_STATE_PEN[],K$1,0),"ERROR")</f>
        <v>2</v>
      </c>
      <c r="L76" s="112">
        <f>IFERROR(VLOOKUP($B76,MMWR_TRAD_AGG_STATE_PEN[],L$1,0),"ERROR")</f>
        <v>2</v>
      </c>
      <c r="M76" s="114">
        <f t="shared" si="10"/>
        <v>1</v>
      </c>
      <c r="N76" s="111">
        <f>IFERROR(VLOOKUP($B76,MMWR_TRAD_AGG_STATE_PEN[],N$1,0),"ERROR")</f>
        <v>30</v>
      </c>
      <c r="O76" s="112">
        <f>IFERROR(VLOOKUP($B76,MMWR_TRAD_AGG_STATE_PEN[],O$1,0),"ERROR")</f>
        <v>10</v>
      </c>
      <c r="P76" s="114">
        <f t="shared" si="11"/>
        <v>0.33333333333333331</v>
      </c>
      <c r="Q76" s="115">
        <f>IFERROR(VLOOKUP($B76,MMWR_TRAD_AGG_STATE_PEN[],Q$1,0),"ERROR")</f>
        <v>60</v>
      </c>
      <c r="R76" s="115">
        <f>IFERROR(VLOOKUP($B76,MMWR_TRAD_AGG_STATE_PEN[],R$1,0),"ERROR")</f>
        <v>174</v>
      </c>
      <c r="S76" s="115">
        <f>IFERROR(VLOOKUP($B76,MMWR_APP_STATE_PEN[],S$1,0),"ERROR")</f>
        <v>104</v>
      </c>
      <c r="T76" s="28"/>
    </row>
    <row r="77" spans="1:20" s="123" customFormat="1" x14ac:dyDescent="0.2">
      <c r="A77" s="28"/>
      <c r="B77" s="127" t="s">
        <v>419</v>
      </c>
      <c r="C77" s="109">
        <f>IFERROR(VLOOKUP($B77,MMWR_TRAD_AGG_STATE_PEN[],C$1,0),"ERROR")</f>
        <v>112</v>
      </c>
      <c r="D77" s="110">
        <f>IFERROR(VLOOKUP($B77,MMWR_TRAD_AGG_STATE_PEN[],D$1,0),"ERROR")</f>
        <v>100.25892857140001</v>
      </c>
      <c r="E77" s="111">
        <f>IFERROR(VLOOKUP($B77,MMWR_TRAD_AGG_STATE_PEN[],E$1,0),"ERROR")</f>
        <v>169</v>
      </c>
      <c r="F77" s="112">
        <f>IFERROR(VLOOKUP($B77,MMWR_TRAD_AGG_STATE_PEN[],F$1,0),"ERROR")</f>
        <v>42</v>
      </c>
      <c r="G77" s="113">
        <f t="shared" si="8"/>
        <v>0.24852071005917159</v>
      </c>
      <c r="H77" s="111">
        <f>IFERROR(VLOOKUP($B77,MMWR_TRAD_AGG_STATE_PEN[],H$1,0),"ERROR")</f>
        <v>155</v>
      </c>
      <c r="I77" s="112">
        <f>IFERROR(VLOOKUP($B77,MMWR_TRAD_AGG_STATE_PEN[],I$1,0),"ERROR")</f>
        <v>52</v>
      </c>
      <c r="J77" s="114">
        <f t="shared" si="9"/>
        <v>0.33548387096774196</v>
      </c>
      <c r="K77" s="111">
        <f>IFERROR(VLOOKUP($B77,MMWR_TRAD_AGG_STATE_PEN[],K$1,0),"ERROR")</f>
        <v>0</v>
      </c>
      <c r="L77" s="112">
        <f>IFERROR(VLOOKUP($B77,MMWR_TRAD_AGG_STATE_PEN[],L$1,0),"ERROR")</f>
        <v>0</v>
      </c>
      <c r="M77" s="114" t="str">
        <f t="shared" si="10"/>
        <v>0%</v>
      </c>
      <c r="N77" s="111">
        <f>IFERROR(VLOOKUP($B77,MMWR_TRAD_AGG_STATE_PEN[],N$1,0),"ERROR")</f>
        <v>13</v>
      </c>
      <c r="O77" s="112">
        <f>IFERROR(VLOOKUP($B77,MMWR_TRAD_AGG_STATE_PEN[],O$1,0),"ERROR")</f>
        <v>4</v>
      </c>
      <c r="P77" s="114">
        <f t="shared" si="11"/>
        <v>0.30769230769230771</v>
      </c>
      <c r="Q77" s="115">
        <f>IFERROR(VLOOKUP($B77,MMWR_TRAD_AGG_STATE_PEN[],Q$1,0),"ERROR")</f>
        <v>19</v>
      </c>
      <c r="R77" s="115">
        <f>IFERROR(VLOOKUP($B77,MMWR_TRAD_AGG_STATE_PEN[],R$1,0),"ERROR")</f>
        <v>38</v>
      </c>
      <c r="S77" s="115">
        <f>IFERROR(VLOOKUP($B77,MMWR_APP_STATE_PEN[],S$1,0),"ERROR")</f>
        <v>15</v>
      </c>
      <c r="T77" s="28"/>
    </row>
    <row r="78" spans="1:20" s="123" customFormat="1" x14ac:dyDescent="0.2">
      <c r="A78" s="28"/>
      <c r="B78" s="127" t="s">
        <v>378</v>
      </c>
      <c r="C78" s="109">
        <f>IFERROR(VLOOKUP($B78,MMWR_TRAD_AGG_STATE_PEN[],C$1,0),"ERROR")</f>
        <v>458</v>
      </c>
      <c r="D78" s="110">
        <f>IFERROR(VLOOKUP($B78,MMWR_TRAD_AGG_STATE_PEN[],D$1,0),"ERROR")</f>
        <v>103.7794759825</v>
      </c>
      <c r="E78" s="111">
        <f>IFERROR(VLOOKUP($B78,MMWR_TRAD_AGG_STATE_PEN[],E$1,0),"ERROR")</f>
        <v>806</v>
      </c>
      <c r="F78" s="112">
        <f>IFERROR(VLOOKUP($B78,MMWR_TRAD_AGG_STATE_PEN[],F$1,0),"ERROR")</f>
        <v>206</v>
      </c>
      <c r="G78" s="113">
        <f t="shared" si="8"/>
        <v>0.25558312655086851</v>
      </c>
      <c r="H78" s="111">
        <f>IFERROR(VLOOKUP($B78,MMWR_TRAD_AGG_STATE_PEN[],H$1,0),"ERROR")</f>
        <v>592</v>
      </c>
      <c r="I78" s="112">
        <f>IFERROR(VLOOKUP($B78,MMWR_TRAD_AGG_STATE_PEN[],I$1,0),"ERROR")</f>
        <v>225</v>
      </c>
      <c r="J78" s="114">
        <f t="shared" si="9"/>
        <v>0.38006756756756754</v>
      </c>
      <c r="K78" s="111">
        <f>IFERROR(VLOOKUP($B78,MMWR_TRAD_AGG_STATE_PEN[],K$1,0),"ERROR")</f>
        <v>4</v>
      </c>
      <c r="L78" s="112">
        <f>IFERROR(VLOOKUP($B78,MMWR_TRAD_AGG_STATE_PEN[],L$1,0),"ERROR")</f>
        <v>4</v>
      </c>
      <c r="M78" s="114">
        <f t="shared" si="10"/>
        <v>1</v>
      </c>
      <c r="N78" s="111">
        <f>IFERROR(VLOOKUP($B78,MMWR_TRAD_AGG_STATE_PEN[],N$1,0),"ERROR")</f>
        <v>31</v>
      </c>
      <c r="O78" s="112">
        <f>IFERROR(VLOOKUP($B78,MMWR_TRAD_AGG_STATE_PEN[],O$1,0),"ERROR")</f>
        <v>11</v>
      </c>
      <c r="P78" s="114">
        <f t="shared" si="11"/>
        <v>0.35483870967741937</v>
      </c>
      <c r="Q78" s="115">
        <f>IFERROR(VLOOKUP($B78,MMWR_TRAD_AGG_STATE_PEN[],Q$1,0),"ERROR")</f>
        <v>74</v>
      </c>
      <c r="R78" s="115">
        <f>IFERROR(VLOOKUP($B78,MMWR_TRAD_AGG_STATE_PEN[],R$1,0),"ERROR")</f>
        <v>210</v>
      </c>
      <c r="S78" s="115">
        <f>IFERROR(VLOOKUP($B78,MMWR_APP_STATE_PEN[],S$1,0),"ERROR")</f>
        <v>179</v>
      </c>
      <c r="T78" s="28"/>
    </row>
    <row r="79" spans="1:20" s="123" customFormat="1" x14ac:dyDescent="0.2">
      <c r="A79" s="28"/>
      <c r="B79" s="127" t="s">
        <v>63</v>
      </c>
      <c r="C79" s="109">
        <f>IFERROR(VLOOKUP($B79,MMWR_TRAD_AGG_STATE_PEN[],C$1,0),"ERROR")</f>
        <v>1280</v>
      </c>
      <c r="D79" s="110">
        <f>IFERROR(VLOOKUP($B79,MMWR_TRAD_AGG_STATE_PEN[],D$1,0),"ERROR")</f>
        <v>94.649218750000003</v>
      </c>
      <c r="E79" s="111">
        <f>IFERROR(VLOOKUP($B79,MMWR_TRAD_AGG_STATE_PEN[],E$1,0),"ERROR")</f>
        <v>2281</v>
      </c>
      <c r="F79" s="112">
        <f>IFERROR(VLOOKUP($B79,MMWR_TRAD_AGG_STATE_PEN[],F$1,0),"ERROR")</f>
        <v>531</v>
      </c>
      <c r="G79" s="113">
        <f t="shared" si="8"/>
        <v>0.23279263480929416</v>
      </c>
      <c r="H79" s="111">
        <f>IFERROR(VLOOKUP($B79,MMWR_TRAD_AGG_STATE_PEN[],H$1,0),"ERROR")</f>
        <v>1757</v>
      </c>
      <c r="I79" s="112">
        <f>IFERROR(VLOOKUP($B79,MMWR_TRAD_AGG_STATE_PEN[],I$1,0),"ERROR")</f>
        <v>571</v>
      </c>
      <c r="J79" s="114">
        <f t="shared" si="9"/>
        <v>0.32498577120091066</v>
      </c>
      <c r="K79" s="111">
        <f>IFERROR(VLOOKUP($B79,MMWR_TRAD_AGG_STATE_PEN[],K$1,0),"ERROR")</f>
        <v>16</v>
      </c>
      <c r="L79" s="112">
        <f>IFERROR(VLOOKUP($B79,MMWR_TRAD_AGG_STATE_PEN[],L$1,0),"ERROR")</f>
        <v>16</v>
      </c>
      <c r="M79" s="114">
        <f t="shared" si="10"/>
        <v>1</v>
      </c>
      <c r="N79" s="111">
        <f>IFERROR(VLOOKUP($B79,MMWR_TRAD_AGG_STATE_PEN[],N$1,0),"ERROR")</f>
        <v>81</v>
      </c>
      <c r="O79" s="112">
        <f>IFERROR(VLOOKUP($B79,MMWR_TRAD_AGG_STATE_PEN[],O$1,0),"ERROR")</f>
        <v>35</v>
      </c>
      <c r="P79" s="114">
        <f t="shared" si="11"/>
        <v>0.43209876543209874</v>
      </c>
      <c r="Q79" s="115">
        <f>IFERROR(VLOOKUP($B79,MMWR_TRAD_AGG_STATE_PEN[],Q$1,0),"ERROR")</f>
        <v>184</v>
      </c>
      <c r="R79" s="115">
        <f>IFERROR(VLOOKUP($B79,MMWR_TRAD_AGG_STATE_PEN[],R$1,0),"ERROR")</f>
        <v>391</v>
      </c>
      <c r="S79" s="115">
        <f>IFERROR(VLOOKUP($B79,MMWR_APP_STATE_PEN[],S$1,0),"ERROR")</f>
        <v>251</v>
      </c>
      <c r="T79" s="28"/>
    </row>
    <row r="80" spans="1:20" s="123" customFormat="1" x14ac:dyDescent="0.2">
      <c r="A80" s="28"/>
      <c r="B80" s="127" t="s">
        <v>386</v>
      </c>
      <c r="C80" s="109">
        <f>IFERROR(VLOOKUP($B80,MMWR_TRAD_AGG_STATE_PEN[],C$1,0),"ERROR")</f>
        <v>1527</v>
      </c>
      <c r="D80" s="110">
        <f>IFERROR(VLOOKUP($B80,MMWR_TRAD_AGG_STATE_PEN[],D$1,0),"ERROR")</f>
        <v>89.963981663400006</v>
      </c>
      <c r="E80" s="111">
        <f>IFERROR(VLOOKUP($B80,MMWR_TRAD_AGG_STATE_PEN[],E$1,0),"ERROR")</f>
        <v>1624</v>
      </c>
      <c r="F80" s="112">
        <f>IFERROR(VLOOKUP($B80,MMWR_TRAD_AGG_STATE_PEN[],F$1,0),"ERROR")</f>
        <v>363</v>
      </c>
      <c r="G80" s="113">
        <f t="shared" si="8"/>
        <v>0.22352216748768472</v>
      </c>
      <c r="H80" s="111">
        <f>IFERROR(VLOOKUP($B80,MMWR_TRAD_AGG_STATE_PEN[],H$1,0),"ERROR")</f>
        <v>1987</v>
      </c>
      <c r="I80" s="112">
        <f>IFERROR(VLOOKUP($B80,MMWR_TRAD_AGG_STATE_PEN[],I$1,0),"ERROR")</f>
        <v>596</v>
      </c>
      <c r="J80" s="114">
        <f t="shared" si="9"/>
        <v>0.29994967287367891</v>
      </c>
      <c r="K80" s="111">
        <f>IFERROR(VLOOKUP($B80,MMWR_TRAD_AGG_STATE_PEN[],K$1,0),"ERROR")</f>
        <v>30</v>
      </c>
      <c r="L80" s="112">
        <f>IFERROR(VLOOKUP($B80,MMWR_TRAD_AGG_STATE_PEN[],L$1,0),"ERROR")</f>
        <v>29</v>
      </c>
      <c r="M80" s="114">
        <f t="shared" si="10"/>
        <v>0.96666666666666667</v>
      </c>
      <c r="N80" s="111">
        <f>IFERROR(VLOOKUP($B80,MMWR_TRAD_AGG_STATE_PEN[],N$1,0),"ERROR")</f>
        <v>109</v>
      </c>
      <c r="O80" s="112">
        <f>IFERROR(VLOOKUP($B80,MMWR_TRAD_AGG_STATE_PEN[],O$1,0),"ERROR")</f>
        <v>46</v>
      </c>
      <c r="P80" s="114">
        <f t="shared" si="11"/>
        <v>0.42201834862385323</v>
      </c>
      <c r="Q80" s="115">
        <f>IFERROR(VLOOKUP($B80,MMWR_TRAD_AGG_STATE_PEN[],Q$1,0),"ERROR")</f>
        <v>310</v>
      </c>
      <c r="R80" s="115">
        <f>IFERROR(VLOOKUP($B80,MMWR_TRAD_AGG_STATE_PEN[],R$1,0),"ERROR")</f>
        <v>473</v>
      </c>
      <c r="S80" s="115">
        <f>IFERROR(VLOOKUP($B80,MMWR_APP_STATE_PEN[],S$1,0),"ERROR")</f>
        <v>206</v>
      </c>
      <c r="T80" s="28"/>
    </row>
    <row r="81" spans="1:20" s="123" customFormat="1" x14ac:dyDescent="0.2">
      <c r="A81" s="28"/>
      <c r="B81" s="127" t="s">
        <v>379</v>
      </c>
      <c r="C81" s="109">
        <f>IFERROR(VLOOKUP($B81,MMWR_TRAD_AGG_STATE_PEN[],C$1,0),"ERROR")</f>
        <v>1637</v>
      </c>
      <c r="D81" s="110">
        <f>IFERROR(VLOOKUP($B81,MMWR_TRAD_AGG_STATE_PEN[],D$1,0),"ERROR")</f>
        <v>94.970678069599998</v>
      </c>
      <c r="E81" s="111">
        <f>IFERROR(VLOOKUP($B81,MMWR_TRAD_AGG_STATE_PEN[],E$1,0),"ERROR")</f>
        <v>2707</v>
      </c>
      <c r="F81" s="112">
        <f>IFERROR(VLOOKUP($B81,MMWR_TRAD_AGG_STATE_PEN[],F$1,0),"ERROR")</f>
        <v>601</v>
      </c>
      <c r="G81" s="113">
        <f t="shared" si="8"/>
        <v>0.22201699298115996</v>
      </c>
      <c r="H81" s="111">
        <f>IFERROR(VLOOKUP($B81,MMWR_TRAD_AGG_STATE_PEN[],H$1,0),"ERROR")</f>
        <v>2291</v>
      </c>
      <c r="I81" s="112">
        <f>IFERROR(VLOOKUP($B81,MMWR_TRAD_AGG_STATE_PEN[],I$1,0),"ERROR")</f>
        <v>775</v>
      </c>
      <c r="J81" s="114">
        <f t="shared" si="9"/>
        <v>0.33828022697512006</v>
      </c>
      <c r="K81" s="111">
        <f>IFERROR(VLOOKUP($B81,MMWR_TRAD_AGG_STATE_PEN[],K$1,0),"ERROR")</f>
        <v>11</v>
      </c>
      <c r="L81" s="112">
        <f>IFERROR(VLOOKUP($B81,MMWR_TRAD_AGG_STATE_PEN[],L$1,0),"ERROR")</f>
        <v>10</v>
      </c>
      <c r="M81" s="114">
        <f t="shared" si="10"/>
        <v>0.90909090909090906</v>
      </c>
      <c r="N81" s="111">
        <f>IFERROR(VLOOKUP($B81,MMWR_TRAD_AGG_STATE_PEN[],N$1,0),"ERROR")</f>
        <v>119</v>
      </c>
      <c r="O81" s="112">
        <f>IFERROR(VLOOKUP($B81,MMWR_TRAD_AGG_STATE_PEN[],O$1,0),"ERROR")</f>
        <v>21</v>
      </c>
      <c r="P81" s="114">
        <f t="shared" si="11"/>
        <v>0.17647058823529413</v>
      </c>
      <c r="Q81" s="115">
        <f>IFERROR(VLOOKUP($B81,MMWR_TRAD_AGG_STATE_PEN[],Q$1,0),"ERROR")</f>
        <v>192</v>
      </c>
      <c r="R81" s="115">
        <f>IFERROR(VLOOKUP($B81,MMWR_TRAD_AGG_STATE_PEN[],R$1,0),"ERROR")</f>
        <v>473</v>
      </c>
      <c r="S81" s="115">
        <f>IFERROR(VLOOKUP($B81,MMWR_APP_STATE_PEN[],S$1,0),"ERROR")</f>
        <v>250</v>
      </c>
      <c r="T81" s="28"/>
    </row>
    <row r="82" spans="1:20" s="123" customFormat="1" x14ac:dyDescent="0.2">
      <c r="A82" s="28"/>
      <c r="B82" s="127" t="s">
        <v>376</v>
      </c>
      <c r="C82" s="109">
        <f>IFERROR(VLOOKUP($B82,MMWR_TRAD_AGG_STATE_PEN[],C$1,0),"ERROR")</f>
        <v>102</v>
      </c>
      <c r="D82" s="110">
        <f>IFERROR(VLOOKUP($B82,MMWR_TRAD_AGG_STATE_PEN[],D$1,0),"ERROR")</f>
        <v>84.980392156899995</v>
      </c>
      <c r="E82" s="111">
        <f>IFERROR(VLOOKUP($B82,MMWR_TRAD_AGG_STATE_PEN[],E$1,0),"ERROR")</f>
        <v>179</v>
      </c>
      <c r="F82" s="112">
        <f>IFERROR(VLOOKUP($B82,MMWR_TRAD_AGG_STATE_PEN[],F$1,0),"ERROR")</f>
        <v>36</v>
      </c>
      <c r="G82" s="113">
        <f t="shared" si="8"/>
        <v>0.2011173184357542</v>
      </c>
      <c r="H82" s="111">
        <f>IFERROR(VLOOKUP($B82,MMWR_TRAD_AGG_STATE_PEN[],H$1,0),"ERROR")</f>
        <v>144</v>
      </c>
      <c r="I82" s="112">
        <f>IFERROR(VLOOKUP($B82,MMWR_TRAD_AGG_STATE_PEN[],I$1,0),"ERROR")</f>
        <v>47</v>
      </c>
      <c r="J82" s="114">
        <f t="shared" si="9"/>
        <v>0.3263888888888889</v>
      </c>
      <c r="K82" s="111">
        <f>IFERROR(VLOOKUP($B82,MMWR_TRAD_AGG_STATE_PEN[],K$1,0),"ERROR")</f>
        <v>1</v>
      </c>
      <c r="L82" s="112">
        <f>IFERROR(VLOOKUP($B82,MMWR_TRAD_AGG_STATE_PEN[],L$1,0),"ERROR")</f>
        <v>1</v>
      </c>
      <c r="M82" s="114">
        <f t="shared" si="10"/>
        <v>1</v>
      </c>
      <c r="N82" s="111">
        <f>IFERROR(VLOOKUP($B82,MMWR_TRAD_AGG_STATE_PEN[],N$1,0),"ERROR")</f>
        <v>16</v>
      </c>
      <c r="O82" s="112">
        <f>IFERROR(VLOOKUP($B82,MMWR_TRAD_AGG_STATE_PEN[],O$1,0),"ERROR")</f>
        <v>5</v>
      </c>
      <c r="P82" s="114">
        <f t="shared" si="11"/>
        <v>0.3125</v>
      </c>
      <c r="Q82" s="115">
        <f>IFERROR(VLOOKUP($B82,MMWR_TRAD_AGG_STATE_PEN[],Q$1,0),"ERROR")</f>
        <v>17</v>
      </c>
      <c r="R82" s="115">
        <f>IFERROR(VLOOKUP($B82,MMWR_TRAD_AGG_STATE_PEN[],R$1,0),"ERROR")</f>
        <v>35</v>
      </c>
      <c r="S82" s="115">
        <f>IFERROR(VLOOKUP($B82,MMWR_APP_STATE_PEN[],S$1,0),"ERROR")</f>
        <v>21</v>
      </c>
      <c r="T82" s="28"/>
    </row>
    <row r="83" spans="1:20" s="123" customFormat="1" x14ac:dyDescent="0.2">
      <c r="A83" s="28"/>
      <c r="B83" s="127" t="s">
        <v>421</v>
      </c>
      <c r="C83" s="109">
        <f>IFERROR(VLOOKUP($B83,MMWR_TRAD_AGG_STATE_PEN[],C$1,0),"ERROR")</f>
        <v>41</v>
      </c>
      <c r="D83" s="110">
        <f>IFERROR(VLOOKUP($B83,MMWR_TRAD_AGG_STATE_PEN[],D$1,0),"ERROR")</f>
        <v>82.975609756099999</v>
      </c>
      <c r="E83" s="111">
        <f>IFERROR(VLOOKUP($B83,MMWR_TRAD_AGG_STATE_PEN[],E$1,0),"ERROR")</f>
        <v>55</v>
      </c>
      <c r="F83" s="112">
        <f>IFERROR(VLOOKUP($B83,MMWR_TRAD_AGG_STATE_PEN[],F$1,0),"ERROR")</f>
        <v>7</v>
      </c>
      <c r="G83" s="113">
        <f t="shared" si="8"/>
        <v>0.12727272727272726</v>
      </c>
      <c r="H83" s="111">
        <f>IFERROR(VLOOKUP($B83,MMWR_TRAD_AGG_STATE_PEN[],H$1,0),"ERROR")</f>
        <v>46</v>
      </c>
      <c r="I83" s="112">
        <f>IFERROR(VLOOKUP($B83,MMWR_TRAD_AGG_STATE_PEN[],I$1,0),"ERROR")</f>
        <v>11</v>
      </c>
      <c r="J83" s="114">
        <f t="shared" si="9"/>
        <v>0.2391304347826087</v>
      </c>
      <c r="K83" s="111">
        <f>IFERROR(VLOOKUP($B83,MMWR_TRAD_AGG_STATE_PEN[],K$1,0),"ERROR")</f>
        <v>0</v>
      </c>
      <c r="L83" s="112">
        <f>IFERROR(VLOOKUP($B83,MMWR_TRAD_AGG_STATE_PEN[],L$1,0),"ERROR")</f>
        <v>0</v>
      </c>
      <c r="M83" s="114" t="str">
        <f t="shared" si="10"/>
        <v>0%</v>
      </c>
      <c r="N83" s="111">
        <f>IFERROR(VLOOKUP($B83,MMWR_TRAD_AGG_STATE_PEN[],N$1,0),"ERROR")</f>
        <v>5</v>
      </c>
      <c r="O83" s="112">
        <f>IFERROR(VLOOKUP($B83,MMWR_TRAD_AGG_STATE_PEN[],O$1,0),"ERROR")</f>
        <v>2</v>
      </c>
      <c r="P83" s="114">
        <f t="shared" si="11"/>
        <v>0.4</v>
      </c>
      <c r="Q83" s="115">
        <f>IFERROR(VLOOKUP($B83,MMWR_TRAD_AGG_STATE_PEN[],Q$1,0),"ERROR")</f>
        <v>9</v>
      </c>
      <c r="R83" s="115">
        <f>IFERROR(VLOOKUP($B83,MMWR_TRAD_AGG_STATE_PEN[],R$1,0),"ERROR")</f>
        <v>12</v>
      </c>
      <c r="S83" s="115">
        <f>IFERROR(VLOOKUP($B83,MMWR_APP_STATE_PEN[],S$1,0),"ERROR")</f>
        <v>9</v>
      </c>
      <c r="T83" s="28"/>
    </row>
    <row r="84" spans="1:20" s="123" customFormat="1" x14ac:dyDescent="0.2">
      <c r="A84" s="28"/>
      <c r="B84" s="127" t="s">
        <v>382</v>
      </c>
      <c r="C84" s="109">
        <f>IFERROR(VLOOKUP($B84,MMWR_TRAD_AGG_STATE_PEN[],C$1,0),"ERROR")</f>
        <v>839</v>
      </c>
      <c r="D84" s="110">
        <f>IFERROR(VLOOKUP($B84,MMWR_TRAD_AGG_STATE_PEN[],D$1,0),"ERROR")</f>
        <v>90.206197854600006</v>
      </c>
      <c r="E84" s="111">
        <f>IFERROR(VLOOKUP($B84,MMWR_TRAD_AGG_STATE_PEN[],E$1,0),"ERROR")</f>
        <v>870</v>
      </c>
      <c r="F84" s="112">
        <f>IFERROR(VLOOKUP($B84,MMWR_TRAD_AGG_STATE_PEN[],F$1,0),"ERROR")</f>
        <v>183</v>
      </c>
      <c r="G84" s="113">
        <f t="shared" si="8"/>
        <v>0.2103448275862069</v>
      </c>
      <c r="H84" s="111">
        <f>IFERROR(VLOOKUP($B84,MMWR_TRAD_AGG_STATE_PEN[],H$1,0),"ERROR")</f>
        <v>1097</v>
      </c>
      <c r="I84" s="112">
        <f>IFERROR(VLOOKUP($B84,MMWR_TRAD_AGG_STATE_PEN[],I$1,0),"ERROR")</f>
        <v>344</v>
      </c>
      <c r="J84" s="114">
        <f t="shared" si="9"/>
        <v>0.31358249772105745</v>
      </c>
      <c r="K84" s="111">
        <f>IFERROR(VLOOKUP($B84,MMWR_TRAD_AGG_STATE_PEN[],K$1,0),"ERROR")</f>
        <v>140</v>
      </c>
      <c r="L84" s="112">
        <f>IFERROR(VLOOKUP($B84,MMWR_TRAD_AGG_STATE_PEN[],L$1,0),"ERROR")</f>
        <v>140</v>
      </c>
      <c r="M84" s="114">
        <f t="shared" si="10"/>
        <v>1</v>
      </c>
      <c r="N84" s="111">
        <f>IFERROR(VLOOKUP($B84,MMWR_TRAD_AGG_STATE_PEN[],N$1,0),"ERROR")</f>
        <v>75</v>
      </c>
      <c r="O84" s="112">
        <f>IFERROR(VLOOKUP($B84,MMWR_TRAD_AGG_STATE_PEN[],O$1,0),"ERROR")</f>
        <v>31</v>
      </c>
      <c r="P84" s="114">
        <f t="shared" si="11"/>
        <v>0.41333333333333333</v>
      </c>
      <c r="Q84" s="115">
        <f>IFERROR(VLOOKUP($B84,MMWR_TRAD_AGG_STATE_PEN[],Q$1,0),"ERROR")</f>
        <v>177</v>
      </c>
      <c r="R84" s="115">
        <f>IFERROR(VLOOKUP($B84,MMWR_TRAD_AGG_STATE_PEN[],R$1,0),"ERROR")</f>
        <v>336</v>
      </c>
      <c r="S84" s="115">
        <f>IFERROR(VLOOKUP($B84,MMWR_APP_STATE_PEN[],S$1,0),"ERROR")</f>
        <v>162</v>
      </c>
      <c r="T84" s="28"/>
    </row>
    <row r="85" spans="1:20" s="123" customFormat="1" x14ac:dyDescent="0.2">
      <c r="A85" s="28"/>
      <c r="B85" s="127" t="s">
        <v>383</v>
      </c>
      <c r="C85" s="109">
        <f>IFERROR(VLOOKUP($B85,MMWR_TRAD_AGG_STATE_PEN[],C$1,0),"ERROR")</f>
        <v>286</v>
      </c>
      <c r="D85" s="110">
        <f>IFERROR(VLOOKUP($B85,MMWR_TRAD_AGG_STATE_PEN[],D$1,0),"ERROR")</f>
        <v>89.367132867099997</v>
      </c>
      <c r="E85" s="111">
        <f>IFERROR(VLOOKUP($B85,MMWR_TRAD_AGG_STATE_PEN[],E$1,0),"ERROR")</f>
        <v>303</v>
      </c>
      <c r="F85" s="112">
        <f>IFERROR(VLOOKUP($B85,MMWR_TRAD_AGG_STATE_PEN[],F$1,0),"ERROR")</f>
        <v>59</v>
      </c>
      <c r="G85" s="113">
        <f t="shared" si="8"/>
        <v>0.19471947194719472</v>
      </c>
      <c r="H85" s="111">
        <f>IFERROR(VLOOKUP($B85,MMWR_TRAD_AGG_STATE_PEN[],H$1,0),"ERROR")</f>
        <v>359</v>
      </c>
      <c r="I85" s="112">
        <f>IFERROR(VLOOKUP($B85,MMWR_TRAD_AGG_STATE_PEN[],I$1,0),"ERROR")</f>
        <v>107</v>
      </c>
      <c r="J85" s="114">
        <f t="shared" si="9"/>
        <v>0.29805013927576601</v>
      </c>
      <c r="K85" s="111">
        <f>IFERROR(VLOOKUP($B85,MMWR_TRAD_AGG_STATE_PEN[],K$1,0),"ERROR")</f>
        <v>0</v>
      </c>
      <c r="L85" s="112">
        <f>IFERROR(VLOOKUP($B85,MMWR_TRAD_AGG_STATE_PEN[],L$1,0),"ERROR")</f>
        <v>0</v>
      </c>
      <c r="M85" s="114" t="str">
        <f t="shared" si="10"/>
        <v>0%</v>
      </c>
      <c r="N85" s="111">
        <f>IFERROR(VLOOKUP($B85,MMWR_TRAD_AGG_STATE_PEN[],N$1,0),"ERROR")</f>
        <v>14</v>
      </c>
      <c r="O85" s="112">
        <f>IFERROR(VLOOKUP($B85,MMWR_TRAD_AGG_STATE_PEN[],O$1,0),"ERROR")</f>
        <v>11</v>
      </c>
      <c r="P85" s="114">
        <f t="shared" si="11"/>
        <v>0.7857142857142857</v>
      </c>
      <c r="Q85" s="115">
        <f>IFERROR(VLOOKUP($B85,MMWR_TRAD_AGG_STATE_PEN[],Q$1,0),"ERROR")</f>
        <v>53</v>
      </c>
      <c r="R85" s="115">
        <f>IFERROR(VLOOKUP($B85,MMWR_TRAD_AGG_STATE_PEN[],R$1,0),"ERROR")</f>
        <v>79</v>
      </c>
      <c r="S85" s="115">
        <f>IFERROR(VLOOKUP($B85,MMWR_APP_STATE_PEN[],S$1,0),"ERROR")</f>
        <v>46</v>
      </c>
      <c r="T85" s="28"/>
    </row>
    <row r="86" spans="1:20" s="123" customFormat="1" x14ac:dyDescent="0.2">
      <c r="A86" s="28"/>
      <c r="B86" s="126" t="s">
        <v>394</v>
      </c>
      <c r="C86" s="102">
        <f>IFERROR(VLOOKUP($B86,MMWR_TRAD_AGG_ST_DISTRICT_PEN[],C$1,0),"ERROR")</f>
        <v>2670</v>
      </c>
      <c r="D86" s="103">
        <f>IFERROR(VLOOKUP($B86,MMWR_TRAD_AGG_ST_DISTRICT_PEN[],D$1,0),"ERROR")</f>
        <v>47.591011236</v>
      </c>
      <c r="E86" s="102">
        <f>IFERROR(VLOOKUP($B86,MMWR_TRAD_AGG_ST_DISTRICT_PEN[],E$1,0),"ERROR")</f>
        <v>5589</v>
      </c>
      <c r="F86" s="102">
        <f>IFERROR(VLOOKUP($B86,MMWR_TRAD_AGG_ST_DISTRICT_PEN[],F$1,0),"ERROR")</f>
        <v>604</v>
      </c>
      <c r="G86" s="104">
        <f t="shared" si="8"/>
        <v>0.10806942207908392</v>
      </c>
      <c r="H86" s="102">
        <f>IFERROR(VLOOKUP($B86,MMWR_TRAD_AGG_ST_DISTRICT_PEN[],H$1,0),"ERROR")</f>
        <v>4064</v>
      </c>
      <c r="I86" s="102">
        <f>IFERROR(VLOOKUP($B86,MMWR_TRAD_AGG_ST_DISTRICT_PEN[],I$1,0),"ERROR")</f>
        <v>231</v>
      </c>
      <c r="J86" s="104">
        <f t="shared" si="9"/>
        <v>5.6840551181102365E-2</v>
      </c>
      <c r="K86" s="102">
        <f>IFERROR(VLOOKUP($B86,MMWR_TRAD_AGG_ST_DISTRICT_PEN[],K$1,0),"ERROR")</f>
        <v>14</v>
      </c>
      <c r="L86" s="102">
        <f>IFERROR(VLOOKUP($B86,MMWR_TRAD_AGG_ST_DISTRICT_PEN[],L$1,0),"ERROR")</f>
        <v>11</v>
      </c>
      <c r="M86" s="104">
        <f t="shared" si="10"/>
        <v>0.7857142857142857</v>
      </c>
      <c r="N86" s="102">
        <f>IFERROR(VLOOKUP($B86,MMWR_TRAD_AGG_ST_DISTRICT_PEN[],N$1,0),"ERROR")</f>
        <v>292</v>
      </c>
      <c r="O86" s="102">
        <f>IFERROR(VLOOKUP($B86,MMWR_TRAD_AGG_ST_DISTRICT_PEN[],O$1,0),"ERROR")</f>
        <v>84</v>
      </c>
      <c r="P86" s="104">
        <f t="shared" si="11"/>
        <v>0.28767123287671231</v>
      </c>
      <c r="Q86" s="102">
        <f>IFERROR(VLOOKUP($B86,MMWR_TRAD_AGG_ST_DISTRICT_PEN[],Q$1,0),"ERROR")</f>
        <v>1928</v>
      </c>
      <c r="R86" s="106">
        <f>IFERROR(VLOOKUP($B86,MMWR_TRAD_AGG_ST_DISTRICT_PEN[],R$1,0),"ERROR")</f>
        <v>556</v>
      </c>
      <c r="S86" s="106">
        <f>IFERROR(VLOOKUP($B86,MMWR_APP_STATE_PEN[],S$1,0),"ERROR")</f>
        <v>1606</v>
      </c>
      <c r="T86" s="28"/>
    </row>
    <row r="87" spans="1:20" s="123" customFormat="1" x14ac:dyDescent="0.2">
      <c r="A87" s="28"/>
      <c r="B87" s="127" t="s">
        <v>398</v>
      </c>
      <c r="C87" s="109">
        <f>IFERROR(VLOOKUP($B87,MMWR_TRAD_AGG_STATE_PEN[],C$1,0),"ERROR")</f>
        <v>344</v>
      </c>
      <c r="D87" s="110">
        <f>IFERROR(VLOOKUP($B87,MMWR_TRAD_AGG_STATE_PEN[],D$1,0),"ERROR")</f>
        <v>50.154069767400003</v>
      </c>
      <c r="E87" s="111">
        <f>IFERROR(VLOOKUP($B87,MMWR_TRAD_AGG_STATE_PEN[],E$1,0),"ERROR")</f>
        <v>833</v>
      </c>
      <c r="F87" s="112">
        <f>IFERROR(VLOOKUP($B87,MMWR_TRAD_AGG_STATE_PEN[],F$1,0),"ERROR")</f>
        <v>114</v>
      </c>
      <c r="G87" s="113">
        <f t="shared" si="8"/>
        <v>0.1368547418967587</v>
      </c>
      <c r="H87" s="111">
        <f>IFERROR(VLOOKUP($B87,MMWR_TRAD_AGG_STATE_PEN[],H$1,0),"ERROR")</f>
        <v>519</v>
      </c>
      <c r="I87" s="112">
        <f>IFERROR(VLOOKUP($B87,MMWR_TRAD_AGG_STATE_PEN[],I$1,0),"ERROR")</f>
        <v>29</v>
      </c>
      <c r="J87" s="114">
        <f t="shared" si="9"/>
        <v>5.5876685934489405E-2</v>
      </c>
      <c r="K87" s="111">
        <f>IFERROR(VLOOKUP($B87,MMWR_TRAD_AGG_STATE_PEN[],K$1,0),"ERROR")</f>
        <v>1</v>
      </c>
      <c r="L87" s="112">
        <f>IFERROR(VLOOKUP($B87,MMWR_TRAD_AGG_STATE_PEN[],L$1,0),"ERROR")</f>
        <v>1</v>
      </c>
      <c r="M87" s="114">
        <f t="shared" si="10"/>
        <v>1</v>
      </c>
      <c r="N87" s="111">
        <f>IFERROR(VLOOKUP($B87,MMWR_TRAD_AGG_STATE_PEN[],N$1,0),"ERROR")</f>
        <v>44</v>
      </c>
      <c r="O87" s="112">
        <f>IFERROR(VLOOKUP($B87,MMWR_TRAD_AGG_STATE_PEN[],O$1,0),"ERROR")</f>
        <v>11</v>
      </c>
      <c r="P87" s="114">
        <f t="shared" si="11"/>
        <v>0.25</v>
      </c>
      <c r="Q87" s="115">
        <f>IFERROR(VLOOKUP($B87,MMWR_TRAD_AGG_STATE_PEN[],Q$1,0),"ERROR")</f>
        <v>97</v>
      </c>
      <c r="R87" s="115">
        <f>IFERROR(VLOOKUP($B87,MMWR_TRAD_AGG_STATE_PEN[],R$1,0),"ERROR")</f>
        <v>118</v>
      </c>
      <c r="S87" s="115">
        <f>IFERROR(VLOOKUP($B87,MMWR_APP_STATE_PEN[],S$1,0),"ERROR")</f>
        <v>350</v>
      </c>
      <c r="T87" s="28"/>
    </row>
    <row r="88" spans="1:20" s="123" customFormat="1" x14ac:dyDescent="0.2">
      <c r="A88" s="28"/>
      <c r="B88" s="127" t="s">
        <v>396</v>
      </c>
      <c r="C88" s="109">
        <f>IFERROR(VLOOKUP($B88,MMWR_TRAD_AGG_STATE_PEN[],C$1,0),"ERROR")</f>
        <v>237</v>
      </c>
      <c r="D88" s="110">
        <f>IFERROR(VLOOKUP($B88,MMWR_TRAD_AGG_STATE_PEN[],D$1,0),"ERROR")</f>
        <v>58.936708860800003</v>
      </c>
      <c r="E88" s="111">
        <f>IFERROR(VLOOKUP($B88,MMWR_TRAD_AGG_STATE_PEN[],E$1,0),"ERROR")</f>
        <v>587</v>
      </c>
      <c r="F88" s="112">
        <f>IFERROR(VLOOKUP($B88,MMWR_TRAD_AGG_STATE_PEN[],F$1,0),"ERROR")</f>
        <v>72</v>
      </c>
      <c r="G88" s="113">
        <f t="shared" si="8"/>
        <v>0.12265758091993186</v>
      </c>
      <c r="H88" s="111">
        <f>IFERROR(VLOOKUP($B88,MMWR_TRAD_AGG_STATE_PEN[],H$1,0),"ERROR")</f>
        <v>373</v>
      </c>
      <c r="I88" s="112">
        <f>IFERROR(VLOOKUP($B88,MMWR_TRAD_AGG_STATE_PEN[],I$1,0),"ERROR")</f>
        <v>30</v>
      </c>
      <c r="J88" s="114">
        <f t="shared" si="9"/>
        <v>8.0428954423592491E-2</v>
      </c>
      <c r="K88" s="111">
        <f>IFERROR(VLOOKUP($B88,MMWR_TRAD_AGG_STATE_PEN[],K$1,0),"ERROR")</f>
        <v>2</v>
      </c>
      <c r="L88" s="112">
        <f>IFERROR(VLOOKUP($B88,MMWR_TRAD_AGG_STATE_PEN[],L$1,0),"ERROR")</f>
        <v>2</v>
      </c>
      <c r="M88" s="114">
        <f t="shared" si="10"/>
        <v>1</v>
      </c>
      <c r="N88" s="111">
        <f>IFERROR(VLOOKUP($B88,MMWR_TRAD_AGG_STATE_PEN[],N$1,0),"ERROR")</f>
        <v>27</v>
      </c>
      <c r="O88" s="112">
        <f>IFERROR(VLOOKUP($B88,MMWR_TRAD_AGG_STATE_PEN[],O$1,0),"ERROR")</f>
        <v>13</v>
      </c>
      <c r="P88" s="114">
        <f t="shared" si="11"/>
        <v>0.48148148148148145</v>
      </c>
      <c r="Q88" s="115">
        <f>IFERROR(VLOOKUP($B88,MMWR_TRAD_AGG_STATE_PEN[],Q$1,0),"ERROR")</f>
        <v>54</v>
      </c>
      <c r="R88" s="115">
        <f>IFERROR(VLOOKUP($B88,MMWR_TRAD_AGG_STATE_PEN[],R$1,0),"ERROR")</f>
        <v>68</v>
      </c>
      <c r="S88" s="115">
        <f>IFERROR(VLOOKUP($B88,MMWR_APP_STATE_PEN[],S$1,0),"ERROR")</f>
        <v>175</v>
      </c>
      <c r="T88" s="28"/>
    </row>
    <row r="89" spans="1:20" s="123" customFormat="1" x14ac:dyDescent="0.2">
      <c r="A89" s="28"/>
      <c r="B89" s="127" t="s">
        <v>403</v>
      </c>
      <c r="C89" s="109">
        <f>IFERROR(VLOOKUP($B89,MMWR_TRAD_AGG_STATE_PEN[],C$1,0),"ERROR")</f>
        <v>134</v>
      </c>
      <c r="D89" s="110">
        <f>IFERROR(VLOOKUP($B89,MMWR_TRAD_AGG_STATE_PEN[],D$1,0),"ERROR")</f>
        <v>43.559701492499997</v>
      </c>
      <c r="E89" s="111">
        <f>IFERROR(VLOOKUP($B89,MMWR_TRAD_AGG_STATE_PEN[],E$1,0),"ERROR")</f>
        <v>237</v>
      </c>
      <c r="F89" s="112">
        <f>IFERROR(VLOOKUP($B89,MMWR_TRAD_AGG_STATE_PEN[],F$1,0),"ERROR")</f>
        <v>10</v>
      </c>
      <c r="G89" s="113">
        <f t="shared" si="8"/>
        <v>4.2194092827004218E-2</v>
      </c>
      <c r="H89" s="111">
        <f>IFERROR(VLOOKUP($B89,MMWR_TRAD_AGG_STATE_PEN[],H$1,0),"ERROR")</f>
        <v>199</v>
      </c>
      <c r="I89" s="112">
        <f>IFERROR(VLOOKUP($B89,MMWR_TRAD_AGG_STATE_PEN[],I$1,0),"ERROR")</f>
        <v>2</v>
      </c>
      <c r="J89" s="114">
        <f t="shared" si="9"/>
        <v>1.0050251256281407E-2</v>
      </c>
      <c r="K89" s="111">
        <f>IFERROR(VLOOKUP($B89,MMWR_TRAD_AGG_STATE_PEN[],K$1,0),"ERROR")</f>
        <v>0</v>
      </c>
      <c r="L89" s="112">
        <f>IFERROR(VLOOKUP($B89,MMWR_TRAD_AGG_STATE_PEN[],L$1,0),"ERROR")</f>
        <v>0</v>
      </c>
      <c r="M89" s="114" t="str">
        <f t="shared" si="10"/>
        <v>0%</v>
      </c>
      <c r="N89" s="111">
        <f>IFERROR(VLOOKUP($B89,MMWR_TRAD_AGG_STATE_PEN[],N$1,0),"ERROR")</f>
        <v>8</v>
      </c>
      <c r="O89" s="112">
        <f>IFERROR(VLOOKUP($B89,MMWR_TRAD_AGG_STATE_PEN[],O$1,0),"ERROR")</f>
        <v>3</v>
      </c>
      <c r="P89" s="114">
        <f t="shared" si="11"/>
        <v>0.375</v>
      </c>
      <c r="Q89" s="115">
        <f>IFERROR(VLOOKUP($B89,MMWR_TRAD_AGG_STATE_PEN[],Q$1,0),"ERROR")</f>
        <v>284</v>
      </c>
      <c r="R89" s="115">
        <f>IFERROR(VLOOKUP($B89,MMWR_TRAD_AGG_STATE_PEN[],R$1,0),"ERROR")</f>
        <v>25</v>
      </c>
      <c r="S89" s="115">
        <f>IFERROR(VLOOKUP($B89,MMWR_APP_STATE_PEN[],S$1,0),"ERROR")</f>
        <v>28</v>
      </c>
      <c r="T89" s="28"/>
    </row>
    <row r="90" spans="1:20" s="123" customFormat="1" x14ac:dyDescent="0.2">
      <c r="A90" s="28"/>
      <c r="B90" s="127" t="s">
        <v>426</v>
      </c>
      <c r="C90" s="109">
        <f>IFERROR(VLOOKUP($B90,MMWR_TRAD_AGG_STATE_PEN[],C$1,0),"ERROR")</f>
        <v>111</v>
      </c>
      <c r="D90" s="110">
        <f>IFERROR(VLOOKUP($B90,MMWR_TRAD_AGG_STATE_PEN[],D$1,0),"ERROR")</f>
        <v>43.522522522499997</v>
      </c>
      <c r="E90" s="111">
        <f>IFERROR(VLOOKUP($B90,MMWR_TRAD_AGG_STATE_PEN[],E$1,0),"ERROR")</f>
        <v>198</v>
      </c>
      <c r="F90" s="112">
        <f>IFERROR(VLOOKUP($B90,MMWR_TRAD_AGG_STATE_PEN[],F$1,0),"ERROR")</f>
        <v>8</v>
      </c>
      <c r="G90" s="113">
        <f t="shared" si="8"/>
        <v>4.0404040404040407E-2</v>
      </c>
      <c r="H90" s="111">
        <f>IFERROR(VLOOKUP($B90,MMWR_TRAD_AGG_STATE_PEN[],H$1,0),"ERROR")</f>
        <v>155</v>
      </c>
      <c r="I90" s="112">
        <f>IFERROR(VLOOKUP($B90,MMWR_TRAD_AGG_STATE_PEN[],I$1,0),"ERROR")</f>
        <v>9</v>
      </c>
      <c r="J90" s="114">
        <f t="shared" si="9"/>
        <v>5.8064516129032261E-2</v>
      </c>
      <c r="K90" s="111">
        <f>IFERROR(VLOOKUP($B90,MMWR_TRAD_AGG_STATE_PEN[],K$1,0),"ERROR")</f>
        <v>0</v>
      </c>
      <c r="L90" s="112">
        <f>IFERROR(VLOOKUP($B90,MMWR_TRAD_AGG_STATE_PEN[],L$1,0),"ERROR")</f>
        <v>0</v>
      </c>
      <c r="M90" s="114" t="str">
        <f t="shared" si="10"/>
        <v>0%</v>
      </c>
      <c r="N90" s="111">
        <f>IFERROR(VLOOKUP($B90,MMWR_TRAD_AGG_STATE_PEN[],N$1,0),"ERROR")</f>
        <v>3</v>
      </c>
      <c r="O90" s="112">
        <f>IFERROR(VLOOKUP($B90,MMWR_TRAD_AGG_STATE_PEN[],O$1,0),"ERROR")</f>
        <v>2</v>
      </c>
      <c r="P90" s="114">
        <f t="shared" si="11"/>
        <v>0.66666666666666663</v>
      </c>
      <c r="Q90" s="115">
        <f>IFERROR(VLOOKUP($B90,MMWR_TRAD_AGG_STATE_PEN[],Q$1,0),"ERROR")</f>
        <v>156</v>
      </c>
      <c r="R90" s="115">
        <f>IFERROR(VLOOKUP($B90,MMWR_TRAD_AGG_STATE_PEN[],R$1,0),"ERROR")</f>
        <v>18</v>
      </c>
      <c r="S90" s="115">
        <f>IFERROR(VLOOKUP($B90,MMWR_APP_STATE_PEN[],S$1,0),"ERROR")</f>
        <v>32</v>
      </c>
      <c r="T90" s="28"/>
    </row>
    <row r="91" spans="1:20" s="123" customFormat="1" x14ac:dyDescent="0.2">
      <c r="A91" s="28"/>
      <c r="B91" s="127" t="s">
        <v>399</v>
      </c>
      <c r="C91" s="109">
        <f>IFERROR(VLOOKUP($B91,MMWR_TRAD_AGG_STATE_PEN[],C$1,0),"ERROR")</f>
        <v>461</v>
      </c>
      <c r="D91" s="110">
        <f>IFERROR(VLOOKUP($B91,MMWR_TRAD_AGG_STATE_PEN[],D$1,0),"ERROR")</f>
        <v>48.709327548799997</v>
      </c>
      <c r="E91" s="111">
        <f>IFERROR(VLOOKUP($B91,MMWR_TRAD_AGG_STATE_PEN[],E$1,0),"ERROR")</f>
        <v>1061</v>
      </c>
      <c r="F91" s="112">
        <f>IFERROR(VLOOKUP($B91,MMWR_TRAD_AGG_STATE_PEN[],F$1,0),"ERROR")</f>
        <v>114</v>
      </c>
      <c r="G91" s="113">
        <f t="shared" si="8"/>
        <v>0.10744580584354382</v>
      </c>
      <c r="H91" s="111">
        <f>IFERROR(VLOOKUP($B91,MMWR_TRAD_AGG_STATE_PEN[],H$1,0),"ERROR")</f>
        <v>690</v>
      </c>
      <c r="I91" s="112">
        <f>IFERROR(VLOOKUP($B91,MMWR_TRAD_AGG_STATE_PEN[],I$1,0),"ERROR")</f>
        <v>48</v>
      </c>
      <c r="J91" s="114">
        <f t="shared" si="9"/>
        <v>6.9565217391304349E-2</v>
      </c>
      <c r="K91" s="111">
        <f>IFERROR(VLOOKUP($B91,MMWR_TRAD_AGG_STATE_PEN[],K$1,0),"ERROR")</f>
        <v>1</v>
      </c>
      <c r="L91" s="112">
        <f>IFERROR(VLOOKUP($B91,MMWR_TRAD_AGG_STATE_PEN[],L$1,0),"ERROR")</f>
        <v>1</v>
      </c>
      <c r="M91" s="114">
        <f t="shared" si="10"/>
        <v>1</v>
      </c>
      <c r="N91" s="111">
        <f>IFERROR(VLOOKUP($B91,MMWR_TRAD_AGG_STATE_PEN[],N$1,0),"ERROR")</f>
        <v>55</v>
      </c>
      <c r="O91" s="112">
        <f>IFERROR(VLOOKUP($B91,MMWR_TRAD_AGG_STATE_PEN[],O$1,0),"ERROR")</f>
        <v>9</v>
      </c>
      <c r="P91" s="114">
        <f t="shared" si="11"/>
        <v>0.16363636363636364</v>
      </c>
      <c r="Q91" s="115">
        <f>IFERROR(VLOOKUP($B91,MMWR_TRAD_AGG_STATE_PEN[],Q$1,0),"ERROR")</f>
        <v>106</v>
      </c>
      <c r="R91" s="115">
        <f>IFERROR(VLOOKUP($B91,MMWR_TRAD_AGG_STATE_PEN[],R$1,0),"ERROR")</f>
        <v>83</v>
      </c>
      <c r="S91" s="115">
        <f>IFERROR(VLOOKUP($B91,MMWR_APP_STATE_PEN[],S$1,0),"ERROR")</f>
        <v>252</v>
      </c>
      <c r="T91" s="28"/>
    </row>
    <row r="92" spans="1:20" s="123" customFormat="1" x14ac:dyDescent="0.2">
      <c r="A92" s="28"/>
      <c r="B92" s="127" t="s">
        <v>405</v>
      </c>
      <c r="C92" s="109">
        <f>IFERROR(VLOOKUP($B92,MMWR_TRAD_AGG_STATE_PEN[],C$1,0),"ERROR")</f>
        <v>173</v>
      </c>
      <c r="D92" s="110">
        <f>IFERROR(VLOOKUP($B92,MMWR_TRAD_AGG_STATE_PEN[],D$1,0),"ERROR")</f>
        <v>41.421965317900003</v>
      </c>
      <c r="E92" s="111">
        <f>IFERROR(VLOOKUP($B92,MMWR_TRAD_AGG_STATE_PEN[],E$1,0),"ERROR")</f>
        <v>253</v>
      </c>
      <c r="F92" s="112">
        <f>IFERROR(VLOOKUP($B92,MMWR_TRAD_AGG_STATE_PEN[],F$1,0),"ERROR")</f>
        <v>9</v>
      </c>
      <c r="G92" s="113">
        <f t="shared" si="8"/>
        <v>3.5573122529644272E-2</v>
      </c>
      <c r="H92" s="111">
        <f>IFERROR(VLOOKUP($B92,MMWR_TRAD_AGG_STATE_PEN[],H$1,0),"ERROR")</f>
        <v>231</v>
      </c>
      <c r="I92" s="112">
        <f>IFERROR(VLOOKUP($B92,MMWR_TRAD_AGG_STATE_PEN[],I$1,0),"ERROR")</f>
        <v>5</v>
      </c>
      <c r="J92" s="114">
        <f t="shared" si="9"/>
        <v>2.1645021645021644E-2</v>
      </c>
      <c r="K92" s="111">
        <f>IFERROR(VLOOKUP($B92,MMWR_TRAD_AGG_STATE_PEN[],K$1,0),"ERROR")</f>
        <v>1</v>
      </c>
      <c r="L92" s="112">
        <f>IFERROR(VLOOKUP($B92,MMWR_TRAD_AGG_STATE_PEN[],L$1,0),"ERROR")</f>
        <v>1</v>
      </c>
      <c r="M92" s="114">
        <f t="shared" si="10"/>
        <v>1</v>
      </c>
      <c r="N92" s="111">
        <f>IFERROR(VLOOKUP($B92,MMWR_TRAD_AGG_STATE_PEN[],N$1,0),"ERROR")</f>
        <v>8</v>
      </c>
      <c r="O92" s="112">
        <f>IFERROR(VLOOKUP($B92,MMWR_TRAD_AGG_STATE_PEN[],O$1,0),"ERROR")</f>
        <v>2</v>
      </c>
      <c r="P92" s="114">
        <f t="shared" si="11"/>
        <v>0.25</v>
      </c>
      <c r="Q92" s="115">
        <f>IFERROR(VLOOKUP($B92,MMWR_TRAD_AGG_STATE_PEN[],Q$1,0),"ERROR")</f>
        <v>620</v>
      </c>
      <c r="R92" s="115">
        <f>IFERROR(VLOOKUP($B92,MMWR_TRAD_AGG_STATE_PEN[],R$1,0),"ERROR")</f>
        <v>22</v>
      </c>
      <c r="S92" s="115">
        <f>IFERROR(VLOOKUP($B92,MMWR_APP_STATE_PEN[],S$1,0),"ERROR")</f>
        <v>29</v>
      </c>
      <c r="T92" s="28"/>
    </row>
    <row r="93" spans="1:20" s="123" customFormat="1" x14ac:dyDescent="0.2">
      <c r="A93" s="28"/>
      <c r="B93" s="127" t="s">
        <v>401</v>
      </c>
      <c r="C93" s="109">
        <f>IFERROR(VLOOKUP($B93,MMWR_TRAD_AGG_STATE_PEN[],C$1,0),"ERROR")</f>
        <v>368</v>
      </c>
      <c r="D93" s="110">
        <f>IFERROR(VLOOKUP($B93,MMWR_TRAD_AGG_STATE_PEN[],D$1,0),"ERROR")</f>
        <v>44.2282608696</v>
      </c>
      <c r="E93" s="111">
        <f>IFERROR(VLOOKUP($B93,MMWR_TRAD_AGG_STATE_PEN[],E$1,0),"ERROR")</f>
        <v>640</v>
      </c>
      <c r="F93" s="112">
        <f>IFERROR(VLOOKUP($B93,MMWR_TRAD_AGG_STATE_PEN[],F$1,0),"ERROR")</f>
        <v>78</v>
      </c>
      <c r="G93" s="113">
        <f t="shared" si="8"/>
        <v>0.121875</v>
      </c>
      <c r="H93" s="111">
        <f>IFERROR(VLOOKUP($B93,MMWR_TRAD_AGG_STATE_PEN[],H$1,0),"ERROR")</f>
        <v>560</v>
      </c>
      <c r="I93" s="112">
        <f>IFERROR(VLOOKUP($B93,MMWR_TRAD_AGG_STATE_PEN[],I$1,0),"ERROR")</f>
        <v>32</v>
      </c>
      <c r="J93" s="114">
        <f t="shared" si="9"/>
        <v>5.7142857142857141E-2</v>
      </c>
      <c r="K93" s="111">
        <f>IFERROR(VLOOKUP($B93,MMWR_TRAD_AGG_STATE_PEN[],K$1,0),"ERROR")</f>
        <v>2</v>
      </c>
      <c r="L93" s="112">
        <f>IFERROR(VLOOKUP($B93,MMWR_TRAD_AGG_STATE_PEN[],L$1,0),"ERROR")</f>
        <v>1</v>
      </c>
      <c r="M93" s="114">
        <f t="shared" si="10"/>
        <v>0.5</v>
      </c>
      <c r="N93" s="111">
        <f>IFERROR(VLOOKUP($B93,MMWR_TRAD_AGG_STATE_PEN[],N$1,0),"ERROR")</f>
        <v>49</v>
      </c>
      <c r="O93" s="112">
        <f>IFERROR(VLOOKUP($B93,MMWR_TRAD_AGG_STATE_PEN[],O$1,0),"ERROR")</f>
        <v>16</v>
      </c>
      <c r="P93" s="114">
        <f t="shared" si="11"/>
        <v>0.32653061224489793</v>
      </c>
      <c r="Q93" s="115">
        <f>IFERROR(VLOOKUP($B93,MMWR_TRAD_AGG_STATE_PEN[],Q$1,0),"ERROR")</f>
        <v>115</v>
      </c>
      <c r="R93" s="115">
        <f>IFERROR(VLOOKUP($B93,MMWR_TRAD_AGG_STATE_PEN[],R$1,0),"ERROR")</f>
        <v>40</v>
      </c>
      <c r="S93" s="115">
        <f>IFERROR(VLOOKUP($B93,MMWR_APP_STATE_PEN[],S$1,0),"ERROR")</f>
        <v>223</v>
      </c>
      <c r="T93" s="28"/>
    </row>
    <row r="94" spans="1:20" s="123" customFormat="1" x14ac:dyDescent="0.2">
      <c r="A94" s="28"/>
      <c r="B94" s="127" t="s">
        <v>404</v>
      </c>
      <c r="C94" s="109">
        <f>IFERROR(VLOOKUP($B94,MMWR_TRAD_AGG_STATE_PEN[],C$1,0),"ERROR")</f>
        <v>53</v>
      </c>
      <c r="D94" s="110">
        <f>IFERROR(VLOOKUP($B94,MMWR_TRAD_AGG_STATE_PEN[],D$1,0),"ERROR")</f>
        <v>33.886792452800002</v>
      </c>
      <c r="E94" s="111">
        <f>IFERROR(VLOOKUP($B94,MMWR_TRAD_AGG_STATE_PEN[],E$1,0),"ERROR")</f>
        <v>73</v>
      </c>
      <c r="F94" s="112">
        <f>IFERROR(VLOOKUP($B94,MMWR_TRAD_AGG_STATE_PEN[],F$1,0),"ERROR")</f>
        <v>6</v>
      </c>
      <c r="G94" s="113">
        <f t="shared" si="8"/>
        <v>8.2191780821917804E-2</v>
      </c>
      <c r="H94" s="111">
        <f>IFERROR(VLOOKUP($B94,MMWR_TRAD_AGG_STATE_PEN[],H$1,0),"ERROR")</f>
        <v>74</v>
      </c>
      <c r="I94" s="112">
        <f>IFERROR(VLOOKUP($B94,MMWR_TRAD_AGG_STATE_PEN[],I$1,0),"ERROR")</f>
        <v>2</v>
      </c>
      <c r="J94" s="114">
        <f t="shared" si="9"/>
        <v>2.7027027027027029E-2</v>
      </c>
      <c r="K94" s="111">
        <f>IFERROR(VLOOKUP($B94,MMWR_TRAD_AGG_STATE_PEN[],K$1,0),"ERROR")</f>
        <v>0</v>
      </c>
      <c r="L94" s="112">
        <f>IFERROR(VLOOKUP($B94,MMWR_TRAD_AGG_STATE_PEN[],L$1,0),"ERROR")</f>
        <v>0</v>
      </c>
      <c r="M94" s="114" t="str">
        <f t="shared" si="10"/>
        <v>0%</v>
      </c>
      <c r="N94" s="111">
        <f>IFERROR(VLOOKUP($B94,MMWR_TRAD_AGG_STATE_PEN[],N$1,0),"ERROR")</f>
        <v>4</v>
      </c>
      <c r="O94" s="112">
        <f>IFERROR(VLOOKUP($B94,MMWR_TRAD_AGG_STATE_PEN[],O$1,0),"ERROR")</f>
        <v>0</v>
      </c>
      <c r="P94" s="114">
        <f t="shared" si="11"/>
        <v>0</v>
      </c>
      <c r="Q94" s="115">
        <f>IFERROR(VLOOKUP($B94,MMWR_TRAD_AGG_STATE_PEN[],Q$1,0),"ERROR")</f>
        <v>177</v>
      </c>
      <c r="R94" s="115">
        <f>IFERROR(VLOOKUP($B94,MMWR_TRAD_AGG_STATE_PEN[],R$1,0),"ERROR")</f>
        <v>13</v>
      </c>
      <c r="S94" s="115">
        <f>IFERROR(VLOOKUP($B94,MMWR_APP_STATE_PEN[],S$1,0),"ERROR")</f>
        <v>25</v>
      </c>
      <c r="T94" s="28"/>
    </row>
    <row r="95" spans="1:20" s="123" customFormat="1" x14ac:dyDescent="0.2">
      <c r="A95" s="28"/>
      <c r="B95" s="127" t="s">
        <v>423</v>
      </c>
      <c r="C95" s="109">
        <f>IFERROR(VLOOKUP($B95,MMWR_TRAD_AGG_STATE_PEN[],C$1,0),"ERROR")</f>
        <v>26</v>
      </c>
      <c r="D95" s="110">
        <f>IFERROR(VLOOKUP($B95,MMWR_TRAD_AGG_STATE_PEN[],D$1,0),"ERROR")</f>
        <v>33.2307692308</v>
      </c>
      <c r="E95" s="111">
        <f>IFERROR(VLOOKUP($B95,MMWR_TRAD_AGG_STATE_PEN[],E$1,0),"ERROR")</f>
        <v>34</v>
      </c>
      <c r="F95" s="112">
        <f>IFERROR(VLOOKUP($B95,MMWR_TRAD_AGG_STATE_PEN[],F$1,0),"ERROR")</f>
        <v>2</v>
      </c>
      <c r="G95" s="113">
        <f t="shared" si="8"/>
        <v>5.8823529411764705E-2</v>
      </c>
      <c r="H95" s="111">
        <f>IFERROR(VLOOKUP($B95,MMWR_TRAD_AGG_STATE_PEN[],H$1,0),"ERROR")</f>
        <v>38</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63</v>
      </c>
      <c r="R95" s="115">
        <f>IFERROR(VLOOKUP($B95,MMWR_TRAD_AGG_STATE_PEN[],R$1,0),"ERROR")</f>
        <v>6</v>
      </c>
      <c r="S95" s="115">
        <f>IFERROR(VLOOKUP($B95,MMWR_APP_STATE_PEN[],S$1,0),"ERROR")</f>
        <v>7</v>
      </c>
      <c r="T95" s="28"/>
    </row>
    <row r="96" spans="1:20" s="123" customFormat="1" x14ac:dyDescent="0.2">
      <c r="A96" s="28"/>
      <c r="B96" s="127" t="s">
        <v>395</v>
      </c>
      <c r="C96" s="109">
        <f>IFERROR(VLOOKUP($B96,MMWR_TRAD_AGG_STATE_PEN[],C$1,0),"ERROR")</f>
        <v>485</v>
      </c>
      <c r="D96" s="110">
        <f>IFERROR(VLOOKUP($B96,MMWR_TRAD_AGG_STATE_PEN[],D$1,0),"ERROR")</f>
        <v>52.383505154600002</v>
      </c>
      <c r="E96" s="111">
        <f>IFERROR(VLOOKUP($B96,MMWR_TRAD_AGG_STATE_PEN[],E$1,0),"ERROR")</f>
        <v>1207</v>
      </c>
      <c r="F96" s="112">
        <f>IFERROR(VLOOKUP($B96,MMWR_TRAD_AGG_STATE_PEN[],F$1,0),"ERROR")</f>
        <v>155</v>
      </c>
      <c r="G96" s="113">
        <f t="shared" si="8"/>
        <v>0.12841756420878211</v>
      </c>
      <c r="H96" s="111">
        <f>IFERROR(VLOOKUP($B96,MMWR_TRAD_AGG_STATE_PEN[],H$1,0),"ERROR")</f>
        <v>820</v>
      </c>
      <c r="I96" s="112">
        <f>IFERROR(VLOOKUP($B96,MMWR_TRAD_AGG_STATE_PEN[],I$1,0),"ERROR")</f>
        <v>61</v>
      </c>
      <c r="J96" s="114">
        <f t="shared" si="9"/>
        <v>7.4390243902439021E-2</v>
      </c>
      <c r="K96" s="111">
        <f>IFERROR(VLOOKUP($B96,MMWR_TRAD_AGG_STATE_PEN[],K$1,0),"ERROR")</f>
        <v>6</v>
      </c>
      <c r="L96" s="112">
        <f>IFERROR(VLOOKUP($B96,MMWR_TRAD_AGG_STATE_PEN[],L$1,0),"ERROR")</f>
        <v>5</v>
      </c>
      <c r="M96" s="114">
        <f t="shared" si="10"/>
        <v>0.83333333333333337</v>
      </c>
      <c r="N96" s="111">
        <f>IFERROR(VLOOKUP($B96,MMWR_TRAD_AGG_STATE_PEN[],N$1,0),"ERROR")</f>
        <v>65</v>
      </c>
      <c r="O96" s="112">
        <f>IFERROR(VLOOKUP($B96,MMWR_TRAD_AGG_STATE_PEN[],O$1,0),"ERROR")</f>
        <v>17</v>
      </c>
      <c r="P96" s="114">
        <f t="shared" si="11"/>
        <v>0.26153846153846155</v>
      </c>
      <c r="Q96" s="115">
        <f>IFERROR(VLOOKUP($B96,MMWR_TRAD_AGG_STATE_PEN[],Q$1,0),"ERROR")</f>
        <v>111</v>
      </c>
      <c r="R96" s="115">
        <f>IFERROR(VLOOKUP($B96,MMWR_TRAD_AGG_STATE_PEN[],R$1,0),"ERROR")</f>
        <v>121</v>
      </c>
      <c r="S96" s="115">
        <f>IFERROR(VLOOKUP($B96,MMWR_APP_STATE_PEN[],S$1,0),"ERROR")</f>
        <v>370</v>
      </c>
      <c r="T96" s="28"/>
    </row>
    <row r="97" spans="1:20" s="123" customFormat="1" x14ac:dyDescent="0.2">
      <c r="A97" s="28"/>
      <c r="B97" s="127" t="s">
        <v>424</v>
      </c>
      <c r="C97" s="109">
        <f>IFERROR(VLOOKUP($B97,MMWR_TRAD_AGG_STATE_PEN[],C$1,0),"ERROR")</f>
        <v>35</v>
      </c>
      <c r="D97" s="110">
        <f>IFERROR(VLOOKUP($B97,MMWR_TRAD_AGG_STATE_PEN[],D$1,0),"ERROR")</f>
        <v>44.285714285700003</v>
      </c>
      <c r="E97" s="111">
        <f>IFERROR(VLOOKUP($B97,MMWR_TRAD_AGG_STATE_PEN[],E$1,0),"ERROR")</f>
        <v>50</v>
      </c>
      <c r="F97" s="112">
        <f>IFERROR(VLOOKUP($B97,MMWR_TRAD_AGG_STATE_PEN[],F$1,0),"ERROR")</f>
        <v>0</v>
      </c>
      <c r="G97" s="113">
        <f t="shared" si="8"/>
        <v>0</v>
      </c>
      <c r="H97" s="111">
        <f>IFERROR(VLOOKUP($B97,MMWR_TRAD_AGG_STATE_PEN[],H$1,0),"ERROR")</f>
        <v>48</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2</v>
      </c>
      <c r="O97" s="112">
        <f>IFERROR(VLOOKUP($B97,MMWR_TRAD_AGG_STATE_PEN[],O$1,0),"ERROR")</f>
        <v>0</v>
      </c>
      <c r="P97" s="114">
        <f t="shared" si="11"/>
        <v>0</v>
      </c>
      <c r="Q97" s="115">
        <f>IFERROR(VLOOKUP($B97,MMWR_TRAD_AGG_STATE_PEN[],Q$1,0),"ERROR")</f>
        <v>86</v>
      </c>
      <c r="R97" s="115">
        <f>IFERROR(VLOOKUP($B97,MMWR_TRAD_AGG_STATE_PEN[],R$1,0),"ERROR")</f>
        <v>4</v>
      </c>
      <c r="S97" s="115">
        <f>IFERROR(VLOOKUP($B97,MMWR_APP_STATE_PEN[],S$1,0),"ERROR")</f>
        <v>10</v>
      </c>
      <c r="T97" s="28"/>
    </row>
    <row r="98" spans="1:20" s="123" customFormat="1" x14ac:dyDescent="0.2">
      <c r="A98" s="28"/>
      <c r="B98" s="127" t="s">
        <v>400</v>
      </c>
      <c r="C98" s="109">
        <f>IFERROR(VLOOKUP($B98,MMWR_TRAD_AGG_STATE_PEN[],C$1,0),"ERROR")</f>
        <v>243</v>
      </c>
      <c r="D98" s="110">
        <f>IFERROR(VLOOKUP($B98,MMWR_TRAD_AGG_STATE_PEN[],D$1,0),"ERROR")</f>
        <v>39.777777777799997</v>
      </c>
      <c r="E98" s="111">
        <f>IFERROR(VLOOKUP($B98,MMWR_TRAD_AGG_STATE_PEN[],E$1,0),"ERROR")</f>
        <v>416</v>
      </c>
      <c r="F98" s="112">
        <f>IFERROR(VLOOKUP($B98,MMWR_TRAD_AGG_STATE_PEN[],F$1,0),"ERROR")</f>
        <v>36</v>
      </c>
      <c r="G98" s="113">
        <f t="shared" si="8"/>
        <v>8.6538461538461536E-2</v>
      </c>
      <c r="H98" s="111">
        <f>IFERROR(VLOOKUP($B98,MMWR_TRAD_AGG_STATE_PEN[],H$1,0),"ERROR")</f>
        <v>357</v>
      </c>
      <c r="I98" s="112">
        <f>IFERROR(VLOOKUP($B98,MMWR_TRAD_AGG_STATE_PEN[],I$1,0),"ERROR")</f>
        <v>13</v>
      </c>
      <c r="J98" s="114">
        <f t="shared" si="9"/>
        <v>3.6414565826330535E-2</v>
      </c>
      <c r="K98" s="111">
        <f>IFERROR(VLOOKUP($B98,MMWR_TRAD_AGG_STATE_PEN[],K$1,0),"ERROR")</f>
        <v>1</v>
      </c>
      <c r="L98" s="112">
        <f>IFERROR(VLOOKUP($B98,MMWR_TRAD_AGG_STATE_PEN[],L$1,0),"ERROR")</f>
        <v>0</v>
      </c>
      <c r="M98" s="114">
        <f t="shared" si="10"/>
        <v>0</v>
      </c>
      <c r="N98" s="111">
        <f>IFERROR(VLOOKUP($B98,MMWR_TRAD_AGG_STATE_PEN[],N$1,0),"ERROR")</f>
        <v>26</v>
      </c>
      <c r="O98" s="112">
        <f>IFERROR(VLOOKUP($B98,MMWR_TRAD_AGG_STATE_PEN[],O$1,0),"ERROR")</f>
        <v>11</v>
      </c>
      <c r="P98" s="114">
        <f t="shared" si="11"/>
        <v>0.42307692307692307</v>
      </c>
      <c r="Q98" s="115">
        <f>IFERROR(VLOOKUP($B98,MMWR_TRAD_AGG_STATE_PEN[],Q$1,0),"ERROR")</f>
        <v>59</v>
      </c>
      <c r="R98" s="115">
        <f>IFERROR(VLOOKUP($B98,MMWR_TRAD_AGG_STATE_PEN[],R$1,0),"ERROR")</f>
        <v>38</v>
      </c>
      <c r="S98" s="115">
        <f>IFERROR(VLOOKUP($B98,MMWR_APP_STATE_PEN[],S$1,0),"ERROR")</f>
        <v>105</v>
      </c>
      <c r="T98" s="28"/>
    </row>
    <row r="99" spans="1:20" s="123" customFormat="1" x14ac:dyDescent="0.2">
      <c r="A99" s="28"/>
      <c r="B99" s="126" t="s">
        <v>389</v>
      </c>
      <c r="C99" s="102">
        <f>IFERROR(VLOOKUP($B99,MMWR_TRAD_AGG_ST_DISTRICT_PEN[],C$1,0),"ERROR")</f>
        <v>2019</v>
      </c>
      <c r="D99" s="103">
        <f>IFERROR(VLOOKUP($B99,MMWR_TRAD_AGG_ST_DISTRICT_PEN[],D$1,0),"ERROR")</f>
        <v>46.452699356099998</v>
      </c>
      <c r="E99" s="102">
        <f>IFERROR(VLOOKUP($B99,MMWR_TRAD_AGG_ST_DISTRICT_PEN[],E$1,0),"ERROR")</f>
        <v>3006</v>
      </c>
      <c r="F99" s="102">
        <f>IFERROR(VLOOKUP($B99,MMWR_TRAD_AGG_ST_DISTRICT_PEN[],F$1,0),"ERROR")</f>
        <v>163</v>
      </c>
      <c r="G99" s="104">
        <f t="shared" si="8"/>
        <v>5.4224883566200935E-2</v>
      </c>
      <c r="H99" s="102">
        <f>IFERROR(VLOOKUP($B99,MMWR_TRAD_AGG_ST_DISTRICT_PEN[],H$1,0),"ERROR")</f>
        <v>2818</v>
      </c>
      <c r="I99" s="102">
        <f>IFERROR(VLOOKUP($B99,MMWR_TRAD_AGG_ST_DISTRICT_PEN[],I$1,0),"ERROR")</f>
        <v>157</v>
      </c>
      <c r="J99" s="104">
        <f t="shared" si="9"/>
        <v>5.5713271823988643E-2</v>
      </c>
      <c r="K99" s="102">
        <f>IFERROR(VLOOKUP($B99,MMWR_TRAD_AGG_ST_DISTRICT_PEN[],K$1,0),"ERROR")</f>
        <v>22</v>
      </c>
      <c r="L99" s="102">
        <f>IFERROR(VLOOKUP($B99,MMWR_TRAD_AGG_ST_DISTRICT_PEN[],L$1,0),"ERROR")</f>
        <v>18</v>
      </c>
      <c r="M99" s="104">
        <f t="shared" si="10"/>
        <v>0.81818181818181823</v>
      </c>
      <c r="N99" s="102">
        <f>IFERROR(VLOOKUP($B99,MMWR_TRAD_AGG_ST_DISTRICT_PEN[],N$1,0),"ERROR")</f>
        <v>161</v>
      </c>
      <c r="O99" s="102">
        <f>IFERROR(VLOOKUP($B99,MMWR_TRAD_AGG_ST_DISTRICT_PEN[],O$1,0),"ERROR")</f>
        <v>64</v>
      </c>
      <c r="P99" s="104">
        <f t="shared" si="11"/>
        <v>0.39751552795031053</v>
      </c>
      <c r="Q99" s="102">
        <f>IFERROR(VLOOKUP($B99,MMWR_TRAD_AGG_ST_DISTRICT_PEN[],Q$1,0),"ERROR")</f>
        <v>2472</v>
      </c>
      <c r="R99" s="106">
        <f>IFERROR(VLOOKUP($B99,MMWR_TRAD_AGG_ST_DISTRICT_PEN[],R$1,0),"ERROR")</f>
        <v>449</v>
      </c>
      <c r="S99" s="106">
        <f>IFERROR(VLOOKUP($B99,MMWR_APP_STATE_PEN[],S$1,0),"ERROR")</f>
        <v>1400</v>
      </c>
      <c r="T99" s="28"/>
    </row>
    <row r="100" spans="1:20" s="123" customFormat="1" x14ac:dyDescent="0.2">
      <c r="A100" s="28"/>
      <c r="B100" s="127" t="s">
        <v>415</v>
      </c>
      <c r="C100" s="109">
        <f>IFERROR(VLOOKUP($B100,MMWR_TRAD_AGG_STATE_PEN[],C$1,0),"ERROR")</f>
        <v>188</v>
      </c>
      <c r="D100" s="110">
        <f>IFERROR(VLOOKUP($B100,MMWR_TRAD_AGG_STATE_PEN[],D$1,0),"ERROR")</f>
        <v>46.3031914894</v>
      </c>
      <c r="E100" s="111">
        <f>IFERROR(VLOOKUP($B100,MMWR_TRAD_AGG_STATE_PEN[],E$1,0),"ERROR")</f>
        <v>238</v>
      </c>
      <c r="F100" s="112">
        <f>IFERROR(VLOOKUP($B100,MMWR_TRAD_AGG_STATE_PEN[],F$1,0),"ERROR")</f>
        <v>24</v>
      </c>
      <c r="G100" s="113">
        <f t="shared" si="8"/>
        <v>0.10084033613445378</v>
      </c>
      <c r="H100" s="111">
        <f>IFERROR(VLOOKUP($B100,MMWR_TRAD_AGG_STATE_PEN[],H$1,0),"ERROR")</f>
        <v>278</v>
      </c>
      <c r="I100" s="112">
        <f>IFERROR(VLOOKUP($B100,MMWR_TRAD_AGG_STATE_PEN[],I$1,0),"ERROR")</f>
        <v>20</v>
      </c>
      <c r="J100" s="114">
        <f t="shared" si="9"/>
        <v>7.1942446043165464E-2</v>
      </c>
      <c r="K100" s="111">
        <f>IFERROR(VLOOKUP($B100,MMWR_TRAD_AGG_STATE_PEN[],K$1,0),"ERROR")</f>
        <v>4</v>
      </c>
      <c r="L100" s="112">
        <f>IFERROR(VLOOKUP($B100,MMWR_TRAD_AGG_STATE_PEN[],L$1,0),"ERROR")</f>
        <v>3</v>
      </c>
      <c r="M100" s="114">
        <f t="shared" si="10"/>
        <v>0.75</v>
      </c>
      <c r="N100" s="111">
        <f>IFERROR(VLOOKUP($B100,MMWR_TRAD_AGG_STATE_PEN[],N$1,0),"ERROR")</f>
        <v>18</v>
      </c>
      <c r="O100" s="112">
        <f>IFERROR(VLOOKUP($B100,MMWR_TRAD_AGG_STATE_PEN[],O$1,0),"ERROR")</f>
        <v>3</v>
      </c>
      <c r="P100" s="114">
        <f t="shared" si="11"/>
        <v>0.16666666666666666</v>
      </c>
      <c r="Q100" s="115">
        <f>IFERROR(VLOOKUP($B100,MMWR_TRAD_AGG_STATE_PEN[],Q$1,0),"ERROR")</f>
        <v>80</v>
      </c>
      <c r="R100" s="115">
        <f>IFERROR(VLOOKUP($B100,MMWR_TRAD_AGG_STATE_PEN[],R$1,0),"ERROR")</f>
        <v>25</v>
      </c>
      <c r="S100" s="115">
        <f>IFERROR(VLOOKUP($B100,MMWR_APP_STATE_PEN[],S$1,0),"ERROR")</f>
        <v>177</v>
      </c>
      <c r="T100" s="28"/>
    </row>
    <row r="101" spans="1:20" s="123" customFormat="1" x14ac:dyDescent="0.2">
      <c r="A101" s="28"/>
      <c r="B101" s="127" t="s">
        <v>407</v>
      </c>
      <c r="C101" s="109">
        <f>IFERROR(VLOOKUP($B101,MMWR_TRAD_AGG_STATE_PEN[],C$1,0),"ERROR")</f>
        <v>138</v>
      </c>
      <c r="D101" s="110">
        <f>IFERROR(VLOOKUP($B101,MMWR_TRAD_AGG_STATE_PEN[],D$1,0),"ERROR")</f>
        <v>47.869565217400002</v>
      </c>
      <c r="E101" s="111">
        <f>IFERROR(VLOOKUP($B101,MMWR_TRAD_AGG_STATE_PEN[],E$1,0),"ERROR")</f>
        <v>222</v>
      </c>
      <c r="F101" s="112">
        <f>IFERROR(VLOOKUP($B101,MMWR_TRAD_AGG_STATE_PEN[],F$1,0),"ERROR")</f>
        <v>8</v>
      </c>
      <c r="G101" s="113">
        <f t="shared" ref="G101:G127" si="12">IFERROR(F101/E101,"0%")</f>
        <v>3.6036036036036036E-2</v>
      </c>
      <c r="H101" s="111">
        <f>IFERROR(VLOOKUP($B101,MMWR_TRAD_AGG_STATE_PEN[],H$1,0),"ERROR")</f>
        <v>194</v>
      </c>
      <c r="I101" s="112">
        <f>IFERROR(VLOOKUP($B101,MMWR_TRAD_AGG_STATE_PEN[],I$1,0),"ERROR")</f>
        <v>9</v>
      </c>
      <c r="J101" s="114">
        <f t="shared" ref="J101:J127" si="13">IFERROR(I101/H101,"0%")</f>
        <v>4.6391752577319589E-2</v>
      </c>
      <c r="K101" s="111">
        <f>IFERROR(VLOOKUP($B101,MMWR_TRAD_AGG_STATE_PEN[],K$1,0),"ERROR")</f>
        <v>1</v>
      </c>
      <c r="L101" s="112">
        <f>IFERROR(VLOOKUP($B101,MMWR_TRAD_AGG_STATE_PEN[],L$1,0),"ERROR")</f>
        <v>1</v>
      </c>
      <c r="M101" s="114">
        <f t="shared" ref="M101:M127" si="14">IFERROR(L101/K101,"0%")</f>
        <v>1</v>
      </c>
      <c r="N101" s="111">
        <f>IFERROR(VLOOKUP($B101,MMWR_TRAD_AGG_STATE_PEN[],N$1,0),"ERROR")</f>
        <v>14</v>
      </c>
      <c r="O101" s="112">
        <f>IFERROR(VLOOKUP($B101,MMWR_TRAD_AGG_STATE_PEN[],O$1,0),"ERROR")</f>
        <v>7</v>
      </c>
      <c r="P101" s="114">
        <f t="shared" ref="P101:P127" si="15">IFERROR(O101/N101,"0%")</f>
        <v>0.5</v>
      </c>
      <c r="Q101" s="115">
        <f>IFERROR(VLOOKUP($B101,MMWR_TRAD_AGG_STATE_PEN[],Q$1,0),"ERROR")</f>
        <v>305</v>
      </c>
      <c r="R101" s="115">
        <f>IFERROR(VLOOKUP($B101,MMWR_TRAD_AGG_STATE_PEN[],R$1,0),"ERROR")</f>
        <v>36</v>
      </c>
      <c r="S101" s="115">
        <f>IFERROR(VLOOKUP($B101,MMWR_APP_STATE_PEN[],S$1,0),"ERROR")</f>
        <v>92</v>
      </c>
      <c r="T101" s="28"/>
    </row>
    <row r="102" spans="1:20" s="123" customFormat="1" x14ac:dyDescent="0.2">
      <c r="A102" s="28"/>
      <c r="B102" s="127" t="s">
        <v>391</v>
      </c>
      <c r="C102" s="109">
        <f>IFERROR(VLOOKUP($B102,MMWR_TRAD_AGG_STATE_PEN[],C$1,0),"ERROR")</f>
        <v>403</v>
      </c>
      <c r="D102" s="110">
        <f>IFERROR(VLOOKUP($B102,MMWR_TRAD_AGG_STATE_PEN[],D$1,0),"ERROR")</f>
        <v>46.233250620299998</v>
      </c>
      <c r="E102" s="111">
        <f>IFERROR(VLOOKUP($B102,MMWR_TRAD_AGG_STATE_PEN[],E$1,0),"ERROR")</f>
        <v>467</v>
      </c>
      <c r="F102" s="112">
        <f>IFERROR(VLOOKUP($B102,MMWR_TRAD_AGG_STATE_PEN[],F$1,0),"ERROR")</f>
        <v>43</v>
      </c>
      <c r="G102" s="113">
        <f t="shared" si="12"/>
        <v>9.2077087794432549E-2</v>
      </c>
      <c r="H102" s="111">
        <f>IFERROR(VLOOKUP($B102,MMWR_TRAD_AGG_STATE_PEN[],H$1,0),"ERROR")</f>
        <v>516</v>
      </c>
      <c r="I102" s="112">
        <f>IFERROR(VLOOKUP($B102,MMWR_TRAD_AGG_STATE_PEN[],I$1,0),"ERROR")</f>
        <v>32</v>
      </c>
      <c r="J102" s="114">
        <f t="shared" si="13"/>
        <v>6.2015503875968991E-2</v>
      </c>
      <c r="K102" s="111">
        <f>IFERROR(VLOOKUP($B102,MMWR_TRAD_AGG_STATE_PEN[],K$1,0),"ERROR")</f>
        <v>2</v>
      </c>
      <c r="L102" s="112">
        <f>IFERROR(VLOOKUP($B102,MMWR_TRAD_AGG_STATE_PEN[],L$1,0),"ERROR")</f>
        <v>1</v>
      </c>
      <c r="M102" s="114">
        <f t="shared" si="14"/>
        <v>0.5</v>
      </c>
      <c r="N102" s="111">
        <f>IFERROR(VLOOKUP($B102,MMWR_TRAD_AGG_STATE_PEN[],N$1,0),"ERROR")</f>
        <v>27</v>
      </c>
      <c r="O102" s="112">
        <f>IFERROR(VLOOKUP($B102,MMWR_TRAD_AGG_STATE_PEN[],O$1,0),"ERROR")</f>
        <v>6</v>
      </c>
      <c r="P102" s="114">
        <f t="shared" si="15"/>
        <v>0.22222222222222221</v>
      </c>
      <c r="Q102" s="115">
        <f>IFERROR(VLOOKUP($B102,MMWR_TRAD_AGG_STATE_PEN[],Q$1,0),"ERROR")</f>
        <v>58</v>
      </c>
      <c r="R102" s="115">
        <f>IFERROR(VLOOKUP($B102,MMWR_TRAD_AGG_STATE_PEN[],R$1,0),"ERROR")</f>
        <v>66</v>
      </c>
      <c r="S102" s="115">
        <f>IFERROR(VLOOKUP($B102,MMWR_APP_STATE_PEN[],S$1,0),"ERROR")</f>
        <v>200</v>
      </c>
      <c r="T102" s="28"/>
    </row>
    <row r="103" spans="1:20" s="123" customFormat="1" x14ac:dyDescent="0.2">
      <c r="A103" s="28"/>
      <c r="B103" s="127" t="s">
        <v>393</v>
      </c>
      <c r="C103" s="109">
        <f>IFERROR(VLOOKUP($B103,MMWR_TRAD_AGG_STATE_PEN[],C$1,0),"ERROR")</f>
        <v>219</v>
      </c>
      <c r="D103" s="110">
        <f>IFERROR(VLOOKUP($B103,MMWR_TRAD_AGG_STATE_PEN[],D$1,0),"ERROR")</f>
        <v>45.063926940599998</v>
      </c>
      <c r="E103" s="111">
        <f>IFERROR(VLOOKUP($B103,MMWR_TRAD_AGG_STATE_PEN[],E$1,0),"ERROR")</f>
        <v>294</v>
      </c>
      <c r="F103" s="112">
        <f>IFERROR(VLOOKUP($B103,MMWR_TRAD_AGG_STATE_PEN[],F$1,0),"ERROR")</f>
        <v>26</v>
      </c>
      <c r="G103" s="113">
        <f t="shared" si="12"/>
        <v>8.8435374149659865E-2</v>
      </c>
      <c r="H103" s="111">
        <f>IFERROR(VLOOKUP($B103,MMWR_TRAD_AGG_STATE_PEN[],H$1,0),"ERROR")</f>
        <v>279</v>
      </c>
      <c r="I103" s="112">
        <f>IFERROR(VLOOKUP($B103,MMWR_TRAD_AGG_STATE_PEN[],I$1,0),"ERROR")</f>
        <v>26</v>
      </c>
      <c r="J103" s="114">
        <f t="shared" si="13"/>
        <v>9.3189964157706098E-2</v>
      </c>
      <c r="K103" s="111">
        <f>IFERROR(VLOOKUP($B103,MMWR_TRAD_AGG_STATE_PEN[],K$1,0),"ERROR")</f>
        <v>3</v>
      </c>
      <c r="L103" s="112">
        <f>IFERROR(VLOOKUP($B103,MMWR_TRAD_AGG_STATE_PEN[],L$1,0),"ERROR")</f>
        <v>3</v>
      </c>
      <c r="M103" s="114">
        <f t="shared" si="14"/>
        <v>1</v>
      </c>
      <c r="N103" s="111">
        <f>IFERROR(VLOOKUP($B103,MMWR_TRAD_AGG_STATE_PEN[],N$1,0),"ERROR")</f>
        <v>20</v>
      </c>
      <c r="O103" s="112">
        <f>IFERROR(VLOOKUP($B103,MMWR_TRAD_AGG_STATE_PEN[],O$1,0),"ERROR")</f>
        <v>4</v>
      </c>
      <c r="P103" s="114">
        <f t="shared" si="15"/>
        <v>0.2</v>
      </c>
      <c r="Q103" s="115">
        <f>IFERROR(VLOOKUP($B103,MMWR_TRAD_AGG_STATE_PEN[],Q$1,0),"ERROR")</f>
        <v>73</v>
      </c>
      <c r="R103" s="115">
        <f>IFERROR(VLOOKUP($B103,MMWR_TRAD_AGG_STATE_PEN[],R$1,0),"ERROR")</f>
        <v>22</v>
      </c>
      <c r="S103" s="115">
        <f>IFERROR(VLOOKUP($B103,MMWR_APP_STATE_PEN[],S$1,0),"ERROR")</f>
        <v>169</v>
      </c>
      <c r="T103" s="28"/>
    </row>
    <row r="104" spans="1:20" s="123" customFormat="1" x14ac:dyDescent="0.2">
      <c r="A104" s="28"/>
      <c r="B104" s="127" t="s">
        <v>422</v>
      </c>
      <c r="C104" s="109">
        <f>IFERROR(VLOOKUP($B104,MMWR_TRAD_AGG_STATE_PEN[],C$1,0),"ERROR")</f>
        <v>28</v>
      </c>
      <c r="D104" s="110">
        <f>IFERROR(VLOOKUP($B104,MMWR_TRAD_AGG_STATE_PEN[],D$1,0),"ERROR")</f>
        <v>53.464285714299997</v>
      </c>
      <c r="E104" s="111">
        <f>IFERROR(VLOOKUP($B104,MMWR_TRAD_AGG_STATE_PEN[],E$1,0),"ERROR")</f>
        <v>72</v>
      </c>
      <c r="F104" s="112">
        <f>IFERROR(VLOOKUP($B104,MMWR_TRAD_AGG_STATE_PEN[],F$1,0),"ERROR")</f>
        <v>2</v>
      </c>
      <c r="G104" s="113">
        <f t="shared" si="12"/>
        <v>2.7777777777777776E-2</v>
      </c>
      <c r="H104" s="111">
        <f>IFERROR(VLOOKUP($B104,MMWR_TRAD_AGG_STATE_PEN[],H$1,0),"ERROR")</f>
        <v>51</v>
      </c>
      <c r="I104" s="112">
        <f>IFERROR(VLOOKUP($B104,MMWR_TRAD_AGG_STATE_PEN[],I$1,0),"ERROR")</f>
        <v>3</v>
      </c>
      <c r="J104" s="114">
        <f t="shared" si="13"/>
        <v>5.8823529411764705E-2</v>
      </c>
      <c r="K104" s="111">
        <f>IFERROR(VLOOKUP($B104,MMWR_TRAD_AGG_STATE_PEN[],K$1,0),"ERROR")</f>
        <v>0</v>
      </c>
      <c r="L104" s="112">
        <f>IFERROR(VLOOKUP($B104,MMWR_TRAD_AGG_STATE_PEN[],L$1,0),"ERROR")</f>
        <v>0</v>
      </c>
      <c r="M104" s="114" t="str">
        <f t="shared" si="14"/>
        <v>0%</v>
      </c>
      <c r="N104" s="111">
        <f>IFERROR(VLOOKUP($B104,MMWR_TRAD_AGG_STATE_PEN[],N$1,0),"ERROR")</f>
        <v>0</v>
      </c>
      <c r="O104" s="112">
        <f>IFERROR(VLOOKUP($B104,MMWR_TRAD_AGG_STATE_PEN[],O$1,0),"ERROR")</f>
        <v>0</v>
      </c>
      <c r="P104" s="114" t="str">
        <f t="shared" si="15"/>
        <v>0%</v>
      </c>
      <c r="Q104" s="115">
        <f>IFERROR(VLOOKUP($B104,MMWR_TRAD_AGG_STATE_PEN[],Q$1,0),"ERROR")</f>
        <v>94</v>
      </c>
      <c r="R104" s="115">
        <f>IFERROR(VLOOKUP($B104,MMWR_TRAD_AGG_STATE_PEN[],R$1,0),"ERROR")</f>
        <v>3</v>
      </c>
      <c r="S104" s="115">
        <f>IFERROR(VLOOKUP($B104,MMWR_APP_STATE_PEN[],S$1,0),"ERROR")</f>
        <v>7</v>
      </c>
      <c r="T104" s="28"/>
    </row>
    <row r="105" spans="1:20" s="123" customFormat="1" x14ac:dyDescent="0.2">
      <c r="A105" s="28"/>
      <c r="B105" s="127" t="s">
        <v>416</v>
      </c>
      <c r="C105" s="109">
        <f>IFERROR(VLOOKUP($B105,MMWR_TRAD_AGG_STATE_PEN[],C$1,0),"ERROR")</f>
        <v>171</v>
      </c>
      <c r="D105" s="110">
        <f>IFERROR(VLOOKUP($B105,MMWR_TRAD_AGG_STATE_PEN[],D$1,0),"ERROR")</f>
        <v>43.485380116999998</v>
      </c>
      <c r="E105" s="111">
        <f>IFERROR(VLOOKUP($B105,MMWR_TRAD_AGG_STATE_PEN[],E$1,0),"ERROR")</f>
        <v>268</v>
      </c>
      <c r="F105" s="112">
        <f>IFERROR(VLOOKUP($B105,MMWR_TRAD_AGG_STATE_PEN[],F$1,0),"ERROR")</f>
        <v>7</v>
      </c>
      <c r="G105" s="113">
        <f t="shared" si="12"/>
        <v>2.6119402985074626E-2</v>
      </c>
      <c r="H105" s="111">
        <f>IFERROR(VLOOKUP($B105,MMWR_TRAD_AGG_STATE_PEN[],H$1,0),"ERROR")</f>
        <v>215</v>
      </c>
      <c r="I105" s="112">
        <f>IFERROR(VLOOKUP($B105,MMWR_TRAD_AGG_STATE_PEN[],I$1,0),"ERROR")</f>
        <v>6</v>
      </c>
      <c r="J105" s="114">
        <f t="shared" si="13"/>
        <v>2.7906976744186046E-2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4</v>
      </c>
      <c r="P105" s="114">
        <f t="shared" si="15"/>
        <v>0.33333333333333331</v>
      </c>
      <c r="Q105" s="115">
        <f>IFERROR(VLOOKUP($B105,MMWR_TRAD_AGG_STATE_PEN[],Q$1,0),"ERROR")</f>
        <v>500</v>
      </c>
      <c r="R105" s="115">
        <f>IFERROR(VLOOKUP($B105,MMWR_TRAD_AGG_STATE_PEN[],R$1,0),"ERROR")</f>
        <v>41</v>
      </c>
      <c r="S105" s="115">
        <f>IFERROR(VLOOKUP($B105,MMWR_APP_STATE_PEN[],S$1,0),"ERROR")</f>
        <v>105</v>
      </c>
      <c r="T105" s="28"/>
    </row>
    <row r="106" spans="1:20" s="123" customFormat="1" x14ac:dyDescent="0.2">
      <c r="A106" s="28"/>
      <c r="B106" s="127" t="s">
        <v>414</v>
      </c>
      <c r="C106" s="109">
        <f>IFERROR(VLOOKUP($B106,MMWR_TRAD_AGG_STATE_PEN[],C$1,0),"ERROR")</f>
        <v>782</v>
      </c>
      <c r="D106" s="110">
        <f>IFERROR(VLOOKUP($B106,MMWR_TRAD_AGG_STATE_PEN[],D$1,0),"ERROR")</f>
        <v>46.432225063899999</v>
      </c>
      <c r="E106" s="111">
        <f>IFERROR(VLOOKUP($B106,MMWR_TRAD_AGG_STATE_PEN[],E$1,0),"ERROR")</f>
        <v>1293</v>
      </c>
      <c r="F106" s="112">
        <f>IFERROR(VLOOKUP($B106,MMWR_TRAD_AGG_STATE_PEN[],F$1,0),"ERROR")</f>
        <v>45</v>
      </c>
      <c r="G106" s="113">
        <f t="shared" si="12"/>
        <v>3.4802784222737818E-2</v>
      </c>
      <c r="H106" s="111">
        <f>IFERROR(VLOOKUP($B106,MMWR_TRAD_AGG_STATE_PEN[],H$1,0),"ERROR")</f>
        <v>1167</v>
      </c>
      <c r="I106" s="112">
        <f>IFERROR(VLOOKUP($B106,MMWR_TRAD_AGG_STATE_PEN[],I$1,0),"ERROR")</f>
        <v>53</v>
      </c>
      <c r="J106" s="114">
        <f t="shared" si="13"/>
        <v>4.5415595544130251E-2</v>
      </c>
      <c r="K106" s="111">
        <f>IFERROR(VLOOKUP($B106,MMWR_TRAD_AGG_STATE_PEN[],K$1,0),"ERROR")</f>
        <v>10</v>
      </c>
      <c r="L106" s="112">
        <f>IFERROR(VLOOKUP($B106,MMWR_TRAD_AGG_STATE_PEN[],L$1,0),"ERROR")</f>
        <v>8</v>
      </c>
      <c r="M106" s="114">
        <f t="shared" si="14"/>
        <v>0.8</v>
      </c>
      <c r="N106" s="111">
        <f>IFERROR(VLOOKUP($B106,MMWR_TRAD_AGG_STATE_PEN[],N$1,0),"ERROR")</f>
        <v>64</v>
      </c>
      <c r="O106" s="112">
        <f>IFERROR(VLOOKUP($B106,MMWR_TRAD_AGG_STATE_PEN[],O$1,0),"ERROR")</f>
        <v>38</v>
      </c>
      <c r="P106" s="114">
        <f t="shared" si="15"/>
        <v>0.59375</v>
      </c>
      <c r="Q106" s="115">
        <f>IFERROR(VLOOKUP($B106,MMWR_TRAD_AGG_STATE_PEN[],Q$1,0),"ERROR")</f>
        <v>1195</v>
      </c>
      <c r="R106" s="115">
        <f>IFERROR(VLOOKUP($B106,MMWR_TRAD_AGG_STATE_PEN[],R$1,0),"ERROR")</f>
        <v>243</v>
      </c>
      <c r="S106" s="115">
        <f>IFERROR(VLOOKUP($B106,MMWR_APP_STATE_PEN[],S$1,0),"ERROR")</f>
        <v>623</v>
      </c>
      <c r="T106" s="28"/>
    </row>
    <row r="107" spans="1:20" s="123" customFormat="1" x14ac:dyDescent="0.2">
      <c r="A107" s="28"/>
      <c r="B107" s="127" t="s">
        <v>410</v>
      </c>
      <c r="C107" s="109">
        <f>IFERROR(VLOOKUP($B107,MMWR_TRAD_AGG_STATE_PEN[],C$1,0),"ERROR")</f>
        <v>74</v>
      </c>
      <c r="D107" s="110">
        <f>IFERROR(VLOOKUP($B107,MMWR_TRAD_AGG_STATE_PEN[],D$1,0),"ERROR")</f>
        <v>51.581081081100002</v>
      </c>
      <c r="E107" s="111">
        <f>IFERROR(VLOOKUP($B107,MMWR_TRAD_AGG_STATE_PEN[],E$1,0),"ERROR")</f>
        <v>136</v>
      </c>
      <c r="F107" s="112">
        <f>IFERROR(VLOOKUP($B107,MMWR_TRAD_AGG_STATE_PEN[],F$1,0),"ERROR")</f>
        <v>6</v>
      </c>
      <c r="G107" s="113">
        <f t="shared" si="12"/>
        <v>4.4117647058823532E-2</v>
      </c>
      <c r="H107" s="111">
        <f>IFERROR(VLOOKUP($B107,MMWR_TRAD_AGG_STATE_PEN[],H$1,0),"ERROR")</f>
        <v>93</v>
      </c>
      <c r="I107" s="112">
        <f>IFERROR(VLOOKUP($B107,MMWR_TRAD_AGG_STATE_PEN[],I$1,0),"ERROR")</f>
        <v>5</v>
      </c>
      <c r="J107" s="114">
        <f t="shared" si="13"/>
        <v>5.3763440860215055E-2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1</v>
      </c>
      <c r="P107" s="114">
        <f t="shared" si="15"/>
        <v>0.25</v>
      </c>
      <c r="Q107" s="115">
        <f>IFERROR(VLOOKUP($B107,MMWR_TRAD_AGG_STATE_PEN[],Q$1,0),"ERROR")</f>
        <v>117</v>
      </c>
      <c r="R107" s="115">
        <f>IFERROR(VLOOKUP($B107,MMWR_TRAD_AGG_STATE_PEN[],R$1,0),"ERROR")</f>
        <v>11</v>
      </c>
      <c r="S107" s="115">
        <f>IFERROR(VLOOKUP($B107,MMWR_APP_STATE_PEN[],S$1,0),"ERROR")</f>
        <v>20</v>
      </c>
      <c r="T107" s="28"/>
    </row>
    <row r="108" spans="1:20" s="123" customFormat="1" x14ac:dyDescent="0.2">
      <c r="A108" s="28"/>
      <c r="B108" s="127" t="s">
        <v>425</v>
      </c>
      <c r="C108" s="109">
        <f>IFERROR(VLOOKUP($B108,MMWR_TRAD_AGG_STATE_PEN[],C$1,0),"ERROR")</f>
        <v>16</v>
      </c>
      <c r="D108" s="110">
        <f>IFERROR(VLOOKUP($B108,MMWR_TRAD_AGG_STATE_PEN[],D$1,0),"ERROR")</f>
        <v>57.25</v>
      </c>
      <c r="E108" s="111">
        <f>IFERROR(VLOOKUP($B108,MMWR_TRAD_AGG_STATE_PEN[],E$1,0),"ERROR")</f>
        <v>16</v>
      </c>
      <c r="F108" s="112">
        <f>IFERROR(VLOOKUP($B108,MMWR_TRAD_AGG_STATE_PEN[],F$1,0),"ERROR")</f>
        <v>2</v>
      </c>
      <c r="G108" s="113">
        <f t="shared" si="12"/>
        <v>0.125</v>
      </c>
      <c r="H108" s="111">
        <f>IFERROR(VLOOKUP($B108,MMWR_TRAD_AGG_STATE_PEN[],H$1,0),"ERROR")</f>
        <v>25</v>
      </c>
      <c r="I108" s="112">
        <f>IFERROR(VLOOKUP($B108,MMWR_TRAD_AGG_STATE_PEN[],I$1,0),"ERROR")</f>
        <v>3</v>
      </c>
      <c r="J108" s="114">
        <f t="shared" si="13"/>
        <v>0.12</v>
      </c>
      <c r="K108" s="111">
        <f>IFERROR(VLOOKUP($B108,MMWR_TRAD_AGG_STATE_PEN[],K$1,0),"ERROR")</f>
        <v>0</v>
      </c>
      <c r="L108" s="112">
        <f>IFERROR(VLOOKUP($B108,MMWR_TRAD_AGG_STATE_PEN[],L$1,0),"ERROR")</f>
        <v>0</v>
      </c>
      <c r="M108" s="114" t="str">
        <f t="shared" si="14"/>
        <v>0%</v>
      </c>
      <c r="N108" s="111">
        <f>IFERROR(VLOOKUP($B108,MMWR_TRAD_AGG_STATE_PEN[],N$1,0),"ERROR")</f>
        <v>2</v>
      </c>
      <c r="O108" s="112">
        <f>IFERROR(VLOOKUP($B108,MMWR_TRAD_AGG_STATE_PEN[],O$1,0),"ERROR")</f>
        <v>1</v>
      </c>
      <c r="P108" s="114">
        <f t="shared" si="15"/>
        <v>0.5</v>
      </c>
      <c r="Q108" s="115">
        <f>IFERROR(VLOOKUP($B108,MMWR_TRAD_AGG_STATE_PEN[],Q$1,0),"ERROR")</f>
        <v>50</v>
      </c>
      <c r="R108" s="115">
        <f>IFERROR(VLOOKUP($B108,MMWR_TRAD_AGG_STATE_PEN[],R$1,0),"ERROR")</f>
        <v>2</v>
      </c>
      <c r="S108" s="115">
        <f>IFERROR(VLOOKUP($B108,MMWR_APP_STATE_PEN[],S$1,0),"ERROR")</f>
        <v>7</v>
      </c>
      <c r="T108" s="28"/>
    </row>
    <row r="109" spans="1:20" s="123" customFormat="1" x14ac:dyDescent="0.2">
      <c r="A109" s="28"/>
      <c r="B109" s="126" t="s">
        <v>408</v>
      </c>
      <c r="C109" s="102">
        <f>IFERROR(VLOOKUP($B109,MMWR_TRAD_AGG_ST_DISTRICT_PEN[],C$1,0),"ERROR")</f>
        <v>1561</v>
      </c>
      <c r="D109" s="103">
        <f>IFERROR(VLOOKUP($B109,MMWR_TRAD_AGG_ST_DISTRICT_PEN[],D$1,0),"ERROR")</f>
        <v>44.914157591299997</v>
      </c>
      <c r="E109" s="102">
        <f>IFERROR(VLOOKUP($B109,MMWR_TRAD_AGG_ST_DISTRICT_PEN[],E$1,0),"ERROR")</f>
        <v>3126</v>
      </c>
      <c r="F109" s="102">
        <f>IFERROR(VLOOKUP($B109,MMWR_TRAD_AGG_ST_DISTRICT_PEN[],F$1,0),"ERROR")</f>
        <v>158</v>
      </c>
      <c r="G109" s="104">
        <f t="shared" si="12"/>
        <v>5.0543825975687781E-2</v>
      </c>
      <c r="H109" s="102">
        <f>IFERROR(VLOOKUP($B109,MMWR_TRAD_AGG_ST_DISTRICT_PEN[],H$1,0),"ERROR")</f>
        <v>2208</v>
      </c>
      <c r="I109" s="102">
        <f>IFERROR(VLOOKUP($B109,MMWR_TRAD_AGG_ST_DISTRICT_PEN[],I$1,0),"ERROR")</f>
        <v>96</v>
      </c>
      <c r="J109" s="104">
        <f t="shared" si="13"/>
        <v>4.3478260869565216E-2</v>
      </c>
      <c r="K109" s="102">
        <f>IFERROR(VLOOKUP($B109,MMWR_TRAD_AGG_ST_DISTRICT_PEN[],K$1,0),"ERROR")</f>
        <v>18</v>
      </c>
      <c r="L109" s="102">
        <f>IFERROR(VLOOKUP($B109,MMWR_TRAD_AGG_ST_DISTRICT_PEN[],L$1,0),"ERROR")</f>
        <v>11</v>
      </c>
      <c r="M109" s="104">
        <f t="shared" si="14"/>
        <v>0.61111111111111116</v>
      </c>
      <c r="N109" s="102">
        <f>IFERROR(VLOOKUP($B109,MMWR_TRAD_AGG_ST_DISTRICT_PEN[],N$1,0),"ERROR")</f>
        <v>164</v>
      </c>
      <c r="O109" s="102">
        <f>IFERROR(VLOOKUP($B109,MMWR_TRAD_AGG_ST_DISTRICT_PEN[],O$1,0),"ERROR")</f>
        <v>73</v>
      </c>
      <c r="P109" s="104">
        <f t="shared" si="15"/>
        <v>0.4451219512195122</v>
      </c>
      <c r="Q109" s="102">
        <f>IFERROR(VLOOKUP($B109,MMWR_TRAD_AGG_ST_DISTRICT_PEN[],Q$1,0),"ERROR")</f>
        <v>2684</v>
      </c>
      <c r="R109" s="106">
        <f>IFERROR(VLOOKUP($B109,MMWR_TRAD_AGG_ST_DISTRICT_PEN[],R$1,0),"ERROR")</f>
        <v>470</v>
      </c>
      <c r="S109" s="106">
        <f>IFERROR(VLOOKUP($B109,MMWR_APP_STATE_PEN[],S$1,0),"ERROR")</f>
        <v>784</v>
      </c>
      <c r="T109" s="28"/>
    </row>
    <row r="110" spans="1:20" s="123" customFormat="1" x14ac:dyDescent="0.2">
      <c r="A110" s="28"/>
      <c r="B110" s="127" t="s">
        <v>428</v>
      </c>
      <c r="C110" s="109">
        <f>IFERROR(VLOOKUP($B110,MMWR_TRAD_AGG_STATE_PEN[],C$1,0),"ERROR")</f>
        <v>15</v>
      </c>
      <c r="D110" s="110">
        <f>IFERROR(VLOOKUP($B110,MMWR_TRAD_AGG_STATE_PEN[],D$1,0),"ERROR")</f>
        <v>43.4</v>
      </c>
      <c r="E110" s="111">
        <f>IFERROR(VLOOKUP($B110,MMWR_TRAD_AGG_STATE_PEN[],E$1,0),"ERROR")</f>
        <v>17</v>
      </c>
      <c r="F110" s="112">
        <f>IFERROR(VLOOKUP($B110,MMWR_TRAD_AGG_STATE_PEN[],F$1,0),"ERROR")</f>
        <v>0</v>
      </c>
      <c r="G110" s="113">
        <f t="shared" si="12"/>
        <v>0</v>
      </c>
      <c r="H110" s="111">
        <f>IFERROR(VLOOKUP($B110,MMWR_TRAD_AGG_STATE_PEN[],H$1,0),"ERROR")</f>
        <v>25</v>
      </c>
      <c r="I110" s="112">
        <f>IFERROR(VLOOKUP($B110,MMWR_TRAD_AGG_STATE_PEN[],I$1,0),"ERROR")</f>
        <v>1</v>
      </c>
      <c r="J110" s="114">
        <f t="shared" si="13"/>
        <v>0.04</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32</v>
      </c>
      <c r="R110" s="115">
        <f>IFERROR(VLOOKUP($B110,MMWR_TRAD_AGG_STATE_PEN[],R$1,0),"ERROR")</f>
        <v>5</v>
      </c>
      <c r="S110" s="115">
        <f>IFERROR(VLOOKUP($B110,MMWR_APP_STATE_PEN[],S$1,0),"ERROR")</f>
        <v>2</v>
      </c>
      <c r="T110" s="28"/>
    </row>
    <row r="111" spans="1:20" s="123" customFormat="1" x14ac:dyDescent="0.2">
      <c r="A111" s="28"/>
      <c r="B111" s="127" t="s">
        <v>430</v>
      </c>
      <c r="C111" s="109">
        <f>IFERROR(VLOOKUP($B111,MMWR_TRAD_AGG_STATE_PEN[],C$1,0),"ERROR")</f>
        <v>186</v>
      </c>
      <c r="D111" s="110">
        <f>IFERROR(VLOOKUP($B111,MMWR_TRAD_AGG_STATE_PEN[],D$1,0),"ERROR")</f>
        <v>45.096774193500003</v>
      </c>
      <c r="E111" s="111">
        <f>IFERROR(VLOOKUP($B111,MMWR_TRAD_AGG_STATE_PEN[],E$1,0),"ERROR")</f>
        <v>401</v>
      </c>
      <c r="F111" s="112">
        <f>IFERROR(VLOOKUP($B111,MMWR_TRAD_AGG_STATE_PEN[],F$1,0),"ERROR")</f>
        <v>31</v>
      </c>
      <c r="G111" s="113">
        <f t="shared" si="12"/>
        <v>7.7306733167082295E-2</v>
      </c>
      <c r="H111" s="111">
        <f>IFERROR(VLOOKUP($B111,MMWR_TRAD_AGG_STATE_PEN[],H$1,0),"ERROR")</f>
        <v>253</v>
      </c>
      <c r="I111" s="112">
        <f>IFERROR(VLOOKUP($B111,MMWR_TRAD_AGG_STATE_PEN[],I$1,0),"ERROR")</f>
        <v>8</v>
      </c>
      <c r="J111" s="114">
        <f t="shared" si="13"/>
        <v>3.1620553359683792E-2</v>
      </c>
      <c r="K111" s="111">
        <f>IFERROR(VLOOKUP($B111,MMWR_TRAD_AGG_STATE_PEN[],K$1,0),"ERROR")</f>
        <v>1</v>
      </c>
      <c r="L111" s="112">
        <f>IFERROR(VLOOKUP($B111,MMWR_TRAD_AGG_STATE_PEN[],L$1,0),"ERROR")</f>
        <v>1</v>
      </c>
      <c r="M111" s="114">
        <f t="shared" si="14"/>
        <v>1</v>
      </c>
      <c r="N111" s="111">
        <f>IFERROR(VLOOKUP($B111,MMWR_TRAD_AGG_STATE_PEN[],N$1,0),"ERROR")</f>
        <v>19</v>
      </c>
      <c r="O111" s="112">
        <f>IFERROR(VLOOKUP($B111,MMWR_TRAD_AGG_STATE_PEN[],O$1,0),"ERROR")</f>
        <v>7</v>
      </c>
      <c r="P111" s="114">
        <f t="shared" si="15"/>
        <v>0.36842105263157893</v>
      </c>
      <c r="Q111" s="115">
        <f>IFERROR(VLOOKUP($B111,MMWR_TRAD_AGG_STATE_PEN[],Q$1,0),"ERROR")</f>
        <v>352</v>
      </c>
      <c r="R111" s="115">
        <f>IFERROR(VLOOKUP($B111,MMWR_TRAD_AGG_STATE_PEN[],R$1,0),"ERROR")</f>
        <v>53</v>
      </c>
      <c r="S111" s="115">
        <f>IFERROR(VLOOKUP($B111,MMWR_APP_STATE_PEN[],S$1,0),"ERROR")</f>
        <v>123</v>
      </c>
      <c r="T111" s="28"/>
    </row>
    <row r="112" spans="1:20" s="123" customFormat="1" x14ac:dyDescent="0.2">
      <c r="A112" s="28"/>
      <c r="B112" s="127" t="s">
        <v>411</v>
      </c>
      <c r="C112" s="109">
        <f>IFERROR(VLOOKUP($B112,MMWR_TRAD_AGG_STATE_PEN[],C$1,0),"ERROR")</f>
        <v>788</v>
      </c>
      <c r="D112" s="110">
        <f>IFERROR(VLOOKUP($B112,MMWR_TRAD_AGG_STATE_PEN[],D$1,0),"ERROR")</f>
        <v>46.091370558400001</v>
      </c>
      <c r="E112" s="111">
        <f>IFERROR(VLOOKUP($B112,MMWR_TRAD_AGG_STATE_PEN[],E$1,0),"ERROR")</f>
        <v>1640</v>
      </c>
      <c r="F112" s="112">
        <f>IFERROR(VLOOKUP($B112,MMWR_TRAD_AGG_STATE_PEN[],F$1,0),"ERROR")</f>
        <v>83</v>
      </c>
      <c r="G112" s="113">
        <f t="shared" si="12"/>
        <v>5.0609756097560979E-2</v>
      </c>
      <c r="H112" s="111">
        <f>IFERROR(VLOOKUP($B112,MMWR_TRAD_AGG_STATE_PEN[],H$1,0),"ERROR")</f>
        <v>1089</v>
      </c>
      <c r="I112" s="112">
        <f>IFERROR(VLOOKUP($B112,MMWR_TRAD_AGG_STATE_PEN[],I$1,0),"ERROR")</f>
        <v>35</v>
      </c>
      <c r="J112" s="114">
        <f t="shared" si="13"/>
        <v>3.2139577594123052E-2</v>
      </c>
      <c r="K112" s="111">
        <f>IFERROR(VLOOKUP($B112,MMWR_TRAD_AGG_STATE_PEN[],K$1,0),"ERROR")</f>
        <v>13</v>
      </c>
      <c r="L112" s="112">
        <f>IFERROR(VLOOKUP($B112,MMWR_TRAD_AGG_STATE_PEN[],L$1,0),"ERROR")</f>
        <v>7</v>
      </c>
      <c r="M112" s="114">
        <f t="shared" si="14"/>
        <v>0.53846153846153844</v>
      </c>
      <c r="N112" s="111">
        <f>IFERROR(VLOOKUP($B112,MMWR_TRAD_AGG_STATE_PEN[],N$1,0),"ERROR")</f>
        <v>89</v>
      </c>
      <c r="O112" s="112">
        <f>IFERROR(VLOOKUP($B112,MMWR_TRAD_AGG_STATE_PEN[],O$1,0),"ERROR")</f>
        <v>42</v>
      </c>
      <c r="P112" s="114">
        <f t="shared" si="15"/>
        <v>0.47191011235955055</v>
      </c>
      <c r="Q112" s="115">
        <f>IFERROR(VLOOKUP($B112,MMWR_TRAD_AGG_STATE_PEN[],Q$1,0),"ERROR")</f>
        <v>1139</v>
      </c>
      <c r="R112" s="115">
        <f>IFERROR(VLOOKUP($B112,MMWR_TRAD_AGG_STATE_PEN[],R$1,0),"ERROR")</f>
        <v>240</v>
      </c>
      <c r="S112" s="115">
        <f>IFERROR(VLOOKUP($B112,MMWR_APP_STATE_PEN[],S$1,0),"ERROR")</f>
        <v>424</v>
      </c>
      <c r="T112" s="28"/>
    </row>
    <row r="113" spans="1:20" s="123" customFormat="1" x14ac:dyDescent="0.2">
      <c r="A113" s="28"/>
      <c r="B113" s="127" t="s">
        <v>432</v>
      </c>
      <c r="C113" s="109">
        <f>IFERROR(VLOOKUP($B113,MMWR_TRAD_AGG_STATE_PEN[],C$1,0),"ERROR")</f>
        <v>21</v>
      </c>
      <c r="D113" s="110">
        <f>IFERROR(VLOOKUP($B113,MMWR_TRAD_AGG_STATE_PEN[],D$1,0),"ERROR")</f>
        <v>49.666666666700003</v>
      </c>
      <c r="E113" s="111">
        <f>IFERROR(VLOOKUP($B113,MMWR_TRAD_AGG_STATE_PEN[],E$1,0),"ERROR")</f>
        <v>26</v>
      </c>
      <c r="F113" s="112">
        <f>IFERROR(VLOOKUP($B113,MMWR_TRAD_AGG_STATE_PEN[],F$1,0),"ERROR")</f>
        <v>3</v>
      </c>
      <c r="G113" s="113">
        <f t="shared" si="12"/>
        <v>0.11538461538461539</v>
      </c>
      <c r="H113" s="111">
        <f>IFERROR(VLOOKUP($B113,MMWR_TRAD_AGG_STATE_PEN[],H$1,0),"ERROR")</f>
        <v>33</v>
      </c>
      <c r="I113" s="112">
        <f>IFERROR(VLOOKUP($B113,MMWR_TRAD_AGG_STATE_PEN[],I$1,0),"ERROR")</f>
        <v>2</v>
      </c>
      <c r="J113" s="114">
        <f t="shared" si="13"/>
        <v>6.0606060606060608E-2</v>
      </c>
      <c r="K113" s="111">
        <f>IFERROR(VLOOKUP($B113,MMWR_TRAD_AGG_STATE_PEN[],K$1,0),"ERROR")</f>
        <v>1</v>
      </c>
      <c r="L113" s="112">
        <f>IFERROR(VLOOKUP($B113,MMWR_TRAD_AGG_STATE_PEN[],L$1,0),"ERROR")</f>
        <v>1</v>
      </c>
      <c r="M113" s="114">
        <f t="shared" si="14"/>
        <v>1</v>
      </c>
      <c r="N113" s="111">
        <f>IFERROR(VLOOKUP($B113,MMWR_TRAD_AGG_STATE_PEN[],N$1,0),"ERROR")</f>
        <v>4</v>
      </c>
      <c r="O113" s="112">
        <f>IFERROR(VLOOKUP($B113,MMWR_TRAD_AGG_STATE_PEN[],O$1,0),"ERROR")</f>
        <v>2</v>
      </c>
      <c r="P113" s="114">
        <f t="shared" si="15"/>
        <v>0.5</v>
      </c>
      <c r="Q113" s="115">
        <f>IFERROR(VLOOKUP($B113,MMWR_TRAD_AGG_STATE_PEN[],Q$1,0),"ERROR")</f>
        <v>51</v>
      </c>
      <c r="R113" s="115">
        <f>IFERROR(VLOOKUP($B113,MMWR_TRAD_AGG_STATE_PEN[],R$1,0),"ERROR")</f>
        <v>5</v>
      </c>
      <c r="S113" s="115">
        <f>IFERROR(VLOOKUP($B113,MMWR_APP_STATE_PEN[],S$1,0),"ERROR")</f>
        <v>12</v>
      </c>
      <c r="T113" s="28"/>
    </row>
    <row r="114" spans="1:20" s="123" customFormat="1" x14ac:dyDescent="0.2">
      <c r="A114" s="28"/>
      <c r="B114" s="127" t="s">
        <v>412</v>
      </c>
      <c r="C114" s="109">
        <f>IFERROR(VLOOKUP($B114,MMWR_TRAD_AGG_STATE_PEN[],C$1,0),"ERROR")</f>
        <v>61</v>
      </c>
      <c r="D114" s="110">
        <f>IFERROR(VLOOKUP($B114,MMWR_TRAD_AGG_STATE_PEN[],D$1,0),"ERROR")</f>
        <v>36.0819672131</v>
      </c>
      <c r="E114" s="111">
        <f>IFERROR(VLOOKUP($B114,MMWR_TRAD_AGG_STATE_PEN[],E$1,0),"ERROR")</f>
        <v>101</v>
      </c>
      <c r="F114" s="112">
        <f>IFERROR(VLOOKUP($B114,MMWR_TRAD_AGG_STATE_PEN[],F$1,0),"ERROR")</f>
        <v>2</v>
      </c>
      <c r="G114" s="113">
        <f t="shared" si="12"/>
        <v>1.9801980198019802E-2</v>
      </c>
      <c r="H114" s="111">
        <f>IFERROR(VLOOKUP($B114,MMWR_TRAD_AGG_STATE_PEN[],H$1,0),"ERROR")</f>
        <v>87</v>
      </c>
      <c r="I114" s="112">
        <f>IFERROR(VLOOKUP($B114,MMWR_TRAD_AGG_STATE_PEN[],I$1,0),"ERROR")</f>
        <v>1</v>
      </c>
      <c r="J114" s="114">
        <f t="shared" si="13"/>
        <v>1.1494252873563218E-2</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107</v>
      </c>
      <c r="R114" s="115">
        <f>IFERROR(VLOOKUP($B114,MMWR_TRAD_AGG_STATE_PEN[],R$1,0),"ERROR")</f>
        <v>11</v>
      </c>
      <c r="S114" s="115">
        <f>IFERROR(VLOOKUP($B114,MMWR_APP_STATE_PEN[],S$1,0),"ERROR")</f>
        <v>11</v>
      </c>
      <c r="T114" s="28"/>
    </row>
    <row r="115" spans="1:20" s="123" customFormat="1" x14ac:dyDescent="0.2">
      <c r="A115" s="28"/>
      <c r="B115" s="127" t="s">
        <v>417</v>
      </c>
      <c r="C115" s="109">
        <f>IFERROR(VLOOKUP($B115,MMWR_TRAD_AGG_STATE_PEN[],C$1,0),"ERROR")</f>
        <v>100</v>
      </c>
      <c r="D115" s="110">
        <f>IFERROR(VLOOKUP($B115,MMWR_TRAD_AGG_STATE_PEN[],D$1,0),"ERROR")</f>
        <v>50.56</v>
      </c>
      <c r="E115" s="111">
        <f>IFERROR(VLOOKUP($B115,MMWR_TRAD_AGG_STATE_PEN[],E$1,0),"ERROR")</f>
        <v>174</v>
      </c>
      <c r="F115" s="112">
        <f>IFERROR(VLOOKUP($B115,MMWR_TRAD_AGG_STATE_PEN[],F$1,0),"ERROR")</f>
        <v>6</v>
      </c>
      <c r="G115" s="113">
        <f t="shared" si="12"/>
        <v>3.4482758620689655E-2</v>
      </c>
      <c r="H115" s="111">
        <f>IFERROR(VLOOKUP($B115,MMWR_TRAD_AGG_STATE_PEN[],H$1,0),"ERROR")</f>
        <v>134</v>
      </c>
      <c r="I115" s="112">
        <f>IFERROR(VLOOKUP($B115,MMWR_TRAD_AGG_STATE_PEN[],I$1,0),"ERROR")</f>
        <v>7</v>
      </c>
      <c r="J115" s="114">
        <f t="shared" si="13"/>
        <v>5.2238805970149252E-2</v>
      </c>
      <c r="K115" s="111">
        <f>IFERROR(VLOOKUP($B115,MMWR_TRAD_AGG_STATE_PEN[],K$1,0),"ERROR")</f>
        <v>0</v>
      </c>
      <c r="L115" s="112">
        <f>IFERROR(VLOOKUP($B115,MMWR_TRAD_AGG_STATE_PEN[],L$1,0),"ERROR")</f>
        <v>0</v>
      </c>
      <c r="M115" s="114" t="str">
        <f t="shared" si="14"/>
        <v>0%</v>
      </c>
      <c r="N115" s="111">
        <f>IFERROR(VLOOKUP($B115,MMWR_TRAD_AGG_STATE_PEN[],N$1,0),"ERROR")</f>
        <v>8</v>
      </c>
      <c r="O115" s="112">
        <f>IFERROR(VLOOKUP($B115,MMWR_TRAD_AGG_STATE_PEN[],O$1,0),"ERROR")</f>
        <v>4</v>
      </c>
      <c r="P115" s="114">
        <f t="shared" si="15"/>
        <v>0.5</v>
      </c>
      <c r="Q115" s="115">
        <f>IFERROR(VLOOKUP($B115,MMWR_TRAD_AGG_STATE_PEN[],Q$1,0),"ERROR")</f>
        <v>130</v>
      </c>
      <c r="R115" s="115">
        <f>IFERROR(VLOOKUP($B115,MMWR_TRAD_AGG_STATE_PEN[],R$1,0),"ERROR")</f>
        <v>28</v>
      </c>
      <c r="S115" s="115">
        <f>IFERROR(VLOOKUP($B115,MMWR_APP_STATE_PEN[],S$1,0),"ERROR")</f>
        <v>43</v>
      </c>
      <c r="T115" s="28"/>
    </row>
    <row r="116" spans="1:20" s="123" customFormat="1" x14ac:dyDescent="0.2">
      <c r="A116" s="28"/>
      <c r="B116" s="127" t="s">
        <v>409</v>
      </c>
      <c r="C116" s="109">
        <f>IFERROR(VLOOKUP($B116,MMWR_TRAD_AGG_STATE_PEN[],C$1,0),"ERROR")</f>
        <v>70</v>
      </c>
      <c r="D116" s="110">
        <f>IFERROR(VLOOKUP($B116,MMWR_TRAD_AGG_STATE_PEN[],D$1,0),"ERROR")</f>
        <v>35.285714285700003</v>
      </c>
      <c r="E116" s="111">
        <f>IFERROR(VLOOKUP($B116,MMWR_TRAD_AGG_STATE_PEN[],E$1,0),"ERROR")</f>
        <v>126</v>
      </c>
      <c r="F116" s="112">
        <f>IFERROR(VLOOKUP($B116,MMWR_TRAD_AGG_STATE_PEN[],F$1,0),"ERROR")</f>
        <v>3</v>
      </c>
      <c r="G116" s="113">
        <f t="shared" si="12"/>
        <v>2.3809523809523808E-2</v>
      </c>
      <c r="H116" s="111">
        <f>IFERROR(VLOOKUP($B116,MMWR_TRAD_AGG_STATE_PEN[],H$1,0),"ERROR")</f>
        <v>94</v>
      </c>
      <c r="I116" s="112">
        <f>IFERROR(VLOOKUP($B116,MMWR_TRAD_AGG_STATE_PEN[],I$1,0),"ERROR")</f>
        <v>2</v>
      </c>
      <c r="J116" s="114">
        <f t="shared" si="13"/>
        <v>2.1276595744680851E-2</v>
      </c>
      <c r="K116" s="111">
        <f>IFERROR(VLOOKUP($B116,MMWR_TRAD_AGG_STATE_PEN[],K$1,0),"ERROR")</f>
        <v>0</v>
      </c>
      <c r="L116" s="112">
        <f>IFERROR(VLOOKUP($B116,MMWR_TRAD_AGG_STATE_PEN[],L$1,0),"ERROR")</f>
        <v>0</v>
      </c>
      <c r="M116" s="114" t="str">
        <f t="shared" si="14"/>
        <v>0%</v>
      </c>
      <c r="N116" s="111">
        <f>IFERROR(VLOOKUP($B116,MMWR_TRAD_AGG_STATE_PEN[],N$1,0),"ERROR")</f>
        <v>8</v>
      </c>
      <c r="O116" s="112">
        <f>IFERROR(VLOOKUP($B116,MMWR_TRAD_AGG_STATE_PEN[],O$1,0),"ERROR")</f>
        <v>4</v>
      </c>
      <c r="P116" s="114">
        <f t="shared" si="15"/>
        <v>0.5</v>
      </c>
      <c r="Q116" s="115">
        <f>IFERROR(VLOOKUP($B116,MMWR_TRAD_AGG_STATE_PEN[],Q$1,0),"ERROR")</f>
        <v>191</v>
      </c>
      <c r="R116" s="115">
        <f>IFERROR(VLOOKUP($B116,MMWR_TRAD_AGG_STATE_PEN[],R$1,0),"ERROR")</f>
        <v>20</v>
      </c>
      <c r="S116" s="115">
        <f>IFERROR(VLOOKUP($B116,MMWR_APP_STATE_PEN[],S$1,0),"ERROR")</f>
        <v>28</v>
      </c>
      <c r="T116" s="28"/>
    </row>
    <row r="117" spans="1:20" s="123" customFormat="1" x14ac:dyDescent="0.2">
      <c r="A117" s="28"/>
      <c r="B117" s="127" t="s">
        <v>413</v>
      </c>
      <c r="C117" s="109">
        <f>IFERROR(VLOOKUP($B117,MMWR_TRAD_AGG_STATE_PEN[],C$1,0),"ERROR")</f>
        <v>139</v>
      </c>
      <c r="D117" s="110">
        <f>IFERROR(VLOOKUP($B117,MMWR_TRAD_AGG_STATE_PEN[],D$1,0),"ERROR")</f>
        <v>42.309352517999997</v>
      </c>
      <c r="E117" s="111">
        <f>IFERROR(VLOOKUP($B117,MMWR_TRAD_AGG_STATE_PEN[],E$1,0),"ERROR")</f>
        <v>230</v>
      </c>
      <c r="F117" s="112">
        <f>IFERROR(VLOOKUP($B117,MMWR_TRAD_AGG_STATE_PEN[],F$1,0),"ERROR")</f>
        <v>7</v>
      </c>
      <c r="G117" s="113">
        <f t="shared" si="12"/>
        <v>3.0434782608695653E-2</v>
      </c>
      <c r="H117" s="111">
        <f>IFERROR(VLOOKUP($B117,MMWR_TRAD_AGG_STATE_PEN[],H$1,0),"ERROR")</f>
        <v>202</v>
      </c>
      <c r="I117" s="112">
        <f>IFERROR(VLOOKUP($B117,MMWR_TRAD_AGG_STATE_PEN[],I$1,0),"ERROR")</f>
        <v>10</v>
      </c>
      <c r="J117" s="114">
        <f t="shared" si="13"/>
        <v>4.9504950495049507E-2</v>
      </c>
      <c r="K117" s="111">
        <f>IFERROR(VLOOKUP($B117,MMWR_TRAD_AGG_STATE_PEN[],K$1,0),"ERROR")</f>
        <v>1</v>
      </c>
      <c r="L117" s="112">
        <f>IFERROR(VLOOKUP($B117,MMWR_TRAD_AGG_STATE_PEN[],L$1,0),"ERROR")</f>
        <v>1</v>
      </c>
      <c r="M117" s="114">
        <f t="shared" si="14"/>
        <v>1</v>
      </c>
      <c r="N117" s="111">
        <f>IFERROR(VLOOKUP($B117,MMWR_TRAD_AGG_STATE_PEN[],N$1,0),"ERROR")</f>
        <v>13</v>
      </c>
      <c r="O117" s="112">
        <f>IFERROR(VLOOKUP($B117,MMWR_TRAD_AGG_STATE_PEN[],O$1,0),"ERROR")</f>
        <v>6</v>
      </c>
      <c r="P117" s="114">
        <f t="shared" si="15"/>
        <v>0.46153846153846156</v>
      </c>
      <c r="Q117" s="115">
        <f>IFERROR(VLOOKUP($B117,MMWR_TRAD_AGG_STATE_PEN[],Q$1,0),"ERROR")</f>
        <v>298</v>
      </c>
      <c r="R117" s="115">
        <f>IFERROR(VLOOKUP($B117,MMWR_TRAD_AGG_STATE_PEN[],R$1,0),"ERROR")</f>
        <v>41</v>
      </c>
      <c r="S117" s="115">
        <f>IFERROR(VLOOKUP($B117,MMWR_APP_STATE_PEN[],S$1,0),"ERROR")</f>
        <v>50</v>
      </c>
      <c r="T117" s="28"/>
    </row>
    <row r="118" spans="1:20" s="123" customFormat="1" x14ac:dyDescent="0.2">
      <c r="A118" s="28"/>
      <c r="B118" s="127" t="s">
        <v>83</v>
      </c>
      <c r="C118" s="109">
        <f>IFERROR(VLOOKUP($B118,MMWR_TRAD_AGG_STATE_PEN[],C$1,0),"ERROR")</f>
        <v>181</v>
      </c>
      <c r="D118" s="110">
        <f>IFERROR(VLOOKUP($B118,MMWR_TRAD_AGG_STATE_PEN[],D$1,0),"ERROR")</f>
        <v>44.756906077300002</v>
      </c>
      <c r="E118" s="111">
        <f>IFERROR(VLOOKUP($B118,MMWR_TRAD_AGG_STATE_PEN[],E$1,0),"ERROR")</f>
        <v>411</v>
      </c>
      <c r="F118" s="112">
        <f>IFERROR(VLOOKUP($B118,MMWR_TRAD_AGG_STATE_PEN[],F$1,0),"ERROR")</f>
        <v>23</v>
      </c>
      <c r="G118" s="113">
        <f t="shared" si="12"/>
        <v>5.5961070559610707E-2</v>
      </c>
      <c r="H118" s="111">
        <f>IFERROR(VLOOKUP($B118,MMWR_TRAD_AGG_STATE_PEN[],H$1,0),"ERROR")</f>
        <v>291</v>
      </c>
      <c r="I118" s="112">
        <f>IFERROR(VLOOKUP($B118,MMWR_TRAD_AGG_STATE_PEN[],I$1,0),"ERROR")</f>
        <v>30</v>
      </c>
      <c r="J118" s="114">
        <f t="shared" si="13"/>
        <v>0.10309278350515463</v>
      </c>
      <c r="K118" s="111">
        <f>IFERROR(VLOOKUP($B118,MMWR_TRAD_AGG_STATE_PEN[],K$1,0),"ERROR")</f>
        <v>1</v>
      </c>
      <c r="L118" s="112">
        <f>IFERROR(VLOOKUP($B118,MMWR_TRAD_AGG_STATE_PEN[],L$1,0),"ERROR")</f>
        <v>0</v>
      </c>
      <c r="M118" s="114">
        <f t="shared" si="14"/>
        <v>0</v>
      </c>
      <c r="N118" s="111">
        <f>IFERROR(VLOOKUP($B118,MMWR_TRAD_AGG_STATE_PEN[],N$1,0),"ERROR")</f>
        <v>23</v>
      </c>
      <c r="O118" s="112">
        <f>IFERROR(VLOOKUP($B118,MMWR_TRAD_AGG_STATE_PEN[],O$1,0),"ERROR")</f>
        <v>8</v>
      </c>
      <c r="P118" s="114">
        <f t="shared" si="15"/>
        <v>0.34782608695652173</v>
      </c>
      <c r="Q118" s="115">
        <f>IFERROR(VLOOKUP($B118,MMWR_TRAD_AGG_STATE_PEN[],Q$1,0),"ERROR")</f>
        <v>384</v>
      </c>
      <c r="R118" s="115">
        <f>IFERROR(VLOOKUP($B118,MMWR_TRAD_AGG_STATE_PEN[],R$1,0),"ERROR")</f>
        <v>67</v>
      </c>
      <c r="S118" s="115">
        <f>IFERROR(VLOOKUP($B118,MMWR_APP_STATE_PEN[],S$1,0),"ERROR")</f>
        <v>91</v>
      </c>
      <c r="T118" s="28"/>
    </row>
    <row r="119" spans="1:20" s="123" customFormat="1" x14ac:dyDescent="0.2">
      <c r="A119" s="28"/>
      <c r="B119" s="126" t="s">
        <v>384</v>
      </c>
      <c r="C119" s="102">
        <f>IFERROR(VLOOKUP($B119,MMWR_TRAD_AGG_ST_DISTRICT_PEN[],C$1,0),"ERROR")</f>
        <v>7728</v>
      </c>
      <c r="D119" s="103">
        <f>IFERROR(VLOOKUP($B119,MMWR_TRAD_AGG_ST_DISTRICT_PEN[],D$1,0),"ERROR")</f>
        <v>85.263975155300002</v>
      </c>
      <c r="E119" s="102">
        <f>IFERROR(VLOOKUP($B119,MMWR_TRAD_AGG_ST_DISTRICT_PEN[],E$1,0),"ERROR")</f>
        <v>9145</v>
      </c>
      <c r="F119" s="102">
        <f>IFERROR(VLOOKUP($B119,MMWR_TRAD_AGG_ST_DISTRICT_PEN[],F$1,0),"ERROR")</f>
        <v>1823</v>
      </c>
      <c r="G119" s="104">
        <f t="shared" si="12"/>
        <v>0.19934390377255332</v>
      </c>
      <c r="H119" s="102">
        <f>IFERROR(VLOOKUP($B119,MMWR_TRAD_AGG_ST_DISTRICT_PEN[],H$1,0),"ERROR")</f>
        <v>10187</v>
      </c>
      <c r="I119" s="102">
        <f>IFERROR(VLOOKUP($B119,MMWR_TRAD_AGG_ST_DISTRICT_PEN[],I$1,0),"ERROR")</f>
        <v>2958</v>
      </c>
      <c r="J119" s="104">
        <f t="shared" si="13"/>
        <v>0.29037007951310495</v>
      </c>
      <c r="K119" s="102">
        <f>IFERROR(VLOOKUP($B119,MMWR_TRAD_AGG_ST_DISTRICT_PEN[],K$1,0),"ERROR")</f>
        <v>79</v>
      </c>
      <c r="L119" s="102">
        <f>IFERROR(VLOOKUP($B119,MMWR_TRAD_AGG_ST_DISTRICT_PEN[],L$1,0),"ERROR")</f>
        <v>73</v>
      </c>
      <c r="M119" s="104">
        <f t="shared" si="14"/>
        <v>0.92405063291139244</v>
      </c>
      <c r="N119" s="102">
        <f>IFERROR(VLOOKUP($B119,MMWR_TRAD_AGG_ST_DISTRICT_PEN[],N$1,0),"ERROR")</f>
        <v>499</v>
      </c>
      <c r="O119" s="102">
        <f>IFERROR(VLOOKUP($B119,MMWR_TRAD_AGG_ST_DISTRICT_PEN[],O$1,0),"ERROR")</f>
        <v>181</v>
      </c>
      <c r="P119" s="104">
        <f t="shared" si="15"/>
        <v>0.36272545090180358</v>
      </c>
      <c r="Q119" s="102">
        <f>IFERROR(VLOOKUP($B119,MMWR_TRAD_AGG_ST_DISTRICT_PEN[],Q$1,0),"ERROR")</f>
        <v>1254</v>
      </c>
      <c r="R119" s="106">
        <f>IFERROR(VLOOKUP($B119,MMWR_TRAD_AGG_ST_DISTRICT_PEN[],R$1,0),"ERROR")</f>
        <v>1973</v>
      </c>
      <c r="S119" s="106">
        <f>IFERROR(VLOOKUP($B119,MMWR_APP_STATE_PEN[],S$1,0),"ERROR")</f>
        <v>1931</v>
      </c>
      <c r="T119" s="28"/>
    </row>
    <row r="120" spans="1:20" s="123" customFormat="1" x14ac:dyDescent="0.2">
      <c r="A120" s="28"/>
      <c r="B120" s="127" t="s">
        <v>392</v>
      </c>
      <c r="C120" s="109">
        <f>IFERROR(VLOOKUP($B120,MMWR_TRAD_AGG_STATE_PEN[],C$1,0),"ERROR")</f>
        <v>679</v>
      </c>
      <c r="D120" s="110">
        <f>IFERROR(VLOOKUP($B120,MMWR_TRAD_AGG_STATE_PEN[],D$1,0),"ERROR")</f>
        <v>44.0544918999</v>
      </c>
      <c r="E120" s="111">
        <f>IFERROR(VLOOKUP($B120,MMWR_TRAD_AGG_STATE_PEN[],E$1,0),"ERROR")</f>
        <v>877</v>
      </c>
      <c r="F120" s="112">
        <f>IFERROR(VLOOKUP($B120,MMWR_TRAD_AGG_STATE_PEN[],F$1,0),"ERROR")</f>
        <v>77</v>
      </c>
      <c r="G120" s="113">
        <f t="shared" si="12"/>
        <v>8.7799315849486886E-2</v>
      </c>
      <c r="H120" s="111">
        <f>IFERROR(VLOOKUP($B120,MMWR_TRAD_AGG_STATE_PEN[],H$1,0),"ERROR")</f>
        <v>872</v>
      </c>
      <c r="I120" s="112">
        <f>IFERROR(VLOOKUP($B120,MMWR_TRAD_AGG_STATE_PEN[],I$1,0),"ERROR")</f>
        <v>47</v>
      </c>
      <c r="J120" s="114">
        <f t="shared" si="13"/>
        <v>5.3899082568807342E-2</v>
      </c>
      <c r="K120" s="111">
        <f>IFERROR(VLOOKUP($B120,MMWR_TRAD_AGG_STATE_PEN[],K$1,0),"ERROR")</f>
        <v>5</v>
      </c>
      <c r="L120" s="112">
        <f>IFERROR(VLOOKUP($B120,MMWR_TRAD_AGG_STATE_PEN[],L$1,0),"ERROR")</f>
        <v>5</v>
      </c>
      <c r="M120" s="114">
        <f t="shared" si="14"/>
        <v>1</v>
      </c>
      <c r="N120" s="111">
        <f>IFERROR(VLOOKUP($B120,MMWR_TRAD_AGG_STATE_PEN[],N$1,0),"ERROR")</f>
        <v>51</v>
      </c>
      <c r="O120" s="112">
        <f>IFERROR(VLOOKUP($B120,MMWR_TRAD_AGG_STATE_PEN[],O$1,0),"ERROR")</f>
        <v>11</v>
      </c>
      <c r="P120" s="114">
        <f t="shared" si="15"/>
        <v>0.21568627450980393</v>
      </c>
      <c r="Q120" s="115">
        <f>IFERROR(VLOOKUP($B120,MMWR_TRAD_AGG_STATE_PEN[],Q$1,0),"ERROR")</f>
        <v>129</v>
      </c>
      <c r="R120" s="115">
        <f>IFERROR(VLOOKUP($B120,MMWR_TRAD_AGG_STATE_PEN[],R$1,0),"ERROR")</f>
        <v>88</v>
      </c>
      <c r="S120" s="115">
        <f>IFERROR(VLOOKUP($B120,MMWR_APP_STATE_PEN[],S$1,0),"ERROR")</f>
        <v>285</v>
      </c>
      <c r="T120" s="28"/>
    </row>
    <row r="121" spans="1:20" s="123" customFormat="1" x14ac:dyDescent="0.2">
      <c r="A121" s="28"/>
      <c r="B121" s="127" t="s">
        <v>429</v>
      </c>
      <c r="C121" s="109">
        <f>IFERROR(VLOOKUP($B121,MMWR_TRAD_AGG_STATE_PEN[],C$1,0),"ERROR")</f>
        <v>2669</v>
      </c>
      <c r="D121" s="110">
        <f>IFERROR(VLOOKUP($B121,MMWR_TRAD_AGG_STATE_PEN[],D$1,0),"ERROR")</f>
        <v>94.318846009699996</v>
      </c>
      <c r="E121" s="111">
        <f>IFERROR(VLOOKUP($B121,MMWR_TRAD_AGG_STATE_PEN[],E$1,0),"ERROR")</f>
        <v>3759</v>
      </c>
      <c r="F121" s="112">
        <f>IFERROR(VLOOKUP($B121,MMWR_TRAD_AGG_STATE_PEN[],F$1,0),"ERROR")</f>
        <v>845</v>
      </c>
      <c r="G121" s="113">
        <f t="shared" si="12"/>
        <v>0.22479382814578344</v>
      </c>
      <c r="H121" s="111">
        <f>IFERROR(VLOOKUP($B121,MMWR_TRAD_AGG_STATE_PEN[],H$1,0),"ERROR")</f>
        <v>3500</v>
      </c>
      <c r="I121" s="112">
        <f>IFERROR(VLOOKUP($B121,MMWR_TRAD_AGG_STATE_PEN[],I$1,0),"ERROR")</f>
        <v>1179</v>
      </c>
      <c r="J121" s="114">
        <f t="shared" si="13"/>
        <v>0.33685714285714285</v>
      </c>
      <c r="K121" s="111">
        <f>IFERROR(VLOOKUP($B121,MMWR_TRAD_AGG_STATE_PEN[],K$1,0),"ERROR")</f>
        <v>39</v>
      </c>
      <c r="L121" s="112">
        <f>IFERROR(VLOOKUP($B121,MMWR_TRAD_AGG_STATE_PEN[],L$1,0),"ERROR")</f>
        <v>38</v>
      </c>
      <c r="M121" s="114">
        <f t="shared" si="14"/>
        <v>0.97435897435897434</v>
      </c>
      <c r="N121" s="111">
        <f>IFERROR(VLOOKUP($B121,MMWR_TRAD_AGG_STATE_PEN[],N$1,0),"ERROR")</f>
        <v>154</v>
      </c>
      <c r="O121" s="112">
        <f>IFERROR(VLOOKUP($B121,MMWR_TRAD_AGG_STATE_PEN[],O$1,0),"ERROR")</f>
        <v>73</v>
      </c>
      <c r="P121" s="114">
        <f t="shared" si="15"/>
        <v>0.47402597402597402</v>
      </c>
      <c r="Q121" s="115">
        <f>IFERROR(VLOOKUP($B121,MMWR_TRAD_AGG_STATE_PEN[],Q$1,0),"ERROR")</f>
        <v>475</v>
      </c>
      <c r="R121" s="115">
        <f>IFERROR(VLOOKUP($B121,MMWR_TRAD_AGG_STATE_PEN[],R$1,0),"ERROR")</f>
        <v>793</v>
      </c>
      <c r="S121" s="115">
        <f>IFERROR(VLOOKUP($B121,MMWR_APP_STATE_PEN[],S$1,0),"ERROR")</f>
        <v>598</v>
      </c>
      <c r="T121" s="28"/>
    </row>
    <row r="122" spans="1:20" s="123" customFormat="1" x14ac:dyDescent="0.2">
      <c r="A122" s="28"/>
      <c r="B122" s="127" t="s">
        <v>385</v>
      </c>
      <c r="C122" s="109">
        <f>IFERROR(VLOOKUP($B122,MMWR_TRAD_AGG_STATE_PEN[],C$1,0),"ERROR")</f>
        <v>1402</v>
      </c>
      <c r="D122" s="110">
        <f>IFERROR(VLOOKUP($B122,MMWR_TRAD_AGG_STATE_PEN[],D$1,0),"ERROR")</f>
        <v>103.182596291</v>
      </c>
      <c r="E122" s="111">
        <f>IFERROR(VLOOKUP($B122,MMWR_TRAD_AGG_STATE_PEN[],E$1,0),"ERROR")</f>
        <v>1763</v>
      </c>
      <c r="F122" s="112">
        <f>IFERROR(VLOOKUP($B122,MMWR_TRAD_AGG_STATE_PEN[],F$1,0),"ERROR")</f>
        <v>395</v>
      </c>
      <c r="G122" s="113">
        <f t="shared" si="12"/>
        <v>0.22404991491775383</v>
      </c>
      <c r="H122" s="111">
        <f>IFERROR(VLOOKUP($B122,MMWR_TRAD_AGG_STATE_PEN[],H$1,0),"ERROR")</f>
        <v>1819</v>
      </c>
      <c r="I122" s="112">
        <f>IFERROR(VLOOKUP($B122,MMWR_TRAD_AGG_STATE_PEN[],I$1,0),"ERROR")</f>
        <v>659</v>
      </c>
      <c r="J122" s="114">
        <f t="shared" si="13"/>
        <v>0.36228697086311162</v>
      </c>
      <c r="K122" s="111">
        <f>IFERROR(VLOOKUP($B122,MMWR_TRAD_AGG_STATE_PEN[],K$1,0),"ERROR")</f>
        <v>14</v>
      </c>
      <c r="L122" s="112">
        <f>IFERROR(VLOOKUP($B122,MMWR_TRAD_AGG_STATE_PEN[],L$1,0),"ERROR")</f>
        <v>13</v>
      </c>
      <c r="M122" s="114">
        <f t="shared" si="14"/>
        <v>0.9285714285714286</v>
      </c>
      <c r="N122" s="111">
        <f>IFERROR(VLOOKUP($B122,MMWR_TRAD_AGG_STATE_PEN[],N$1,0),"ERROR")</f>
        <v>139</v>
      </c>
      <c r="O122" s="112">
        <f>IFERROR(VLOOKUP($B122,MMWR_TRAD_AGG_STATE_PEN[],O$1,0),"ERROR")</f>
        <v>45</v>
      </c>
      <c r="P122" s="114">
        <f t="shared" si="15"/>
        <v>0.32374100719424459</v>
      </c>
      <c r="Q122" s="115">
        <f>IFERROR(VLOOKUP($B122,MMWR_TRAD_AGG_STATE_PEN[],Q$1,0),"ERROR")</f>
        <v>215</v>
      </c>
      <c r="R122" s="115">
        <f>IFERROR(VLOOKUP($B122,MMWR_TRAD_AGG_STATE_PEN[],R$1,0),"ERROR")</f>
        <v>526</v>
      </c>
      <c r="S122" s="115">
        <f>IFERROR(VLOOKUP($B122,MMWR_APP_STATE_PEN[],S$1,0),"ERROR")</f>
        <v>374</v>
      </c>
      <c r="T122" s="28"/>
    </row>
    <row r="123" spans="1:20" s="123" customFormat="1" x14ac:dyDescent="0.2">
      <c r="A123" s="28"/>
      <c r="B123" s="127" t="s">
        <v>397</v>
      </c>
      <c r="C123" s="109">
        <f>IFERROR(VLOOKUP($B123,MMWR_TRAD_AGG_STATE_PEN[],C$1,0),"ERROR")</f>
        <v>235</v>
      </c>
      <c r="D123" s="110">
        <f>IFERROR(VLOOKUP($B123,MMWR_TRAD_AGG_STATE_PEN[],D$1,0),"ERROR")</f>
        <v>53.872340425499999</v>
      </c>
      <c r="E123" s="111">
        <f>IFERROR(VLOOKUP($B123,MMWR_TRAD_AGG_STATE_PEN[],E$1,0),"ERROR")</f>
        <v>396</v>
      </c>
      <c r="F123" s="112">
        <f>IFERROR(VLOOKUP($B123,MMWR_TRAD_AGG_STATE_PEN[],F$1,0),"ERROR")</f>
        <v>53</v>
      </c>
      <c r="G123" s="113">
        <f t="shared" si="12"/>
        <v>0.13383838383838384</v>
      </c>
      <c r="H123" s="111">
        <f>IFERROR(VLOOKUP($B123,MMWR_TRAD_AGG_STATE_PEN[],H$1,0),"ERROR")</f>
        <v>352</v>
      </c>
      <c r="I123" s="112">
        <f>IFERROR(VLOOKUP($B123,MMWR_TRAD_AGG_STATE_PEN[],I$1,0),"ERROR")</f>
        <v>33</v>
      </c>
      <c r="J123" s="114">
        <f t="shared" si="13"/>
        <v>9.375E-2</v>
      </c>
      <c r="K123" s="111">
        <f>IFERROR(VLOOKUP($B123,MMWR_TRAD_AGG_STATE_PEN[],K$1,0),"ERROR")</f>
        <v>3</v>
      </c>
      <c r="L123" s="112">
        <f>IFERROR(VLOOKUP($B123,MMWR_TRAD_AGG_STATE_PEN[],L$1,0),"ERROR")</f>
        <v>2</v>
      </c>
      <c r="M123" s="114">
        <f t="shared" si="14"/>
        <v>0.66666666666666663</v>
      </c>
      <c r="N123" s="111">
        <f>IFERROR(VLOOKUP($B123,MMWR_TRAD_AGG_STATE_PEN[],N$1,0),"ERROR")</f>
        <v>42</v>
      </c>
      <c r="O123" s="112">
        <f>IFERROR(VLOOKUP($B123,MMWR_TRAD_AGG_STATE_PEN[],O$1,0),"ERROR")</f>
        <v>7</v>
      </c>
      <c r="P123" s="114">
        <f t="shared" si="15"/>
        <v>0.16666666666666666</v>
      </c>
      <c r="Q123" s="115">
        <f>IFERROR(VLOOKUP($B123,MMWR_TRAD_AGG_STATE_PEN[],Q$1,0),"ERROR")</f>
        <v>61</v>
      </c>
      <c r="R123" s="115">
        <f>IFERROR(VLOOKUP($B123,MMWR_TRAD_AGG_STATE_PEN[],R$1,0),"ERROR")</f>
        <v>66</v>
      </c>
      <c r="S123" s="115">
        <f>IFERROR(VLOOKUP($B123,MMWR_APP_STATE_PEN[],S$1,0),"ERROR")</f>
        <v>127</v>
      </c>
      <c r="T123" s="28"/>
    </row>
    <row r="124" spans="1:20" s="123" customFormat="1" x14ac:dyDescent="0.2">
      <c r="A124" s="28"/>
      <c r="B124" s="127" t="s">
        <v>431</v>
      </c>
      <c r="C124" s="109">
        <f>IFERROR(VLOOKUP($B124,MMWR_TRAD_AGG_STATE_PEN[],C$1,0),"ERROR")</f>
        <v>1328</v>
      </c>
      <c r="D124" s="110">
        <f>IFERROR(VLOOKUP($B124,MMWR_TRAD_AGG_STATE_PEN[],D$1,0),"ERROR")</f>
        <v>78.624246987999996</v>
      </c>
      <c r="E124" s="111">
        <f>IFERROR(VLOOKUP($B124,MMWR_TRAD_AGG_STATE_PEN[],E$1,0),"ERROR")</f>
        <v>671</v>
      </c>
      <c r="F124" s="112">
        <f>IFERROR(VLOOKUP($B124,MMWR_TRAD_AGG_STATE_PEN[],F$1,0),"ERROR")</f>
        <v>143</v>
      </c>
      <c r="G124" s="113">
        <f t="shared" si="12"/>
        <v>0.21311475409836064</v>
      </c>
      <c r="H124" s="111">
        <f>IFERROR(VLOOKUP($B124,MMWR_TRAD_AGG_STATE_PEN[],H$1,0),"ERROR")</f>
        <v>1773</v>
      </c>
      <c r="I124" s="112">
        <f>IFERROR(VLOOKUP($B124,MMWR_TRAD_AGG_STATE_PEN[],I$1,0),"ERROR")</f>
        <v>522</v>
      </c>
      <c r="J124" s="114">
        <f t="shared" si="13"/>
        <v>0.29441624365482233</v>
      </c>
      <c r="K124" s="111">
        <f>IFERROR(VLOOKUP($B124,MMWR_TRAD_AGG_STATE_PEN[],K$1,0),"ERROR")</f>
        <v>7</v>
      </c>
      <c r="L124" s="112">
        <f>IFERROR(VLOOKUP($B124,MMWR_TRAD_AGG_STATE_PEN[],L$1,0),"ERROR")</f>
        <v>6</v>
      </c>
      <c r="M124" s="114">
        <f t="shared" si="14"/>
        <v>0.8571428571428571</v>
      </c>
      <c r="N124" s="111">
        <f>IFERROR(VLOOKUP($B124,MMWR_TRAD_AGG_STATE_PEN[],N$1,0),"ERROR")</f>
        <v>19</v>
      </c>
      <c r="O124" s="112">
        <f>IFERROR(VLOOKUP($B124,MMWR_TRAD_AGG_STATE_PEN[],O$1,0),"ERROR")</f>
        <v>13</v>
      </c>
      <c r="P124" s="114">
        <f t="shared" si="15"/>
        <v>0.68421052631578949</v>
      </c>
      <c r="Q124" s="115">
        <f>IFERROR(VLOOKUP($B124,MMWR_TRAD_AGG_STATE_PEN[],Q$1,0),"ERROR")</f>
        <v>96</v>
      </c>
      <c r="R124" s="115">
        <f>IFERROR(VLOOKUP($B124,MMWR_TRAD_AGG_STATE_PEN[],R$1,0),"ERROR")</f>
        <v>131</v>
      </c>
      <c r="S124" s="115">
        <f>IFERROR(VLOOKUP($B124,MMWR_APP_STATE_PEN[],S$1,0),"ERROR")</f>
        <v>124</v>
      </c>
      <c r="T124" s="28"/>
    </row>
    <row r="125" spans="1:20" s="123" customFormat="1" x14ac:dyDescent="0.2">
      <c r="A125" s="28"/>
      <c r="B125" s="127" t="s">
        <v>387</v>
      </c>
      <c r="C125" s="109">
        <f>IFERROR(VLOOKUP($B125,MMWR_TRAD_AGG_STATE_PEN[],C$1,0),"ERROR")</f>
        <v>980</v>
      </c>
      <c r="D125" s="110">
        <f>IFERROR(VLOOKUP($B125,MMWR_TRAD_AGG_STATE_PEN[],D$1,0),"ERROR")</f>
        <v>96.018367346900007</v>
      </c>
      <c r="E125" s="111">
        <f>IFERROR(VLOOKUP($B125,MMWR_TRAD_AGG_STATE_PEN[],E$1,0),"ERROR")</f>
        <v>996</v>
      </c>
      <c r="F125" s="112">
        <f>IFERROR(VLOOKUP($B125,MMWR_TRAD_AGG_STATE_PEN[],F$1,0),"ERROR")</f>
        <v>239</v>
      </c>
      <c r="G125" s="113">
        <f t="shared" si="12"/>
        <v>0.23995983935742971</v>
      </c>
      <c r="H125" s="111">
        <f>IFERROR(VLOOKUP($B125,MMWR_TRAD_AGG_STATE_PEN[],H$1,0),"ERROR")</f>
        <v>1271</v>
      </c>
      <c r="I125" s="112">
        <f>IFERROR(VLOOKUP($B125,MMWR_TRAD_AGG_STATE_PEN[],I$1,0),"ERROR")</f>
        <v>457</v>
      </c>
      <c r="J125" s="114">
        <f t="shared" si="13"/>
        <v>0.35955940204563336</v>
      </c>
      <c r="K125" s="111">
        <f>IFERROR(VLOOKUP($B125,MMWR_TRAD_AGG_STATE_PEN[],K$1,0),"ERROR")</f>
        <v>10</v>
      </c>
      <c r="L125" s="112">
        <f>IFERROR(VLOOKUP($B125,MMWR_TRAD_AGG_STATE_PEN[],L$1,0),"ERROR")</f>
        <v>8</v>
      </c>
      <c r="M125" s="114">
        <f t="shared" si="14"/>
        <v>0.8</v>
      </c>
      <c r="N125" s="111">
        <f>IFERROR(VLOOKUP($B125,MMWR_TRAD_AGG_STATE_PEN[],N$1,0),"ERROR")</f>
        <v>41</v>
      </c>
      <c r="O125" s="112">
        <f>IFERROR(VLOOKUP($B125,MMWR_TRAD_AGG_STATE_PEN[],O$1,0),"ERROR")</f>
        <v>18</v>
      </c>
      <c r="P125" s="114">
        <f t="shared" si="15"/>
        <v>0.43902439024390244</v>
      </c>
      <c r="Q125" s="115">
        <f>IFERROR(VLOOKUP($B125,MMWR_TRAD_AGG_STATE_PEN[],Q$1,0),"ERROR")</f>
        <v>159</v>
      </c>
      <c r="R125" s="115">
        <f>IFERROR(VLOOKUP($B125,MMWR_TRAD_AGG_STATE_PEN[],R$1,0),"ERROR")</f>
        <v>297</v>
      </c>
      <c r="S125" s="115">
        <f>IFERROR(VLOOKUP($B125,MMWR_APP_STATE_PEN[],S$1,0),"ERROR")</f>
        <v>167</v>
      </c>
      <c r="T125" s="28"/>
    </row>
    <row r="126" spans="1:20" s="123" customFormat="1" x14ac:dyDescent="0.2">
      <c r="A126" s="28"/>
      <c r="B126" s="127" t="s">
        <v>388</v>
      </c>
      <c r="C126" s="109">
        <f>IFERROR(VLOOKUP($B126,MMWR_TRAD_AGG_STATE_PEN[],C$1,0),"ERROR")</f>
        <v>435</v>
      </c>
      <c r="D126" s="110">
        <f>IFERROR(VLOOKUP($B126,MMWR_TRAD_AGG_STATE_PEN[],D$1,0),"ERROR")</f>
        <v>49.280459770100002</v>
      </c>
      <c r="E126" s="111">
        <f>IFERROR(VLOOKUP($B126,MMWR_TRAD_AGG_STATE_PEN[],E$1,0),"ERROR")</f>
        <v>683</v>
      </c>
      <c r="F126" s="112">
        <f>IFERROR(VLOOKUP($B126,MMWR_TRAD_AGG_STATE_PEN[],F$1,0),"ERROR")</f>
        <v>71</v>
      </c>
      <c r="G126" s="113">
        <f t="shared" si="12"/>
        <v>0.10395314787701318</v>
      </c>
      <c r="H126" s="111">
        <f>IFERROR(VLOOKUP($B126,MMWR_TRAD_AGG_STATE_PEN[],H$1,0),"ERROR")</f>
        <v>600</v>
      </c>
      <c r="I126" s="112">
        <f>IFERROR(VLOOKUP($B126,MMWR_TRAD_AGG_STATE_PEN[],I$1,0),"ERROR")</f>
        <v>61</v>
      </c>
      <c r="J126" s="114">
        <f t="shared" si="13"/>
        <v>0.10166666666666667</v>
      </c>
      <c r="K126" s="111">
        <f>IFERROR(VLOOKUP($B126,MMWR_TRAD_AGG_STATE_PEN[],K$1,0),"ERROR")</f>
        <v>1</v>
      </c>
      <c r="L126" s="112">
        <f>IFERROR(VLOOKUP($B126,MMWR_TRAD_AGG_STATE_PEN[],L$1,0),"ERROR")</f>
        <v>1</v>
      </c>
      <c r="M126" s="114">
        <f t="shared" si="14"/>
        <v>1</v>
      </c>
      <c r="N126" s="111">
        <f>IFERROR(VLOOKUP($B126,MMWR_TRAD_AGG_STATE_PEN[],N$1,0),"ERROR")</f>
        <v>53</v>
      </c>
      <c r="O126" s="112">
        <f>IFERROR(VLOOKUP($B126,MMWR_TRAD_AGG_STATE_PEN[],O$1,0),"ERROR")</f>
        <v>14</v>
      </c>
      <c r="P126" s="114">
        <f t="shared" si="15"/>
        <v>0.26415094339622641</v>
      </c>
      <c r="Q126" s="115">
        <f>IFERROR(VLOOKUP($B126,MMWR_TRAD_AGG_STATE_PEN[],Q$1,0),"ERROR")</f>
        <v>119</v>
      </c>
      <c r="R126" s="115">
        <f>IFERROR(VLOOKUP($B126,MMWR_TRAD_AGG_STATE_PEN[],R$1,0),"ERROR")</f>
        <v>72</v>
      </c>
      <c r="S126" s="115">
        <f>IFERROR(VLOOKUP($B126,MMWR_APP_STATE_PEN[],S$1,0),"ERROR")</f>
        <v>256</v>
      </c>
      <c r="T126" s="28"/>
    </row>
    <row r="127" spans="1:20" s="123" customFormat="1" x14ac:dyDescent="0.2">
      <c r="A127" s="28"/>
      <c r="B127" s="128" t="s">
        <v>8</v>
      </c>
      <c r="C127" s="102">
        <f>IFERROR(VLOOKUP($B127,MMWR_TRAD_AGG_ST_DISTRICT_PEN[],C$1,0),"ERROR")</f>
        <v>143</v>
      </c>
      <c r="D127" s="103">
        <f>IFERROR(VLOOKUP($B127,MMWR_TRAD_AGG_ST_DISTRICT_PEN[],D$1,0),"ERROR")</f>
        <v>94.524475524500005</v>
      </c>
      <c r="E127" s="102">
        <f>IFERROR(VLOOKUP($B127,MMWR_TRAD_AGG_ST_DISTRICT_PEN[],E$1,0),"ERROR")</f>
        <v>214</v>
      </c>
      <c r="F127" s="102">
        <f>IFERROR(VLOOKUP($B127,MMWR_TRAD_AGG_ST_DISTRICT_PEN[],F$1,0),"ERROR")</f>
        <v>92</v>
      </c>
      <c r="G127" s="104">
        <f t="shared" si="12"/>
        <v>0.42990654205607476</v>
      </c>
      <c r="H127" s="102">
        <f>IFERROR(VLOOKUP($B127,MMWR_TRAD_AGG_ST_DISTRICT_PEN[],H$1,0),"ERROR")</f>
        <v>315</v>
      </c>
      <c r="I127" s="102">
        <f>IFERROR(VLOOKUP($B127,MMWR_TRAD_AGG_ST_DISTRICT_PEN[],I$1,0),"ERROR")</f>
        <v>149</v>
      </c>
      <c r="J127" s="104">
        <f t="shared" si="13"/>
        <v>0.473015873015873</v>
      </c>
      <c r="K127" s="102">
        <f>IFERROR(VLOOKUP($B127,MMWR_TRAD_AGG_ST_DISTRICT_PEN[],K$1,0),"ERROR")</f>
        <v>11</v>
      </c>
      <c r="L127" s="102">
        <f>IFERROR(VLOOKUP($B127,MMWR_TRAD_AGG_ST_DISTRICT_PEN[],L$1,0),"ERROR")</f>
        <v>10</v>
      </c>
      <c r="M127" s="104">
        <f t="shared" si="14"/>
        <v>0.90909090909090906</v>
      </c>
      <c r="N127" s="102">
        <f>IFERROR(VLOOKUP($B127,MMWR_TRAD_AGG_ST_DISTRICT_PEN[],N$1,0),"ERROR")</f>
        <v>8</v>
      </c>
      <c r="O127" s="102">
        <f>IFERROR(VLOOKUP($B127,MMWR_TRAD_AGG_ST_DISTRICT_PEN[],O$1,0),"ERROR")</f>
        <v>5</v>
      </c>
      <c r="P127" s="104">
        <f t="shared" si="15"/>
        <v>0.625</v>
      </c>
      <c r="Q127" s="102">
        <f>IFERROR(VLOOKUP($B127,MMWR_TRAD_AGG_ST_DISTRICT_PEN[],Q$1,0),"ERROR")</f>
        <v>33</v>
      </c>
      <c r="R127" s="106">
        <f>IFERROR(VLOOKUP($B127,MMWR_TRAD_AGG_ST_DISTRICT_PEN[],R$1,0),"ERROR")</f>
        <v>22</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657</v>
      </c>
      <c r="C2" t="s">
        <v>460</v>
      </c>
      <c r="D2" t="s">
        <v>462</v>
      </c>
      <c r="F2" t="s">
        <v>656</v>
      </c>
      <c r="G2" t="s">
        <v>309</v>
      </c>
      <c r="H2" t="s">
        <v>136</v>
      </c>
      <c r="I2" t="s">
        <v>217</v>
      </c>
      <c r="J2" t="s">
        <v>218</v>
      </c>
      <c r="K2" t="s">
        <v>219</v>
      </c>
      <c r="L2" t="s">
        <v>220</v>
      </c>
      <c r="M2" t="s">
        <v>221</v>
      </c>
      <c r="N2" t="s">
        <v>222</v>
      </c>
      <c r="O2" t="s">
        <v>223</v>
      </c>
      <c r="P2" t="s">
        <v>224</v>
      </c>
      <c r="Q2" t="s">
        <v>225</v>
      </c>
      <c r="R2" t="s">
        <v>226</v>
      </c>
      <c r="T2" t="s">
        <v>655</v>
      </c>
      <c r="U2" t="s">
        <v>309</v>
      </c>
      <c r="V2" t="s">
        <v>136</v>
      </c>
      <c r="W2" t="s">
        <v>217</v>
      </c>
      <c r="X2" t="s">
        <v>463</v>
      </c>
      <c r="Y2" t="s">
        <v>219</v>
      </c>
      <c r="Z2" t="s">
        <v>220</v>
      </c>
      <c r="AA2" t="s">
        <v>221</v>
      </c>
      <c r="AB2" t="s">
        <v>464</v>
      </c>
      <c r="AC2" t="s">
        <v>223</v>
      </c>
      <c r="AD2" t="s">
        <v>224</v>
      </c>
      <c r="AE2" t="s">
        <v>225</v>
      </c>
      <c r="AF2" t="s">
        <v>226</v>
      </c>
      <c r="AH2" t="s">
        <v>654</v>
      </c>
      <c r="AI2" t="s">
        <v>309</v>
      </c>
      <c r="AJ2" t="s">
        <v>136</v>
      </c>
      <c r="AK2" t="s">
        <v>217</v>
      </c>
      <c r="AL2" t="s">
        <v>218</v>
      </c>
      <c r="AM2" t="s">
        <v>219</v>
      </c>
      <c r="AN2" t="s">
        <v>220</v>
      </c>
      <c r="AO2" t="s">
        <v>221</v>
      </c>
      <c r="AP2" t="s">
        <v>222</v>
      </c>
      <c r="AQ2" t="s">
        <v>223</v>
      </c>
      <c r="AR2" t="s">
        <v>224</v>
      </c>
      <c r="AS2" t="s">
        <v>225</v>
      </c>
      <c r="AT2" t="s">
        <v>226</v>
      </c>
      <c r="AV2" t="s">
        <v>653</v>
      </c>
      <c r="AW2" t="s">
        <v>309</v>
      </c>
      <c r="AX2" t="s">
        <v>136</v>
      </c>
      <c r="AY2" t="s">
        <v>217</v>
      </c>
      <c r="AZ2" t="s">
        <v>463</v>
      </c>
      <c r="BA2" t="s">
        <v>219</v>
      </c>
      <c r="BB2" t="s">
        <v>220</v>
      </c>
      <c r="BC2" t="s">
        <v>221</v>
      </c>
      <c r="BD2" t="s">
        <v>464</v>
      </c>
      <c r="BE2" t="s">
        <v>223</v>
      </c>
      <c r="BF2" t="s">
        <v>224</v>
      </c>
      <c r="BG2" t="s">
        <v>225</v>
      </c>
      <c r="BH2" t="s">
        <v>226</v>
      </c>
      <c r="BJ2" t="s">
        <v>715</v>
      </c>
      <c r="BK2" t="s">
        <v>734</v>
      </c>
      <c r="BL2" t="s">
        <v>703</v>
      </c>
      <c r="BM2" t="s">
        <v>704</v>
      </c>
      <c r="BN2" t="s">
        <v>705</v>
      </c>
      <c r="BO2" t="s">
        <v>706</v>
      </c>
      <c r="BP2" t="s">
        <v>707</v>
      </c>
      <c r="BQ2" t="s">
        <v>716</v>
      </c>
      <c r="BR2" t="s">
        <v>717</v>
      </c>
      <c r="BS2" t="s">
        <v>708</v>
      </c>
      <c r="BT2" t="s">
        <v>709</v>
      </c>
      <c r="BU2" t="s">
        <v>710</v>
      </c>
      <c r="BV2" t="s">
        <v>711</v>
      </c>
      <c r="BW2" t="s">
        <v>712</v>
      </c>
      <c r="BX2" t="s">
        <v>713</v>
      </c>
      <c r="BY2" t="s">
        <v>714</v>
      </c>
      <c r="CA2" t="s">
        <v>1035</v>
      </c>
      <c r="CB2" t="s">
        <v>739</v>
      </c>
      <c r="CC2" t="s">
        <v>740</v>
      </c>
      <c r="CD2" t="s">
        <v>718</v>
      </c>
      <c r="CE2" t="s">
        <v>719</v>
      </c>
      <c r="CF2" t="s">
        <v>720</v>
      </c>
      <c r="CG2" t="s">
        <v>721</v>
      </c>
      <c r="CH2" t="s">
        <v>722</v>
      </c>
      <c r="CI2" t="s">
        <v>723</v>
      </c>
      <c r="CJ2" t="s">
        <v>724</v>
      </c>
      <c r="CL2" t="s">
        <v>1036</v>
      </c>
      <c r="CM2" t="s">
        <v>739</v>
      </c>
      <c r="CN2" t="s">
        <v>740</v>
      </c>
      <c r="CO2" t="s">
        <v>718</v>
      </c>
      <c r="CP2" t="s">
        <v>719</v>
      </c>
      <c r="CQ2" t="s">
        <v>720</v>
      </c>
      <c r="CR2" t="s">
        <v>721</v>
      </c>
      <c r="CS2" t="s">
        <v>722</v>
      </c>
      <c r="CT2" t="s">
        <v>723</v>
      </c>
      <c r="CU2" t="s">
        <v>724</v>
      </c>
      <c r="CW2" t="s">
        <v>1037</v>
      </c>
      <c r="CX2" t="s">
        <v>739</v>
      </c>
      <c r="CY2" t="s">
        <v>740</v>
      </c>
      <c r="CZ2" t="s">
        <v>718</v>
      </c>
      <c r="DA2" t="s">
        <v>719</v>
      </c>
      <c r="DB2" t="s">
        <v>720</v>
      </c>
      <c r="DC2" t="s">
        <v>721</v>
      </c>
      <c r="DD2" t="s">
        <v>722</v>
      </c>
      <c r="DE2" t="s">
        <v>723</v>
      </c>
      <c r="DF2" t="s">
        <v>724</v>
      </c>
      <c r="DH2" t="s">
        <v>1038</v>
      </c>
      <c r="DI2" t="s">
        <v>739</v>
      </c>
      <c r="DJ2" t="s">
        <v>740</v>
      </c>
      <c r="DK2" t="s">
        <v>718</v>
      </c>
      <c r="DL2" t="s">
        <v>719</v>
      </c>
      <c r="DM2" t="s">
        <v>720</v>
      </c>
      <c r="DN2" t="s">
        <v>721</v>
      </c>
      <c r="DO2" t="s">
        <v>722</v>
      </c>
      <c r="DP2" t="s">
        <v>723</v>
      </c>
      <c r="DQ2" t="s">
        <v>724</v>
      </c>
    </row>
    <row r="3" spans="2:121" x14ac:dyDescent="0.2">
      <c r="C3">
        <v>348528</v>
      </c>
      <c r="D3">
        <v>284673</v>
      </c>
      <c r="F3" t="s">
        <v>34</v>
      </c>
      <c r="G3">
        <v>997</v>
      </c>
      <c r="H3">
        <v>132.00802407219999</v>
      </c>
      <c r="I3">
        <v>2875</v>
      </c>
      <c r="J3">
        <v>551</v>
      </c>
      <c r="K3">
        <v>1403</v>
      </c>
      <c r="L3">
        <v>430</v>
      </c>
      <c r="M3">
        <v>324</v>
      </c>
      <c r="N3">
        <v>96</v>
      </c>
      <c r="O3">
        <v>418</v>
      </c>
      <c r="P3">
        <v>253</v>
      </c>
      <c r="Q3">
        <v>0</v>
      </c>
      <c r="R3">
        <v>10</v>
      </c>
      <c r="T3" t="s">
        <v>212</v>
      </c>
      <c r="U3">
        <v>4197</v>
      </c>
      <c r="V3">
        <v>45.2127710269</v>
      </c>
      <c r="W3">
        <v>7628</v>
      </c>
      <c r="X3">
        <v>853</v>
      </c>
      <c r="Y3">
        <v>6071</v>
      </c>
      <c r="Z3">
        <v>298</v>
      </c>
      <c r="AA3">
        <v>3</v>
      </c>
      <c r="AB3">
        <v>3</v>
      </c>
      <c r="AC3">
        <v>428</v>
      </c>
      <c r="AD3">
        <v>78</v>
      </c>
      <c r="AE3">
        <v>1012</v>
      </c>
      <c r="AF3">
        <v>757</v>
      </c>
      <c r="AH3" t="s">
        <v>392</v>
      </c>
      <c r="AI3">
        <v>13312</v>
      </c>
      <c r="AJ3">
        <v>391.38333834129998</v>
      </c>
      <c r="AK3">
        <v>7350</v>
      </c>
      <c r="AL3">
        <v>1640</v>
      </c>
      <c r="AM3">
        <v>17056</v>
      </c>
      <c r="AN3">
        <v>11583</v>
      </c>
      <c r="AO3">
        <v>5143</v>
      </c>
      <c r="AP3">
        <v>3888</v>
      </c>
      <c r="AQ3">
        <v>3485</v>
      </c>
      <c r="AR3">
        <v>2200</v>
      </c>
      <c r="AS3">
        <v>405</v>
      </c>
      <c r="AT3">
        <v>376</v>
      </c>
      <c r="AV3" t="s">
        <v>417</v>
      </c>
      <c r="AW3">
        <v>100</v>
      </c>
      <c r="AX3">
        <v>50.56</v>
      </c>
      <c r="AY3">
        <v>174</v>
      </c>
      <c r="AZ3">
        <v>6</v>
      </c>
      <c r="BA3">
        <v>134</v>
      </c>
      <c r="BB3">
        <v>7</v>
      </c>
      <c r="BC3">
        <v>0</v>
      </c>
      <c r="BE3">
        <v>8</v>
      </c>
      <c r="BF3">
        <v>4</v>
      </c>
      <c r="BG3">
        <v>130</v>
      </c>
      <c r="BH3">
        <v>28</v>
      </c>
      <c r="BJ3" t="s">
        <v>732</v>
      </c>
      <c r="BK3" t="s">
        <v>735</v>
      </c>
      <c r="BL3">
        <v>305447</v>
      </c>
      <c r="BM3">
        <v>70278</v>
      </c>
      <c r="BN3">
        <v>94.873703130199999</v>
      </c>
      <c r="BO3">
        <v>346797</v>
      </c>
      <c r="BP3">
        <v>85911</v>
      </c>
      <c r="BQ3">
        <v>135.1675187502</v>
      </c>
      <c r="BR3">
        <v>132.9565014957</v>
      </c>
      <c r="BS3">
        <v>305447</v>
      </c>
      <c r="BT3">
        <v>70278</v>
      </c>
      <c r="BU3">
        <v>94.873703130199999</v>
      </c>
      <c r="BV3">
        <v>346797</v>
      </c>
      <c r="BW3">
        <v>85911</v>
      </c>
      <c r="BX3">
        <v>135.1675187502</v>
      </c>
      <c r="BY3">
        <v>132.9565014957</v>
      </c>
      <c r="CA3" t="s">
        <v>1041</v>
      </c>
      <c r="CB3" t="s">
        <v>735</v>
      </c>
      <c r="CC3" t="s">
        <v>921</v>
      </c>
      <c r="CD3">
        <v>10561</v>
      </c>
      <c r="CE3">
        <v>2037</v>
      </c>
      <c r="CF3">
        <v>91.782691033000006</v>
      </c>
      <c r="CG3">
        <v>8060</v>
      </c>
      <c r="CH3">
        <v>2173</v>
      </c>
      <c r="CI3">
        <v>137.476674938</v>
      </c>
      <c r="CJ3">
        <v>148.21997238840001</v>
      </c>
      <c r="CL3" t="s">
        <v>1041</v>
      </c>
      <c r="CM3" t="s">
        <v>735</v>
      </c>
      <c r="CN3" t="s">
        <v>921</v>
      </c>
      <c r="CO3">
        <v>10561</v>
      </c>
      <c r="CP3">
        <v>2037</v>
      </c>
      <c r="CQ3">
        <v>91.782691033000006</v>
      </c>
      <c r="CR3">
        <v>8060</v>
      </c>
      <c r="CS3">
        <v>2173</v>
      </c>
      <c r="CT3">
        <v>137.476674938</v>
      </c>
      <c r="CU3">
        <v>148.21997238840001</v>
      </c>
      <c r="CW3" t="s">
        <v>1041</v>
      </c>
      <c r="CX3" t="s">
        <v>735</v>
      </c>
      <c r="CY3" t="s">
        <v>921</v>
      </c>
      <c r="CZ3">
        <v>10561</v>
      </c>
      <c r="DA3">
        <v>2037</v>
      </c>
      <c r="DB3">
        <v>91.782691033000006</v>
      </c>
      <c r="DC3">
        <v>8060</v>
      </c>
      <c r="DD3">
        <v>2173</v>
      </c>
      <c r="DE3">
        <v>137.476674938</v>
      </c>
      <c r="DF3">
        <v>148.21997238840001</v>
      </c>
      <c r="DH3" t="s">
        <v>1041</v>
      </c>
      <c r="DI3" t="s">
        <v>735</v>
      </c>
      <c r="DJ3" t="s">
        <v>921</v>
      </c>
      <c r="DK3">
        <v>10561</v>
      </c>
      <c r="DL3">
        <v>2037</v>
      </c>
      <c r="DM3">
        <v>91.782691033000006</v>
      </c>
      <c r="DN3">
        <v>8060</v>
      </c>
      <c r="DO3">
        <v>2173</v>
      </c>
      <c r="DP3">
        <v>137.476674938</v>
      </c>
      <c r="DQ3">
        <v>148.21997238840001</v>
      </c>
    </row>
    <row r="4" spans="2:121" x14ac:dyDescent="0.2">
      <c r="B4" t="s">
        <v>101</v>
      </c>
      <c r="C4">
        <v>101198</v>
      </c>
      <c r="D4">
        <v>80486</v>
      </c>
      <c r="F4" t="s">
        <v>80</v>
      </c>
      <c r="G4">
        <v>15932</v>
      </c>
      <c r="H4">
        <v>304.57237007280003</v>
      </c>
      <c r="I4">
        <v>20292</v>
      </c>
      <c r="J4">
        <v>5117</v>
      </c>
      <c r="K4">
        <v>19294</v>
      </c>
      <c r="L4">
        <v>12392</v>
      </c>
      <c r="M4">
        <v>4505</v>
      </c>
      <c r="N4">
        <v>2356</v>
      </c>
      <c r="O4">
        <v>12176</v>
      </c>
      <c r="P4">
        <v>7693</v>
      </c>
      <c r="Q4">
        <v>11</v>
      </c>
      <c r="R4">
        <v>253</v>
      </c>
      <c r="T4" t="s">
        <v>227</v>
      </c>
      <c r="U4">
        <v>0</v>
      </c>
      <c r="W4">
        <v>283</v>
      </c>
      <c r="X4">
        <v>123</v>
      </c>
      <c r="Y4">
        <v>481</v>
      </c>
      <c r="Z4">
        <v>339</v>
      </c>
      <c r="AA4">
        <v>223</v>
      </c>
      <c r="AB4">
        <v>220</v>
      </c>
      <c r="AC4">
        <v>201</v>
      </c>
      <c r="AD4">
        <v>164</v>
      </c>
      <c r="AE4">
        <v>11</v>
      </c>
      <c r="AF4">
        <v>0</v>
      </c>
      <c r="AH4" t="s">
        <v>428</v>
      </c>
      <c r="AI4">
        <v>1967</v>
      </c>
      <c r="AJ4">
        <v>450.15556685310003</v>
      </c>
      <c r="AK4">
        <v>1227</v>
      </c>
      <c r="AL4">
        <v>323</v>
      </c>
      <c r="AM4">
        <v>2864</v>
      </c>
      <c r="AN4">
        <v>2012</v>
      </c>
      <c r="AO4">
        <v>1884</v>
      </c>
      <c r="AP4">
        <v>1541</v>
      </c>
      <c r="AQ4">
        <v>643</v>
      </c>
      <c r="AR4">
        <v>356</v>
      </c>
      <c r="AS4">
        <v>1</v>
      </c>
      <c r="AT4">
        <v>2</v>
      </c>
      <c r="AV4" t="s">
        <v>431</v>
      </c>
      <c r="AW4">
        <v>1328</v>
      </c>
      <c r="AX4">
        <v>78.624246987999996</v>
      </c>
      <c r="AY4">
        <v>671</v>
      </c>
      <c r="AZ4">
        <v>143</v>
      </c>
      <c r="BA4">
        <v>1773</v>
      </c>
      <c r="BB4">
        <v>522</v>
      </c>
      <c r="BC4">
        <v>7</v>
      </c>
      <c r="BD4">
        <v>6</v>
      </c>
      <c r="BE4">
        <v>19</v>
      </c>
      <c r="BF4">
        <v>13</v>
      </c>
      <c r="BG4">
        <v>96</v>
      </c>
      <c r="BH4">
        <v>131</v>
      </c>
      <c r="BJ4" t="s">
        <v>641</v>
      </c>
      <c r="BK4" t="s">
        <v>389</v>
      </c>
      <c r="BL4">
        <v>837</v>
      </c>
      <c r="BM4">
        <v>101</v>
      </c>
      <c r="BN4">
        <v>75.569892473099998</v>
      </c>
      <c r="BO4">
        <v>819</v>
      </c>
      <c r="BP4">
        <v>204</v>
      </c>
      <c r="BQ4">
        <v>140.38705738709999</v>
      </c>
      <c r="BR4">
        <v>139.5588235294</v>
      </c>
      <c r="BS4">
        <v>873</v>
      </c>
      <c r="BT4">
        <v>129</v>
      </c>
      <c r="BU4">
        <v>80.128293241700007</v>
      </c>
      <c r="BV4">
        <v>942</v>
      </c>
      <c r="BW4">
        <v>227</v>
      </c>
      <c r="BX4">
        <v>143.28131634819999</v>
      </c>
      <c r="BY4">
        <v>143.9030837004</v>
      </c>
      <c r="CA4" t="s">
        <v>1040</v>
      </c>
      <c r="CB4" t="s">
        <v>735</v>
      </c>
      <c r="CC4" t="s">
        <v>921</v>
      </c>
      <c r="CD4">
        <v>305447</v>
      </c>
      <c r="CE4">
        <v>70278</v>
      </c>
      <c r="CF4">
        <v>94.873703130199999</v>
      </c>
      <c r="CG4">
        <v>346797</v>
      </c>
      <c r="CH4">
        <v>85911</v>
      </c>
      <c r="CI4">
        <v>135.1675187502</v>
      </c>
      <c r="CJ4">
        <v>132.9565014957</v>
      </c>
      <c r="CL4" t="s">
        <v>1040</v>
      </c>
      <c r="CM4" t="s">
        <v>735</v>
      </c>
      <c r="CN4" t="s">
        <v>921</v>
      </c>
      <c r="CO4">
        <v>305447</v>
      </c>
      <c r="CP4">
        <v>70278</v>
      </c>
      <c r="CQ4">
        <v>94.873703130199999</v>
      </c>
      <c r="CR4">
        <v>346797</v>
      </c>
      <c r="CS4">
        <v>85911</v>
      </c>
      <c r="CT4">
        <v>135.1675187502</v>
      </c>
      <c r="CU4">
        <v>132.9565014957</v>
      </c>
      <c r="CW4" t="s">
        <v>1040</v>
      </c>
      <c r="CX4" t="s">
        <v>735</v>
      </c>
      <c r="CY4" t="s">
        <v>921</v>
      </c>
      <c r="CZ4">
        <v>305447</v>
      </c>
      <c r="DA4">
        <v>70278</v>
      </c>
      <c r="DB4">
        <v>94.873703130199999</v>
      </c>
      <c r="DC4">
        <v>346797</v>
      </c>
      <c r="DD4">
        <v>85911</v>
      </c>
      <c r="DE4">
        <v>135.1675187502</v>
      </c>
      <c r="DF4">
        <v>132.9565014957</v>
      </c>
      <c r="DH4" t="s">
        <v>1040</v>
      </c>
      <c r="DI4" t="s">
        <v>735</v>
      </c>
      <c r="DJ4" t="s">
        <v>921</v>
      </c>
      <c r="DK4">
        <v>305447</v>
      </c>
      <c r="DL4">
        <v>70278</v>
      </c>
      <c r="DM4">
        <v>94.873703130199999</v>
      </c>
      <c r="DN4">
        <v>346797</v>
      </c>
      <c r="DO4">
        <v>85911</v>
      </c>
      <c r="DP4">
        <v>135.1675187502</v>
      </c>
      <c r="DQ4">
        <v>132.9565014957</v>
      </c>
    </row>
    <row r="5" spans="2:121" x14ac:dyDescent="0.2">
      <c r="B5" t="s">
        <v>110</v>
      </c>
      <c r="C5">
        <v>76081</v>
      </c>
      <c r="D5">
        <v>55512</v>
      </c>
      <c r="F5" t="s">
        <v>54</v>
      </c>
      <c r="G5">
        <v>4348</v>
      </c>
      <c r="H5">
        <v>384.54461821529998</v>
      </c>
      <c r="I5">
        <v>3228</v>
      </c>
      <c r="J5">
        <v>571</v>
      </c>
      <c r="K5">
        <v>7976</v>
      </c>
      <c r="L5">
        <v>4330</v>
      </c>
      <c r="M5">
        <v>4029</v>
      </c>
      <c r="N5">
        <v>3418</v>
      </c>
      <c r="O5">
        <v>1398</v>
      </c>
      <c r="P5">
        <v>709</v>
      </c>
      <c r="Q5">
        <v>1</v>
      </c>
      <c r="R5">
        <v>112</v>
      </c>
      <c r="T5" t="s">
        <v>213</v>
      </c>
      <c r="U5">
        <v>14183</v>
      </c>
      <c r="V5">
        <v>94.700627511799993</v>
      </c>
      <c r="W5">
        <v>18268</v>
      </c>
      <c r="X5">
        <v>4107</v>
      </c>
      <c r="Y5">
        <v>18674</v>
      </c>
      <c r="Z5">
        <v>6212</v>
      </c>
      <c r="AA5">
        <v>110</v>
      </c>
      <c r="AB5">
        <v>107</v>
      </c>
      <c r="AC5">
        <v>872</v>
      </c>
      <c r="AD5">
        <v>305</v>
      </c>
      <c r="AE5">
        <v>2200</v>
      </c>
      <c r="AF5">
        <v>4394</v>
      </c>
      <c r="AH5" t="s">
        <v>430</v>
      </c>
      <c r="AI5">
        <v>6028</v>
      </c>
      <c r="AJ5">
        <v>416.848540146</v>
      </c>
      <c r="AK5">
        <v>5865</v>
      </c>
      <c r="AL5">
        <v>1368</v>
      </c>
      <c r="AM5">
        <v>8276</v>
      </c>
      <c r="AN5">
        <v>5312</v>
      </c>
      <c r="AO5">
        <v>1496</v>
      </c>
      <c r="AP5">
        <v>737</v>
      </c>
      <c r="AQ5">
        <v>3753</v>
      </c>
      <c r="AR5">
        <v>2723</v>
      </c>
      <c r="AS5">
        <v>6</v>
      </c>
      <c r="AT5">
        <v>76</v>
      </c>
      <c r="AV5" t="s">
        <v>404</v>
      </c>
      <c r="AW5">
        <v>53</v>
      </c>
      <c r="AX5">
        <v>33.886792452800002</v>
      </c>
      <c r="AY5">
        <v>73</v>
      </c>
      <c r="AZ5">
        <v>6</v>
      </c>
      <c r="BA5">
        <v>74</v>
      </c>
      <c r="BB5">
        <v>2</v>
      </c>
      <c r="BC5">
        <v>0</v>
      </c>
      <c r="BE5">
        <v>4</v>
      </c>
      <c r="BG5">
        <v>177</v>
      </c>
      <c r="BH5">
        <v>13</v>
      </c>
      <c r="BJ5" t="s">
        <v>389</v>
      </c>
      <c r="BK5" t="s">
        <v>389</v>
      </c>
      <c r="BL5">
        <v>61077</v>
      </c>
      <c r="BM5">
        <v>13194</v>
      </c>
      <c r="BN5">
        <v>92.712690538199993</v>
      </c>
      <c r="BO5">
        <v>66602</v>
      </c>
      <c r="BP5">
        <v>15875</v>
      </c>
      <c r="BQ5">
        <v>141.08633374370001</v>
      </c>
      <c r="BR5">
        <v>136.56894488189999</v>
      </c>
      <c r="BS5">
        <v>60776</v>
      </c>
      <c r="BT5">
        <v>13227</v>
      </c>
      <c r="BU5">
        <v>92.873552059999994</v>
      </c>
      <c r="BV5">
        <v>67042</v>
      </c>
      <c r="BW5">
        <v>16123</v>
      </c>
      <c r="BX5">
        <v>140.74143074489999</v>
      </c>
      <c r="BY5">
        <v>137.53172486509999</v>
      </c>
      <c r="CA5" t="s">
        <v>1042</v>
      </c>
      <c r="CB5" t="s">
        <v>735</v>
      </c>
      <c r="CC5" t="s">
        <v>921</v>
      </c>
      <c r="CD5">
        <v>26231</v>
      </c>
      <c r="CE5">
        <v>2878</v>
      </c>
      <c r="CF5">
        <v>70.008387022999997</v>
      </c>
      <c r="CG5">
        <v>47787</v>
      </c>
      <c r="CH5">
        <v>11594</v>
      </c>
      <c r="CI5">
        <v>73.584405800699997</v>
      </c>
      <c r="CJ5">
        <v>80.569691219600003</v>
      </c>
      <c r="CL5" t="s">
        <v>1042</v>
      </c>
      <c r="CM5" t="s">
        <v>735</v>
      </c>
      <c r="CN5" t="s">
        <v>921</v>
      </c>
      <c r="CO5">
        <v>26231</v>
      </c>
      <c r="CP5">
        <v>2878</v>
      </c>
      <c r="CQ5">
        <v>70.008387022999997</v>
      </c>
      <c r="CR5">
        <v>47787</v>
      </c>
      <c r="CS5">
        <v>11594</v>
      </c>
      <c r="CT5">
        <v>73.584405800699997</v>
      </c>
      <c r="CU5">
        <v>80.569691219600003</v>
      </c>
      <c r="CW5" t="s">
        <v>1042</v>
      </c>
      <c r="CX5" t="s">
        <v>735</v>
      </c>
      <c r="CY5" t="s">
        <v>921</v>
      </c>
      <c r="CZ5">
        <v>26231</v>
      </c>
      <c r="DA5">
        <v>2878</v>
      </c>
      <c r="DB5">
        <v>70.008387022999997</v>
      </c>
      <c r="DC5">
        <v>47787</v>
      </c>
      <c r="DD5">
        <v>11594</v>
      </c>
      <c r="DE5">
        <v>73.584405800699997</v>
      </c>
      <c r="DF5">
        <v>80.569691219600003</v>
      </c>
      <c r="DH5" t="s">
        <v>1042</v>
      </c>
      <c r="DI5" t="s">
        <v>735</v>
      </c>
      <c r="DJ5" t="s">
        <v>921</v>
      </c>
      <c r="DK5">
        <v>26231</v>
      </c>
      <c r="DL5">
        <v>2878</v>
      </c>
      <c r="DM5">
        <v>70.008387022999997</v>
      </c>
      <c r="DN5">
        <v>47787</v>
      </c>
      <c r="DO5">
        <v>11594</v>
      </c>
      <c r="DP5">
        <v>73.584405800699997</v>
      </c>
      <c r="DQ5">
        <v>80.569691219600003</v>
      </c>
    </row>
    <row r="6" spans="2:121" x14ac:dyDescent="0.2">
      <c r="B6" t="s">
        <v>93</v>
      </c>
      <c r="C6">
        <v>8383</v>
      </c>
      <c r="D6">
        <v>1530</v>
      </c>
      <c r="F6" t="s">
        <v>184</v>
      </c>
      <c r="G6">
        <v>501</v>
      </c>
      <c r="H6">
        <v>153.51497005990001</v>
      </c>
      <c r="I6">
        <v>638</v>
      </c>
      <c r="J6">
        <v>52</v>
      </c>
      <c r="K6">
        <v>689</v>
      </c>
      <c r="L6">
        <v>240</v>
      </c>
      <c r="M6">
        <v>440</v>
      </c>
      <c r="N6">
        <v>145</v>
      </c>
      <c r="O6">
        <v>171</v>
      </c>
      <c r="P6">
        <v>65</v>
      </c>
      <c r="Q6">
        <v>0</v>
      </c>
      <c r="R6">
        <v>7</v>
      </c>
      <c r="T6" t="s">
        <v>215</v>
      </c>
      <c r="U6">
        <v>3246</v>
      </c>
      <c r="V6">
        <v>42.353357979099997</v>
      </c>
      <c r="W6">
        <v>5907</v>
      </c>
      <c r="X6">
        <v>236</v>
      </c>
      <c r="Y6">
        <v>4430</v>
      </c>
      <c r="Z6">
        <v>41</v>
      </c>
      <c r="AA6">
        <v>31</v>
      </c>
      <c r="AB6">
        <v>12</v>
      </c>
      <c r="AC6">
        <v>201</v>
      </c>
      <c r="AD6">
        <v>64</v>
      </c>
      <c r="AE6">
        <v>6400</v>
      </c>
      <c r="AF6">
        <v>869</v>
      </c>
      <c r="AH6" t="s">
        <v>415</v>
      </c>
      <c r="AI6">
        <v>4681</v>
      </c>
      <c r="AJ6">
        <v>387.53856013670003</v>
      </c>
      <c r="AK6">
        <v>3575</v>
      </c>
      <c r="AL6">
        <v>641</v>
      </c>
      <c r="AM6">
        <v>6232</v>
      </c>
      <c r="AN6">
        <v>4394</v>
      </c>
      <c r="AO6">
        <v>1944</v>
      </c>
      <c r="AP6">
        <v>1471</v>
      </c>
      <c r="AQ6">
        <v>2175</v>
      </c>
      <c r="AR6">
        <v>1230</v>
      </c>
      <c r="AS6">
        <v>305</v>
      </c>
      <c r="AT6">
        <v>114</v>
      </c>
      <c r="AV6" t="s">
        <v>424</v>
      </c>
      <c r="AW6">
        <v>35</v>
      </c>
      <c r="AX6">
        <v>44.285714285700003</v>
      </c>
      <c r="AY6">
        <v>50</v>
      </c>
      <c r="BA6">
        <v>48</v>
      </c>
      <c r="BC6">
        <v>0</v>
      </c>
      <c r="BE6">
        <v>2</v>
      </c>
      <c r="BG6">
        <v>86</v>
      </c>
      <c r="BH6">
        <v>4</v>
      </c>
      <c r="BJ6" t="s">
        <v>588</v>
      </c>
      <c r="BK6" t="s">
        <v>389</v>
      </c>
      <c r="BL6">
        <v>6805</v>
      </c>
      <c r="BM6">
        <v>1524</v>
      </c>
      <c r="BN6">
        <v>97.608817046300004</v>
      </c>
      <c r="BO6">
        <v>5984</v>
      </c>
      <c r="BP6">
        <v>1576</v>
      </c>
      <c r="BQ6">
        <v>163.7620320856</v>
      </c>
      <c r="BR6">
        <v>161.40799492389999</v>
      </c>
      <c r="BS6">
        <v>6471</v>
      </c>
      <c r="BT6">
        <v>1489</v>
      </c>
      <c r="BU6">
        <v>97.182661103399994</v>
      </c>
      <c r="BV6">
        <v>5858</v>
      </c>
      <c r="BW6">
        <v>1516</v>
      </c>
      <c r="BX6">
        <v>160.97917377940001</v>
      </c>
      <c r="BY6">
        <v>161.1220316623</v>
      </c>
      <c r="CA6" t="s">
        <v>1043</v>
      </c>
      <c r="CB6" t="s">
        <v>735</v>
      </c>
      <c r="CC6" t="s">
        <v>921</v>
      </c>
      <c r="CD6">
        <v>10427</v>
      </c>
      <c r="CE6">
        <v>2244</v>
      </c>
      <c r="CF6">
        <v>92.282056200200003</v>
      </c>
      <c r="CG6">
        <v>6434</v>
      </c>
      <c r="CH6">
        <v>1698</v>
      </c>
      <c r="CI6">
        <v>145.1866645943</v>
      </c>
      <c r="CJ6">
        <v>158.8733804476</v>
      </c>
      <c r="CL6" t="s">
        <v>1043</v>
      </c>
      <c r="CM6" t="s">
        <v>735</v>
      </c>
      <c r="CN6" t="s">
        <v>921</v>
      </c>
      <c r="CO6">
        <v>10427</v>
      </c>
      <c r="CP6">
        <v>2244</v>
      </c>
      <c r="CQ6">
        <v>92.282056200200003</v>
      </c>
      <c r="CR6">
        <v>6434</v>
      </c>
      <c r="CS6">
        <v>1698</v>
      </c>
      <c r="CT6">
        <v>145.1866645943</v>
      </c>
      <c r="CU6">
        <v>158.8733804476</v>
      </c>
      <c r="CW6" t="s">
        <v>1043</v>
      </c>
      <c r="CX6" t="s">
        <v>735</v>
      </c>
      <c r="CY6" t="s">
        <v>921</v>
      </c>
      <c r="CZ6">
        <v>10427</v>
      </c>
      <c r="DA6">
        <v>2244</v>
      </c>
      <c r="DB6">
        <v>92.282056200200003</v>
      </c>
      <c r="DC6">
        <v>6434</v>
      </c>
      <c r="DD6">
        <v>1698</v>
      </c>
      <c r="DE6">
        <v>145.1866645943</v>
      </c>
      <c r="DF6">
        <v>158.8733804476</v>
      </c>
      <c r="DH6" t="s">
        <v>1043</v>
      </c>
      <c r="DI6" t="s">
        <v>735</v>
      </c>
      <c r="DJ6" t="s">
        <v>921</v>
      </c>
      <c r="DK6">
        <v>10427</v>
      </c>
      <c r="DL6">
        <v>2244</v>
      </c>
      <c r="DM6">
        <v>92.282056200200003</v>
      </c>
      <c r="DN6">
        <v>6434</v>
      </c>
      <c r="DO6">
        <v>1698</v>
      </c>
      <c r="DP6">
        <v>145.1866645943</v>
      </c>
      <c r="DQ6">
        <v>158.8733804476</v>
      </c>
    </row>
    <row r="7" spans="2:121" x14ac:dyDescent="0.2">
      <c r="B7" t="s">
        <v>94</v>
      </c>
      <c r="C7">
        <v>1207</v>
      </c>
      <c r="D7">
        <v>588</v>
      </c>
      <c r="F7" t="s">
        <v>61</v>
      </c>
      <c r="G7">
        <v>4654</v>
      </c>
      <c r="H7">
        <v>237.3205844435</v>
      </c>
      <c r="I7">
        <v>10194</v>
      </c>
      <c r="J7">
        <v>2368</v>
      </c>
      <c r="K7">
        <v>7722</v>
      </c>
      <c r="L7">
        <v>3889</v>
      </c>
      <c r="M7">
        <v>3041</v>
      </c>
      <c r="N7">
        <v>1809</v>
      </c>
      <c r="O7">
        <v>1713</v>
      </c>
      <c r="P7">
        <v>1108</v>
      </c>
      <c r="Q7">
        <v>1</v>
      </c>
      <c r="R7">
        <v>257</v>
      </c>
      <c r="T7" t="s">
        <v>466</v>
      </c>
      <c r="U7">
        <v>21626</v>
      </c>
      <c r="V7">
        <v>77.239249052100007</v>
      </c>
      <c r="W7">
        <v>32086</v>
      </c>
      <c r="X7">
        <v>5319</v>
      </c>
      <c r="Y7">
        <v>29656</v>
      </c>
      <c r="Z7">
        <v>6890</v>
      </c>
      <c r="AA7">
        <v>367</v>
      </c>
      <c r="AB7">
        <v>342</v>
      </c>
      <c r="AC7">
        <v>1702</v>
      </c>
      <c r="AD7">
        <v>611</v>
      </c>
      <c r="AE7">
        <v>9623</v>
      </c>
      <c r="AF7">
        <v>6020</v>
      </c>
      <c r="AH7" t="s">
        <v>411</v>
      </c>
      <c r="AI7">
        <v>29577</v>
      </c>
      <c r="AJ7">
        <v>393.52872164180002</v>
      </c>
      <c r="AK7">
        <v>30938</v>
      </c>
      <c r="AL7">
        <v>6933</v>
      </c>
      <c r="AM7">
        <v>42665</v>
      </c>
      <c r="AN7">
        <v>29786</v>
      </c>
      <c r="AO7">
        <v>8891</v>
      </c>
      <c r="AP7">
        <v>6247</v>
      </c>
      <c r="AQ7">
        <v>15165</v>
      </c>
      <c r="AR7">
        <v>9551</v>
      </c>
      <c r="AS7">
        <v>55</v>
      </c>
      <c r="AT7">
        <v>139</v>
      </c>
      <c r="AV7" t="s">
        <v>392</v>
      </c>
      <c r="AW7">
        <v>679</v>
      </c>
      <c r="AX7">
        <v>44.0544918999</v>
      </c>
      <c r="AY7">
        <v>877</v>
      </c>
      <c r="AZ7">
        <v>77</v>
      </c>
      <c r="BA7">
        <v>872</v>
      </c>
      <c r="BB7">
        <v>47</v>
      </c>
      <c r="BC7">
        <v>5</v>
      </c>
      <c r="BD7">
        <v>5</v>
      </c>
      <c r="BE7">
        <v>51</v>
      </c>
      <c r="BF7">
        <v>11</v>
      </c>
      <c r="BG7">
        <v>129</v>
      </c>
      <c r="BH7">
        <v>88</v>
      </c>
      <c r="BJ7" t="s">
        <v>635</v>
      </c>
      <c r="BK7" t="s">
        <v>389</v>
      </c>
      <c r="BL7">
        <v>645</v>
      </c>
      <c r="BM7">
        <v>50</v>
      </c>
      <c r="BN7">
        <v>58.086821705399998</v>
      </c>
      <c r="BO7">
        <v>1326</v>
      </c>
      <c r="BP7">
        <v>265</v>
      </c>
      <c r="BQ7">
        <v>88.294117647099995</v>
      </c>
      <c r="BR7">
        <v>82.686792452800006</v>
      </c>
      <c r="BS7">
        <v>1422</v>
      </c>
      <c r="BT7">
        <v>163</v>
      </c>
      <c r="BU7">
        <v>72.675808720099994</v>
      </c>
      <c r="BV7">
        <v>2122</v>
      </c>
      <c r="BW7">
        <v>513</v>
      </c>
      <c r="BX7">
        <v>124.19038642789999</v>
      </c>
      <c r="BY7">
        <v>118.007797271</v>
      </c>
      <c r="CA7" t="s">
        <v>415</v>
      </c>
      <c r="CB7" t="s">
        <v>771</v>
      </c>
      <c r="CC7" t="s">
        <v>998</v>
      </c>
      <c r="CD7">
        <v>3606</v>
      </c>
      <c r="CE7">
        <v>622</v>
      </c>
      <c r="CF7">
        <v>85.316417082599997</v>
      </c>
      <c r="CG7">
        <v>4230</v>
      </c>
      <c r="CH7">
        <v>1140</v>
      </c>
      <c r="CI7">
        <v>125.00614657209999</v>
      </c>
      <c r="CJ7">
        <v>128.51754385960001</v>
      </c>
      <c r="CL7" t="s">
        <v>415</v>
      </c>
      <c r="CM7" t="s">
        <v>752</v>
      </c>
      <c r="CN7" t="s">
        <v>751</v>
      </c>
      <c r="CO7">
        <v>306</v>
      </c>
      <c r="CP7">
        <v>34</v>
      </c>
      <c r="CQ7">
        <v>65.303921568600003</v>
      </c>
      <c r="CR7">
        <v>661</v>
      </c>
      <c r="CS7">
        <v>193</v>
      </c>
      <c r="CT7">
        <v>62.295007564300001</v>
      </c>
      <c r="CU7">
        <v>67.181347150299999</v>
      </c>
      <c r="CW7" t="s">
        <v>415</v>
      </c>
      <c r="CX7" t="s">
        <v>762</v>
      </c>
      <c r="CY7" t="s">
        <v>761</v>
      </c>
      <c r="CZ7">
        <v>69</v>
      </c>
      <c r="DA7">
        <v>7</v>
      </c>
      <c r="DB7">
        <v>74.942028985500002</v>
      </c>
      <c r="DC7">
        <v>31</v>
      </c>
      <c r="DD7">
        <v>8</v>
      </c>
      <c r="DE7">
        <v>153.5806451613</v>
      </c>
      <c r="DF7">
        <v>197.375</v>
      </c>
      <c r="DH7" t="s">
        <v>415</v>
      </c>
      <c r="DI7" t="s">
        <v>742</v>
      </c>
      <c r="DJ7" t="s">
        <v>741</v>
      </c>
      <c r="DK7">
        <v>43</v>
      </c>
      <c r="DL7">
        <v>5</v>
      </c>
      <c r="DM7">
        <v>88.116279069800001</v>
      </c>
      <c r="DN7">
        <v>33</v>
      </c>
      <c r="DO7">
        <v>7</v>
      </c>
      <c r="DP7">
        <v>132.54545454550001</v>
      </c>
      <c r="DQ7">
        <v>126.42857142859999</v>
      </c>
    </row>
    <row r="8" spans="2:121" x14ac:dyDescent="0.2">
      <c r="B8" t="s">
        <v>103</v>
      </c>
      <c r="C8">
        <v>295</v>
      </c>
      <c r="D8">
        <v>208</v>
      </c>
      <c r="F8" t="s">
        <v>27</v>
      </c>
      <c r="G8">
        <v>1204</v>
      </c>
      <c r="H8">
        <v>95.247508305599993</v>
      </c>
      <c r="I8">
        <v>5512</v>
      </c>
      <c r="J8">
        <v>831</v>
      </c>
      <c r="K8">
        <v>7100</v>
      </c>
      <c r="L8">
        <v>2698</v>
      </c>
      <c r="M8">
        <v>1472</v>
      </c>
      <c r="N8">
        <v>562</v>
      </c>
      <c r="O8">
        <v>1394</v>
      </c>
      <c r="P8">
        <v>589</v>
      </c>
      <c r="Q8">
        <v>0</v>
      </c>
      <c r="R8">
        <v>69</v>
      </c>
      <c r="AH8" t="s">
        <v>407</v>
      </c>
      <c r="AI8">
        <v>7271</v>
      </c>
      <c r="AJ8">
        <v>454.93866043190002</v>
      </c>
      <c r="AK8">
        <v>7334</v>
      </c>
      <c r="AL8">
        <v>1620</v>
      </c>
      <c r="AM8">
        <v>10639</v>
      </c>
      <c r="AN8">
        <v>7015</v>
      </c>
      <c r="AO8">
        <v>3166</v>
      </c>
      <c r="AP8">
        <v>2190</v>
      </c>
      <c r="AQ8">
        <v>1626</v>
      </c>
      <c r="AR8">
        <v>931</v>
      </c>
      <c r="AS8">
        <v>15</v>
      </c>
      <c r="AT8">
        <v>59</v>
      </c>
      <c r="AV8" t="s">
        <v>413</v>
      </c>
      <c r="AW8">
        <v>139</v>
      </c>
      <c r="AX8">
        <v>42.309352517999997</v>
      </c>
      <c r="AY8">
        <v>230</v>
      </c>
      <c r="AZ8">
        <v>7</v>
      </c>
      <c r="BA8">
        <v>202</v>
      </c>
      <c r="BB8">
        <v>10</v>
      </c>
      <c r="BC8">
        <v>1</v>
      </c>
      <c r="BD8">
        <v>1</v>
      </c>
      <c r="BE8">
        <v>13</v>
      </c>
      <c r="BF8">
        <v>6</v>
      </c>
      <c r="BG8">
        <v>298</v>
      </c>
      <c r="BH8">
        <v>41</v>
      </c>
      <c r="BJ8" t="s">
        <v>623</v>
      </c>
      <c r="BK8" t="s">
        <v>389</v>
      </c>
      <c r="BL8">
        <v>15400</v>
      </c>
      <c r="BM8">
        <v>3815</v>
      </c>
      <c r="BN8">
        <v>100.9007142857</v>
      </c>
      <c r="BO8">
        <v>17382</v>
      </c>
      <c r="BP8">
        <v>3590</v>
      </c>
      <c r="BQ8">
        <v>148.14256127030001</v>
      </c>
      <c r="BR8">
        <v>149.44651810580001</v>
      </c>
      <c r="BS8">
        <v>13242</v>
      </c>
      <c r="BT8">
        <v>2686</v>
      </c>
      <c r="BU8">
        <v>91.0812566078</v>
      </c>
      <c r="BV8">
        <v>11546</v>
      </c>
      <c r="BW8">
        <v>2661</v>
      </c>
      <c r="BX8">
        <v>137.97297765459999</v>
      </c>
      <c r="BY8">
        <v>137.9394964299</v>
      </c>
      <c r="CA8" t="s">
        <v>407</v>
      </c>
      <c r="CB8" t="s">
        <v>771</v>
      </c>
      <c r="CC8" t="s">
        <v>999</v>
      </c>
      <c r="CD8">
        <v>6930</v>
      </c>
      <c r="CE8">
        <v>1535</v>
      </c>
      <c r="CF8">
        <v>96.346320346300004</v>
      </c>
      <c r="CG8">
        <v>6689</v>
      </c>
      <c r="CH8">
        <v>1747</v>
      </c>
      <c r="CI8">
        <v>149.58513978170001</v>
      </c>
      <c r="CJ8">
        <v>144.80366342299999</v>
      </c>
      <c r="CL8" t="s">
        <v>407</v>
      </c>
      <c r="CM8" t="s">
        <v>752</v>
      </c>
      <c r="CN8" t="s">
        <v>753</v>
      </c>
      <c r="CO8">
        <v>292</v>
      </c>
      <c r="CP8">
        <v>29</v>
      </c>
      <c r="CQ8">
        <v>66.681506849300007</v>
      </c>
      <c r="CR8">
        <v>659</v>
      </c>
      <c r="CS8">
        <v>157</v>
      </c>
      <c r="CT8">
        <v>63.116843702600001</v>
      </c>
      <c r="CU8">
        <v>72.063694267499997</v>
      </c>
      <c r="CW8" t="s">
        <v>407</v>
      </c>
      <c r="CX8" t="s">
        <v>762</v>
      </c>
      <c r="CY8" t="s">
        <v>763</v>
      </c>
      <c r="CZ8">
        <v>331</v>
      </c>
      <c r="DA8">
        <v>43</v>
      </c>
      <c r="DB8">
        <v>83.495468277900002</v>
      </c>
      <c r="DC8">
        <v>177</v>
      </c>
      <c r="DD8">
        <v>44</v>
      </c>
      <c r="DE8">
        <v>143.79661016950001</v>
      </c>
      <c r="DF8">
        <v>156.95454545449999</v>
      </c>
      <c r="DH8" t="s">
        <v>407</v>
      </c>
      <c r="DI8" t="s">
        <v>742</v>
      </c>
      <c r="DJ8" t="s">
        <v>743</v>
      </c>
      <c r="DK8">
        <v>423</v>
      </c>
      <c r="DL8">
        <v>48</v>
      </c>
      <c r="DM8">
        <v>84.082742316799994</v>
      </c>
      <c r="DN8">
        <v>312</v>
      </c>
      <c r="DO8">
        <v>100</v>
      </c>
      <c r="DP8">
        <v>124.9294871795</v>
      </c>
      <c r="DQ8">
        <v>129.56</v>
      </c>
    </row>
    <row r="9" spans="2:121" x14ac:dyDescent="0.2">
      <c r="B9" t="s">
        <v>95</v>
      </c>
      <c r="C9">
        <v>14</v>
      </c>
      <c r="D9">
        <v>4</v>
      </c>
      <c r="F9" t="s">
        <v>62</v>
      </c>
      <c r="G9">
        <v>4492</v>
      </c>
      <c r="H9">
        <v>443.68477292969999</v>
      </c>
      <c r="I9">
        <v>5714</v>
      </c>
      <c r="J9">
        <v>1276</v>
      </c>
      <c r="K9">
        <v>5621</v>
      </c>
      <c r="L9">
        <v>4029</v>
      </c>
      <c r="M9">
        <v>1010</v>
      </c>
      <c r="N9">
        <v>639</v>
      </c>
      <c r="O9">
        <v>1315</v>
      </c>
      <c r="P9">
        <v>809</v>
      </c>
      <c r="Q9">
        <v>1</v>
      </c>
      <c r="R9">
        <v>252</v>
      </c>
      <c r="AH9" t="s">
        <v>377</v>
      </c>
      <c r="AI9">
        <v>1432</v>
      </c>
      <c r="AJ9">
        <v>317.80586592179998</v>
      </c>
      <c r="AK9">
        <v>2009</v>
      </c>
      <c r="AL9">
        <v>412</v>
      </c>
      <c r="AM9">
        <v>3038</v>
      </c>
      <c r="AN9">
        <v>2078</v>
      </c>
      <c r="AO9">
        <v>610</v>
      </c>
      <c r="AP9">
        <v>367</v>
      </c>
      <c r="AQ9">
        <v>1030</v>
      </c>
      <c r="AR9">
        <v>702</v>
      </c>
      <c r="AS9">
        <v>303</v>
      </c>
      <c r="AT9">
        <v>5</v>
      </c>
      <c r="AV9" t="s">
        <v>421</v>
      </c>
      <c r="AW9">
        <v>41</v>
      </c>
      <c r="AX9">
        <v>82.975609756099999</v>
      </c>
      <c r="AY9">
        <v>55</v>
      </c>
      <c r="AZ9">
        <v>7</v>
      </c>
      <c r="BA9">
        <v>46</v>
      </c>
      <c r="BB9">
        <v>11</v>
      </c>
      <c r="BC9">
        <v>0</v>
      </c>
      <c r="BE9">
        <v>5</v>
      </c>
      <c r="BF9">
        <v>2</v>
      </c>
      <c r="BG9">
        <v>9</v>
      </c>
      <c r="BH9">
        <v>12</v>
      </c>
      <c r="BJ9" t="s">
        <v>559</v>
      </c>
      <c r="BK9" t="s">
        <v>389</v>
      </c>
      <c r="BL9">
        <v>3960</v>
      </c>
      <c r="BM9">
        <v>1161</v>
      </c>
      <c r="BN9">
        <v>105.7376262626</v>
      </c>
      <c r="BO9">
        <v>3387</v>
      </c>
      <c r="BP9">
        <v>936</v>
      </c>
      <c r="BQ9">
        <v>152.2798937112</v>
      </c>
      <c r="BR9">
        <v>151.5705128205</v>
      </c>
      <c r="BS9">
        <v>4512</v>
      </c>
      <c r="BT9">
        <v>1627</v>
      </c>
      <c r="BU9">
        <v>126.976285461</v>
      </c>
      <c r="BV9">
        <v>4400</v>
      </c>
      <c r="BW9">
        <v>1053</v>
      </c>
      <c r="BX9">
        <v>151.45340909090001</v>
      </c>
      <c r="BY9">
        <v>164.37132003799999</v>
      </c>
      <c r="CA9" t="s">
        <v>391</v>
      </c>
      <c r="CB9" t="s">
        <v>771</v>
      </c>
      <c r="CC9" t="s">
        <v>1000</v>
      </c>
      <c r="CD9">
        <v>5711</v>
      </c>
      <c r="CE9">
        <v>1260</v>
      </c>
      <c r="CF9">
        <v>92.608649973699997</v>
      </c>
      <c r="CG9">
        <v>6246</v>
      </c>
      <c r="CH9">
        <v>1354</v>
      </c>
      <c r="CI9">
        <v>130.62103746400001</v>
      </c>
      <c r="CJ9">
        <v>133.24519940920001</v>
      </c>
      <c r="CL9" t="s">
        <v>391</v>
      </c>
      <c r="CM9" t="s">
        <v>752</v>
      </c>
      <c r="CN9" t="s">
        <v>754</v>
      </c>
      <c r="CO9">
        <v>409</v>
      </c>
      <c r="CP9">
        <v>43</v>
      </c>
      <c r="CQ9">
        <v>70.369193154000001</v>
      </c>
      <c r="CR9">
        <v>942</v>
      </c>
      <c r="CS9">
        <v>260</v>
      </c>
      <c r="CT9">
        <v>68.169851379999997</v>
      </c>
      <c r="CU9">
        <v>71.215384615399998</v>
      </c>
      <c r="CW9" t="s">
        <v>391</v>
      </c>
      <c r="CX9" t="s">
        <v>762</v>
      </c>
      <c r="CY9" t="s">
        <v>764</v>
      </c>
      <c r="CZ9">
        <v>92</v>
      </c>
      <c r="DA9">
        <v>20</v>
      </c>
      <c r="DB9">
        <v>88.315217391299996</v>
      </c>
      <c r="DC9">
        <v>43</v>
      </c>
      <c r="DD9">
        <v>16</v>
      </c>
      <c r="DE9">
        <v>149.83720930230001</v>
      </c>
      <c r="DF9">
        <v>153.8125</v>
      </c>
      <c r="DH9" t="s">
        <v>391</v>
      </c>
      <c r="DI9" t="s">
        <v>742</v>
      </c>
      <c r="DJ9" t="s">
        <v>744</v>
      </c>
      <c r="DK9">
        <v>167</v>
      </c>
      <c r="DL9">
        <v>27</v>
      </c>
      <c r="DM9">
        <v>87.742514970100004</v>
      </c>
      <c r="DN9">
        <v>112</v>
      </c>
      <c r="DO9">
        <v>34</v>
      </c>
      <c r="DP9">
        <v>114.7678571429</v>
      </c>
      <c r="DQ9">
        <v>134.70588235290001</v>
      </c>
    </row>
    <row r="10" spans="2:121" x14ac:dyDescent="0.2">
      <c r="B10" t="s">
        <v>317</v>
      </c>
      <c r="C10">
        <v>2</v>
      </c>
      <c r="F10" t="s">
        <v>24</v>
      </c>
      <c r="G10">
        <v>1383</v>
      </c>
      <c r="H10">
        <v>159.12653651479999</v>
      </c>
      <c r="I10">
        <v>3906</v>
      </c>
      <c r="J10">
        <v>704</v>
      </c>
      <c r="K10">
        <v>2520</v>
      </c>
      <c r="L10">
        <v>971</v>
      </c>
      <c r="M10">
        <v>1005</v>
      </c>
      <c r="N10">
        <v>497</v>
      </c>
      <c r="O10">
        <v>461</v>
      </c>
      <c r="P10">
        <v>242</v>
      </c>
      <c r="Q10">
        <v>0</v>
      </c>
      <c r="R10">
        <v>0</v>
      </c>
      <c r="AH10" t="s">
        <v>427</v>
      </c>
      <c r="AI10">
        <v>852</v>
      </c>
      <c r="AJ10">
        <v>407.60798122070003</v>
      </c>
      <c r="AK10">
        <v>876</v>
      </c>
      <c r="AL10">
        <v>243</v>
      </c>
      <c r="AM10">
        <v>1138</v>
      </c>
      <c r="AN10">
        <v>795</v>
      </c>
      <c r="AO10">
        <v>243</v>
      </c>
      <c r="AP10">
        <v>149</v>
      </c>
      <c r="AQ10">
        <v>342</v>
      </c>
      <c r="AR10">
        <v>212</v>
      </c>
      <c r="AS10">
        <v>62</v>
      </c>
      <c r="AT10">
        <v>1</v>
      </c>
      <c r="AV10" t="s">
        <v>375</v>
      </c>
      <c r="AW10">
        <v>406</v>
      </c>
      <c r="AX10">
        <v>97.938423645300006</v>
      </c>
      <c r="AY10">
        <v>660</v>
      </c>
      <c r="AZ10">
        <v>158</v>
      </c>
      <c r="BA10">
        <v>543</v>
      </c>
      <c r="BB10">
        <v>196</v>
      </c>
      <c r="BC10">
        <v>2</v>
      </c>
      <c r="BD10">
        <v>2</v>
      </c>
      <c r="BE10">
        <v>30</v>
      </c>
      <c r="BF10">
        <v>10</v>
      </c>
      <c r="BG10">
        <v>60</v>
      </c>
      <c r="BH10">
        <v>174</v>
      </c>
      <c r="BJ10" t="s">
        <v>611</v>
      </c>
      <c r="BK10" t="s">
        <v>389</v>
      </c>
      <c r="BL10">
        <v>3513</v>
      </c>
      <c r="BM10">
        <v>592</v>
      </c>
      <c r="BN10">
        <v>84.700256191299999</v>
      </c>
      <c r="BO10">
        <v>4078</v>
      </c>
      <c r="BP10">
        <v>1117</v>
      </c>
      <c r="BQ10">
        <v>126.4717999019</v>
      </c>
      <c r="BR10">
        <v>128.4010743062</v>
      </c>
      <c r="BS10">
        <v>3598</v>
      </c>
      <c r="BT10">
        <v>712</v>
      </c>
      <c r="BU10">
        <v>89.357420789299994</v>
      </c>
      <c r="BV10">
        <v>4805</v>
      </c>
      <c r="BW10">
        <v>1227</v>
      </c>
      <c r="BX10">
        <v>136.70759625389999</v>
      </c>
      <c r="BY10">
        <v>138.18337408310001</v>
      </c>
      <c r="CA10" t="s">
        <v>393</v>
      </c>
      <c r="CB10" t="s">
        <v>771</v>
      </c>
      <c r="CC10" t="s">
        <v>1001</v>
      </c>
      <c r="CD10">
        <v>4120</v>
      </c>
      <c r="CE10">
        <v>1191</v>
      </c>
      <c r="CF10">
        <v>105.23567961169999</v>
      </c>
      <c r="CG10">
        <v>3719</v>
      </c>
      <c r="CH10">
        <v>1035</v>
      </c>
      <c r="CI10">
        <v>145.9865555257</v>
      </c>
      <c r="CJ10">
        <v>146.72077294690001</v>
      </c>
      <c r="CL10" t="s">
        <v>393</v>
      </c>
      <c r="CM10" t="s">
        <v>752</v>
      </c>
      <c r="CN10" t="s">
        <v>755</v>
      </c>
      <c r="CO10">
        <v>355</v>
      </c>
      <c r="CP10">
        <v>43</v>
      </c>
      <c r="CQ10">
        <v>71.445070422499995</v>
      </c>
      <c r="CR10">
        <v>661</v>
      </c>
      <c r="CS10">
        <v>193</v>
      </c>
      <c r="CT10">
        <v>73.903177004499994</v>
      </c>
      <c r="CU10">
        <v>83.046632124400006</v>
      </c>
      <c r="CW10" t="s">
        <v>393</v>
      </c>
      <c r="CX10" t="s">
        <v>762</v>
      </c>
      <c r="CY10" t="s">
        <v>765</v>
      </c>
      <c r="CZ10">
        <v>80</v>
      </c>
      <c r="DA10">
        <v>16</v>
      </c>
      <c r="DB10">
        <v>97.737499999999997</v>
      </c>
      <c r="DC10">
        <v>62</v>
      </c>
      <c r="DD10">
        <v>17</v>
      </c>
      <c r="DE10">
        <v>156.19354838710001</v>
      </c>
      <c r="DF10">
        <v>178.5294117647</v>
      </c>
      <c r="DH10" t="s">
        <v>393</v>
      </c>
      <c r="DI10" t="s">
        <v>742</v>
      </c>
      <c r="DJ10" t="s">
        <v>745</v>
      </c>
      <c r="DK10">
        <v>78</v>
      </c>
      <c r="DL10">
        <v>16</v>
      </c>
      <c r="DM10">
        <v>94.243589743599998</v>
      </c>
      <c r="DN10">
        <v>62</v>
      </c>
      <c r="DO10">
        <v>22</v>
      </c>
      <c r="DP10">
        <v>146.9193548387</v>
      </c>
      <c r="DQ10">
        <v>155.2272727273</v>
      </c>
    </row>
    <row r="11" spans="2:121" x14ac:dyDescent="0.2">
      <c r="B11" t="s">
        <v>124</v>
      </c>
      <c r="C11">
        <v>759</v>
      </c>
      <c r="D11">
        <v>451</v>
      </c>
      <c r="F11" t="s">
        <v>60</v>
      </c>
      <c r="G11">
        <v>12184</v>
      </c>
      <c r="H11">
        <v>377.38681877869999</v>
      </c>
      <c r="I11">
        <v>7061</v>
      </c>
      <c r="J11">
        <v>1452</v>
      </c>
      <c r="K11">
        <v>13533</v>
      </c>
      <c r="L11">
        <v>9910</v>
      </c>
      <c r="M11">
        <v>4636</v>
      </c>
      <c r="N11">
        <v>3706</v>
      </c>
      <c r="O11">
        <v>1797</v>
      </c>
      <c r="P11">
        <v>1248</v>
      </c>
      <c r="Q11">
        <v>0</v>
      </c>
      <c r="R11">
        <v>374</v>
      </c>
      <c r="AH11" t="s">
        <v>418</v>
      </c>
      <c r="AI11">
        <v>464</v>
      </c>
      <c r="AJ11">
        <v>532.84051724139999</v>
      </c>
      <c r="AK11">
        <v>448</v>
      </c>
      <c r="AL11">
        <v>108</v>
      </c>
      <c r="AM11">
        <v>647</v>
      </c>
      <c r="AN11">
        <v>481</v>
      </c>
      <c r="AO11">
        <v>208</v>
      </c>
      <c r="AP11">
        <v>160</v>
      </c>
      <c r="AQ11">
        <v>350</v>
      </c>
      <c r="AR11">
        <v>256</v>
      </c>
      <c r="AS11">
        <v>26</v>
      </c>
      <c r="AT11">
        <v>0</v>
      </c>
      <c r="AV11" t="s">
        <v>391</v>
      </c>
      <c r="AW11">
        <v>403</v>
      </c>
      <c r="AX11">
        <v>46.233250620299998</v>
      </c>
      <c r="AY11">
        <v>467</v>
      </c>
      <c r="AZ11">
        <v>43</v>
      </c>
      <c r="BA11">
        <v>516</v>
      </c>
      <c r="BB11">
        <v>32</v>
      </c>
      <c r="BC11">
        <v>2</v>
      </c>
      <c r="BD11">
        <v>1</v>
      </c>
      <c r="BE11">
        <v>27</v>
      </c>
      <c r="BF11">
        <v>6</v>
      </c>
      <c r="BG11">
        <v>58</v>
      </c>
      <c r="BH11">
        <v>66</v>
      </c>
      <c r="BJ11" t="s">
        <v>613</v>
      </c>
      <c r="BK11" t="s">
        <v>389</v>
      </c>
      <c r="BL11">
        <v>5243</v>
      </c>
      <c r="BM11">
        <v>789</v>
      </c>
      <c r="BN11">
        <v>77.680335685700001</v>
      </c>
      <c r="BO11">
        <v>8365</v>
      </c>
      <c r="BP11">
        <v>2214</v>
      </c>
      <c r="BQ11">
        <v>130.90304841599999</v>
      </c>
      <c r="BR11">
        <v>111.2696476965</v>
      </c>
      <c r="BS11">
        <v>6320</v>
      </c>
      <c r="BT11">
        <v>1367</v>
      </c>
      <c r="BU11">
        <v>90.981170886100003</v>
      </c>
      <c r="BV11">
        <v>11971</v>
      </c>
      <c r="BW11">
        <v>2860</v>
      </c>
      <c r="BX11">
        <v>137.70954807449999</v>
      </c>
      <c r="BY11">
        <v>126.4416083916</v>
      </c>
      <c r="CA11" t="s">
        <v>422</v>
      </c>
      <c r="CB11" t="s">
        <v>771</v>
      </c>
      <c r="CC11" t="s">
        <v>1002</v>
      </c>
      <c r="CD11">
        <v>701</v>
      </c>
      <c r="CE11">
        <v>55</v>
      </c>
      <c r="CF11">
        <v>58.342368045599997</v>
      </c>
      <c r="CG11">
        <v>1443</v>
      </c>
      <c r="CH11">
        <v>300</v>
      </c>
      <c r="CI11">
        <v>90.959805959799994</v>
      </c>
      <c r="CJ11">
        <v>84.93</v>
      </c>
      <c r="CL11" t="s">
        <v>422</v>
      </c>
      <c r="CM11" t="s">
        <v>752</v>
      </c>
      <c r="CN11" t="s">
        <v>756</v>
      </c>
      <c r="CO11">
        <v>71</v>
      </c>
      <c r="CP11">
        <v>5</v>
      </c>
      <c r="CQ11">
        <v>61.535211267599998</v>
      </c>
      <c r="CR11">
        <v>211</v>
      </c>
      <c r="CS11">
        <v>51</v>
      </c>
      <c r="CT11">
        <v>59.033175355499999</v>
      </c>
      <c r="CU11">
        <v>76.764705882399994</v>
      </c>
      <c r="CW11" t="s">
        <v>422</v>
      </c>
      <c r="CX11" t="s">
        <v>762</v>
      </c>
      <c r="CY11" t="s">
        <v>766</v>
      </c>
      <c r="CZ11">
        <v>28</v>
      </c>
      <c r="DA11">
        <v>3</v>
      </c>
      <c r="DB11">
        <v>88.571428571400006</v>
      </c>
      <c r="DC11">
        <v>15</v>
      </c>
      <c r="DD11">
        <v>3</v>
      </c>
      <c r="DE11">
        <v>133.3333333333</v>
      </c>
      <c r="DF11">
        <v>175</v>
      </c>
      <c r="DH11" t="s">
        <v>422</v>
      </c>
      <c r="DI11" t="s">
        <v>742</v>
      </c>
      <c r="DJ11" t="s">
        <v>746</v>
      </c>
      <c r="DK11">
        <v>21</v>
      </c>
      <c r="DL11">
        <v>3</v>
      </c>
      <c r="DM11">
        <v>81.476190476200003</v>
      </c>
      <c r="DN11">
        <v>16</v>
      </c>
      <c r="DO11">
        <v>8</v>
      </c>
      <c r="DP11">
        <v>113.8125</v>
      </c>
      <c r="DQ11">
        <v>124.125</v>
      </c>
    </row>
    <row r="12" spans="2:121" x14ac:dyDescent="0.2">
      <c r="B12" t="s">
        <v>114</v>
      </c>
      <c r="C12">
        <v>7845</v>
      </c>
      <c r="D12">
        <v>440</v>
      </c>
      <c r="F12" t="s">
        <v>36</v>
      </c>
      <c r="G12">
        <v>7968</v>
      </c>
      <c r="H12">
        <v>719.85818273090001</v>
      </c>
      <c r="I12">
        <v>4749</v>
      </c>
      <c r="J12">
        <v>1087</v>
      </c>
      <c r="K12">
        <v>9288</v>
      </c>
      <c r="L12">
        <v>7682</v>
      </c>
      <c r="M12">
        <v>1373</v>
      </c>
      <c r="N12">
        <v>1125</v>
      </c>
      <c r="O12">
        <v>2021</v>
      </c>
      <c r="P12">
        <v>1600</v>
      </c>
      <c r="Q12">
        <v>0</v>
      </c>
      <c r="R12">
        <v>4</v>
      </c>
      <c r="T12" t="s">
        <v>652</v>
      </c>
      <c r="U12" t="s">
        <v>309</v>
      </c>
      <c r="V12" t="s">
        <v>136</v>
      </c>
      <c r="W12" t="s">
        <v>217</v>
      </c>
      <c r="X12" t="s">
        <v>218</v>
      </c>
      <c r="Y12" t="s">
        <v>219</v>
      </c>
      <c r="Z12" t="s">
        <v>220</v>
      </c>
      <c r="AA12" t="s">
        <v>221</v>
      </c>
      <c r="AB12" t="s">
        <v>222</v>
      </c>
      <c r="AC12" t="s">
        <v>223</v>
      </c>
      <c r="AD12" t="s">
        <v>224</v>
      </c>
      <c r="AE12" t="s">
        <v>225</v>
      </c>
      <c r="AF12" t="s">
        <v>226</v>
      </c>
      <c r="AH12" t="s">
        <v>429</v>
      </c>
      <c r="AI12">
        <v>21017</v>
      </c>
      <c r="AJ12">
        <v>329.06361516869998</v>
      </c>
      <c r="AK12">
        <v>22515</v>
      </c>
      <c r="AL12">
        <v>5633</v>
      </c>
      <c r="AM12">
        <v>29034</v>
      </c>
      <c r="AN12">
        <v>18918</v>
      </c>
      <c r="AO12">
        <v>6931</v>
      </c>
      <c r="AP12">
        <v>3866</v>
      </c>
      <c r="AQ12">
        <v>16529</v>
      </c>
      <c r="AR12">
        <v>10345</v>
      </c>
      <c r="AS12">
        <v>2008</v>
      </c>
      <c r="AT12">
        <v>276</v>
      </c>
      <c r="AV12" t="s">
        <v>429</v>
      </c>
      <c r="AW12">
        <v>2669</v>
      </c>
      <c r="AX12">
        <v>94.318846009699996</v>
      </c>
      <c r="AY12">
        <v>3759</v>
      </c>
      <c r="AZ12">
        <v>845</v>
      </c>
      <c r="BA12">
        <v>3500</v>
      </c>
      <c r="BB12">
        <v>1179</v>
      </c>
      <c r="BC12">
        <v>39</v>
      </c>
      <c r="BD12">
        <v>38</v>
      </c>
      <c r="BE12">
        <v>154</v>
      </c>
      <c r="BF12">
        <v>73</v>
      </c>
      <c r="BG12">
        <v>475</v>
      </c>
      <c r="BH12">
        <v>793</v>
      </c>
      <c r="BJ12" t="s">
        <v>555</v>
      </c>
      <c r="BK12" t="s">
        <v>389</v>
      </c>
      <c r="BL12">
        <v>5616</v>
      </c>
      <c r="BM12">
        <v>1241</v>
      </c>
      <c r="BN12">
        <v>92.491274928799996</v>
      </c>
      <c r="BO12">
        <v>5793</v>
      </c>
      <c r="BP12">
        <v>1254</v>
      </c>
      <c r="BQ12">
        <v>133.34489901609999</v>
      </c>
      <c r="BR12">
        <v>135.07416267939999</v>
      </c>
      <c r="BS12">
        <v>5288</v>
      </c>
      <c r="BT12">
        <v>966</v>
      </c>
      <c r="BU12">
        <v>82.191187594599995</v>
      </c>
      <c r="BV12">
        <v>4619</v>
      </c>
      <c r="BW12">
        <v>1141</v>
      </c>
      <c r="BX12">
        <v>124.957999567</v>
      </c>
      <c r="BY12">
        <v>124.1314636284</v>
      </c>
      <c r="CA12" t="s">
        <v>416</v>
      </c>
      <c r="CB12" t="s">
        <v>771</v>
      </c>
      <c r="CC12" t="s">
        <v>1003</v>
      </c>
      <c r="CD12">
        <v>5428</v>
      </c>
      <c r="CE12">
        <v>823</v>
      </c>
      <c r="CF12">
        <v>77.809874723700005</v>
      </c>
      <c r="CG12">
        <v>8499</v>
      </c>
      <c r="CH12">
        <v>2282</v>
      </c>
      <c r="CI12">
        <v>108.96081891990001</v>
      </c>
      <c r="CJ12">
        <v>107.84837861520001</v>
      </c>
      <c r="CL12" t="s">
        <v>416</v>
      </c>
      <c r="CM12" t="s">
        <v>752</v>
      </c>
      <c r="CN12" t="s">
        <v>757</v>
      </c>
      <c r="CO12">
        <v>407</v>
      </c>
      <c r="CP12">
        <v>40</v>
      </c>
      <c r="CQ12">
        <v>66.538083538099997</v>
      </c>
      <c r="CR12">
        <v>996</v>
      </c>
      <c r="CS12">
        <v>231</v>
      </c>
      <c r="CT12">
        <v>63.013052208799998</v>
      </c>
      <c r="CU12">
        <v>62.445887445899999</v>
      </c>
      <c r="CW12" t="s">
        <v>416</v>
      </c>
      <c r="CX12" t="s">
        <v>762</v>
      </c>
      <c r="CY12" t="s">
        <v>767</v>
      </c>
      <c r="CZ12">
        <v>132</v>
      </c>
      <c r="DA12">
        <v>22</v>
      </c>
      <c r="DB12">
        <v>81.651515151500007</v>
      </c>
      <c r="DC12">
        <v>85</v>
      </c>
      <c r="DD12">
        <v>22</v>
      </c>
      <c r="DE12">
        <v>141.48235294119999</v>
      </c>
      <c r="DF12">
        <v>153.86363636359999</v>
      </c>
      <c r="DH12" t="s">
        <v>416</v>
      </c>
      <c r="DI12" t="s">
        <v>742</v>
      </c>
      <c r="DJ12" t="s">
        <v>747</v>
      </c>
      <c r="DK12">
        <v>212</v>
      </c>
      <c r="DL12">
        <v>22</v>
      </c>
      <c r="DM12">
        <v>78.533018867899997</v>
      </c>
      <c r="DN12">
        <v>138</v>
      </c>
      <c r="DO12">
        <v>38</v>
      </c>
      <c r="DP12">
        <v>127.652173913</v>
      </c>
      <c r="DQ12">
        <v>148.57894736840001</v>
      </c>
    </row>
    <row r="13" spans="2:121" x14ac:dyDescent="0.2">
      <c r="B13" t="s">
        <v>100</v>
      </c>
      <c r="C13">
        <v>219</v>
      </c>
      <c r="D13">
        <v>145</v>
      </c>
      <c r="F13" t="s">
        <v>37</v>
      </c>
      <c r="G13">
        <v>177</v>
      </c>
      <c r="H13">
        <v>66.158192090399993</v>
      </c>
      <c r="I13">
        <v>1379</v>
      </c>
      <c r="J13">
        <v>264</v>
      </c>
      <c r="K13">
        <v>365</v>
      </c>
      <c r="L13">
        <v>43</v>
      </c>
      <c r="M13">
        <v>240</v>
      </c>
      <c r="N13">
        <v>22</v>
      </c>
      <c r="O13">
        <v>167</v>
      </c>
      <c r="P13">
        <v>54</v>
      </c>
      <c r="Q13">
        <v>0</v>
      </c>
      <c r="R13">
        <v>2</v>
      </c>
      <c r="T13" t="s">
        <v>389</v>
      </c>
      <c r="U13">
        <v>53166</v>
      </c>
      <c r="V13">
        <v>361.11437760979999</v>
      </c>
      <c r="W13">
        <v>63473</v>
      </c>
      <c r="X13">
        <v>14213</v>
      </c>
      <c r="Y13">
        <v>82759</v>
      </c>
      <c r="Z13">
        <v>50985</v>
      </c>
      <c r="AA13">
        <v>20409</v>
      </c>
      <c r="AB13">
        <v>13374</v>
      </c>
      <c r="AC13">
        <v>16786</v>
      </c>
      <c r="AD13">
        <v>8871</v>
      </c>
      <c r="AE13">
        <v>49</v>
      </c>
      <c r="AF13">
        <v>1119</v>
      </c>
      <c r="AH13" t="s">
        <v>385</v>
      </c>
      <c r="AI13">
        <v>16170</v>
      </c>
      <c r="AJ13">
        <v>352.01910946200002</v>
      </c>
      <c r="AK13">
        <v>17920</v>
      </c>
      <c r="AL13">
        <v>4384</v>
      </c>
      <c r="AM13">
        <v>23744</v>
      </c>
      <c r="AN13">
        <v>16609</v>
      </c>
      <c r="AO13">
        <v>8162</v>
      </c>
      <c r="AP13">
        <v>5527</v>
      </c>
      <c r="AQ13">
        <v>13320</v>
      </c>
      <c r="AR13">
        <v>10731</v>
      </c>
      <c r="AS13">
        <v>1016</v>
      </c>
      <c r="AT13">
        <v>24</v>
      </c>
      <c r="AV13" t="s">
        <v>412</v>
      </c>
      <c r="AW13">
        <v>61</v>
      </c>
      <c r="AX13">
        <v>36.0819672131</v>
      </c>
      <c r="AY13">
        <v>101</v>
      </c>
      <c r="AZ13">
        <v>2</v>
      </c>
      <c r="BA13">
        <v>87</v>
      </c>
      <c r="BB13">
        <v>1</v>
      </c>
      <c r="BC13">
        <v>1</v>
      </c>
      <c r="BD13">
        <v>1</v>
      </c>
      <c r="BE13">
        <v>0</v>
      </c>
      <c r="BG13">
        <v>107</v>
      </c>
      <c r="BH13">
        <v>11</v>
      </c>
      <c r="BJ13" t="s">
        <v>592</v>
      </c>
      <c r="BK13" t="s">
        <v>389</v>
      </c>
      <c r="BL13">
        <v>2234</v>
      </c>
      <c r="BM13">
        <v>541</v>
      </c>
      <c r="BN13">
        <v>93.730080572999995</v>
      </c>
      <c r="BO13">
        <v>1985</v>
      </c>
      <c r="BP13">
        <v>509</v>
      </c>
      <c r="BQ13">
        <v>142.91083123429999</v>
      </c>
      <c r="BR13">
        <v>125.7092337917</v>
      </c>
      <c r="BS13">
        <v>3498</v>
      </c>
      <c r="BT13">
        <v>977</v>
      </c>
      <c r="BU13">
        <v>107.67838765010001</v>
      </c>
      <c r="BV13">
        <v>3927</v>
      </c>
      <c r="BW13">
        <v>976</v>
      </c>
      <c r="BX13">
        <v>161.0094219506</v>
      </c>
      <c r="BY13">
        <v>146.125</v>
      </c>
      <c r="CA13" t="s">
        <v>414</v>
      </c>
      <c r="CB13" t="s">
        <v>771</v>
      </c>
      <c r="CC13" t="s">
        <v>1004</v>
      </c>
      <c r="CD13">
        <v>33340</v>
      </c>
      <c r="CE13">
        <v>7339</v>
      </c>
      <c r="CF13">
        <v>93.243011397700002</v>
      </c>
      <c r="CG13">
        <v>37695</v>
      </c>
      <c r="CH13">
        <v>8696</v>
      </c>
      <c r="CI13">
        <v>136.89460140599999</v>
      </c>
      <c r="CJ13">
        <v>133.97079116840001</v>
      </c>
      <c r="CL13" t="s">
        <v>414</v>
      </c>
      <c r="CM13" t="s">
        <v>752</v>
      </c>
      <c r="CN13" t="s">
        <v>758</v>
      </c>
      <c r="CO13">
        <v>1698</v>
      </c>
      <c r="CP13">
        <v>153</v>
      </c>
      <c r="CQ13">
        <v>65.438751472299998</v>
      </c>
      <c r="CR13">
        <v>3848</v>
      </c>
      <c r="CS13">
        <v>888</v>
      </c>
      <c r="CT13">
        <v>65.194906444899999</v>
      </c>
      <c r="CU13">
        <v>70.411036035999999</v>
      </c>
      <c r="CW13" t="s">
        <v>414</v>
      </c>
      <c r="CX13" t="s">
        <v>762</v>
      </c>
      <c r="CY13" t="s">
        <v>768</v>
      </c>
      <c r="CZ13">
        <v>1264</v>
      </c>
      <c r="DA13">
        <v>206</v>
      </c>
      <c r="DB13">
        <v>88.781645569600002</v>
      </c>
      <c r="DC13">
        <v>726</v>
      </c>
      <c r="DD13">
        <v>186</v>
      </c>
      <c r="DE13">
        <v>140.8360881543</v>
      </c>
      <c r="DF13">
        <v>156.60752688170001</v>
      </c>
      <c r="DH13" t="s">
        <v>414</v>
      </c>
      <c r="DI13" t="s">
        <v>742</v>
      </c>
      <c r="DJ13" t="s">
        <v>748</v>
      </c>
      <c r="DK13">
        <v>1059</v>
      </c>
      <c r="DL13">
        <v>156</v>
      </c>
      <c r="DM13">
        <v>87.3966005666</v>
      </c>
      <c r="DN13">
        <v>886</v>
      </c>
      <c r="DO13">
        <v>227</v>
      </c>
      <c r="DP13">
        <v>135.18171557560001</v>
      </c>
      <c r="DQ13">
        <v>141.46255506610001</v>
      </c>
    </row>
    <row r="14" spans="2:121" x14ac:dyDescent="0.2">
      <c r="B14" t="s">
        <v>131</v>
      </c>
      <c r="C14">
        <v>1381</v>
      </c>
      <c r="D14">
        <v>274</v>
      </c>
      <c r="F14" t="s">
        <v>41</v>
      </c>
      <c r="G14">
        <v>5381</v>
      </c>
      <c r="H14">
        <v>407.72179892209999</v>
      </c>
      <c r="I14">
        <v>7686</v>
      </c>
      <c r="J14">
        <v>2123</v>
      </c>
      <c r="K14">
        <v>7675</v>
      </c>
      <c r="L14">
        <v>4831</v>
      </c>
      <c r="M14">
        <v>1586</v>
      </c>
      <c r="N14">
        <v>791</v>
      </c>
      <c r="O14">
        <v>3230</v>
      </c>
      <c r="P14">
        <v>2281</v>
      </c>
      <c r="Q14">
        <v>0</v>
      </c>
      <c r="R14">
        <v>320</v>
      </c>
      <c r="T14" t="s">
        <v>394</v>
      </c>
      <c r="U14">
        <v>38424</v>
      </c>
      <c r="V14">
        <v>349.4210909848</v>
      </c>
      <c r="W14">
        <v>55178</v>
      </c>
      <c r="X14">
        <v>11906</v>
      </c>
      <c r="Y14">
        <v>64307</v>
      </c>
      <c r="Z14">
        <v>35810</v>
      </c>
      <c r="AA14">
        <v>13464</v>
      </c>
      <c r="AB14">
        <v>8485</v>
      </c>
      <c r="AC14">
        <v>20118</v>
      </c>
      <c r="AD14">
        <v>11112</v>
      </c>
      <c r="AE14">
        <v>6031</v>
      </c>
      <c r="AF14">
        <v>1028</v>
      </c>
      <c r="AH14" t="s">
        <v>432</v>
      </c>
      <c r="AI14">
        <v>1643</v>
      </c>
      <c r="AJ14">
        <v>311.79488740110003</v>
      </c>
      <c r="AK14">
        <v>1802</v>
      </c>
      <c r="AL14">
        <v>351</v>
      </c>
      <c r="AM14">
        <v>2286</v>
      </c>
      <c r="AN14">
        <v>1538</v>
      </c>
      <c r="AO14">
        <v>1005</v>
      </c>
      <c r="AP14">
        <v>509</v>
      </c>
      <c r="AQ14">
        <v>527</v>
      </c>
      <c r="AR14">
        <v>270</v>
      </c>
      <c r="AS14">
        <v>6</v>
      </c>
      <c r="AT14">
        <v>4</v>
      </c>
      <c r="AV14" t="s">
        <v>397</v>
      </c>
      <c r="AW14">
        <v>235</v>
      </c>
      <c r="AX14">
        <v>53.872340425499999</v>
      </c>
      <c r="AY14">
        <v>396</v>
      </c>
      <c r="AZ14">
        <v>53</v>
      </c>
      <c r="BA14">
        <v>352</v>
      </c>
      <c r="BB14">
        <v>33</v>
      </c>
      <c r="BC14">
        <v>3</v>
      </c>
      <c r="BD14">
        <v>2</v>
      </c>
      <c r="BE14">
        <v>42</v>
      </c>
      <c r="BF14">
        <v>7</v>
      </c>
      <c r="BG14">
        <v>61</v>
      </c>
      <c r="BH14">
        <v>66</v>
      </c>
      <c r="BJ14" t="s">
        <v>609</v>
      </c>
      <c r="BK14" t="s">
        <v>389</v>
      </c>
      <c r="BL14">
        <v>16824</v>
      </c>
      <c r="BM14">
        <v>3380</v>
      </c>
      <c r="BN14">
        <v>88.648418925300007</v>
      </c>
      <c r="BO14">
        <v>17483</v>
      </c>
      <c r="BP14">
        <v>4210</v>
      </c>
      <c r="BQ14">
        <v>138.81702225020001</v>
      </c>
      <c r="BR14">
        <v>133.43087885989999</v>
      </c>
      <c r="BS14">
        <v>15552</v>
      </c>
      <c r="BT14">
        <v>3111</v>
      </c>
      <c r="BU14">
        <v>87.159657921800004</v>
      </c>
      <c r="BV14">
        <v>16852</v>
      </c>
      <c r="BW14">
        <v>3949</v>
      </c>
      <c r="BX14">
        <v>137.65553050080001</v>
      </c>
      <c r="BY14">
        <v>132.79133957959999</v>
      </c>
      <c r="CA14" t="s">
        <v>410</v>
      </c>
      <c r="CB14" t="s">
        <v>771</v>
      </c>
      <c r="CC14" t="s">
        <v>1005</v>
      </c>
      <c r="CD14">
        <v>2018</v>
      </c>
      <c r="CE14">
        <v>510</v>
      </c>
      <c r="CF14">
        <v>97.091179385499998</v>
      </c>
      <c r="CG14">
        <v>1703</v>
      </c>
      <c r="CH14">
        <v>428</v>
      </c>
      <c r="CI14">
        <v>141.38931297709999</v>
      </c>
      <c r="CJ14">
        <v>126.3247663551</v>
      </c>
      <c r="CL14" t="s">
        <v>410</v>
      </c>
      <c r="CM14" t="s">
        <v>752</v>
      </c>
      <c r="CN14" t="s">
        <v>759</v>
      </c>
      <c r="CO14">
        <v>161</v>
      </c>
      <c r="CP14">
        <v>14</v>
      </c>
      <c r="CQ14">
        <v>63.906832298099999</v>
      </c>
      <c r="CR14">
        <v>344</v>
      </c>
      <c r="CS14">
        <v>75</v>
      </c>
      <c r="CT14">
        <v>65.613372092999995</v>
      </c>
      <c r="CU14">
        <v>69.066666666700002</v>
      </c>
      <c r="CW14" t="s">
        <v>410</v>
      </c>
      <c r="CX14" t="s">
        <v>762</v>
      </c>
      <c r="CY14" t="s">
        <v>769</v>
      </c>
      <c r="CZ14">
        <v>60</v>
      </c>
      <c r="DA14">
        <v>11</v>
      </c>
      <c r="DB14">
        <v>88.283333333300007</v>
      </c>
      <c r="DC14">
        <v>54</v>
      </c>
      <c r="DD14">
        <v>8</v>
      </c>
      <c r="DE14">
        <v>144.14814814810001</v>
      </c>
      <c r="DF14">
        <v>174.5</v>
      </c>
      <c r="DH14" t="s">
        <v>410</v>
      </c>
      <c r="DI14" t="s">
        <v>742</v>
      </c>
      <c r="DJ14" t="s">
        <v>749</v>
      </c>
      <c r="DK14">
        <v>59</v>
      </c>
      <c r="DL14">
        <v>21</v>
      </c>
      <c r="DM14">
        <v>108.32203389830001</v>
      </c>
      <c r="DN14">
        <v>61</v>
      </c>
      <c r="DO14">
        <v>19</v>
      </c>
      <c r="DP14">
        <v>109.868852459</v>
      </c>
      <c r="DQ14">
        <v>126.6315789474</v>
      </c>
    </row>
    <row r="15" spans="2:121" x14ac:dyDescent="0.2">
      <c r="B15" t="s">
        <v>121</v>
      </c>
      <c r="C15">
        <v>19</v>
      </c>
      <c r="D15">
        <v>13</v>
      </c>
      <c r="F15" t="s">
        <v>39</v>
      </c>
      <c r="G15">
        <v>323</v>
      </c>
      <c r="H15">
        <v>272.26315789469999</v>
      </c>
      <c r="I15">
        <v>823</v>
      </c>
      <c r="J15">
        <v>103</v>
      </c>
      <c r="K15">
        <v>533</v>
      </c>
      <c r="L15">
        <v>285</v>
      </c>
      <c r="M15">
        <v>145</v>
      </c>
      <c r="N15">
        <v>56</v>
      </c>
      <c r="O15">
        <v>84</v>
      </c>
      <c r="P15">
        <v>32</v>
      </c>
      <c r="Q15">
        <v>2</v>
      </c>
      <c r="R15">
        <v>2</v>
      </c>
      <c r="T15" t="s">
        <v>373</v>
      </c>
      <c r="U15">
        <v>100759</v>
      </c>
      <c r="V15">
        <v>454.4163102055</v>
      </c>
      <c r="W15">
        <v>76170</v>
      </c>
      <c r="X15">
        <v>19135</v>
      </c>
      <c r="Y15">
        <v>133697</v>
      </c>
      <c r="Z15">
        <v>99530</v>
      </c>
      <c r="AA15">
        <v>37763</v>
      </c>
      <c r="AB15">
        <v>25930</v>
      </c>
      <c r="AC15">
        <v>28584</v>
      </c>
      <c r="AD15">
        <v>20723</v>
      </c>
      <c r="AE15">
        <v>12391</v>
      </c>
      <c r="AF15">
        <v>53</v>
      </c>
      <c r="AH15" t="s">
        <v>412</v>
      </c>
      <c r="AI15">
        <v>708</v>
      </c>
      <c r="AJ15">
        <v>317.49011299440002</v>
      </c>
      <c r="AK15">
        <v>1532</v>
      </c>
      <c r="AL15">
        <v>303</v>
      </c>
      <c r="AM15">
        <v>1098</v>
      </c>
      <c r="AN15">
        <v>618</v>
      </c>
      <c r="AO15">
        <v>372</v>
      </c>
      <c r="AP15">
        <v>158</v>
      </c>
      <c r="AQ15">
        <v>401</v>
      </c>
      <c r="AR15">
        <v>227</v>
      </c>
      <c r="AS15">
        <v>1</v>
      </c>
      <c r="AT15">
        <v>3</v>
      </c>
      <c r="AV15" t="s">
        <v>416</v>
      </c>
      <c r="AW15">
        <v>171</v>
      </c>
      <c r="AX15">
        <v>43.485380116999998</v>
      </c>
      <c r="AY15">
        <v>268</v>
      </c>
      <c r="AZ15">
        <v>7</v>
      </c>
      <c r="BA15">
        <v>215</v>
      </c>
      <c r="BB15">
        <v>6</v>
      </c>
      <c r="BC15">
        <v>2</v>
      </c>
      <c r="BD15">
        <v>2</v>
      </c>
      <c r="BE15">
        <v>12</v>
      </c>
      <c r="BF15">
        <v>4</v>
      </c>
      <c r="BG15">
        <v>500</v>
      </c>
      <c r="BH15">
        <v>41</v>
      </c>
      <c r="BJ15" t="s">
        <v>571</v>
      </c>
      <c r="BK15" t="s">
        <v>394</v>
      </c>
      <c r="BL15">
        <v>6703</v>
      </c>
      <c r="BM15">
        <v>1944</v>
      </c>
      <c r="BN15">
        <v>105.97956139039999</v>
      </c>
      <c r="BO15">
        <v>6597</v>
      </c>
      <c r="BP15">
        <v>1851</v>
      </c>
      <c r="BQ15">
        <v>153.2820979233</v>
      </c>
      <c r="BR15">
        <v>139.40140464609999</v>
      </c>
      <c r="BS15">
        <v>3206</v>
      </c>
      <c r="BT15">
        <v>787</v>
      </c>
      <c r="BU15">
        <v>91.119151590800001</v>
      </c>
      <c r="BV15">
        <v>3934</v>
      </c>
      <c r="BW15">
        <v>1113</v>
      </c>
      <c r="BX15">
        <v>133.1881037112</v>
      </c>
      <c r="BY15">
        <v>119.62803234499999</v>
      </c>
      <c r="CA15" t="s">
        <v>425</v>
      </c>
      <c r="CB15" t="s">
        <v>771</v>
      </c>
      <c r="CC15" t="s">
        <v>1006</v>
      </c>
      <c r="CD15">
        <v>880</v>
      </c>
      <c r="CE15">
        <v>111</v>
      </c>
      <c r="CF15">
        <v>77.014772727299999</v>
      </c>
      <c r="CG15">
        <v>881</v>
      </c>
      <c r="CH15">
        <v>231</v>
      </c>
      <c r="CI15">
        <v>143.87741203179999</v>
      </c>
      <c r="CJ15">
        <v>142.02164502159999</v>
      </c>
      <c r="CL15" t="s">
        <v>425</v>
      </c>
      <c r="CM15" t="s">
        <v>752</v>
      </c>
      <c r="CN15" t="s">
        <v>760</v>
      </c>
      <c r="CO15">
        <v>17</v>
      </c>
      <c r="CP15">
        <v>2</v>
      </c>
      <c r="CQ15">
        <v>60.294117647100002</v>
      </c>
      <c r="CR15">
        <v>66</v>
      </c>
      <c r="CS15">
        <v>13</v>
      </c>
      <c r="CT15">
        <v>60.257575757600002</v>
      </c>
      <c r="CU15">
        <v>44.153846153800004</v>
      </c>
      <c r="CW15" t="s">
        <v>425</v>
      </c>
      <c r="CX15" t="s">
        <v>762</v>
      </c>
      <c r="CY15" t="s">
        <v>770</v>
      </c>
      <c r="CZ15">
        <v>19</v>
      </c>
      <c r="DA15">
        <v>5</v>
      </c>
      <c r="DB15">
        <v>97.210526315799996</v>
      </c>
      <c r="DC15">
        <v>15</v>
      </c>
      <c r="DD15">
        <v>2</v>
      </c>
      <c r="DE15">
        <v>154.26666666669999</v>
      </c>
      <c r="DF15">
        <v>203</v>
      </c>
      <c r="DH15" t="s">
        <v>425</v>
      </c>
      <c r="DI15" t="s">
        <v>742</v>
      </c>
      <c r="DJ15" t="s">
        <v>750</v>
      </c>
      <c r="DK15">
        <v>8</v>
      </c>
      <c r="DL15">
        <v>4</v>
      </c>
      <c r="DM15">
        <v>128</v>
      </c>
      <c r="DN15">
        <v>21</v>
      </c>
      <c r="DO15">
        <v>4</v>
      </c>
      <c r="DP15">
        <v>115.7619047619</v>
      </c>
      <c r="DQ15">
        <v>152</v>
      </c>
    </row>
    <row r="16" spans="2:121" x14ac:dyDescent="0.2">
      <c r="B16" t="s">
        <v>980</v>
      </c>
      <c r="C16">
        <v>1</v>
      </c>
      <c r="F16" t="s">
        <v>64</v>
      </c>
      <c r="G16">
        <v>870</v>
      </c>
      <c r="H16">
        <v>149.01034482759999</v>
      </c>
      <c r="I16">
        <v>2397</v>
      </c>
      <c r="J16">
        <v>548</v>
      </c>
      <c r="K16">
        <v>1505</v>
      </c>
      <c r="L16">
        <v>806</v>
      </c>
      <c r="M16">
        <v>756</v>
      </c>
      <c r="N16">
        <v>560</v>
      </c>
      <c r="O16">
        <v>1647</v>
      </c>
      <c r="P16">
        <v>1234</v>
      </c>
      <c r="Q16">
        <v>0</v>
      </c>
      <c r="R16">
        <v>1</v>
      </c>
      <c r="T16" t="s">
        <v>8</v>
      </c>
      <c r="U16">
        <v>54</v>
      </c>
      <c r="V16">
        <v>850.2777777778</v>
      </c>
      <c r="W16">
        <v>40</v>
      </c>
      <c r="X16">
        <v>2</v>
      </c>
      <c r="Y16">
        <v>59</v>
      </c>
      <c r="Z16">
        <v>50</v>
      </c>
      <c r="AA16">
        <v>9</v>
      </c>
      <c r="AB16">
        <v>8</v>
      </c>
      <c r="AC16">
        <v>49201</v>
      </c>
      <c r="AD16">
        <v>26138</v>
      </c>
      <c r="AE16">
        <v>0</v>
      </c>
      <c r="AF16">
        <v>1</v>
      </c>
      <c r="AH16" t="s">
        <v>398</v>
      </c>
      <c r="AI16">
        <v>6974</v>
      </c>
      <c r="AJ16">
        <v>476.02996845429999</v>
      </c>
      <c r="AK16">
        <v>7318</v>
      </c>
      <c r="AL16">
        <v>1930</v>
      </c>
      <c r="AM16">
        <v>9763</v>
      </c>
      <c r="AN16">
        <v>6862</v>
      </c>
      <c r="AO16">
        <v>2110</v>
      </c>
      <c r="AP16">
        <v>1651</v>
      </c>
      <c r="AQ16">
        <v>2961</v>
      </c>
      <c r="AR16">
        <v>1530</v>
      </c>
      <c r="AS16">
        <v>681</v>
      </c>
      <c r="AT16">
        <v>209</v>
      </c>
      <c r="AV16" t="s">
        <v>379</v>
      </c>
      <c r="AW16">
        <v>1637</v>
      </c>
      <c r="AX16">
        <v>94.970678069599998</v>
      </c>
      <c r="AY16">
        <v>2707</v>
      </c>
      <c r="AZ16">
        <v>601</v>
      </c>
      <c r="BA16">
        <v>2291</v>
      </c>
      <c r="BB16">
        <v>775</v>
      </c>
      <c r="BC16">
        <v>11</v>
      </c>
      <c r="BD16">
        <v>10</v>
      </c>
      <c r="BE16">
        <v>119</v>
      </c>
      <c r="BF16">
        <v>21</v>
      </c>
      <c r="BG16">
        <v>192</v>
      </c>
      <c r="BH16">
        <v>473</v>
      </c>
      <c r="BJ16" t="s">
        <v>563</v>
      </c>
      <c r="BK16" t="s">
        <v>394</v>
      </c>
      <c r="BL16">
        <v>7998</v>
      </c>
      <c r="BM16">
        <v>2123</v>
      </c>
      <c r="BN16">
        <v>104.44236059009999</v>
      </c>
      <c r="BO16">
        <v>9519</v>
      </c>
      <c r="BP16">
        <v>2331</v>
      </c>
      <c r="BQ16">
        <v>131.10652379449999</v>
      </c>
      <c r="BR16">
        <v>139.78721578720001</v>
      </c>
      <c r="BS16">
        <v>8182</v>
      </c>
      <c r="BT16">
        <v>2380</v>
      </c>
      <c r="BU16">
        <v>109.853703251</v>
      </c>
      <c r="BV16">
        <v>10774</v>
      </c>
      <c r="BW16">
        <v>2508</v>
      </c>
      <c r="BX16">
        <v>143.52886578799999</v>
      </c>
      <c r="BY16">
        <v>149.0897129187</v>
      </c>
      <c r="CA16" t="s">
        <v>389</v>
      </c>
      <c r="CB16" t="s">
        <v>771</v>
      </c>
      <c r="CD16">
        <v>62734</v>
      </c>
      <c r="CE16">
        <v>13446</v>
      </c>
      <c r="CF16">
        <v>92.030876398800004</v>
      </c>
      <c r="CG16">
        <v>71105</v>
      </c>
      <c r="CH16">
        <v>17213</v>
      </c>
      <c r="CI16">
        <v>133.22876028409999</v>
      </c>
      <c r="CJ16">
        <v>131.01870679140001</v>
      </c>
      <c r="CL16" t="s">
        <v>389</v>
      </c>
      <c r="CM16" t="s">
        <v>752</v>
      </c>
      <c r="CO16">
        <v>3716</v>
      </c>
      <c r="CP16">
        <v>363</v>
      </c>
      <c r="CQ16">
        <v>66.597685683500004</v>
      </c>
      <c r="CR16">
        <v>8388</v>
      </c>
      <c r="CS16">
        <v>2061</v>
      </c>
      <c r="CT16">
        <v>65.387696709599993</v>
      </c>
      <c r="CU16">
        <v>70.569141193600004</v>
      </c>
      <c r="CW16" t="s">
        <v>389</v>
      </c>
      <c r="CX16" t="s">
        <v>762</v>
      </c>
      <c r="CZ16">
        <v>2075</v>
      </c>
      <c r="DA16">
        <v>333</v>
      </c>
      <c r="DB16">
        <v>87.409156626500007</v>
      </c>
      <c r="DC16">
        <v>1208</v>
      </c>
      <c r="DD16">
        <v>306</v>
      </c>
      <c r="DE16">
        <v>142.97268211919999</v>
      </c>
      <c r="DF16">
        <v>159.54901960780001</v>
      </c>
      <c r="DH16" t="s">
        <v>389</v>
      </c>
      <c r="DI16" t="s">
        <v>742</v>
      </c>
      <c r="DK16">
        <v>2070</v>
      </c>
      <c r="DL16">
        <v>302</v>
      </c>
      <c r="DM16">
        <v>86.805797101400003</v>
      </c>
      <c r="DN16">
        <v>1641</v>
      </c>
      <c r="DO16">
        <v>459</v>
      </c>
      <c r="DP16">
        <v>130.19865935409999</v>
      </c>
      <c r="DQ16">
        <v>138.5642701525</v>
      </c>
    </row>
    <row r="17" spans="2:121" x14ac:dyDescent="0.2">
      <c r="B17" t="s">
        <v>97</v>
      </c>
      <c r="C17">
        <v>362</v>
      </c>
      <c r="D17">
        <v>127</v>
      </c>
      <c r="F17" t="s">
        <v>73</v>
      </c>
      <c r="G17">
        <v>7015</v>
      </c>
      <c r="H17">
        <v>252.50833927299999</v>
      </c>
      <c r="I17">
        <v>2219</v>
      </c>
      <c r="J17">
        <v>550</v>
      </c>
      <c r="K17">
        <v>14639</v>
      </c>
      <c r="L17">
        <v>8064</v>
      </c>
      <c r="M17">
        <v>1278</v>
      </c>
      <c r="N17">
        <v>654</v>
      </c>
      <c r="O17">
        <v>377</v>
      </c>
      <c r="P17">
        <v>131</v>
      </c>
      <c r="Q17">
        <v>0</v>
      </c>
      <c r="R17">
        <v>1</v>
      </c>
      <c r="T17" t="s">
        <v>408</v>
      </c>
      <c r="U17">
        <v>56762</v>
      </c>
      <c r="V17">
        <v>378.53105951160001</v>
      </c>
      <c r="W17">
        <v>59093</v>
      </c>
      <c r="X17">
        <v>12994</v>
      </c>
      <c r="Y17">
        <v>81216</v>
      </c>
      <c r="Z17">
        <v>54529</v>
      </c>
      <c r="AA17">
        <v>22919</v>
      </c>
      <c r="AB17">
        <v>16370</v>
      </c>
      <c r="AC17">
        <v>21394</v>
      </c>
      <c r="AD17">
        <v>15732</v>
      </c>
      <c r="AE17">
        <v>404</v>
      </c>
      <c r="AF17">
        <v>694</v>
      </c>
      <c r="AH17" t="s">
        <v>396</v>
      </c>
      <c r="AI17">
        <v>6941</v>
      </c>
      <c r="AJ17">
        <v>616.75551073329996</v>
      </c>
      <c r="AK17">
        <v>5118</v>
      </c>
      <c r="AL17">
        <v>1069</v>
      </c>
      <c r="AM17">
        <v>10517</v>
      </c>
      <c r="AN17">
        <v>7721</v>
      </c>
      <c r="AO17">
        <v>2057</v>
      </c>
      <c r="AP17">
        <v>1543</v>
      </c>
      <c r="AQ17">
        <v>2922</v>
      </c>
      <c r="AR17">
        <v>1961</v>
      </c>
      <c r="AS17">
        <v>517</v>
      </c>
      <c r="AT17">
        <v>196</v>
      </c>
      <c r="AV17" t="s">
        <v>403</v>
      </c>
      <c r="AW17">
        <v>134</v>
      </c>
      <c r="AX17">
        <v>43.559701492499997</v>
      </c>
      <c r="AY17">
        <v>237</v>
      </c>
      <c r="AZ17">
        <v>10</v>
      </c>
      <c r="BA17">
        <v>199</v>
      </c>
      <c r="BB17">
        <v>2</v>
      </c>
      <c r="BC17">
        <v>0</v>
      </c>
      <c r="BE17">
        <v>8</v>
      </c>
      <c r="BF17">
        <v>3</v>
      </c>
      <c r="BG17">
        <v>284</v>
      </c>
      <c r="BH17">
        <v>25</v>
      </c>
      <c r="BJ17" t="s">
        <v>580</v>
      </c>
      <c r="BK17" t="s">
        <v>394</v>
      </c>
      <c r="BL17">
        <v>2320</v>
      </c>
      <c r="BM17">
        <v>394</v>
      </c>
      <c r="BN17">
        <v>80.905603448299999</v>
      </c>
      <c r="BO17">
        <v>2860</v>
      </c>
      <c r="BP17">
        <v>608</v>
      </c>
      <c r="BQ17">
        <v>109.3097902098</v>
      </c>
      <c r="BR17">
        <v>109.71875</v>
      </c>
      <c r="BS17">
        <v>3325</v>
      </c>
      <c r="BT17">
        <v>932</v>
      </c>
      <c r="BU17">
        <v>96.123609022599993</v>
      </c>
      <c r="BV17">
        <v>3897</v>
      </c>
      <c r="BW17">
        <v>791</v>
      </c>
      <c r="BX17">
        <v>126.3507826533</v>
      </c>
      <c r="BY17">
        <v>131.48419721869999</v>
      </c>
      <c r="CA17" t="s">
        <v>398</v>
      </c>
      <c r="CB17" t="s">
        <v>811</v>
      </c>
      <c r="CC17" t="s">
        <v>1007</v>
      </c>
      <c r="CD17">
        <v>6972</v>
      </c>
      <c r="CE17">
        <v>1954</v>
      </c>
      <c r="CF17">
        <v>103.86833046469999</v>
      </c>
      <c r="CG17">
        <v>6995</v>
      </c>
      <c r="CH17">
        <v>1924</v>
      </c>
      <c r="CI17">
        <v>149.23116511789999</v>
      </c>
      <c r="CJ17">
        <v>134.4620582121</v>
      </c>
      <c r="CL17" t="s">
        <v>398</v>
      </c>
      <c r="CM17" t="s">
        <v>786</v>
      </c>
      <c r="CN17" t="s">
        <v>785</v>
      </c>
      <c r="CO17">
        <v>730</v>
      </c>
      <c r="CP17">
        <v>107</v>
      </c>
      <c r="CQ17">
        <v>74.789041095900004</v>
      </c>
      <c r="CR17">
        <v>1540</v>
      </c>
      <c r="CS17">
        <v>376</v>
      </c>
      <c r="CT17">
        <v>71.742207792200006</v>
      </c>
      <c r="CU17">
        <v>78.018617021300003</v>
      </c>
      <c r="CW17" t="s">
        <v>398</v>
      </c>
      <c r="CX17" t="s">
        <v>799</v>
      </c>
      <c r="CY17" t="s">
        <v>798</v>
      </c>
      <c r="CZ17">
        <v>264</v>
      </c>
      <c r="DA17">
        <v>71</v>
      </c>
      <c r="DB17">
        <v>97.053030303</v>
      </c>
      <c r="DC17">
        <v>128</v>
      </c>
      <c r="DD17">
        <v>35</v>
      </c>
      <c r="DE17">
        <v>144.6328125</v>
      </c>
      <c r="DF17">
        <v>162.82857142859999</v>
      </c>
      <c r="DH17" t="s">
        <v>398</v>
      </c>
      <c r="DI17" t="s">
        <v>773</v>
      </c>
      <c r="DJ17" t="s">
        <v>772</v>
      </c>
      <c r="DK17">
        <v>178</v>
      </c>
      <c r="DL17">
        <v>25</v>
      </c>
      <c r="DM17">
        <v>83.971910112399996</v>
      </c>
      <c r="DN17">
        <v>156</v>
      </c>
      <c r="DO17">
        <v>27</v>
      </c>
      <c r="DP17">
        <v>127.0320512821</v>
      </c>
      <c r="DQ17">
        <v>147.0740740741</v>
      </c>
    </row>
    <row r="18" spans="2:121" x14ac:dyDescent="0.2">
      <c r="B18" t="s">
        <v>122</v>
      </c>
      <c r="C18">
        <v>65</v>
      </c>
      <c r="D18">
        <v>49</v>
      </c>
      <c r="F18" t="s">
        <v>86</v>
      </c>
      <c r="G18">
        <v>17795</v>
      </c>
      <c r="H18">
        <v>333.14178139929999</v>
      </c>
      <c r="I18">
        <v>18195</v>
      </c>
      <c r="J18">
        <v>5088</v>
      </c>
      <c r="K18">
        <v>30101</v>
      </c>
      <c r="L18">
        <v>19269</v>
      </c>
      <c r="M18">
        <v>10985</v>
      </c>
      <c r="N18">
        <v>7100</v>
      </c>
      <c r="O18">
        <v>4155</v>
      </c>
      <c r="P18">
        <v>2680</v>
      </c>
      <c r="Q18">
        <v>1</v>
      </c>
      <c r="R18">
        <v>21</v>
      </c>
      <c r="T18" t="s">
        <v>384</v>
      </c>
      <c r="U18">
        <v>65500</v>
      </c>
      <c r="V18">
        <v>339.6992366412</v>
      </c>
      <c r="W18">
        <v>69583</v>
      </c>
      <c r="X18">
        <v>17430</v>
      </c>
      <c r="Y18">
        <v>91247</v>
      </c>
      <c r="Z18">
        <v>61194</v>
      </c>
      <c r="AA18">
        <v>26778</v>
      </c>
      <c r="AB18">
        <v>18347</v>
      </c>
      <c r="AC18">
        <v>30014</v>
      </c>
      <c r="AD18">
        <v>21573</v>
      </c>
      <c r="AE18">
        <v>158</v>
      </c>
      <c r="AF18">
        <v>1210</v>
      </c>
      <c r="AH18" t="s">
        <v>403</v>
      </c>
      <c r="AI18">
        <v>1382</v>
      </c>
      <c r="AJ18">
        <v>198.5824891462</v>
      </c>
      <c r="AK18">
        <v>2462</v>
      </c>
      <c r="AL18">
        <v>438</v>
      </c>
      <c r="AM18">
        <v>2079</v>
      </c>
      <c r="AN18">
        <v>1019</v>
      </c>
      <c r="AO18">
        <v>397</v>
      </c>
      <c r="AP18">
        <v>193</v>
      </c>
      <c r="AQ18">
        <v>583</v>
      </c>
      <c r="AR18">
        <v>358</v>
      </c>
      <c r="AS18">
        <v>2</v>
      </c>
      <c r="AT18">
        <v>7</v>
      </c>
      <c r="AV18" t="s">
        <v>432</v>
      </c>
      <c r="AW18">
        <v>21</v>
      </c>
      <c r="AX18">
        <v>49.666666666700003</v>
      </c>
      <c r="AY18">
        <v>26</v>
      </c>
      <c r="AZ18">
        <v>3</v>
      </c>
      <c r="BA18">
        <v>33</v>
      </c>
      <c r="BB18">
        <v>2</v>
      </c>
      <c r="BC18">
        <v>1</v>
      </c>
      <c r="BD18">
        <v>1</v>
      </c>
      <c r="BE18">
        <v>4</v>
      </c>
      <c r="BF18">
        <v>2</v>
      </c>
      <c r="BG18">
        <v>51</v>
      </c>
      <c r="BH18">
        <v>5</v>
      </c>
      <c r="BJ18" t="s">
        <v>573</v>
      </c>
      <c r="BK18" t="s">
        <v>394</v>
      </c>
      <c r="BL18">
        <v>6710</v>
      </c>
      <c r="BM18">
        <v>1758</v>
      </c>
      <c r="BN18">
        <v>102.3745156483</v>
      </c>
      <c r="BO18">
        <v>7238</v>
      </c>
      <c r="BP18">
        <v>1761</v>
      </c>
      <c r="BQ18">
        <v>145.5071843051</v>
      </c>
      <c r="BR18">
        <v>145.714366837</v>
      </c>
      <c r="BS18">
        <v>6417</v>
      </c>
      <c r="BT18">
        <v>1601</v>
      </c>
      <c r="BU18">
        <v>99.399875331199993</v>
      </c>
      <c r="BV18">
        <v>7192</v>
      </c>
      <c r="BW18">
        <v>1762</v>
      </c>
      <c r="BX18">
        <v>142.9728865406</v>
      </c>
      <c r="BY18">
        <v>145.48013620890001</v>
      </c>
      <c r="CA18" t="s">
        <v>396</v>
      </c>
      <c r="CB18" t="s">
        <v>811</v>
      </c>
      <c r="CC18" t="s">
        <v>1008</v>
      </c>
      <c r="CD18">
        <v>4855</v>
      </c>
      <c r="CE18">
        <v>1016</v>
      </c>
      <c r="CF18">
        <v>90.680741503600004</v>
      </c>
      <c r="CG18">
        <v>5716</v>
      </c>
      <c r="CH18">
        <v>1370</v>
      </c>
      <c r="CI18">
        <v>123.9148005598</v>
      </c>
      <c r="CJ18">
        <v>123.1503649635</v>
      </c>
      <c r="CL18" t="s">
        <v>396</v>
      </c>
      <c r="CM18" t="s">
        <v>786</v>
      </c>
      <c r="CN18" t="s">
        <v>787</v>
      </c>
      <c r="CO18">
        <v>426</v>
      </c>
      <c r="CP18">
        <v>52</v>
      </c>
      <c r="CQ18">
        <v>64.584507042300004</v>
      </c>
      <c r="CR18">
        <v>926</v>
      </c>
      <c r="CS18">
        <v>239</v>
      </c>
      <c r="CT18">
        <v>74.768898488100007</v>
      </c>
      <c r="CU18">
        <v>71.317991631799998</v>
      </c>
      <c r="CW18" t="s">
        <v>396</v>
      </c>
      <c r="CX18" t="s">
        <v>799</v>
      </c>
      <c r="CY18" t="s">
        <v>800</v>
      </c>
      <c r="CZ18">
        <v>121</v>
      </c>
      <c r="DA18">
        <v>22</v>
      </c>
      <c r="DB18">
        <v>90.801652892600003</v>
      </c>
      <c r="DC18">
        <v>67</v>
      </c>
      <c r="DD18">
        <v>18</v>
      </c>
      <c r="DE18">
        <v>145.13432835820001</v>
      </c>
      <c r="DF18">
        <v>156.6666666667</v>
      </c>
      <c r="DH18" t="s">
        <v>396</v>
      </c>
      <c r="DI18" t="s">
        <v>773</v>
      </c>
      <c r="DJ18" t="s">
        <v>774</v>
      </c>
      <c r="DK18">
        <v>74</v>
      </c>
      <c r="DL18">
        <v>10</v>
      </c>
      <c r="DM18">
        <v>94.337837837799995</v>
      </c>
      <c r="DN18">
        <v>83</v>
      </c>
      <c r="DO18">
        <v>20</v>
      </c>
      <c r="DP18">
        <v>138.72289156630001</v>
      </c>
      <c r="DQ18">
        <v>145.25</v>
      </c>
    </row>
    <row r="19" spans="2:121" x14ac:dyDescent="0.2">
      <c r="B19" t="s">
        <v>126</v>
      </c>
      <c r="C19">
        <v>41</v>
      </c>
      <c r="D19">
        <v>32</v>
      </c>
      <c r="F19" t="s">
        <v>71</v>
      </c>
      <c r="G19">
        <v>2910</v>
      </c>
      <c r="H19">
        <v>432.09484536079998</v>
      </c>
      <c r="I19">
        <v>3302</v>
      </c>
      <c r="J19">
        <v>758</v>
      </c>
      <c r="K19">
        <v>3383</v>
      </c>
      <c r="L19">
        <v>2400</v>
      </c>
      <c r="M19">
        <v>520</v>
      </c>
      <c r="N19">
        <v>366</v>
      </c>
      <c r="O19">
        <v>1129</v>
      </c>
      <c r="P19">
        <v>829</v>
      </c>
      <c r="Q19">
        <v>0</v>
      </c>
      <c r="R19">
        <v>119</v>
      </c>
      <c r="T19" t="s">
        <v>465</v>
      </c>
      <c r="U19">
        <v>314665</v>
      </c>
      <c r="V19">
        <v>388.3307358619</v>
      </c>
      <c r="W19">
        <v>323537</v>
      </c>
      <c r="X19">
        <v>75680</v>
      </c>
      <c r="Y19">
        <v>453285</v>
      </c>
      <c r="Z19">
        <v>302098</v>
      </c>
      <c r="AA19">
        <v>121342</v>
      </c>
      <c r="AB19">
        <v>82514</v>
      </c>
      <c r="AC19">
        <v>166097</v>
      </c>
      <c r="AD19">
        <v>104149</v>
      </c>
      <c r="AE19">
        <v>19033</v>
      </c>
      <c r="AF19">
        <v>4105</v>
      </c>
      <c r="AH19" t="s">
        <v>426</v>
      </c>
      <c r="AI19">
        <v>2104</v>
      </c>
      <c r="AJ19">
        <v>241.18393536120001</v>
      </c>
      <c r="AK19">
        <v>2491</v>
      </c>
      <c r="AL19">
        <v>440</v>
      </c>
      <c r="AM19">
        <v>3117</v>
      </c>
      <c r="AN19">
        <v>1731</v>
      </c>
      <c r="AO19">
        <v>1126</v>
      </c>
      <c r="AP19">
        <v>473</v>
      </c>
      <c r="AQ19">
        <v>651</v>
      </c>
      <c r="AR19">
        <v>343</v>
      </c>
      <c r="AS19">
        <v>10</v>
      </c>
      <c r="AT19">
        <v>15</v>
      </c>
      <c r="AV19" t="s">
        <v>386</v>
      </c>
      <c r="AW19">
        <v>1527</v>
      </c>
      <c r="AX19">
        <v>89.963981663400006</v>
      </c>
      <c r="AY19">
        <v>1624</v>
      </c>
      <c r="AZ19">
        <v>363</v>
      </c>
      <c r="BA19">
        <v>1987</v>
      </c>
      <c r="BB19">
        <v>596</v>
      </c>
      <c r="BC19">
        <v>30</v>
      </c>
      <c r="BD19">
        <v>29</v>
      </c>
      <c r="BE19">
        <v>109</v>
      </c>
      <c r="BF19">
        <v>46</v>
      </c>
      <c r="BG19">
        <v>310</v>
      </c>
      <c r="BH19">
        <v>473</v>
      </c>
      <c r="BJ19" t="s">
        <v>637</v>
      </c>
      <c r="BK19" t="s">
        <v>394</v>
      </c>
      <c r="BL19">
        <v>840</v>
      </c>
      <c r="BM19">
        <v>146</v>
      </c>
      <c r="BN19">
        <v>79.251190476199994</v>
      </c>
      <c r="BO19">
        <v>1156</v>
      </c>
      <c r="BP19">
        <v>255</v>
      </c>
      <c r="BQ19">
        <v>100.6790657439</v>
      </c>
      <c r="BR19">
        <v>97.658823529399996</v>
      </c>
      <c r="BS19">
        <v>1232</v>
      </c>
      <c r="BT19">
        <v>414</v>
      </c>
      <c r="BU19">
        <v>103.5681818182</v>
      </c>
      <c r="BV19">
        <v>1598</v>
      </c>
      <c r="BW19">
        <v>348</v>
      </c>
      <c r="BX19">
        <v>134.464330413</v>
      </c>
      <c r="BY19">
        <v>118.4022988506</v>
      </c>
      <c r="CA19" t="s">
        <v>403</v>
      </c>
      <c r="CB19" t="s">
        <v>811</v>
      </c>
      <c r="CC19" t="s">
        <v>1009</v>
      </c>
      <c r="CD19">
        <v>2396</v>
      </c>
      <c r="CE19">
        <v>416</v>
      </c>
      <c r="CF19">
        <v>82.317195325499995</v>
      </c>
      <c r="CG19">
        <v>2966</v>
      </c>
      <c r="CH19">
        <v>613</v>
      </c>
      <c r="CI19">
        <v>108.63991908289999</v>
      </c>
      <c r="CJ19">
        <v>107.37194127239999</v>
      </c>
      <c r="CL19" t="s">
        <v>403</v>
      </c>
      <c r="CM19" t="s">
        <v>786</v>
      </c>
      <c r="CN19" t="s">
        <v>788</v>
      </c>
      <c r="CO19">
        <v>210</v>
      </c>
      <c r="CP19">
        <v>12</v>
      </c>
      <c r="CQ19">
        <v>59.4142857143</v>
      </c>
      <c r="CR19">
        <v>578</v>
      </c>
      <c r="CS19">
        <v>155</v>
      </c>
      <c r="CT19">
        <v>66.228373702400006</v>
      </c>
      <c r="CU19">
        <v>69.832258064499996</v>
      </c>
      <c r="CW19" t="s">
        <v>403</v>
      </c>
      <c r="CX19" t="s">
        <v>799</v>
      </c>
      <c r="CY19" t="s">
        <v>801</v>
      </c>
      <c r="CZ19">
        <v>55</v>
      </c>
      <c r="DA19">
        <v>13</v>
      </c>
      <c r="DB19">
        <v>95.781818181800006</v>
      </c>
      <c r="DC19">
        <v>36</v>
      </c>
      <c r="DD19">
        <v>9</v>
      </c>
      <c r="DE19">
        <v>135.7777777778</v>
      </c>
      <c r="DF19">
        <v>149.2222222222</v>
      </c>
      <c r="DH19" t="s">
        <v>403</v>
      </c>
      <c r="DI19" t="s">
        <v>773</v>
      </c>
      <c r="DJ19" t="s">
        <v>775</v>
      </c>
      <c r="DK19">
        <v>28</v>
      </c>
      <c r="DL19">
        <v>5</v>
      </c>
      <c r="DM19">
        <v>88.357142857100001</v>
      </c>
      <c r="DN19">
        <v>42</v>
      </c>
      <c r="DO19">
        <v>5</v>
      </c>
      <c r="DP19">
        <v>123.880952381</v>
      </c>
      <c r="DQ19">
        <v>130.19999999999999</v>
      </c>
    </row>
    <row r="20" spans="2:121" x14ac:dyDescent="0.2">
      <c r="B20" t="s">
        <v>119</v>
      </c>
      <c r="C20">
        <v>13994</v>
      </c>
      <c r="D20">
        <v>2898</v>
      </c>
      <c r="F20" t="s">
        <v>77</v>
      </c>
      <c r="G20">
        <v>241</v>
      </c>
      <c r="H20">
        <v>116.7510373444</v>
      </c>
      <c r="I20">
        <v>808</v>
      </c>
      <c r="J20">
        <v>143</v>
      </c>
      <c r="K20">
        <v>441</v>
      </c>
      <c r="L20">
        <v>117</v>
      </c>
      <c r="M20">
        <v>334</v>
      </c>
      <c r="N20">
        <v>142</v>
      </c>
      <c r="O20">
        <v>47</v>
      </c>
      <c r="P20">
        <v>15</v>
      </c>
      <c r="Q20">
        <v>0</v>
      </c>
      <c r="R20">
        <v>0</v>
      </c>
      <c r="AH20" t="s">
        <v>397</v>
      </c>
      <c r="AI20">
        <v>6569</v>
      </c>
      <c r="AJ20">
        <v>543.41985081439998</v>
      </c>
      <c r="AK20">
        <v>3774</v>
      </c>
      <c r="AL20">
        <v>743</v>
      </c>
      <c r="AM20">
        <v>9738</v>
      </c>
      <c r="AN20">
        <v>6581</v>
      </c>
      <c r="AO20">
        <v>2669</v>
      </c>
      <c r="AP20">
        <v>2087</v>
      </c>
      <c r="AQ20">
        <v>1470</v>
      </c>
      <c r="AR20">
        <v>775</v>
      </c>
      <c r="AS20">
        <v>475</v>
      </c>
      <c r="AT20">
        <v>145</v>
      </c>
      <c r="AV20" t="s">
        <v>8</v>
      </c>
      <c r="AW20">
        <v>143</v>
      </c>
      <c r="AX20">
        <v>94.524475524500005</v>
      </c>
      <c r="AY20">
        <v>214</v>
      </c>
      <c r="AZ20">
        <v>92</v>
      </c>
      <c r="BA20">
        <v>315</v>
      </c>
      <c r="BB20">
        <v>149</v>
      </c>
      <c r="BC20">
        <v>11</v>
      </c>
      <c r="BD20">
        <v>10</v>
      </c>
      <c r="BE20">
        <v>8</v>
      </c>
      <c r="BF20">
        <v>5</v>
      </c>
      <c r="BG20">
        <v>33</v>
      </c>
      <c r="BH20">
        <v>22</v>
      </c>
      <c r="BJ20" t="s">
        <v>565</v>
      </c>
      <c r="BK20" t="s">
        <v>394</v>
      </c>
      <c r="BL20">
        <v>4710</v>
      </c>
      <c r="BM20">
        <v>1001</v>
      </c>
      <c r="BN20">
        <v>90.716560509600001</v>
      </c>
      <c r="BO20">
        <v>5465</v>
      </c>
      <c r="BP20">
        <v>1304</v>
      </c>
      <c r="BQ20">
        <v>127.3430924062</v>
      </c>
      <c r="BR20">
        <v>126.3412576687</v>
      </c>
      <c r="BS20">
        <v>4467</v>
      </c>
      <c r="BT20">
        <v>1178</v>
      </c>
      <c r="BU20">
        <v>100.3854936199</v>
      </c>
      <c r="BV20">
        <v>5905</v>
      </c>
      <c r="BW20">
        <v>1360</v>
      </c>
      <c r="BX20">
        <v>132.3456392887</v>
      </c>
      <c r="BY20">
        <v>133.83602941180001</v>
      </c>
      <c r="CA20" t="s">
        <v>426</v>
      </c>
      <c r="CB20" t="s">
        <v>811</v>
      </c>
      <c r="CC20" t="s">
        <v>1010</v>
      </c>
      <c r="CD20">
        <v>2365</v>
      </c>
      <c r="CE20">
        <v>412</v>
      </c>
      <c r="CF20">
        <v>83.432980972500005</v>
      </c>
      <c r="CG20">
        <v>3297</v>
      </c>
      <c r="CH20">
        <v>851</v>
      </c>
      <c r="CI20">
        <v>128.45435244160001</v>
      </c>
      <c r="CJ20">
        <v>126.65922444180001</v>
      </c>
      <c r="CL20" t="s">
        <v>426</v>
      </c>
      <c r="CM20" t="s">
        <v>786</v>
      </c>
      <c r="CN20" t="s">
        <v>789</v>
      </c>
      <c r="CO20">
        <v>186</v>
      </c>
      <c r="CP20">
        <v>13</v>
      </c>
      <c r="CQ20">
        <v>64.532258064499999</v>
      </c>
      <c r="CR20">
        <v>502</v>
      </c>
      <c r="CS20">
        <v>123</v>
      </c>
      <c r="CT20">
        <v>68.944223107599996</v>
      </c>
      <c r="CU20">
        <v>75.634146341499999</v>
      </c>
      <c r="CW20" t="s">
        <v>426</v>
      </c>
      <c r="CX20" t="s">
        <v>799</v>
      </c>
      <c r="CY20" t="s">
        <v>802</v>
      </c>
      <c r="CZ20">
        <v>92</v>
      </c>
      <c r="DA20">
        <v>8</v>
      </c>
      <c r="DB20">
        <v>79.043478260900002</v>
      </c>
      <c r="DC20">
        <v>48</v>
      </c>
      <c r="DD20">
        <v>13</v>
      </c>
      <c r="DE20">
        <v>116.25</v>
      </c>
      <c r="DF20">
        <v>144.92307692310001</v>
      </c>
      <c r="DH20" t="s">
        <v>426</v>
      </c>
      <c r="DI20" t="s">
        <v>773</v>
      </c>
      <c r="DJ20" t="s">
        <v>776</v>
      </c>
      <c r="DK20">
        <v>142</v>
      </c>
      <c r="DL20">
        <v>13</v>
      </c>
      <c r="DM20">
        <v>82.985915492999993</v>
      </c>
      <c r="DN20">
        <v>117</v>
      </c>
      <c r="DO20">
        <v>32</v>
      </c>
      <c r="DP20">
        <v>123.9743589744</v>
      </c>
      <c r="DQ20">
        <v>146.4375</v>
      </c>
    </row>
    <row r="21" spans="2:121" x14ac:dyDescent="0.2">
      <c r="B21" t="s">
        <v>318</v>
      </c>
      <c r="C21">
        <v>1</v>
      </c>
      <c r="D21">
        <v>1</v>
      </c>
      <c r="F21" t="s">
        <v>47</v>
      </c>
      <c r="G21">
        <v>1249</v>
      </c>
      <c r="H21">
        <v>298.54123298640002</v>
      </c>
      <c r="I21">
        <v>1909</v>
      </c>
      <c r="J21">
        <v>393</v>
      </c>
      <c r="K21">
        <v>2847</v>
      </c>
      <c r="L21">
        <v>1925</v>
      </c>
      <c r="M21">
        <v>608</v>
      </c>
      <c r="N21">
        <v>313</v>
      </c>
      <c r="O21">
        <v>826</v>
      </c>
      <c r="P21">
        <v>571</v>
      </c>
      <c r="Q21">
        <v>0</v>
      </c>
      <c r="R21">
        <v>6</v>
      </c>
      <c r="AH21" t="s">
        <v>391</v>
      </c>
      <c r="AI21">
        <v>5351</v>
      </c>
      <c r="AJ21">
        <v>441.89721547369999</v>
      </c>
      <c r="AK21">
        <v>5847</v>
      </c>
      <c r="AL21">
        <v>1342</v>
      </c>
      <c r="AM21">
        <v>7702</v>
      </c>
      <c r="AN21">
        <v>5216</v>
      </c>
      <c r="AO21">
        <v>1782</v>
      </c>
      <c r="AP21">
        <v>1241</v>
      </c>
      <c r="AQ21">
        <v>2191</v>
      </c>
      <c r="AR21">
        <v>1334</v>
      </c>
      <c r="AS21">
        <v>266</v>
      </c>
      <c r="AT21">
        <v>247</v>
      </c>
      <c r="AV21" t="s">
        <v>426</v>
      </c>
      <c r="AW21">
        <v>111</v>
      </c>
      <c r="AX21">
        <v>43.522522522499997</v>
      </c>
      <c r="AY21">
        <v>198</v>
      </c>
      <c r="AZ21">
        <v>8</v>
      </c>
      <c r="BA21">
        <v>155</v>
      </c>
      <c r="BB21">
        <v>9</v>
      </c>
      <c r="BC21">
        <v>0</v>
      </c>
      <c r="BE21">
        <v>3</v>
      </c>
      <c r="BF21">
        <v>2</v>
      </c>
      <c r="BG21">
        <v>156</v>
      </c>
      <c r="BH21">
        <v>18</v>
      </c>
      <c r="BJ21" t="s">
        <v>582</v>
      </c>
      <c r="BK21" t="s">
        <v>394</v>
      </c>
      <c r="BL21">
        <v>2202</v>
      </c>
      <c r="BM21">
        <v>222</v>
      </c>
      <c r="BN21">
        <v>76.331970935499996</v>
      </c>
      <c r="BO21">
        <v>2053</v>
      </c>
      <c r="BP21">
        <v>448</v>
      </c>
      <c r="BQ21">
        <v>119.98149050169999</v>
      </c>
      <c r="BR21">
        <v>130.375</v>
      </c>
      <c r="BS21">
        <v>6020</v>
      </c>
      <c r="BT21">
        <v>1367</v>
      </c>
      <c r="BU21">
        <v>103.4292358804</v>
      </c>
      <c r="BV21">
        <v>6079</v>
      </c>
      <c r="BW21">
        <v>1429</v>
      </c>
      <c r="BX21">
        <v>148.76904096070001</v>
      </c>
      <c r="BY21">
        <v>154.54443666899999</v>
      </c>
      <c r="CA21" t="s">
        <v>399</v>
      </c>
      <c r="CB21" t="s">
        <v>811</v>
      </c>
      <c r="CC21" t="s">
        <v>1011</v>
      </c>
      <c r="CD21">
        <v>6767</v>
      </c>
      <c r="CE21">
        <v>1740</v>
      </c>
      <c r="CF21">
        <v>101.92020097530001</v>
      </c>
      <c r="CG21">
        <v>7520</v>
      </c>
      <c r="CH21">
        <v>1830</v>
      </c>
      <c r="CI21">
        <v>143.9184840426</v>
      </c>
      <c r="CJ21">
        <v>140.85081967209999</v>
      </c>
      <c r="CL21" t="s">
        <v>399</v>
      </c>
      <c r="CM21" t="s">
        <v>786</v>
      </c>
      <c r="CN21" t="s">
        <v>790</v>
      </c>
      <c r="CO21">
        <v>812</v>
      </c>
      <c r="CP21">
        <v>89</v>
      </c>
      <c r="CQ21">
        <v>70.650246305400003</v>
      </c>
      <c r="CR21">
        <v>1682</v>
      </c>
      <c r="CS21">
        <v>433</v>
      </c>
      <c r="CT21">
        <v>71.797265160500004</v>
      </c>
      <c r="CU21">
        <v>75.101616628200006</v>
      </c>
      <c r="CW21" t="s">
        <v>399</v>
      </c>
      <c r="CX21" t="s">
        <v>799</v>
      </c>
      <c r="CY21" t="s">
        <v>803</v>
      </c>
      <c r="CZ21">
        <v>183</v>
      </c>
      <c r="DA21">
        <v>48</v>
      </c>
      <c r="DB21">
        <v>90.147540983599995</v>
      </c>
      <c r="DC21">
        <v>113</v>
      </c>
      <c r="DD21">
        <v>37</v>
      </c>
      <c r="DE21">
        <v>147.10619469029999</v>
      </c>
      <c r="DF21">
        <v>157.2162162162</v>
      </c>
      <c r="DH21" t="s">
        <v>399</v>
      </c>
      <c r="DI21" t="s">
        <v>773</v>
      </c>
      <c r="DJ21" t="s">
        <v>777</v>
      </c>
      <c r="DK21">
        <v>95</v>
      </c>
      <c r="DL21">
        <v>13</v>
      </c>
      <c r="DM21">
        <v>88.294736842099994</v>
      </c>
      <c r="DN21">
        <v>118</v>
      </c>
      <c r="DO21">
        <v>25</v>
      </c>
      <c r="DP21">
        <v>133.406779661</v>
      </c>
      <c r="DQ21">
        <v>139.88</v>
      </c>
    </row>
    <row r="22" spans="2:121" x14ac:dyDescent="0.2">
      <c r="B22" t="s">
        <v>112</v>
      </c>
      <c r="C22">
        <v>21831</v>
      </c>
      <c r="D22">
        <v>11537</v>
      </c>
      <c r="F22" t="s">
        <v>8</v>
      </c>
      <c r="G22">
        <v>54</v>
      </c>
      <c r="H22">
        <v>850.2777777778</v>
      </c>
      <c r="I22">
        <v>40</v>
      </c>
      <c r="J22">
        <v>2</v>
      </c>
      <c r="K22">
        <v>59</v>
      </c>
      <c r="L22">
        <v>50</v>
      </c>
      <c r="M22">
        <v>9</v>
      </c>
      <c r="N22">
        <v>8</v>
      </c>
      <c r="O22">
        <v>49201</v>
      </c>
      <c r="P22">
        <v>26138</v>
      </c>
      <c r="Q22">
        <v>0</v>
      </c>
      <c r="R22">
        <v>1</v>
      </c>
      <c r="AH22" t="s">
        <v>420</v>
      </c>
      <c r="AI22">
        <v>1422</v>
      </c>
      <c r="AJ22">
        <v>302.06399437409999</v>
      </c>
      <c r="AK22">
        <v>1365</v>
      </c>
      <c r="AL22">
        <v>185</v>
      </c>
      <c r="AM22">
        <v>2019</v>
      </c>
      <c r="AN22">
        <v>1255</v>
      </c>
      <c r="AO22">
        <v>1029</v>
      </c>
      <c r="AP22">
        <v>804</v>
      </c>
      <c r="AQ22">
        <v>373</v>
      </c>
      <c r="AR22">
        <v>227</v>
      </c>
      <c r="AS22">
        <v>356</v>
      </c>
      <c r="AT22">
        <v>3</v>
      </c>
      <c r="AV22" t="s">
        <v>380</v>
      </c>
      <c r="AW22">
        <v>365</v>
      </c>
      <c r="AX22">
        <v>100.28219178080001</v>
      </c>
      <c r="AY22">
        <v>634</v>
      </c>
      <c r="AZ22">
        <v>124</v>
      </c>
      <c r="BA22">
        <v>484</v>
      </c>
      <c r="BB22">
        <v>186</v>
      </c>
      <c r="BC22">
        <v>11</v>
      </c>
      <c r="BD22">
        <v>10</v>
      </c>
      <c r="BE22">
        <v>35</v>
      </c>
      <c r="BF22">
        <v>17</v>
      </c>
      <c r="BG22">
        <v>76</v>
      </c>
      <c r="BH22">
        <v>175</v>
      </c>
      <c r="BJ22" t="s">
        <v>394</v>
      </c>
      <c r="BK22" t="s">
        <v>394</v>
      </c>
      <c r="BL22">
        <v>50574</v>
      </c>
      <c r="BM22">
        <v>11258</v>
      </c>
      <c r="BN22">
        <v>93.307450468599995</v>
      </c>
      <c r="BO22">
        <v>58743</v>
      </c>
      <c r="BP22">
        <v>14425</v>
      </c>
      <c r="BQ22">
        <v>129.09480278500001</v>
      </c>
      <c r="BR22">
        <v>128.49982668979999</v>
      </c>
      <c r="BS22">
        <v>53376</v>
      </c>
      <c r="BT22">
        <v>13608</v>
      </c>
      <c r="BU22">
        <v>99.582677607899996</v>
      </c>
      <c r="BV22">
        <v>66483</v>
      </c>
      <c r="BW22">
        <v>15588</v>
      </c>
      <c r="BX22">
        <v>137.66719311700001</v>
      </c>
      <c r="BY22">
        <v>136.2992686682</v>
      </c>
      <c r="CA22" t="s">
        <v>405</v>
      </c>
      <c r="CB22" t="s">
        <v>811</v>
      </c>
      <c r="CC22" t="s">
        <v>1012</v>
      </c>
      <c r="CD22">
        <v>4433</v>
      </c>
      <c r="CE22">
        <v>826</v>
      </c>
      <c r="CF22">
        <v>84.509136025299995</v>
      </c>
      <c r="CG22">
        <v>7039</v>
      </c>
      <c r="CH22">
        <v>1592</v>
      </c>
      <c r="CI22">
        <v>111.6361699105</v>
      </c>
      <c r="CJ22">
        <v>106.8944723618</v>
      </c>
      <c r="CL22" t="s">
        <v>405</v>
      </c>
      <c r="CM22" t="s">
        <v>786</v>
      </c>
      <c r="CN22" t="s">
        <v>791</v>
      </c>
      <c r="CO22">
        <v>264</v>
      </c>
      <c r="CP22">
        <v>21</v>
      </c>
      <c r="CQ22">
        <v>60.628787878799997</v>
      </c>
      <c r="CR22">
        <v>700</v>
      </c>
      <c r="CS22">
        <v>164</v>
      </c>
      <c r="CT22">
        <v>60.651428571399997</v>
      </c>
      <c r="CU22">
        <v>60.134146341499999</v>
      </c>
      <c r="CW22" t="s">
        <v>405</v>
      </c>
      <c r="CX22" t="s">
        <v>799</v>
      </c>
      <c r="CY22" t="s">
        <v>804</v>
      </c>
      <c r="CZ22">
        <v>72</v>
      </c>
      <c r="DA22">
        <v>16</v>
      </c>
      <c r="DB22">
        <v>88.777777777799997</v>
      </c>
      <c r="DC22">
        <v>58</v>
      </c>
      <c r="DD22">
        <v>20</v>
      </c>
      <c r="DE22">
        <v>131.56896551720001</v>
      </c>
      <c r="DF22">
        <v>150.15</v>
      </c>
      <c r="DH22" t="s">
        <v>405</v>
      </c>
      <c r="DI22" t="s">
        <v>773</v>
      </c>
      <c r="DJ22" t="s">
        <v>778</v>
      </c>
      <c r="DK22">
        <v>32</v>
      </c>
      <c r="DL22">
        <v>8</v>
      </c>
      <c r="DM22">
        <v>90.53125</v>
      </c>
      <c r="DN22">
        <v>34</v>
      </c>
      <c r="DO22">
        <v>8</v>
      </c>
      <c r="DP22">
        <v>122.9411764706</v>
      </c>
      <c r="DQ22">
        <v>138.5</v>
      </c>
    </row>
    <row r="23" spans="2:121" x14ac:dyDescent="0.2">
      <c r="B23" t="s">
        <v>1063</v>
      </c>
      <c r="C23">
        <v>1342</v>
      </c>
      <c r="D23">
        <v>654</v>
      </c>
      <c r="F23" t="s">
        <v>46</v>
      </c>
      <c r="G23">
        <v>78</v>
      </c>
      <c r="H23">
        <v>99.461538461499998</v>
      </c>
      <c r="I23">
        <v>816</v>
      </c>
      <c r="J23">
        <v>148</v>
      </c>
      <c r="K23">
        <v>192</v>
      </c>
      <c r="L23">
        <v>20</v>
      </c>
      <c r="M23">
        <v>100</v>
      </c>
      <c r="N23">
        <v>40</v>
      </c>
      <c r="O23">
        <v>82</v>
      </c>
      <c r="P23">
        <v>35</v>
      </c>
      <c r="Q23">
        <v>0</v>
      </c>
      <c r="R23">
        <v>2</v>
      </c>
      <c r="AH23" t="s">
        <v>380</v>
      </c>
      <c r="AI23">
        <v>8387</v>
      </c>
      <c r="AJ23">
        <v>638.1364015739</v>
      </c>
      <c r="AK23">
        <v>5713</v>
      </c>
      <c r="AL23">
        <v>1320</v>
      </c>
      <c r="AM23">
        <v>11503</v>
      </c>
      <c r="AN23">
        <v>8343</v>
      </c>
      <c r="AO23">
        <v>3041</v>
      </c>
      <c r="AP23">
        <v>2333</v>
      </c>
      <c r="AQ23">
        <v>3519</v>
      </c>
      <c r="AR23">
        <v>2403</v>
      </c>
      <c r="AS23">
        <v>409</v>
      </c>
      <c r="AT23">
        <v>5</v>
      </c>
      <c r="AV23" t="s">
        <v>411</v>
      </c>
      <c r="AW23">
        <v>788</v>
      </c>
      <c r="AX23">
        <v>46.091370558400001</v>
      </c>
      <c r="AY23">
        <v>1640</v>
      </c>
      <c r="AZ23">
        <v>83</v>
      </c>
      <c r="BA23">
        <v>1089</v>
      </c>
      <c r="BB23">
        <v>35</v>
      </c>
      <c r="BC23">
        <v>13</v>
      </c>
      <c r="BD23">
        <v>7</v>
      </c>
      <c r="BE23">
        <v>89</v>
      </c>
      <c r="BF23">
        <v>42</v>
      </c>
      <c r="BG23">
        <v>1139</v>
      </c>
      <c r="BH23">
        <v>240</v>
      </c>
      <c r="BJ23" t="s">
        <v>575</v>
      </c>
      <c r="BK23" t="s">
        <v>394</v>
      </c>
      <c r="BL23">
        <v>3985</v>
      </c>
      <c r="BM23">
        <v>784</v>
      </c>
      <c r="BN23">
        <v>86.772396486800005</v>
      </c>
      <c r="BO23">
        <v>4494</v>
      </c>
      <c r="BP23">
        <v>1108</v>
      </c>
      <c r="BQ23">
        <v>122.2078326658</v>
      </c>
      <c r="BR23">
        <v>121.6119133574</v>
      </c>
      <c r="BS23">
        <v>4241</v>
      </c>
      <c r="BT23">
        <v>1054</v>
      </c>
      <c r="BU23">
        <v>99.762791794400002</v>
      </c>
      <c r="BV23">
        <v>5419</v>
      </c>
      <c r="BW23">
        <v>1211</v>
      </c>
      <c r="BX23">
        <v>143.56818601219999</v>
      </c>
      <c r="BY23">
        <v>136.75805119739999</v>
      </c>
      <c r="CA23" t="s">
        <v>401</v>
      </c>
      <c r="CB23" t="s">
        <v>811</v>
      </c>
      <c r="CC23" t="s">
        <v>1013</v>
      </c>
      <c r="CD23">
        <v>5740</v>
      </c>
      <c r="CE23">
        <v>1091</v>
      </c>
      <c r="CF23">
        <v>84.950522648100005</v>
      </c>
      <c r="CG23">
        <v>6729</v>
      </c>
      <c r="CH23">
        <v>1675</v>
      </c>
      <c r="CI23">
        <v>117.2893446277</v>
      </c>
      <c r="CJ23">
        <v>113.7343283582</v>
      </c>
      <c r="CL23" t="s">
        <v>401</v>
      </c>
      <c r="CM23" t="s">
        <v>786</v>
      </c>
      <c r="CN23" t="s">
        <v>792</v>
      </c>
      <c r="CO23">
        <v>498</v>
      </c>
      <c r="CP23">
        <v>77</v>
      </c>
      <c r="CQ23">
        <v>74.092369477899993</v>
      </c>
      <c r="CR23">
        <v>1170</v>
      </c>
      <c r="CS23">
        <v>313</v>
      </c>
      <c r="CT23">
        <v>70.775213675200007</v>
      </c>
      <c r="CU23">
        <v>78.099041533499999</v>
      </c>
      <c r="CW23" t="s">
        <v>401</v>
      </c>
      <c r="CX23" t="s">
        <v>799</v>
      </c>
      <c r="CY23" t="s">
        <v>805</v>
      </c>
      <c r="CZ23">
        <v>181</v>
      </c>
      <c r="DA23">
        <v>28</v>
      </c>
      <c r="DB23">
        <v>82</v>
      </c>
      <c r="DC23">
        <v>138</v>
      </c>
      <c r="DD23">
        <v>38</v>
      </c>
      <c r="DE23">
        <v>134.0507246377</v>
      </c>
      <c r="DF23">
        <v>145.15789473679999</v>
      </c>
      <c r="DH23" t="s">
        <v>401</v>
      </c>
      <c r="DI23" t="s">
        <v>773</v>
      </c>
      <c r="DJ23" t="s">
        <v>779</v>
      </c>
      <c r="DK23">
        <v>146</v>
      </c>
      <c r="DL23">
        <v>15</v>
      </c>
      <c r="DM23">
        <v>83.184931506799998</v>
      </c>
      <c r="DN23">
        <v>129</v>
      </c>
      <c r="DO23">
        <v>40</v>
      </c>
      <c r="DP23">
        <v>138.58139534879999</v>
      </c>
      <c r="DQ23">
        <v>149.42500000000001</v>
      </c>
    </row>
    <row r="24" spans="2:121" x14ac:dyDescent="0.2">
      <c r="B24" t="s">
        <v>113</v>
      </c>
      <c r="C24">
        <v>1698</v>
      </c>
      <c r="D24">
        <v>643</v>
      </c>
      <c r="F24" t="s">
        <v>38</v>
      </c>
      <c r="G24">
        <v>4355</v>
      </c>
      <c r="H24">
        <v>607.37382319170001</v>
      </c>
      <c r="I24">
        <v>3548</v>
      </c>
      <c r="J24">
        <v>850</v>
      </c>
      <c r="K24">
        <v>5739</v>
      </c>
      <c r="L24">
        <v>4514</v>
      </c>
      <c r="M24">
        <v>2699</v>
      </c>
      <c r="N24">
        <v>2146</v>
      </c>
      <c r="O24">
        <v>900</v>
      </c>
      <c r="P24">
        <v>691</v>
      </c>
      <c r="Q24">
        <v>0</v>
      </c>
      <c r="R24">
        <v>2</v>
      </c>
      <c r="T24" t="s">
        <v>651</v>
      </c>
      <c r="U24" t="s">
        <v>309</v>
      </c>
      <c r="V24" t="s">
        <v>136</v>
      </c>
      <c r="W24" t="s">
        <v>217</v>
      </c>
      <c r="X24" t="s">
        <v>218</v>
      </c>
      <c r="Y24" t="s">
        <v>219</v>
      </c>
      <c r="Z24" t="s">
        <v>220</v>
      </c>
      <c r="AA24" t="s">
        <v>221</v>
      </c>
      <c r="AB24" t="s">
        <v>222</v>
      </c>
      <c r="AC24" t="s">
        <v>223</v>
      </c>
      <c r="AD24" t="s">
        <v>224</v>
      </c>
      <c r="AE24" t="s">
        <v>225</v>
      </c>
      <c r="AF24" t="s">
        <v>226</v>
      </c>
      <c r="AH24" t="s">
        <v>375</v>
      </c>
      <c r="AI24">
        <v>4690</v>
      </c>
      <c r="AJ24">
        <v>560.51194029850001</v>
      </c>
      <c r="AK24">
        <v>4494</v>
      </c>
      <c r="AL24">
        <v>1075</v>
      </c>
      <c r="AM24">
        <v>6772</v>
      </c>
      <c r="AN24">
        <v>5224</v>
      </c>
      <c r="AO24">
        <v>3037</v>
      </c>
      <c r="AP24">
        <v>2412</v>
      </c>
      <c r="AQ24">
        <v>1532</v>
      </c>
      <c r="AR24">
        <v>1068</v>
      </c>
      <c r="AS24">
        <v>767</v>
      </c>
      <c r="AT24">
        <v>11</v>
      </c>
      <c r="AV24" t="s">
        <v>83</v>
      </c>
      <c r="AW24">
        <v>181</v>
      </c>
      <c r="AX24">
        <v>44.756906077300002</v>
      </c>
      <c r="AY24">
        <v>411</v>
      </c>
      <c r="AZ24">
        <v>23</v>
      </c>
      <c r="BA24">
        <v>291</v>
      </c>
      <c r="BB24">
        <v>30</v>
      </c>
      <c r="BC24">
        <v>1</v>
      </c>
      <c r="BE24">
        <v>23</v>
      </c>
      <c r="BF24">
        <v>8</v>
      </c>
      <c r="BG24">
        <v>384</v>
      </c>
      <c r="BH24">
        <v>67</v>
      </c>
      <c r="BJ24" t="s">
        <v>639</v>
      </c>
      <c r="BK24" t="s">
        <v>394</v>
      </c>
      <c r="BL24">
        <v>865</v>
      </c>
      <c r="BM24">
        <v>142</v>
      </c>
      <c r="BN24">
        <v>74.921387283200005</v>
      </c>
      <c r="BO24">
        <v>1092</v>
      </c>
      <c r="BP24">
        <v>246</v>
      </c>
      <c r="BQ24">
        <v>106.2619047619</v>
      </c>
      <c r="BR24">
        <v>104.2886178862</v>
      </c>
      <c r="BS24">
        <v>1746</v>
      </c>
      <c r="BT24">
        <v>465</v>
      </c>
      <c r="BU24">
        <v>103.2663230241</v>
      </c>
      <c r="BV24">
        <v>1924</v>
      </c>
      <c r="BW24">
        <v>420</v>
      </c>
      <c r="BX24">
        <v>137.06288981290001</v>
      </c>
      <c r="BY24">
        <v>135.1142857143</v>
      </c>
      <c r="CA24" t="s">
        <v>404</v>
      </c>
      <c r="CB24" t="s">
        <v>811</v>
      </c>
      <c r="CC24" t="s">
        <v>1014</v>
      </c>
      <c r="CD24">
        <v>2175</v>
      </c>
      <c r="CE24">
        <v>220</v>
      </c>
      <c r="CF24">
        <v>75.738850574699995</v>
      </c>
      <c r="CG24">
        <v>2143</v>
      </c>
      <c r="CH24">
        <v>469</v>
      </c>
      <c r="CI24">
        <v>117.8609426038</v>
      </c>
      <c r="CJ24">
        <v>128.0746268657</v>
      </c>
      <c r="CL24" t="s">
        <v>404</v>
      </c>
      <c r="CM24" t="s">
        <v>786</v>
      </c>
      <c r="CN24" t="s">
        <v>793</v>
      </c>
      <c r="CO24">
        <v>99</v>
      </c>
      <c r="CP24">
        <v>16</v>
      </c>
      <c r="CQ24">
        <v>83.424242424200003</v>
      </c>
      <c r="CR24">
        <v>194</v>
      </c>
      <c r="CS24">
        <v>50</v>
      </c>
      <c r="CT24">
        <v>61.371134020600003</v>
      </c>
      <c r="CU24">
        <v>52.62</v>
      </c>
      <c r="CW24" t="s">
        <v>404</v>
      </c>
      <c r="CX24" t="s">
        <v>799</v>
      </c>
      <c r="CY24" t="s">
        <v>806</v>
      </c>
      <c r="CZ24">
        <v>62</v>
      </c>
      <c r="DA24">
        <v>8</v>
      </c>
      <c r="DB24">
        <v>81.145161290299995</v>
      </c>
      <c r="DC24">
        <v>26</v>
      </c>
      <c r="DD24">
        <v>4</v>
      </c>
      <c r="DE24">
        <v>115.1153846154</v>
      </c>
      <c r="DF24">
        <v>131.75</v>
      </c>
      <c r="DH24" t="s">
        <v>404</v>
      </c>
      <c r="DI24" t="s">
        <v>773</v>
      </c>
      <c r="DJ24" t="s">
        <v>780</v>
      </c>
      <c r="DK24">
        <v>92</v>
      </c>
      <c r="DL24">
        <v>9</v>
      </c>
      <c r="DM24">
        <v>83.184782608700004</v>
      </c>
      <c r="DN24">
        <v>56</v>
      </c>
      <c r="DO24">
        <v>16</v>
      </c>
      <c r="DP24">
        <v>108.57142857140001</v>
      </c>
      <c r="DQ24">
        <v>97.5625</v>
      </c>
    </row>
    <row r="25" spans="2:121" x14ac:dyDescent="0.2">
      <c r="B25" t="s">
        <v>107</v>
      </c>
      <c r="C25">
        <v>37848</v>
      </c>
      <c r="D25">
        <v>10750</v>
      </c>
      <c r="F25" t="s">
        <v>82</v>
      </c>
      <c r="G25">
        <v>11664</v>
      </c>
      <c r="H25">
        <v>338.70799039780002</v>
      </c>
      <c r="I25">
        <v>17602</v>
      </c>
      <c r="J25">
        <v>3456</v>
      </c>
      <c r="K25">
        <v>14031</v>
      </c>
      <c r="L25">
        <v>8718</v>
      </c>
      <c r="M25">
        <v>3652</v>
      </c>
      <c r="N25">
        <v>2202</v>
      </c>
      <c r="O25">
        <v>5647</v>
      </c>
      <c r="P25">
        <v>1824</v>
      </c>
      <c r="Q25">
        <v>2</v>
      </c>
      <c r="R25">
        <v>206</v>
      </c>
      <c r="T25" t="s">
        <v>389</v>
      </c>
      <c r="U25">
        <v>58077</v>
      </c>
      <c r="V25">
        <v>380.89803192310001</v>
      </c>
      <c r="W25">
        <v>65902</v>
      </c>
      <c r="X25">
        <v>14180</v>
      </c>
      <c r="Y25">
        <v>81028</v>
      </c>
      <c r="Z25">
        <v>52792</v>
      </c>
      <c r="AA25">
        <v>19257</v>
      </c>
      <c r="AB25">
        <v>12179</v>
      </c>
      <c r="AC25">
        <v>26267</v>
      </c>
      <c r="AD25">
        <v>14635</v>
      </c>
      <c r="AE25">
        <v>926</v>
      </c>
      <c r="AF25">
        <v>1058</v>
      </c>
      <c r="AH25" t="s">
        <v>399</v>
      </c>
      <c r="AI25">
        <v>3802</v>
      </c>
      <c r="AJ25">
        <v>302.33771699110002</v>
      </c>
      <c r="AK25">
        <v>7136</v>
      </c>
      <c r="AL25">
        <v>1830</v>
      </c>
      <c r="AM25">
        <v>6835</v>
      </c>
      <c r="AN25">
        <v>4439</v>
      </c>
      <c r="AO25">
        <v>1370</v>
      </c>
      <c r="AP25">
        <v>1004</v>
      </c>
      <c r="AQ25">
        <v>5865</v>
      </c>
      <c r="AR25">
        <v>1114</v>
      </c>
      <c r="AS25">
        <v>719</v>
      </c>
      <c r="AT25">
        <v>199</v>
      </c>
      <c r="AV25" t="s">
        <v>407</v>
      </c>
      <c r="AW25">
        <v>138</v>
      </c>
      <c r="AX25">
        <v>47.869565217400002</v>
      </c>
      <c r="AY25">
        <v>222</v>
      </c>
      <c r="AZ25">
        <v>8</v>
      </c>
      <c r="BA25">
        <v>194</v>
      </c>
      <c r="BB25">
        <v>9</v>
      </c>
      <c r="BC25">
        <v>1</v>
      </c>
      <c r="BD25">
        <v>1</v>
      </c>
      <c r="BE25">
        <v>14</v>
      </c>
      <c r="BF25">
        <v>7</v>
      </c>
      <c r="BG25">
        <v>305</v>
      </c>
      <c r="BH25">
        <v>36</v>
      </c>
      <c r="BJ25" t="s">
        <v>578</v>
      </c>
      <c r="BK25" t="s">
        <v>394</v>
      </c>
      <c r="BL25">
        <v>5603</v>
      </c>
      <c r="BM25">
        <v>1095</v>
      </c>
      <c r="BN25">
        <v>85.114938425800005</v>
      </c>
      <c r="BO25">
        <v>6254</v>
      </c>
      <c r="BP25">
        <v>1565</v>
      </c>
      <c r="BQ25">
        <v>118.58410617200001</v>
      </c>
      <c r="BR25">
        <v>115.6453674121</v>
      </c>
      <c r="BS25">
        <v>5942</v>
      </c>
      <c r="BT25">
        <v>1445</v>
      </c>
      <c r="BU25">
        <v>92.774486704799997</v>
      </c>
      <c r="BV25">
        <v>7221</v>
      </c>
      <c r="BW25">
        <v>1655</v>
      </c>
      <c r="BX25">
        <v>122.42902645060001</v>
      </c>
      <c r="BY25">
        <v>120.35287009060001</v>
      </c>
      <c r="CA25" t="s">
        <v>423</v>
      </c>
      <c r="CB25" t="s">
        <v>811</v>
      </c>
      <c r="CC25" t="s">
        <v>1015</v>
      </c>
      <c r="CD25">
        <v>643</v>
      </c>
      <c r="CE25">
        <v>108</v>
      </c>
      <c r="CF25">
        <v>79.171073094899995</v>
      </c>
      <c r="CG25">
        <v>855</v>
      </c>
      <c r="CH25">
        <v>182</v>
      </c>
      <c r="CI25">
        <v>98.266666666700004</v>
      </c>
      <c r="CJ25">
        <v>100.9065934066</v>
      </c>
      <c r="CL25" t="s">
        <v>423</v>
      </c>
      <c r="CM25" t="s">
        <v>786</v>
      </c>
      <c r="CN25" t="s">
        <v>794</v>
      </c>
      <c r="CO25">
        <v>34</v>
      </c>
      <c r="CP25">
        <v>1</v>
      </c>
      <c r="CQ25">
        <v>53.5</v>
      </c>
      <c r="CR25">
        <v>90</v>
      </c>
      <c r="CS25">
        <v>24</v>
      </c>
      <c r="CT25">
        <v>60.177777777800003</v>
      </c>
      <c r="CU25">
        <v>68.041666666699996</v>
      </c>
      <c r="CW25" t="s">
        <v>423</v>
      </c>
      <c r="CX25" t="s">
        <v>799</v>
      </c>
      <c r="CY25" t="s">
        <v>807</v>
      </c>
      <c r="CZ25">
        <v>11</v>
      </c>
      <c r="DA25">
        <v>3</v>
      </c>
      <c r="DB25">
        <v>91.818181818200003</v>
      </c>
      <c r="DC25">
        <v>18</v>
      </c>
      <c r="DD25">
        <v>3</v>
      </c>
      <c r="DE25">
        <v>98.166666666699996</v>
      </c>
      <c r="DF25">
        <v>143.6666666667</v>
      </c>
      <c r="DH25" t="s">
        <v>423</v>
      </c>
      <c r="DI25" t="s">
        <v>773</v>
      </c>
      <c r="DJ25" t="s">
        <v>781</v>
      </c>
      <c r="DK25">
        <v>9</v>
      </c>
      <c r="DL25">
        <v>1</v>
      </c>
      <c r="DM25">
        <v>62.666666666700003</v>
      </c>
      <c r="DN25">
        <v>4</v>
      </c>
      <c r="DO25">
        <v>0</v>
      </c>
      <c r="DP25">
        <v>122</v>
      </c>
      <c r="DQ25">
        <v>0</v>
      </c>
    </row>
    <row r="26" spans="2:121" x14ac:dyDescent="0.2">
      <c r="B26" t="s">
        <v>106</v>
      </c>
      <c r="C26">
        <v>47</v>
      </c>
      <c r="D26">
        <v>38</v>
      </c>
      <c r="F26" t="s">
        <v>42</v>
      </c>
      <c r="G26">
        <v>10523</v>
      </c>
      <c r="H26">
        <v>282.37688871990002</v>
      </c>
      <c r="I26">
        <v>8596</v>
      </c>
      <c r="J26">
        <v>2487</v>
      </c>
      <c r="K26">
        <v>17777</v>
      </c>
      <c r="L26">
        <v>11766</v>
      </c>
      <c r="M26">
        <v>2971</v>
      </c>
      <c r="N26">
        <v>2000</v>
      </c>
      <c r="O26">
        <v>1277</v>
      </c>
      <c r="P26">
        <v>491</v>
      </c>
      <c r="Q26">
        <v>0</v>
      </c>
      <c r="R26">
        <v>53</v>
      </c>
      <c r="T26" t="s">
        <v>394</v>
      </c>
      <c r="U26">
        <v>40768</v>
      </c>
      <c r="V26">
        <v>385.56362833589998</v>
      </c>
      <c r="W26">
        <v>51142</v>
      </c>
      <c r="X26">
        <v>11295</v>
      </c>
      <c r="Y26">
        <v>63581</v>
      </c>
      <c r="Z26">
        <v>38921</v>
      </c>
      <c r="AA26">
        <v>13628</v>
      </c>
      <c r="AB26">
        <v>9220</v>
      </c>
      <c r="AC26">
        <v>28623</v>
      </c>
      <c r="AD26">
        <v>15805</v>
      </c>
      <c r="AE26">
        <v>3785</v>
      </c>
      <c r="AF26">
        <v>1052</v>
      </c>
      <c r="AH26" t="s">
        <v>405</v>
      </c>
      <c r="AI26">
        <v>1510</v>
      </c>
      <c r="AJ26">
        <v>194.62251655630001</v>
      </c>
      <c r="AK26">
        <v>4428</v>
      </c>
      <c r="AL26">
        <v>857</v>
      </c>
      <c r="AM26">
        <v>2877</v>
      </c>
      <c r="AN26">
        <v>1314</v>
      </c>
      <c r="AO26">
        <v>505</v>
      </c>
      <c r="AP26">
        <v>239</v>
      </c>
      <c r="AQ26">
        <v>1140</v>
      </c>
      <c r="AR26">
        <v>713</v>
      </c>
      <c r="AS26">
        <v>4</v>
      </c>
      <c r="AT26">
        <v>5</v>
      </c>
      <c r="AV26" t="s">
        <v>378</v>
      </c>
      <c r="AW26">
        <v>458</v>
      </c>
      <c r="AX26">
        <v>103.7794759825</v>
      </c>
      <c r="AY26">
        <v>806</v>
      </c>
      <c r="AZ26">
        <v>206</v>
      </c>
      <c r="BA26">
        <v>592</v>
      </c>
      <c r="BB26">
        <v>225</v>
      </c>
      <c r="BC26">
        <v>4</v>
      </c>
      <c r="BD26">
        <v>4</v>
      </c>
      <c r="BE26">
        <v>31</v>
      </c>
      <c r="BF26">
        <v>11</v>
      </c>
      <c r="BG26">
        <v>74</v>
      </c>
      <c r="BH26">
        <v>210</v>
      </c>
      <c r="BJ26" t="s">
        <v>584</v>
      </c>
      <c r="BK26" t="s">
        <v>394</v>
      </c>
      <c r="BL26">
        <v>6215</v>
      </c>
      <c r="BM26">
        <v>1232</v>
      </c>
      <c r="BN26">
        <v>88.168463395000003</v>
      </c>
      <c r="BO26">
        <v>8913</v>
      </c>
      <c r="BP26">
        <v>2120</v>
      </c>
      <c r="BQ26">
        <v>119.4426119152</v>
      </c>
      <c r="BR26">
        <v>116.4240566038</v>
      </c>
      <c r="BS26">
        <v>6833</v>
      </c>
      <c r="BT26">
        <v>1685</v>
      </c>
      <c r="BU26">
        <v>99.602956241800001</v>
      </c>
      <c r="BV26">
        <v>10291</v>
      </c>
      <c r="BW26">
        <v>2385</v>
      </c>
      <c r="BX26">
        <v>135.7251967739</v>
      </c>
      <c r="BY26">
        <v>129.0532494759</v>
      </c>
      <c r="CA26" t="s">
        <v>395</v>
      </c>
      <c r="CB26" t="s">
        <v>811</v>
      </c>
      <c r="CC26" t="s">
        <v>1016</v>
      </c>
      <c r="CD26">
        <v>8213</v>
      </c>
      <c r="CE26">
        <v>2124</v>
      </c>
      <c r="CF26">
        <v>102.7088761719</v>
      </c>
      <c r="CG26">
        <v>9864</v>
      </c>
      <c r="CH26">
        <v>2414</v>
      </c>
      <c r="CI26">
        <v>128.5801905921</v>
      </c>
      <c r="CJ26">
        <v>136.24896437449999</v>
      </c>
      <c r="CL26" t="s">
        <v>395</v>
      </c>
      <c r="CM26" t="s">
        <v>786</v>
      </c>
      <c r="CN26" t="s">
        <v>795</v>
      </c>
      <c r="CO26">
        <v>859</v>
      </c>
      <c r="CP26">
        <v>122</v>
      </c>
      <c r="CQ26">
        <v>74.819557625100003</v>
      </c>
      <c r="CR26">
        <v>1948</v>
      </c>
      <c r="CS26">
        <v>507</v>
      </c>
      <c r="CT26">
        <v>69.584188911699997</v>
      </c>
      <c r="CU26">
        <v>79.5069033531</v>
      </c>
      <c r="CW26" t="s">
        <v>395</v>
      </c>
      <c r="CX26" t="s">
        <v>799</v>
      </c>
      <c r="CY26" t="s">
        <v>808</v>
      </c>
      <c r="CZ26">
        <v>266</v>
      </c>
      <c r="DA26">
        <v>56</v>
      </c>
      <c r="DB26">
        <v>92.338345864700003</v>
      </c>
      <c r="DC26">
        <v>161</v>
      </c>
      <c r="DD26">
        <v>44</v>
      </c>
      <c r="DE26">
        <v>141.6335403727</v>
      </c>
      <c r="DF26">
        <v>154.0909090909</v>
      </c>
      <c r="DH26" t="s">
        <v>395</v>
      </c>
      <c r="DI26" t="s">
        <v>773</v>
      </c>
      <c r="DJ26" t="s">
        <v>782</v>
      </c>
      <c r="DK26">
        <v>133</v>
      </c>
      <c r="DL26">
        <v>43</v>
      </c>
      <c r="DM26">
        <v>101.90225563910001</v>
      </c>
      <c r="DN26">
        <v>134</v>
      </c>
      <c r="DO26">
        <v>32</v>
      </c>
      <c r="DP26">
        <v>133.83582089550001</v>
      </c>
      <c r="DQ26">
        <v>142.15625</v>
      </c>
    </row>
    <row r="27" spans="2:121" x14ac:dyDescent="0.2">
      <c r="B27" t="s">
        <v>99</v>
      </c>
      <c r="C27">
        <v>123351</v>
      </c>
      <c r="D27">
        <v>67868</v>
      </c>
      <c r="F27" t="s">
        <v>58</v>
      </c>
      <c r="G27">
        <v>795</v>
      </c>
      <c r="H27">
        <v>177.48176100629999</v>
      </c>
      <c r="I27">
        <v>782</v>
      </c>
      <c r="J27">
        <v>203</v>
      </c>
      <c r="K27">
        <v>911</v>
      </c>
      <c r="L27">
        <v>527</v>
      </c>
      <c r="M27">
        <v>255</v>
      </c>
      <c r="N27">
        <v>93</v>
      </c>
      <c r="O27">
        <v>1018</v>
      </c>
      <c r="P27">
        <v>570</v>
      </c>
      <c r="Q27">
        <v>399</v>
      </c>
      <c r="R27">
        <v>145</v>
      </c>
      <c r="T27" t="s">
        <v>373</v>
      </c>
      <c r="U27">
        <v>71135</v>
      </c>
      <c r="V27">
        <v>415.13357700149999</v>
      </c>
      <c r="W27">
        <v>70313</v>
      </c>
      <c r="X27">
        <v>17312</v>
      </c>
      <c r="Y27">
        <v>101307</v>
      </c>
      <c r="Z27">
        <v>69733</v>
      </c>
      <c r="AA27">
        <v>34312</v>
      </c>
      <c r="AB27">
        <v>24352</v>
      </c>
      <c r="AC27">
        <v>35397</v>
      </c>
      <c r="AD27">
        <v>23616</v>
      </c>
      <c r="AE27">
        <v>8321</v>
      </c>
      <c r="AF27">
        <v>133</v>
      </c>
      <c r="AH27" t="s">
        <v>393</v>
      </c>
      <c r="AI27">
        <v>4742</v>
      </c>
      <c r="AJ27">
        <v>410.4342049768</v>
      </c>
      <c r="AK27">
        <v>4397</v>
      </c>
      <c r="AL27">
        <v>1251</v>
      </c>
      <c r="AM27">
        <v>7005</v>
      </c>
      <c r="AN27">
        <v>5061</v>
      </c>
      <c r="AO27">
        <v>1380</v>
      </c>
      <c r="AP27">
        <v>974</v>
      </c>
      <c r="AQ27">
        <v>2767</v>
      </c>
      <c r="AR27">
        <v>2066</v>
      </c>
      <c r="AS27">
        <v>300</v>
      </c>
      <c r="AT27">
        <v>153</v>
      </c>
      <c r="AV27" t="s">
        <v>401</v>
      </c>
      <c r="AW27">
        <v>368</v>
      </c>
      <c r="AX27">
        <v>44.2282608696</v>
      </c>
      <c r="AY27">
        <v>640</v>
      </c>
      <c r="AZ27">
        <v>78</v>
      </c>
      <c r="BA27">
        <v>560</v>
      </c>
      <c r="BB27">
        <v>32</v>
      </c>
      <c r="BC27">
        <v>2</v>
      </c>
      <c r="BD27">
        <v>1</v>
      </c>
      <c r="BE27">
        <v>49</v>
      </c>
      <c r="BF27">
        <v>16</v>
      </c>
      <c r="BG27">
        <v>115</v>
      </c>
      <c r="BH27">
        <v>40</v>
      </c>
      <c r="BJ27" t="s">
        <v>643</v>
      </c>
      <c r="BK27" t="s">
        <v>394</v>
      </c>
      <c r="BL27">
        <v>2423</v>
      </c>
      <c r="BM27">
        <v>417</v>
      </c>
      <c r="BN27">
        <v>83.035905901800007</v>
      </c>
      <c r="BO27">
        <v>3102</v>
      </c>
      <c r="BP27">
        <v>828</v>
      </c>
      <c r="BQ27">
        <v>138.0754352031</v>
      </c>
      <c r="BR27">
        <v>133.03985507249999</v>
      </c>
      <c r="BS27">
        <v>1765</v>
      </c>
      <c r="BT27">
        <v>300</v>
      </c>
      <c r="BU27">
        <v>75.355240793199997</v>
      </c>
      <c r="BV27">
        <v>2249</v>
      </c>
      <c r="BW27">
        <v>606</v>
      </c>
      <c r="BX27">
        <v>150.41396176079999</v>
      </c>
      <c r="BY27">
        <v>138.3283828383</v>
      </c>
      <c r="CA27" t="s">
        <v>424</v>
      </c>
      <c r="CB27" t="s">
        <v>811</v>
      </c>
      <c r="CC27" t="s">
        <v>1017</v>
      </c>
      <c r="CD27">
        <v>877</v>
      </c>
      <c r="CE27">
        <v>145</v>
      </c>
      <c r="CF27">
        <v>75.148232611200001</v>
      </c>
      <c r="CG27">
        <v>1178</v>
      </c>
      <c r="CH27">
        <v>269</v>
      </c>
      <c r="CI27">
        <v>109.3947368421</v>
      </c>
      <c r="CJ27">
        <v>104.4944237918</v>
      </c>
      <c r="CL27" t="s">
        <v>424</v>
      </c>
      <c r="CM27" t="s">
        <v>786</v>
      </c>
      <c r="CN27" t="s">
        <v>796</v>
      </c>
      <c r="CO27">
        <v>54</v>
      </c>
      <c r="CP27">
        <v>1</v>
      </c>
      <c r="CQ27">
        <v>54.166666666700003</v>
      </c>
      <c r="CR27">
        <v>137</v>
      </c>
      <c r="CS27">
        <v>29</v>
      </c>
      <c r="CT27">
        <v>65.467153284700004</v>
      </c>
      <c r="CU27">
        <v>70.620689655199996</v>
      </c>
      <c r="CW27" t="s">
        <v>424</v>
      </c>
      <c r="CX27" t="s">
        <v>799</v>
      </c>
      <c r="CY27" t="s">
        <v>809</v>
      </c>
      <c r="CZ27">
        <v>18</v>
      </c>
      <c r="DA27">
        <v>1</v>
      </c>
      <c r="DB27">
        <v>70.777777777799997</v>
      </c>
      <c r="DC27">
        <v>9</v>
      </c>
      <c r="DD27">
        <v>6</v>
      </c>
      <c r="DE27">
        <v>170.55555555559999</v>
      </c>
      <c r="DF27">
        <v>162.8333333333</v>
      </c>
      <c r="DH27" t="s">
        <v>424</v>
      </c>
      <c r="DI27" t="s">
        <v>773</v>
      </c>
      <c r="DJ27" t="s">
        <v>783</v>
      </c>
      <c r="DK27">
        <v>5</v>
      </c>
      <c r="DL27">
        <v>3</v>
      </c>
      <c r="DM27">
        <v>120.2</v>
      </c>
      <c r="DN27">
        <v>14</v>
      </c>
      <c r="DO27">
        <v>3</v>
      </c>
      <c r="DP27">
        <v>158.8571428571</v>
      </c>
      <c r="DQ27">
        <v>164.6666666667</v>
      </c>
    </row>
    <row r="28" spans="2:121" x14ac:dyDescent="0.2">
      <c r="B28" t="s">
        <v>91</v>
      </c>
      <c r="C28">
        <v>78111</v>
      </c>
      <c r="D28">
        <v>20099</v>
      </c>
      <c r="F28" t="s">
        <v>72</v>
      </c>
      <c r="G28">
        <v>14489</v>
      </c>
      <c r="H28">
        <v>428.44551038719999</v>
      </c>
      <c r="I28">
        <v>11719</v>
      </c>
      <c r="J28">
        <v>2831</v>
      </c>
      <c r="K28">
        <v>16744</v>
      </c>
      <c r="L28">
        <v>11379</v>
      </c>
      <c r="M28">
        <v>7364</v>
      </c>
      <c r="N28">
        <v>5509</v>
      </c>
      <c r="O28">
        <v>4436</v>
      </c>
      <c r="P28">
        <v>3746</v>
      </c>
      <c r="Q28">
        <v>5</v>
      </c>
      <c r="R28">
        <v>4</v>
      </c>
      <c r="T28" t="s">
        <v>8</v>
      </c>
      <c r="U28">
        <v>4115</v>
      </c>
      <c r="V28">
        <v>384.78590522479999</v>
      </c>
      <c r="W28">
        <v>4078</v>
      </c>
      <c r="X28">
        <v>1719</v>
      </c>
      <c r="Y28">
        <v>5698</v>
      </c>
      <c r="Z28">
        <v>3989</v>
      </c>
      <c r="AA28">
        <v>1462</v>
      </c>
      <c r="AB28">
        <v>820</v>
      </c>
      <c r="AC28">
        <v>1893</v>
      </c>
      <c r="AD28">
        <v>1147</v>
      </c>
      <c r="AE28">
        <v>455</v>
      </c>
      <c r="AF28">
        <v>141</v>
      </c>
      <c r="AH28" t="s">
        <v>401</v>
      </c>
      <c r="AI28">
        <v>5386</v>
      </c>
      <c r="AJ28">
        <v>281.37894541399999</v>
      </c>
      <c r="AK28">
        <v>6136</v>
      </c>
      <c r="AL28">
        <v>1172</v>
      </c>
      <c r="AM28">
        <v>7710</v>
      </c>
      <c r="AN28">
        <v>4526</v>
      </c>
      <c r="AO28">
        <v>2366</v>
      </c>
      <c r="AP28">
        <v>1804</v>
      </c>
      <c r="AQ28">
        <v>8335</v>
      </c>
      <c r="AR28">
        <v>6026</v>
      </c>
      <c r="AS28">
        <v>665</v>
      </c>
      <c r="AT28">
        <v>80</v>
      </c>
      <c r="AV28" t="s">
        <v>385</v>
      </c>
      <c r="AW28">
        <v>1402</v>
      </c>
      <c r="AX28">
        <v>103.182596291</v>
      </c>
      <c r="AY28">
        <v>1763</v>
      </c>
      <c r="AZ28">
        <v>395</v>
      </c>
      <c r="BA28">
        <v>1819</v>
      </c>
      <c r="BB28">
        <v>659</v>
      </c>
      <c r="BC28">
        <v>14</v>
      </c>
      <c r="BD28">
        <v>13</v>
      </c>
      <c r="BE28">
        <v>139</v>
      </c>
      <c r="BF28">
        <v>45</v>
      </c>
      <c r="BG28">
        <v>215</v>
      </c>
      <c r="BH28">
        <v>526</v>
      </c>
      <c r="BJ28" t="s">
        <v>537</v>
      </c>
      <c r="BK28" t="s">
        <v>373</v>
      </c>
      <c r="BL28">
        <v>4481</v>
      </c>
      <c r="BM28">
        <v>1016</v>
      </c>
      <c r="BN28">
        <v>99.204195492099998</v>
      </c>
      <c r="BO28">
        <v>4890</v>
      </c>
      <c r="BP28">
        <v>934</v>
      </c>
      <c r="BQ28">
        <v>145.7734151329</v>
      </c>
      <c r="BR28">
        <v>156.29014989289999</v>
      </c>
      <c r="BS28">
        <v>2026</v>
      </c>
      <c r="BT28">
        <v>625</v>
      </c>
      <c r="BU28">
        <v>111.0138203356</v>
      </c>
      <c r="BV28">
        <v>3099</v>
      </c>
      <c r="BW28">
        <v>583</v>
      </c>
      <c r="BX28">
        <v>132.25943852859999</v>
      </c>
      <c r="BY28">
        <v>141.0274442539</v>
      </c>
      <c r="CA28" t="s">
        <v>400</v>
      </c>
      <c r="CB28" t="s">
        <v>811</v>
      </c>
      <c r="CC28" t="s">
        <v>1018</v>
      </c>
      <c r="CD28">
        <v>3740</v>
      </c>
      <c r="CE28">
        <v>737</v>
      </c>
      <c r="CF28">
        <v>86.922994652400007</v>
      </c>
      <c r="CG28">
        <v>4378</v>
      </c>
      <c r="CH28">
        <v>1079</v>
      </c>
      <c r="CI28">
        <v>119.3170397442</v>
      </c>
      <c r="CJ28">
        <v>118.4615384615</v>
      </c>
      <c r="CL28" t="s">
        <v>400</v>
      </c>
      <c r="CM28" t="s">
        <v>786</v>
      </c>
      <c r="CN28" t="s">
        <v>797</v>
      </c>
      <c r="CO28">
        <v>311</v>
      </c>
      <c r="CP28">
        <v>34</v>
      </c>
      <c r="CQ28">
        <v>61.655948553100004</v>
      </c>
      <c r="CR28">
        <v>717</v>
      </c>
      <c r="CS28">
        <v>172</v>
      </c>
      <c r="CT28">
        <v>56.635983263599996</v>
      </c>
      <c r="CU28">
        <v>61.424418604700001</v>
      </c>
      <c r="CW28" t="s">
        <v>400</v>
      </c>
      <c r="CX28" t="s">
        <v>799</v>
      </c>
      <c r="CY28" t="s">
        <v>810</v>
      </c>
      <c r="CZ28">
        <v>91</v>
      </c>
      <c r="DA28">
        <v>16</v>
      </c>
      <c r="DB28">
        <v>87.395604395600003</v>
      </c>
      <c r="DC28">
        <v>68</v>
      </c>
      <c r="DD28">
        <v>14</v>
      </c>
      <c r="DE28">
        <v>136.1029411765</v>
      </c>
      <c r="DF28">
        <v>148.21428571429999</v>
      </c>
      <c r="DH28" t="s">
        <v>400</v>
      </c>
      <c r="DI28" t="s">
        <v>773</v>
      </c>
      <c r="DJ28" t="s">
        <v>784</v>
      </c>
      <c r="DK28">
        <v>45</v>
      </c>
      <c r="DL28">
        <v>3</v>
      </c>
      <c r="DM28">
        <v>73.2</v>
      </c>
      <c r="DN28">
        <v>58</v>
      </c>
      <c r="DO28">
        <v>16</v>
      </c>
      <c r="DP28">
        <v>128.81034482760001</v>
      </c>
      <c r="DQ28">
        <v>141.9375</v>
      </c>
    </row>
    <row r="29" spans="2:121" x14ac:dyDescent="0.2">
      <c r="B29" t="s">
        <v>109</v>
      </c>
      <c r="C29">
        <v>57211</v>
      </c>
      <c r="D29">
        <v>29411</v>
      </c>
      <c r="F29" t="s">
        <v>44</v>
      </c>
      <c r="G29">
        <v>1074</v>
      </c>
      <c r="H29">
        <v>130.53724394790001</v>
      </c>
      <c r="I29">
        <v>2257</v>
      </c>
      <c r="J29">
        <v>392</v>
      </c>
      <c r="K29">
        <v>1558</v>
      </c>
      <c r="L29">
        <v>603</v>
      </c>
      <c r="M29">
        <v>313</v>
      </c>
      <c r="N29">
        <v>82</v>
      </c>
      <c r="O29">
        <v>350</v>
      </c>
      <c r="P29">
        <v>179</v>
      </c>
      <c r="Q29">
        <v>0</v>
      </c>
      <c r="R29">
        <v>5</v>
      </c>
      <c r="T29" t="s">
        <v>408</v>
      </c>
      <c r="U29">
        <v>64809</v>
      </c>
      <c r="V29">
        <v>397.9352404759</v>
      </c>
      <c r="W29">
        <v>58451</v>
      </c>
      <c r="X29">
        <v>12989</v>
      </c>
      <c r="Y29">
        <v>92588</v>
      </c>
      <c r="Z29">
        <v>64377</v>
      </c>
      <c r="AA29">
        <v>22642</v>
      </c>
      <c r="AB29">
        <v>15842</v>
      </c>
      <c r="AC29">
        <v>31867</v>
      </c>
      <c r="AD29">
        <v>20475</v>
      </c>
      <c r="AE29">
        <v>102</v>
      </c>
      <c r="AF29">
        <v>578</v>
      </c>
      <c r="AH29" t="s">
        <v>422</v>
      </c>
      <c r="AI29">
        <v>815</v>
      </c>
      <c r="AJ29">
        <v>268.20858895710001</v>
      </c>
      <c r="AK29">
        <v>731</v>
      </c>
      <c r="AL29">
        <v>65</v>
      </c>
      <c r="AM29">
        <v>1260</v>
      </c>
      <c r="AN29">
        <v>635</v>
      </c>
      <c r="AO29">
        <v>443</v>
      </c>
      <c r="AP29">
        <v>208</v>
      </c>
      <c r="AQ29">
        <v>327</v>
      </c>
      <c r="AR29">
        <v>156</v>
      </c>
      <c r="AS29">
        <v>2</v>
      </c>
      <c r="AT29">
        <v>8</v>
      </c>
      <c r="AV29" t="s">
        <v>422</v>
      </c>
      <c r="AW29">
        <v>28</v>
      </c>
      <c r="AX29">
        <v>53.464285714299997</v>
      </c>
      <c r="AY29">
        <v>72</v>
      </c>
      <c r="AZ29">
        <v>2</v>
      </c>
      <c r="BA29">
        <v>51</v>
      </c>
      <c r="BB29">
        <v>3</v>
      </c>
      <c r="BC29">
        <v>0</v>
      </c>
      <c r="BE29">
        <v>0</v>
      </c>
      <c r="BG29">
        <v>94</v>
      </c>
      <c r="BH29">
        <v>3</v>
      </c>
      <c r="BJ29" t="s">
        <v>516</v>
      </c>
      <c r="BK29" t="s">
        <v>373</v>
      </c>
      <c r="BL29">
        <v>3661</v>
      </c>
      <c r="BM29">
        <v>868</v>
      </c>
      <c r="BN29">
        <v>93.097514340299995</v>
      </c>
      <c r="BO29">
        <v>3595</v>
      </c>
      <c r="BP29">
        <v>719</v>
      </c>
      <c r="BQ29">
        <v>131.13657858139999</v>
      </c>
      <c r="BR29">
        <v>159.26842837269999</v>
      </c>
      <c r="BS29">
        <v>3403</v>
      </c>
      <c r="BT29">
        <v>747</v>
      </c>
      <c r="BU29">
        <v>87.8386717602</v>
      </c>
      <c r="BV29">
        <v>3318</v>
      </c>
      <c r="BW29">
        <v>684</v>
      </c>
      <c r="BX29">
        <v>121.1308016878</v>
      </c>
      <c r="BY29">
        <v>142.64035087720001</v>
      </c>
      <c r="CA29" t="s">
        <v>394</v>
      </c>
      <c r="CB29" t="s">
        <v>811</v>
      </c>
      <c r="CD29">
        <v>49176</v>
      </c>
      <c r="CE29">
        <v>10789</v>
      </c>
      <c r="CF29">
        <v>92.750508378099994</v>
      </c>
      <c r="CG29">
        <v>58680</v>
      </c>
      <c r="CH29">
        <v>14268</v>
      </c>
      <c r="CI29">
        <v>126.3014485344</v>
      </c>
      <c r="CJ29">
        <v>124.94610316790001</v>
      </c>
      <c r="CL29" t="s">
        <v>394</v>
      </c>
      <c r="CM29" t="s">
        <v>786</v>
      </c>
      <c r="CO29">
        <v>4483</v>
      </c>
      <c r="CP29">
        <v>545</v>
      </c>
      <c r="CQ29">
        <v>69.888244479099995</v>
      </c>
      <c r="CR29">
        <v>10184</v>
      </c>
      <c r="CS29">
        <v>2585</v>
      </c>
      <c r="CT29">
        <v>68.841712490199996</v>
      </c>
      <c r="CU29">
        <v>73.702127659599995</v>
      </c>
      <c r="CW29" t="s">
        <v>394</v>
      </c>
      <c r="CX29" t="s">
        <v>799</v>
      </c>
      <c r="CZ29">
        <v>1416</v>
      </c>
      <c r="DA29">
        <v>290</v>
      </c>
      <c r="DB29">
        <v>89.4844632768</v>
      </c>
      <c r="DC29">
        <v>870</v>
      </c>
      <c r="DD29">
        <v>241</v>
      </c>
      <c r="DE29">
        <v>137.71379310340001</v>
      </c>
      <c r="DF29">
        <v>152.99585062240001</v>
      </c>
      <c r="DH29" t="s">
        <v>394</v>
      </c>
      <c r="DI29" t="s">
        <v>773</v>
      </c>
      <c r="DK29">
        <v>979</v>
      </c>
      <c r="DL29">
        <v>148</v>
      </c>
      <c r="DM29">
        <v>87.110316649599994</v>
      </c>
      <c r="DN29">
        <v>945</v>
      </c>
      <c r="DO29">
        <v>224</v>
      </c>
      <c r="DP29">
        <v>130.19576719579999</v>
      </c>
      <c r="DQ29">
        <v>141.38392857139999</v>
      </c>
    </row>
    <row r="30" spans="2:121" x14ac:dyDescent="0.2">
      <c r="B30" t="s">
        <v>20</v>
      </c>
      <c r="C30">
        <v>267</v>
      </c>
      <c r="D30">
        <v>160</v>
      </c>
      <c r="F30" t="s">
        <v>48</v>
      </c>
      <c r="G30">
        <v>1589</v>
      </c>
      <c r="H30">
        <v>270.7847702958</v>
      </c>
      <c r="I30">
        <v>1927</v>
      </c>
      <c r="J30">
        <v>478</v>
      </c>
      <c r="K30">
        <v>1978</v>
      </c>
      <c r="L30">
        <v>1384</v>
      </c>
      <c r="M30">
        <v>1021</v>
      </c>
      <c r="N30">
        <v>550</v>
      </c>
      <c r="O30">
        <v>202</v>
      </c>
      <c r="P30">
        <v>76</v>
      </c>
      <c r="Q30">
        <v>0</v>
      </c>
      <c r="R30">
        <v>0</v>
      </c>
      <c r="T30" t="s">
        <v>384</v>
      </c>
      <c r="U30">
        <v>75761</v>
      </c>
      <c r="V30">
        <v>362.32774118610001</v>
      </c>
      <c r="W30">
        <v>73651</v>
      </c>
      <c r="X30">
        <v>18185</v>
      </c>
      <c r="Y30">
        <v>109083</v>
      </c>
      <c r="Z30">
        <v>72286</v>
      </c>
      <c r="AA30">
        <v>30041</v>
      </c>
      <c r="AB30">
        <v>20101</v>
      </c>
      <c r="AC30">
        <v>42050</v>
      </c>
      <c r="AD30">
        <v>28471</v>
      </c>
      <c r="AE30">
        <v>5444</v>
      </c>
      <c r="AF30">
        <v>1143</v>
      </c>
      <c r="AH30" t="s">
        <v>404</v>
      </c>
      <c r="AI30">
        <v>1383</v>
      </c>
      <c r="AJ30">
        <v>226.04989154009999</v>
      </c>
      <c r="AK30">
        <v>2247</v>
      </c>
      <c r="AL30">
        <v>251</v>
      </c>
      <c r="AM30">
        <v>2176</v>
      </c>
      <c r="AN30">
        <v>1143</v>
      </c>
      <c r="AO30">
        <v>751</v>
      </c>
      <c r="AP30">
        <v>564</v>
      </c>
      <c r="AQ30">
        <v>589</v>
      </c>
      <c r="AR30">
        <v>330</v>
      </c>
      <c r="AS30">
        <v>1</v>
      </c>
      <c r="AT30">
        <v>13</v>
      </c>
      <c r="AV30" t="s">
        <v>409</v>
      </c>
      <c r="AW30">
        <v>70</v>
      </c>
      <c r="AX30">
        <v>35.285714285700003</v>
      </c>
      <c r="AY30">
        <v>126</v>
      </c>
      <c r="AZ30">
        <v>3</v>
      </c>
      <c r="BA30">
        <v>94</v>
      </c>
      <c r="BB30">
        <v>2</v>
      </c>
      <c r="BC30">
        <v>0</v>
      </c>
      <c r="BE30">
        <v>8</v>
      </c>
      <c r="BF30">
        <v>4</v>
      </c>
      <c r="BG30">
        <v>191</v>
      </c>
      <c r="BH30">
        <v>20</v>
      </c>
      <c r="BJ30" t="s">
        <v>524</v>
      </c>
      <c r="BK30" t="s">
        <v>373</v>
      </c>
      <c r="BL30">
        <v>3758</v>
      </c>
      <c r="BM30">
        <v>643</v>
      </c>
      <c r="BN30">
        <v>87.048430015999998</v>
      </c>
      <c r="BO30">
        <v>4225</v>
      </c>
      <c r="BP30">
        <v>1103</v>
      </c>
      <c r="BQ30">
        <v>148.06532544379999</v>
      </c>
      <c r="BR30">
        <v>140.98277425200001</v>
      </c>
      <c r="BS30">
        <v>3148</v>
      </c>
      <c r="BT30">
        <v>362</v>
      </c>
      <c r="BU30">
        <v>75.302414231300006</v>
      </c>
      <c r="BV30">
        <v>3258</v>
      </c>
      <c r="BW30">
        <v>842</v>
      </c>
      <c r="BX30">
        <v>144.36126457949999</v>
      </c>
      <c r="BY30">
        <v>134.622327791</v>
      </c>
      <c r="CA30" t="s">
        <v>377</v>
      </c>
      <c r="CB30" t="s">
        <v>860</v>
      </c>
      <c r="CC30" t="s">
        <v>984</v>
      </c>
      <c r="CD30">
        <v>2019</v>
      </c>
      <c r="CE30">
        <v>370</v>
      </c>
      <c r="CF30">
        <v>87.465081723599994</v>
      </c>
      <c r="CG30">
        <v>2024</v>
      </c>
      <c r="CH30">
        <v>511</v>
      </c>
      <c r="CI30">
        <v>116.5415019763</v>
      </c>
      <c r="CJ30">
        <v>128.06653620349999</v>
      </c>
      <c r="CL30" t="s">
        <v>377</v>
      </c>
      <c r="CM30" t="s">
        <v>829</v>
      </c>
      <c r="CN30" t="s">
        <v>828</v>
      </c>
      <c r="CO30">
        <v>226</v>
      </c>
      <c r="CP30">
        <v>25</v>
      </c>
      <c r="CQ30">
        <v>73.584070796500001</v>
      </c>
      <c r="CR30">
        <v>279</v>
      </c>
      <c r="CS30">
        <v>74</v>
      </c>
      <c r="CT30">
        <v>86.132616487500002</v>
      </c>
      <c r="CU30">
        <v>102.9864864865</v>
      </c>
      <c r="CW30" t="s">
        <v>377</v>
      </c>
      <c r="CX30" t="s">
        <v>845</v>
      </c>
      <c r="CY30" t="s">
        <v>844</v>
      </c>
      <c r="CZ30">
        <v>47</v>
      </c>
      <c r="DA30">
        <v>11</v>
      </c>
      <c r="DB30">
        <v>91.2553191489</v>
      </c>
      <c r="DC30">
        <v>43</v>
      </c>
      <c r="DD30">
        <v>13</v>
      </c>
      <c r="DE30">
        <v>137.67441860470001</v>
      </c>
      <c r="DF30">
        <v>162.8461538462</v>
      </c>
      <c r="DH30" t="s">
        <v>377</v>
      </c>
      <c r="DI30" t="s">
        <v>813</v>
      </c>
      <c r="DJ30" t="s">
        <v>812</v>
      </c>
      <c r="DK30">
        <v>53</v>
      </c>
      <c r="DL30">
        <v>15</v>
      </c>
      <c r="DM30">
        <v>117.11320754720001</v>
      </c>
      <c r="DN30">
        <v>46</v>
      </c>
      <c r="DO30">
        <v>11</v>
      </c>
      <c r="DP30">
        <v>146.4565217391</v>
      </c>
      <c r="DQ30">
        <v>180.1818181818</v>
      </c>
    </row>
    <row r="31" spans="2:121" x14ac:dyDescent="0.2">
      <c r="B31" t="s">
        <v>22</v>
      </c>
      <c r="C31">
        <v>194724</v>
      </c>
      <c r="D31">
        <v>40143</v>
      </c>
      <c r="F31" t="s">
        <v>76</v>
      </c>
      <c r="G31">
        <v>11745</v>
      </c>
      <c r="H31">
        <v>387.14303959130001</v>
      </c>
      <c r="I31">
        <v>7599</v>
      </c>
      <c r="J31">
        <v>1163</v>
      </c>
      <c r="K31">
        <v>16661</v>
      </c>
      <c r="L31">
        <v>11953</v>
      </c>
      <c r="M31">
        <v>5051</v>
      </c>
      <c r="N31">
        <v>3874</v>
      </c>
      <c r="O31">
        <v>4273</v>
      </c>
      <c r="P31">
        <v>3597</v>
      </c>
      <c r="Q31">
        <v>2</v>
      </c>
      <c r="R31">
        <v>150</v>
      </c>
      <c r="T31" t="s">
        <v>465</v>
      </c>
      <c r="U31">
        <v>314665</v>
      </c>
      <c r="V31">
        <v>388.3307358619</v>
      </c>
      <c r="W31">
        <v>323537</v>
      </c>
      <c r="X31">
        <v>75680</v>
      </c>
      <c r="Y31">
        <v>453285</v>
      </c>
      <c r="Z31">
        <v>302098</v>
      </c>
      <c r="AA31">
        <v>121342</v>
      </c>
      <c r="AB31">
        <v>82514</v>
      </c>
      <c r="AC31">
        <v>166097</v>
      </c>
      <c r="AD31">
        <v>104149</v>
      </c>
      <c r="AE31">
        <v>19033</v>
      </c>
      <c r="AF31">
        <v>4105</v>
      </c>
      <c r="AH31" t="s">
        <v>417</v>
      </c>
      <c r="AI31">
        <v>3632</v>
      </c>
      <c r="AJ31">
        <v>419.45016519820001</v>
      </c>
      <c r="AK31">
        <v>3598</v>
      </c>
      <c r="AL31">
        <v>834</v>
      </c>
      <c r="AM31">
        <v>4931</v>
      </c>
      <c r="AN31">
        <v>3259</v>
      </c>
      <c r="AO31">
        <v>938</v>
      </c>
      <c r="AP31">
        <v>549</v>
      </c>
      <c r="AQ31">
        <v>1910</v>
      </c>
      <c r="AR31">
        <v>1259</v>
      </c>
      <c r="AS31">
        <v>8</v>
      </c>
      <c r="AT31">
        <v>117</v>
      </c>
      <c r="AV31" t="s">
        <v>388</v>
      </c>
      <c r="AW31">
        <v>435</v>
      </c>
      <c r="AX31">
        <v>49.280459770100002</v>
      </c>
      <c r="AY31">
        <v>683</v>
      </c>
      <c r="AZ31">
        <v>71</v>
      </c>
      <c r="BA31">
        <v>600</v>
      </c>
      <c r="BB31">
        <v>61</v>
      </c>
      <c r="BC31">
        <v>1</v>
      </c>
      <c r="BD31">
        <v>1</v>
      </c>
      <c r="BE31">
        <v>53</v>
      </c>
      <c r="BF31">
        <v>14</v>
      </c>
      <c r="BG31">
        <v>119</v>
      </c>
      <c r="BH31">
        <v>72</v>
      </c>
      <c r="BJ31" t="s">
        <v>526</v>
      </c>
      <c r="BK31" t="s">
        <v>373</v>
      </c>
      <c r="BL31">
        <v>1982</v>
      </c>
      <c r="BM31">
        <v>366</v>
      </c>
      <c r="BN31">
        <v>87.785065590299993</v>
      </c>
      <c r="BO31">
        <v>1954</v>
      </c>
      <c r="BP31">
        <v>477</v>
      </c>
      <c r="BQ31">
        <v>118.20777891500001</v>
      </c>
      <c r="BR31">
        <v>128.0251572327</v>
      </c>
      <c r="BS31">
        <v>2789</v>
      </c>
      <c r="BT31">
        <v>634</v>
      </c>
      <c r="BU31">
        <v>97.303334528500002</v>
      </c>
      <c r="BV31">
        <v>3007</v>
      </c>
      <c r="BW31">
        <v>738</v>
      </c>
      <c r="BX31">
        <v>139.55703358829999</v>
      </c>
      <c r="BY31">
        <v>141.20596205960001</v>
      </c>
      <c r="CA31" t="s">
        <v>427</v>
      </c>
      <c r="CB31" t="s">
        <v>860</v>
      </c>
      <c r="CC31" t="s">
        <v>985</v>
      </c>
      <c r="CD31">
        <v>855</v>
      </c>
      <c r="CE31">
        <v>242</v>
      </c>
      <c r="CF31">
        <v>102.1461988304</v>
      </c>
      <c r="CG31">
        <v>967</v>
      </c>
      <c r="CH31">
        <v>238</v>
      </c>
      <c r="CI31">
        <v>145.25129265769999</v>
      </c>
      <c r="CJ31">
        <v>155.63025210079999</v>
      </c>
      <c r="CL31" t="s">
        <v>427</v>
      </c>
      <c r="CM31" t="s">
        <v>829</v>
      </c>
      <c r="CN31" t="s">
        <v>830</v>
      </c>
      <c r="CO31">
        <v>70</v>
      </c>
      <c r="CP31">
        <v>6</v>
      </c>
      <c r="CQ31">
        <v>76.914285714299993</v>
      </c>
      <c r="CR31">
        <v>92</v>
      </c>
      <c r="CS31">
        <v>25</v>
      </c>
      <c r="CT31">
        <v>96.25</v>
      </c>
      <c r="CU31">
        <v>134.44</v>
      </c>
      <c r="CW31" t="s">
        <v>427</v>
      </c>
      <c r="CX31" t="s">
        <v>845</v>
      </c>
      <c r="CY31" t="s">
        <v>846</v>
      </c>
      <c r="CZ31">
        <v>15</v>
      </c>
      <c r="DA31">
        <v>3</v>
      </c>
      <c r="DB31">
        <v>99.8</v>
      </c>
      <c r="DC31">
        <v>16</v>
      </c>
      <c r="DD31">
        <v>4</v>
      </c>
      <c r="DE31">
        <v>141.75</v>
      </c>
      <c r="DF31">
        <v>142.5</v>
      </c>
      <c r="DH31" t="s">
        <v>427</v>
      </c>
      <c r="DI31" t="s">
        <v>813</v>
      </c>
      <c r="DJ31" t="s">
        <v>814</v>
      </c>
      <c r="DK31">
        <v>28</v>
      </c>
      <c r="DL31">
        <v>8</v>
      </c>
      <c r="DM31">
        <v>100.2142857143</v>
      </c>
      <c r="DN31">
        <v>13</v>
      </c>
      <c r="DO31">
        <v>5</v>
      </c>
      <c r="DP31">
        <v>160</v>
      </c>
      <c r="DQ31">
        <v>142.19999999999999</v>
      </c>
    </row>
    <row r="32" spans="2:121" x14ac:dyDescent="0.2">
      <c r="B32" t="s">
        <v>160</v>
      </c>
      <c r="C32">
        <v>3920</v>
      </c>
      <c r="D32">
        <v>3761</v>
      </c>
      <c r="F32" t="s">
        <v>68</v>
      </c>
      <c r="G32">
        <v>4167</v>
      </c>
      <c r="H32">
        <v>492.06647468199998</v>
      </c>
      <c r="I32">
        <v>4861</v>
      </c>
      <c r="J32">
        <v>1445</v>
      </c>
      <c r="K32">
        <v>5670</v>
      </c>
      <c r="L32">
        <v>4368</v>
      </c>
      <c r="M32">
        <v>790</v>
      </c>
      <c r="N32">
        <v>443</v>
      </c>
      <c r="O32">
        <v>1061</v>
      </c>
      <c r="P32">
        <v>693</v>
      </c>
      <c r="Q32">
        <v>0</v>
      </c>
      <c r="R32">
        <v>2</v>
      </c>
      <c r="AH32" t="s">
        <v>419</v>
      </c>
      <c r="AI32">
        <v>1508</v>
      </c>
      <c r="AJ32">
        <v>380.01193633949998</v>
      </c>
      <c r="AK32">
        <v>1169</v>
      </c>
      <c r="AL32">
        <v>288</v>
      </c>
      <c r="AM32">
        <v>2189</v>
      </c>
      <c r="AN32">
        <v>1450</v>
      </c>
      <c r="AO32">
        <v>485</v>
      </c>
      <c r="AP32">
        <v>428</v>
      </c>
      <c r="AQ32">
        <v>240</v>
      </c>
      <c r="AR32">
        <v>134</v>
      </c>
      <c r="AS32">
        <v>164</v>
      </c>
      <c r="AT32">
        <v>4</v>
      </c>
      <c r="AV32" t="s">
        <v>419</v>
      </c>
      <c r="AW32">
        <v>112</v>
      </c>
      <c r="AX32">
        <v>100.25892857140001</v>
      </c>
      <c r="AY32">
        <v>169</v>
      </c>
      <c r="AZ32">
        <v>42</v>
      </c>
      <c r="BA32">
        <v>155</v>
      </c>
      <c r="BB32">
        <v>52</v>
      </c>
      <c r="BC32">
        <v>0</v>
      </c>
      <c r="BE32">
        <v>13</v>
      </c>
      <c r="BF32">
        <v>4</v>
      </c>
      <c r="BG32">
        <v>19</v>
      </c>
      <c r="BH32">
        <v>38</v>
      </c>
      <c r="BJ32" t="s">
        <v>541</v>
      </c>
      <c r="BK32" t="s">
        <v>373</v>
      </c>
      <c r="BL32">
        <v>2648</v>
      </c>
      <c r="BM32">
        <v>444</v>
      </c>
      <c r="BN32">
        <v>84.490558912400004</v>
      </c>
      <c r="BO32">
        <v>2712</v>
      </c>
      <c r="BP32">
        <v>622</v>
      </c>
      <c r="BQ32">
        <v>118.11209439530001</v>
      </c>
      <c r="BR32">
        <v>121.3954983923</v>
      </c>
      <c r="BS32">
        <v>5461</v>
      </c>
      <c r="BT32">
        <v>1371</v>
      </c>
      <c r="BU32">
        <v>98.336385277399998</v>
      </c>
      <c r="BV32">
        <v>5897</v>
      </c>
      <c r="BW32">
        <v>1389</v>
      </c>
      <c r="BX32">
        <v>136.08258436489999</v>
      </c>
      <c r="BY32">
        <v>133.9150467963</v>
      </c>
      <c r="CA32" t="s">
        <v>418</v>
      </c>
      <c r="CB32" t="s">
        <v>860</v>
      </c>
      <c r="CC32" t="s">
        <v>986</v>
      </c>
      <c r="CD32">
        <v>384</v>
      </c>
      <c r="CE32">
        <v>95</v>
      </c>
      <c r="CF32">
        <v>102.734375</v>
      </c>
      <c r="CG32">
        <v>424</v>
      </c>
      <c r="CH32">
        <v>102</v>
      </c>
      <c r="CI32">
        <v>148.24056603770001</v>
      </c>
      <c r="CJ32">
        <v>138.9803921569</v>
      </c>
      <c r="CL32" t="s">
        <v>418</v>
      </c>
      <c r="CM32" t="s">
        <v>829</v>
      </c>
      <c r="CN32" t="s">
        <v>831</v>
      </c>
      <c r="CO32">
        <v>71</v>
      </c>
      <c r="CP32">
        <v>11</v>
      </c>
      <c r="CQ32">
        <v>77.126760563399998</v>
      </c>
      <c r="CR32">
        <v>90</v>
      </c>
      <c r="CS32">
        <v>17</v>
      </c>
      <c r="CT32">
        <v>90.866666666699999</v>
      </c>
      <c r="CU32">
        <v>111.1176470588</v>
      </c>
      <c r="CW32" t="s">
        <v>418</v>
      </c>
      <c r="CX32" t="s">
        <v>845</v>
      </c>
      <c r="CY32" t="s">
        <v>847</v>
      </c>
      <c r="CZ32">
        <v>28</v>
      </c>
      <c r="DA32">
        <v>6</v>
      </c>
      <c r="DB32">
        <v>89.5</v>
      </c>
      <c r="DC32">
        <v>9</v>
      </c>
      <c r="DD32">
        <v>2</v>
      </c>
      <c r="DE32">
        <v>158</v>
      </c>
      <c r="DF32">
        <v>202.5</v>
      </c>
      <c r="DH32" t="s">
        <v>418</v>
      </c>
      <c r="DI32" t="s">
        <v>813</v>
      </c>
      <c r="DJ32" t="s">
        <v>815</v>
      </c>
      <c r="DK32">
        <v>23</v>
      </c>
      <c r="DL32">
        <v>3</v>
      </c>
      <c r="DM32">
        <v>84.391304347800002</v>
      </c>
      <c r="DN32">
        <v>19</v>
      </c>
      <c r="DO32">
        <v>5</v>
      </c>
      <c r="DP32">
        <v>145</v>
      </c>
      <c r="DQ32">
        <v>167.6</v>
      </c>
    </row>
    <row r="33" spans="2:121" x14ac:dyDescent="0.2">
      <c r="B33" t="s">
        <v>117</v>
      </c>
      <c r="C33">
        <v>6289</v>
      </c>
      <c r="D33">
        <v>1807</v>
      </c>
      <c r="F33" t="s">
        <v>70</v>
      </c>
      <c r="G33">
        <v>866</v>
      </c>
      <c r="H33">
        <v>189.2517321016</v>
      </c>
      <c r="I33">
        <v>2108</v>
      </c>
      <c r="J33">
        <v>408</v>
      </c>
      <c r="K33">
        <v>4025</v>
      </c>
      <c r="L33">
        <v>1153</v>
      </c>
      <c r="M33">
        <v>3162</v>
      </c>
      <c r="N33">
        <v>2307</v>
      </c>
      <c r="O33">
        <v>459</v>
      </c>
      <c r="P33">
        <v>209</v>
      </c>
      <c r="Q33">
        <v>0</v>
      </c>
      <c r="R33">
        <v>0</v>
      </c>
      <c r="AH33" t="s">
        <v>378</v>
      </c>
      <c r="AI33">
        <v>2498</v>
      </c>
      <c r="AJ33">
        <v>318.03562850280002</v>
      </c>
      <c r="AK33">
        <v>3957</v>
      </c>
      <c r="AL33">
        <v>996</v>
      </c>
      <c r="AM33">
        <v>3964</v>
      </c>
      <c r="AN33">
        <v>2555</v>
      </c>
      <c r="AO33">
        <v>1340</v>
      </c>
      <c r="AP33">
        <v>915</v>
      </c>
      <c r="AQ33">
        <v>2184</v>
      </c>
      <c r="AR33">
        <v>1489</v>
      </c>
      <c r="AS33">
        <v>671</v>
      </c>
      <c r="AT33">
        <v>4</v>
      </c>
      <c r="AV33" t="s">
        <v>430</v>
      </c>
      <c r="AW33">
        <v>186</v>
      </c>
      <c r="AX33">
        <v>45.096774193500003</v>
      </c>
      <c r="AY33">
        <v>401</v>
      </c>
      <c r="AZ33">
        <v>31</v>
      </c>
      <c r="BA33">
        <v>253</v>
      </c>
      <c r="BB33">
        <v>8</v>
      </c>
      <c r="BC33">
        <v>1</v>
      </c>
      <c r="BD33">
        <v>1</v>
      </c>
      <c r="BE33">
        <v>19</v>
      </c>
      <c r="BF33">
        <v>7</v>
      </c>
      <c r="BG33">
        <v>352</v>
      </c>
      <c r="BH33">
        <v>53</v>
      </c>
      <c r="BJ33" t="s">
        <v>626</v>
      </c>
      <c r="BK33" t="s">
        <v>373</v>
      </c>
      <c r="BL33">
        <v>1128</v>
      </c>
      <c r="BM33">
        <v>250</v>
      </c>
      <c r="BN33">
        <v>96.2934397163</v>
      </c>
      <c r="BO33">
        <v>1282</v>
      </c>
      <c r="BP33">
        <v>311</v>
      </c>
      <c r="BQ33">
        <v>135.08034321369999</v>
      </c>
      <c r="BR33">
        <v>151.7363344051</v>
      </c>
      <c r="BS33">
        <v>1114</v>
      </c>
      <c r="BT33">
        <v>252</v>
      </c>
      <c r="BU33">
        <v>97.564631956900001</v>
      </c>
      <c r="BV33">
        <v>1301</v>
      </c>
      <c r="BW33">
        <v>320</v>
      </c>
      <c r="BX33">
        <v>141.3412759416</v>
      </c>
      <c r="BY33">
        <v>155.32187500000001</v>
      </c>
      <c r="CA33" t="s">
        <v>420</v>
      </c>
      <c r="CB33" t="s">
        <v>860</v>
      </c>
      <c r="CC33" t="s">
        <v>987</v>
      </c>
      <c r="CD33">
        <v>1377</v>
      </c>
      <c r="CE33">
        <v>175</v>
      </c>
      <c r="CF33">
        <v>75.771241830099996</v>
      </c>
      <c r="CG33">
        <v>1549</v>
      </c>
      <c r="CH33">
        <v>302</v>
      </c>
      <c r="CI33">
        <v>108.44415752099999</v>
      </c>
      <c r="CJ33">
        <v>118.4139072848</v>
      </c>
      <c r="CL33" t="s">
        <v>420</v>
      </c>
      <c r="CM33" t="s">
        <v>829</v>
      </c>
      <c r="CN33" t="s">
        <v>832</v>
      </c>
      <c r="CO33">
        <v>122</v>
      </c>
      <c r="CP33">
        <v>8</v>
      </c>
      <c r="CQ33">
        <v>60.672131147499996</v>
      </c>
      <c r="CR33">
        <v>189</v>
      </c>
      <c r="CS33">
        <v>45</v>
      </c>
      <c r="CT33">
        <v>81.386243386199993</v>
      </c>
      <c r="CU33">
        <v>80.511111111100007</v>
      </c>
      <c r="CW33" t="s">
        <v>420</v>
      </c>
      <c r="CX33" t="s">
        <v>845</v>
      </c>
      <c r="CY33" t="s">
        <v>848</v>
      </c>
      <c r="CZ33">
        <v>28</v>
      </c>
      <c r="DA33">
        <v>5</v>
      </c>
      <c r="DB33">
        <v>98.678571428599994</v>
      </c>
      <c r="DC33">
        <v>13</v>
      </c>
      <c r="DD33">
        <v>4</v>
      </c>
      <c r="DE33">
        <v>162.5384615385</v>
      </c>
      <c r="DF33">
        <v>171.5</v>
      </c>
      <c r="DH33" t="s">
        <v>420</v>
      </c>
      <c r="DI33" t="s">
        <v>813</v>
      </c>
      <c r="DJ33" t="s">
        <v>816</v>
      </c>
      <c r="DK33">
        <v>18</v>
      </c>
      <c r="DL33">
        <v>5</v>
      </c>
      <c r="DM33">
        <v>106.1111111111</v>
      </c>
      <c r="DN33">
        <v>17</v>
      </c>
      <c r="DO33">
        <v>3</v>
      </c>
      <c r="DP33">
        <v>163.4117647059</v>
      </c>
      <c r="DQ33">
        <v>174.6666666667</v>
      </c>
    </row>
    <row r="34" spans="2:121" x14ac:dyDescent="0.2">
      <c r="B34" t="s">
        <v>125</v>
      </c>
      <c r="C34">
        <v>635</v>
      </c>
      <c r="D34">
        <v>20</v>
      </c>
      <c r="F34" t="s">
        <v>40</v>
      </c>
      <c r="G34">
        <v>5850</v>
      </c>
      <c r="H34">
        <v>497.25641025639999</v>
      </c>
      <c r="I34">
        <v>6481</v>
      </c>
      <c r="J34">
        <v>1767</v>
      </c>
      <c r="K34">
        <v>7328</v>
      </c>
      <c r="L34">
        <v>5562</v>
      </c>
      <c r="M34">
        <v>1780</v>
      </c>
      <c r="N34">
        <v>1490</v>
      </c>
      <c r="O34">
        <v>1235</v>
      </c>
      <c r="P34">
        <v>681</v>
      </c>
      <c r="Q34">
        <v>0</v>
      </c>
      <c r="R34">
        <v>211</v>
      </c>
      <c r="AH34" t="s">
        <v>409</v>
      </c>
      <c r="AI34">
        <v>1491</v>
      </c>
      <c r="AJ34">
        <v>231.30717639170001</v>
      </c>
      <c r="AK34">
        <v>2703</v>
      </c>
      <c r="AL34">
        <v>549</v>
      </c>
      <c r="AM34">
        <v>2280</v>
      </c>
      <c r="AN34">
        <v>1023</v>
      </c>
      <c r="AO34">
        <v>540</v>
      </c>
      <c r="AP34">
        <v>254</v>
      </c>
      <c r="AQ34">
        <v>832</v>
      </c>
      <c r="AR34">
        <v>500</v>
      </c>
      <c r="AS34">
        <v>6</v>
      </c>
      <c r="AT34">
        <v>15</v>
      </c>
      <c r="AV34" t="s">
        <v>376</v>
      </c>
      <c r="AW34">
        <v>102</v>
      </c>
      <c r="AX34">
        <v>84.980392156899995</v>
      </c>
      <c r="AY34">
        <v>179</v>
      </c>
      <c r="AZ34">
        <v>36</v>
      </c>
      <c r="BA34">
        <v>144</v>
      </c>
      <c r="BB34">
        <v>47</v>
      </c>
      <c r="BC34">
        <v>1</v>
      </c>
      <c r="BD34">
        <v>1</v>
      </c>
      <c r="BE34">
        <v>16</v>
      </c>
      <c r="BF34">
        <v>5</v>
      </c>
      <c r="BG34">
        <v>17</v>
      </c>
      <c r="BH34">
        <v>35</v>
      </c>
      <c r="BJ34" t="s">
        <v>522</v>
      </c>
      <c r="BK34" t="s">
        <v>373</v>
      </c>
      <c r="BL34">
        <v>4795</v>
      </c>
      <c r="BM34">
        <v>1241</v>
      </c>
      <c r="BN34">
        <v>98.246089676699995</v>
      </c>
      <c r="BO34">
        <v>4669</v>
      </c>
      <c r="BP34">
        <v>1274</v>
      </c>
      <c r="BQ34">
        <v>140.23431141570001</v>
      </c>
      <c r="BR34">
        <v>138.4615384615</v>
      </c>
      <c r="BS34">
        <v>3682</v>
      </c>
      <c r="BT34">
        <v>979</v>
      </c>
      <c r="BU34">
        <v>93.479087452499996</v>
      </c>
      <c r="BV34">
        <v>3771</v>
      </c>
      <c r="BW34">
        <v>964</v>
      </c>
      <c r="BX34">
        <v>132.77326968969999</v>
      </c>
      <c r="BY34">
        <v>133.9325726141</v>
      </c>
      <c r="CA34" t="s">
        <v>380</v>
      </c>
      <c r="CB34" t="s">
        <v>860</v>
      </c>
      <c r="CC34" t="s">
        <v>988</v>
      </c>
      <c r="CD34">
        <v>5079</v>
      </c>
      <c r="CE34">
        <v>1159</v>
      </c>
      <c r="CF34">
        <v>98.057294743100002</v>
      </c>
      <c r="CG34">
        <v>5694</v>
      </c>
      <c r="CH34">
        <v>1166</v>
      </c>
      <c r="CI34">
        <v>138.19406392689999</v>
      </c>
      <c r="CJ34">
        <v>141.8696397942</v>
      </c>
      <c r="CL34" t="s">
        <v>380</v>
      </c>
      <c r="CM34" t="s">
        <v>829</v>
      </c>
      <c r="CN34" t="s">
        <v>833</v>
      </c>
      <c r="CO34">
        <v>452</v>
      </c>
      <c r="CP34">
        <v>59</v>
      </c>
      <c r="CQ34">
        <v>76.0907079646</v>
      </c>
      <c r="CR34">
        <v>628</v>
      </c>
      <c r="CS34">
        <v>169</v>
      </c>
      <c r="CT34">
        <v>87.178343948999995</v>
      </c>
      <c r="CU34">
        <v>101.4142011834</v>
      </c>
      <c r="CW34" t="s">
        <v>380</v>
      </c>
      <c r="CX34" t="s">
        <v>845</v>
      </c>
      <c r="CY34" t="s">
        <v>849</v>
      </c>
      <c r="CZ34">
        <v>231</v>
      </c>
      <c r="DA34">
        <v>56</v>
      </c>
      <c r="DB34">
        <v>98.549783549799997</v>
      </c>
      <c r="DC34">
        <v>175</v>
      </c>
      <c r="DD34">
        <v>53</v>
      </c>
      <c r="DE34">
        <v>150.17142857140001</v>
      </c>
      <c r="DF34">
        <v>165.52830188679999</v>
      </c>
      <c r="DH34" t="s">
        <v>380</v>
      </c>
      <c r="DI34" t="s">
        <v>813</v>
      </c>
      <c r="DJ34" t="s">
        <v>817</v>
      </c>
      <c r="DK34">
        <v>330</v>
      </c>
      <c r="DL34">
        <v>70</v>
      </c>
      <c r="DM34">
        <v>96.296969696999994</v>
      </c>
      <c r="DN34">
        <v>212</v>
      </c>
      <c r="DO34">
        <v>61</v>
      </c>
      <c r="DP34">
        <v>152.39622641509999</v>
      </c>
      <c r="DQ34">
        <v>169.95081967210001</v>
      </c>
    </row>
    <row r="35" spans="2:121" x14ac:dyDescent="0.2">
      <c r="B35" t="s">
        <v>96</v>
      </c>
      <c r="C35">
        <v>200</v>
      </c>
      <c r="D35">
        <v>173</v>
      </c>
      <c r="F35" t="s">
        <v>74</v>
      </c>
      <c r="G35">
        <v>7213</v>
      </c>
      <c r="H35">
        <v>341.3025093581</v>
      </c>
      <c r="I35">
        <v>11340</v>
      </c>
      <c r="J35">
        <v>2088</v>
      </c>
      <c r="K35">
        <v>17634</v>
      </c>
      <c r="L35">
        <v>9725</v>
      </c>
      <c r="M35">
        <v>4434</v>
      </c>
      <c r="N35">
        <v>2523</v>
      </c>
      <c r="O35">
        <v>2584</v>
      </c>
      <c r="P35">
        <v>1658</v>
      </c>
      <c r="Q35">
        <v>0</v>
      </c>
      <c r="R35">
        <v>59</v>
      </c>
      <c r="AH35" t="s">
        <v>63</v>
      </c>
      <c r="AI35">
        <v>6191</v>
      </c>
      <c r="AJ35">
        <v>297.29946696820002</v>
      </c>
      <c r="AK35">
        <v>8814</v>
      </c>
      <c r="AL35">
        <v>1941</v>
      </c>
      <c r="AM35">
        <v>9548</v>
      </c>
      <c r="AN35">
        <v>5771</v>
      </c>
      <c r="AO35">
        <v>4239</v>
      </c>
      <c r="AP35">
        <v>3110</v>
      </c>
      <c r="AQ35">
        <v>3873</v>
      </c>
      <c r="AR35">
        <v>1583</v>
      </c>
      <c r="AS35">
        <v>1523</v>
      </c>
      <c r="AT35">
        <v>10</v>
      </c>
      <c r="AV35" t="s">
        <v>399</v>
      </c>
      <c r="AW35">
        <v>461</v>
      </c>
      <c r="AX35">
        <v>48.709327548799997</v>
      </c>
      <c r="AY35">
        <v>1061</v>
      </c>
      <c r="AZ35">
        <v>114</v>
      </c>
      <c r="BA35">
        <v>690</v>
      </c>
      <c r="BB35">
        <v>48</v>
      </c>
      <c r="BC35">
        <v>1</v>
      </c>
      <c r="BD35">
        <v>1</v>
      </c>
      <c r="BE35">
        <v>55</v>
      </c>
      <c r="BF35">
        <v>9</v>
      </c>
      <c r="BG35">
        <v>106</v>
      </c>
      <c r="BH35">
        <v>83</v>
      </c>
      <c r="BJ35" t="s">
        <v>528</v>
      </c>
      <c r="BK35" t="s">
        <v>373</v>
      </c>
      <c r="BL35">
        <v>2610</v>
      </c>
      <c r="BM35">
        <v>560</v>
      </c>
      <c r="BN35">
        <v>89.833716475100005</v>
      </c>
      <c r="BO35">
        <v>2679</v>
      </c>
      <c r="BP35">
        <v>710</v>
      </c>
      <c r="BQ35">
        <v>141.81410974240001</v>
      </c>
      <c r="BR35">
        <v>131.323943662</v>
      </c>
      <c r="BS35">
        <v>2138</v>
      </c>
      <c r="BT35">
        <v>334</v>
      </c>
      <c r="BU35">
        <v>77.7736202058</v>
      </c>
      <c r="BV35">
        <v>2088</v>
      </c>
      <c r="BW35">
        <v>518</v>
      </c>
      <c r="BX35">
        <v>137.5153256705</v>
      </c>
      <c r="BY35">
        <v>120.2702702703</v>
      </c>
      <c r="CA35" t="s">
        <v>375</v>
      </c>
      <c r="CB35" t="s">
        <v>860</v>
      </c>
      <c r="CC35" t="s">
        <v>989</v>
      </c>
      <c r="CD35">
        <v>4399</v>
      </c>
      <c r="CE35">
        <v>1023</v>
      </c>
      <c r="CF35">
        <v>93.631052511899995</v>
      </c>
      <c r="CG35">
        <v>4426</v>
      </c>
      <c r="CH35">
        <v>940</v>
      </c>
      <c r="CI35">
        <v>129.4525530953</v>
      </c>
      <c r="CJ35">
        <v>152.50851063830001</v>
      </c>
      <c r="CL35" t="s">
        <v>375</v>
      </c>
      <c r="CM35" t="s">
        <v>829</v>
      </c>
      <c r="CN35" t="s">
        <v>834</v>
      </c>
      <c r="CO35">
        <v>446</v>
      </c>
      <c r="CP35">
        <v>52</v>
      </c>
      <c r="CQ35">
        <v>71.338565022400005</v>
      </c>
      <c r="CR35">
        <v>611</v>
      </c>
      <c r="CS35">
        <v>154</v>
      </c>
      <c r="CT35">
        <v>81.342062193100006</v>
      </c>
      <c r="CU35">
        <v>83.753246753200003</v>
      </c>
      <c r="CW35" t="s">
        <v>375</v>
      </c>
      <c r="CX35" t="s">
        <v>845</v>
      </c>
      <c r="CY35" t="s">
        <v>850</v>
      </c>
      <c r="CZ35">
        <v>99</v>
      </c>
      <c r="DA35">
        <v>36</v>
      </c>
      <c r="DB35">
        <v>101.6868686869</v>
      </c>
      <c r="DC35">
        <v>66</v>
      </c>
      <c r="DD35">
        <v>9</v>
      </c>
      <c r="DE35">
        <v>137.03030303029999</v>
      </c>
      <c r="DF35">
        <v>160.6666666667</v>
      </c>
      <c r="DH35" t="s">
        <v>375</v>
      </c>
      <c r="DI35" t="s">
        <v>813</v>
      </c>
      <c r="DJ35" t="s">
        <v>818</v>
      </c>
      <c r="DK35">
        <v>42</v>
      </c>
      <c r="DL35">
        <v>14</v>
      </c>
      <c r="DM35">
        <v>95.190476190499993</v>
      </c>
      <c r="DN35">
        <v>44</v>
      </c>
      <c r="DO35">
        <v>16</v>
      </c>
      <c r="DP35">
        <v>124.7272727273</v>
      </c>
      <c r="DQ35">
        <v>152.4375</v>
      </c>
    </row>
    <row r="36" spans="2:121" x14ac:dyDescent="0.2">
      <c r="B36" t="s">
        <v>92</v>
      </c>
      <c r="C36">
        <v>3</v>
      </c>
      <c r="F36" t="s">
        <v>50</v>
      </c>
      <c r="G36">
        <v>2077</v>
      </c>
      <c r="H36">
        <v>234.09003370249999</v>
      </c>
      <c r="I36">
        <v>2418</v>
      </c>
      <c r="J36">
        <v>438</v>
      </c>
      <c r="K36">
        <v>3270</v>
      </c>
      <c r="L36">
        <v>2134</v>
      </c>
      <c r="M36">
        <v>480</v>
      </c>
      <c r="N36">
        <v>94</v>
      </c>
      <c r="O36">
        <v>1245</v>
      </c>
      <c r="P36">
        <v>881</v>
      </c>
      <c r="Q36">
        <v>0</v>
      </c>
      <c r="R36">
        <v>10</v>
      </c>
      <c r="T36" t="s">
        <v>650</v>
      </c>
      <c r="U36" t="s">
        <v>309</v>
      </c>
      <c r="V36" t="s">
        <v>136</v>
      </c>
      <c r="W36" t="s">
        <v>217</v>
      </c>
      <c r="X36" t="s">
        <v>463</v>
      </c>
      <c r="Y36" t="s">
        <v>219</v>
      </c>
      <c r="Z36" t="s">
        <v>220</v>
      </c>
      <c r="AA36" t="s">
        <v>221</v>
      </c>
      <c r="AB36" t="s">
        <v>464</v>
      </c>
      <c r="AC36" t="s">
        <v>223</v>
      </c>
      <c r="AD36" t="s">
        <v>224</v>
      </c>
      <c r="AE36" t="s">
        <v>225</v>
      </c>
      <c r="AF36" t="s">
        <v>226</v>
      </c>
      <c r="AH36" t="s">
        <v>386</v>
      </c>
      <c r="AI36">
        <v>16042</v>
      </c>
      <c r="AJ36">
        <v>321.195985538</v>
      </c>
      <c r="AK36">
        <v>16883</v>
      </c>
      <c r="AL36">
        <v>4622</v>
      </c>
      <c r="AM36">
        <v>21885</v>
      </c>
      <c r="AN36">
        <v>15005</v>
      </c>
      <c r="AO36">
        <v>8884</v>
      </c>
      <c r="AP36">
        <v>5840</v>
      </c>
      <c r="AQ36">
        <v>6782</v>
      </c>
      <c r="AR36">
        <v>4190</v>
      </c>
      <c r="AS36">
        <v>1139</v>
      </c>
      <c r="AT36">
        <v>47</v>
      </c>
      <c r="AV36" t="s">
        <v>387</v>
      </c>
      <c r="AW36">
        <v>980</v>
      </c>
      <c r="AX36">
        <v>96.018367346900007</v>
      </c>
      <c r="AY36">
        <v>996</v>
      </c>
      <c r="AZ36">
        <v>239</v>
      </c>
      <c r="BA36">
        <v>1271</v>
      </c>
      <c r="BB36">
        <v>457</v>
      </c>
      <c r="BC36">
        <v>10</v>
      </c>
      <c r="BD36">
        <v>8</v>
      </c>
      <c r="BE36">
        <v>41</v>
      </c>
      <c r="BF36">
        <v>18</v>
      </c>
      <c r="BG36">
        <v>159</v>
      </c>
      <c r="BH36">
        <v>297</v>
      </c>
      <c r="BJ36" t="s">
        <v>373</v>
      </c>
      <c r="BK36" t="s">
        <v>373</v>
      </c>
      <c r="BL36">
        <v>68229</v>
      </c>
      <c r="BM36">
        <v>16533</v>
      </c>
      <c r="BN36">
        <v>97.702091486</v>
      </c>
      <c r="BO36">
        <v>75775</v>
      </c>
      <c r="BP36">
        <v>18778</v>
      </c>
      <c r="BQ36">
        <v>136.1837677334</v>
      </c>
      <c r="BR36">
        <v>134.33576525719999</v>
      </c>
      <c r="BS36">
        <v>66897</v>
      </c>
      <c r="BT36">
        <v>15649</v>
      </c>
      <c r="BU36">
        <v>95.432784728800002</v>
      </c>
      <c r="BV36">
        <v>74498</v>
      </c>
      <c r="BW36">
        <v>18386</v>
      </c>
      <c r="BX36">
        <v>134.5479610191</v>
      </c>
      <c r="BY36">
        <v>131.3803437398</v>
      </c>
      <c r="CA36" t="s">
        <v>419</v>
      </c>
      <c r="CB36" t="s">
        <v>860</v>
      </c>
      <c r="CC36" t="s">
        <v>990</v>
      </c>
      <c r="CD36">
        <v>1202</v>
      </c>
      <c r="CE36">
        <v>279</v>
      </c>
      <c r="CF36">
        <v>98.252911813599994</v>
      </c>
      <c r="CG36">
        <v>1347</v>
      </c>
      <c r="CH36">
        <v>325</v>
      </c>
      <c r="CI36">
        <v>132.8240534521</v>
      </c>
      <c r="CJ36">
        <v>144.63384615379999</v>
      </c>
      <c r="CL36" t="s">
        <v>419</v>
      </c>
      <c r="CM36" t="s">
        <v>829</v>
      </c>
      <c r="CN36" t="s">
        <v>835</v>
      </c>
      <c r="CO36">
        <v>112</v>
      </c>
      <c r="CP36">
        <v>12</v>
      </c>
      <c r="CQ36">
        <v>68.75</v>
      </c>
      <c r="CR36">
        <v>140</v>
      </c>
      <c r="CS36">
        <v>37</v>
      </c>
      <c r="CT36">
        <v>91.057142857100004</v>
      </c>
      <c r="CU36">
        <v>104.7837837838</v>
      </c>
      <c r="CW36" t="s">
        <v>419</v>
      </c>
      <c r="CX36" t="s">
        <v>845</v>
      </c>
      <c r="CY36" t="s">
        <v>851</v>
      </c>
      <c r="CZ36">
        <v>30</v>
      </c>
      <c r="DA36">
        <v>9</v>
      </c>
      <c r="DB36">
        <v>102.4333333333</v>
      </c>
      <c r="DC36">
        <v>10</v>
      </c>
      <c r="DD36">
        <v>2</v>
      </c>
      <c r="DE36">
        <v>140.4</v>
      </c>
      <c r="DF36">
        <v>152</v>
      </c>
      <c r="DH36" t="s">
        <v>419</v>
      </c>
      <c r="DI36" t="s">
        <v>813</v>
      </c>
      <c r="DJ36" t="s">
        <v>819</v>
      </c>
      <c r="DK36">
        <v>18</v>
      </c>
      <c r="DL36">
        <v>3</v>
      </c>
      <c r="DM36">
        <v>98.388888888899999</v>
      </c>
      <c r="DN36">
        <v>19</v>
      </c>
      <c r="DO36">
        <v>4</v>
      </c>
      <c r="DP36">
        <v>133.15789473679999</v>
      </c>
      <c r="DQ36">
        <v>126.75</v>
      </c>
    </row>
    <row r="37" spans="2:121" x14ac:dyDescent="0.2">
      <c r="B37" t="s">
        <v>98</v>
      </c>
      <c r="C37">
        <v>1064</v>
      </c>
      <c r="D37">
        <v>676</v>
      </c>
      <c r="F37" t="s">
        <v>85</v>
      </c>
      <c r="G37">
        <v>619</v>
      </c>
      <c r="H37">
        <v>391.43780290789999</v>
      </c>
      <c r="I37">
        <v>699</v>
      </c>
      <c r="J37">
        <v>209</v>
      </c>
      <c r="K37">
        <v>695</v>
      </c>
      <c r="L37">
        <v>540</v>
      </c>
      <c r="M37">
        <v>53</v>
      </c>
      <c r="N37">
        <v>15</v>
      </c>
      <c r="O37">
        <v>125</v>
      </c>
      <c r="P37">
        <v>66</v>
      </c>
      <c r="Q37">
        <v>0</v>
      </c>
      <c r="R37">
        <v>0</v>
      </c>
      <c r="T37" t="s">
        <v>394</v>
      </c>
      <c r="U37">
        <v>2670</v>
      </c>
      <c r="V37">
        <v>47.591011236</v>
      </c>
      <c r="W37">
        <v>5589</v>
      </c>
      <c r="X37">
        <v>604</v>
      </c>
      <c r="Y37">
        <v>4064</v>
      </c>
      <c r="Z37">
        <v>231</v>
      </c>
      <c r="AA37">
        <v>14</v>
      </c>
      <c r="AB37">
        <v>11</v>
      </c>
      <c r="AC37">
        <v>292</v>
      </c>
      <c r="AD37">
        <v>84</v>
      </c>
      <c r="AE37">
        <v>1928</v>
      </c>
      <c r="AF37">
        <v>556</v>
      </c>
      <c r="AH37" t="s">
        <v>423</v>
      </c>
      <c r="AI37">
        <v>166</v>
      </c>
      <c r="AJ37">
        <v>306.43975903609999</v>
      </c>
      <c r="AK37">
        <v>645</v>
      </c>
      <c r="AL37">
        <v>110</v>
      </c>
      <c r="AM37">
        <v>317</v>
      </c>
      <c r="AN37">
        <v>149</v>
      </c>
      <c r="AO37">
        <v>114</v>
      </c>
      <c r="AP37">
        <v>56</v>
      </c>
      <c r="AQ37">
        <v>147</v>
      </c>
      <c r="AR37">
        <v>81</v>
      </c>
      <c r="AS37">
        <v>0</v>
      </c>
      <c r="AT37">
        <v>0</v>
      </c>
      <c r="AV37" t="s">
        <v>395</v>
      </c>
      <c r="AW37">
        <v>485</v>
      </c>
      <c r="AX37">
        <v>52.383505154600002</v>
      </c>
      <c r="AY37">
        <v>1207</v>
      </c>
      <c r="AZ37">
        <v>155</v>
      </c>
      <c r="BA37">
        <v>820</v>
      </c>
      <c r="BB37">
        <v>61</v>
      </c>
      <c r="BC37">
        <v>6</v>
      </c>
      <c r="BD37">
        <v>5</v>
      </c>
      <c r="BE37">
        <v>65</v>
      </c>
      <c r="BF37">
        <v>17</v>
      </c>
      <c r="BG37">
        <v>111</v>
      </c>
      <c r="BH37">
        <v>121</v>
      </c>
      <c r="BJ37" t="s">
        <v>530</v>
      </c>
      <c r="BK37" t="s">
        <v>373</v>
      </c>
      <c r="BL37">
        <v>6867</v>
      </c>
      <c r="BM37">
        <v>2109</v>
      </c>
      <c r="BN37">
        <v>114.1762050386</v>
      </c>
      <c r="BO37">
        <v>8312</v>
      </c>
      <c r="BP37">
        <v>2133</v>
      </c>
      <c r="BQ37">
        <v>151.89400866220001</v>
      </c>
      <c r="BR37">
        <v>140.63572433190001</v>
      </c>
      <c r="BS37">
        <v>6966</v>
      </c>
      <c r="BT37">
        <v>2164</v>
      </c>
      <c r="BU37">
        <v>114.0111972438</v>
      </c>
      <c r="BV37">
        <v>8642</v>
      </c>
      <c r="BW37">
        <v>2233</v>
      </c>
      <c r="BX37">
        <v>151.6275167785</v>
      </c>
      <c r="BY37">
        <v>141.68114643979999</v>
      </c>
      <c r="CA37" t="s">
        <v>378</v>
      </c>
      <c r="CB37" t="s">
        <v>860</v>
      </c>
      <c r="CC37" t="s">
        <v>991</v>
      </c>
      <c r="CD37">
        <v>3827</v>
      </c>
      <c r="CE37">
        <v>928</v>
      </c>
      <c r="CF37">
        <v>97.484975176399999</v>
      </c>
      <c r="CG37">
        <v>4284</v>
      </c>
      <c r="CH37">
        <v>1112</v>
      </c>
      <c r="CI37">
        <v>141.10504201680001</v>
      </c>
      <c r="CJ37">
        <v>133.0557553957</v>
      </c>
      <c r="CL37" t="s">
        <v>378</v>
      </c>
      <c r="CM37" t="s">
        <v>829</v>
      </c>
      <c r="CN37" t="s">
        <v>836</v>
      </c>
      <c r="CO37">
        <v>500</v>
      </c>
      <c r="CP37">
        <v>62</v>
      </c>
      <c r="CQ37">
        <v>75.111999999999995</v>
      </c>
      <c r="CR37">
        <v>630</v>
      </c>
      <c r="CS37">
        <v>136</v>
      </c>
      <c r="CT37">
        <v>85.377777777800006</v>
      </c>
      <c r="CU37">
        <v>110.9926470588</v>
      </c>
      <c r="CW37" t="s">
        <v>378</v>
      </c>
      <c r="CX37" t="s">
        <v>845</v>
      </c>
      <c r="CY37" t="s">
        <v>852</v>
      </c>
      <c r="CZ37">
        <v>119</v>
      </c>
      <c r="DA37">
        <v>28</v>
      </c>
      <c r="DB37">
        <v>92.873949579799998</v>
      </c>
      <c r="DC37">
        <v>59</v>
      </c>
      <c r="DD37">
        <v>19</v>
      </c>
      <c r="DE37">
        <v>146.16949152539999</v>
      </c>
      <c r="DF37">
        <v>150.94736842110001</v>
      </c>
      <c r="DH37" t="s">
        <v>378</v>
      </c>
      <c r="DI37" t="s">
        <v>813</v>
      </c>
      <c r="DJ37" t="s">
        <v>820</v>
      </c>
      <c r="DK37">
        <v>79</v>
      </c>
      <c r="DL37">
        <v>18</v>
      </c>
      <c r="DM37">
        <v>90.962025316500004</v>
      </c>
      <c r="DN37">
        <v>74</v>
      </c>
      <c r="DO37">
        <v>22</v>
      </c>
      <c r="DP37">
        <v>138.16216216219999</v>
      </c>
      <c r="DQ37">
        <v>152</v>
      </c>
    </row>
    <row r="38" spans="2:121" x14ac:dyDescent="0.2">
      <c r="B38" t="s">
        <v>1064</v>
      </c>
      <c r="C38">
        <v>113</v>
      </c>
      <c r="D38">
        <v>107</v>
      </c>
      <c r="F38" t="s">
        <v>52</v>
      </c>
      <c r="G38">
        <v>4050</v>
      </c>
      <c r="H38">
        <v>411.27012345679998</v>
      </c>
      <c r="I38">
        <v>4058</v>
      </c>
      <c r="J38">
        <v>1200</v>
      </c>
      <c r="K38">
        <v>6183</v>
      </c>
      <c r="L38">
        <v>4459</v>
      </c>
      <c r="M38">
        <v>2044</v>
      </c>
      <c r="N38">
        <v>1601</v>
      </c>
      <c r="O38">
        <v>2213</v>
      </c>
      <c r="P38">
        <v>1822</v>
      </c>
      <c r="Q38">
        <v>42</v>
      </c>
      <c r="R38">
        <v>189</v>
      </c>
      <c r="T38" t="s">
        <v>384</v>
      </c>
      <c r="U38">
        <v>7728</v>
      </c>
      <c r="V38">
        <v>85.263975155300002</v>
      </c>
      <c r="W38">
        <v>9145</v>
      </c>
      <c r="X38">
        <v>1823</v>
      </c>
      <c r="Y38">
        <v>10187</v>
      </c>
      <c r="Z38">
        <v>2958</v>
      </c>
      <c r="AA38">
        <v>79</v>
      </c>
      <c r="AB38">
        <v>73</v>
      </c>
      <c r="AC38">
        <v>499</v>
      </c>
      <c r="AD38">
        <v>181</v>
      </c>
      <c r="AE38">
        <v>1254</v>
      </c>
      <c r="AF38">
        <v>1973</v>
      </c>
      <c r="AH38" t="s">
        <v>395</v>
      </c>
      <c r="AI38">
        <v>6601</v>
      </c>
      <c r="AJ38">
        <v>412.52779881840002</v>
      </c>
      <c r="AK38">
        <v>8499</v>
      </c>
      <c r="AL38">
        <v>2272</v>
      </c>
      <c r="AM38">
        <v>11408</v>
      </c>
      <c r="AN38">
        <v>6421</v>
      </c>
      <c r="AO38">
        <v>1847</v>
      </c>
      <c r="AP38">
        <v>1093</v>
      </c>
      <c r="AQ38">
        <v>4392</v>
      </c>
      <c r="AR38">
        <v>2763</v>
      </c>
      <c r="AS38">
        <v>759</v>
      </c>
      <c r="AT38">
        <v>321</v>
      </c>
      <c r="AV38" t="s">
        <v>400</v>
      </c>
      <c r="AW38">
        <v>243</v>
      </c>
      <c r="AX38">
        <v>39.777777777799997</v>
      </c>
      <c r="AY38">
        <v>416</v>
      </c>
      <c r="AZ38">
        <v>36</v>
      </c>
      <c r="BA38">
        <v>357</v>
      </c>
      <c r="BB38">
        <v>13</v>
      </c>
      <c r="BC38">
        <v>1</v>
      </c>
      <c r="BE38">
        <v>26</v>
      </c>
      <c r="BF38">
        <v>11</v>
      </c>
      <c r="BG38">
        <v>59</v>
      </c>
      <c r="BH38">
        <v>38</v>
      </c>
      <c r="BJ38" t="s">
        <v>533</v>
      </c>
      <c r="BK38" t="s">
        <v>373</v>
      </c>
      <c r="BL38">
        <v>4521</v>
      </c>
      <c r="BM38">
        <v>1365</v>
      </c>
      <c r="BN38">
        <v>115.5834992258</v>
      </c>
      <c r="BO38">
        <v>4456</v>
      </c>
      <c r="BP38">
        <v>1151</v>
      </c>
      <c r="BQ38">
        <v>162.9095601436</v>
      </c>
      <c r="BR38">
        <v>150.19374456989999</v>
      </c>
      <c r="BS38">
        <v>3717</v>
      </c>
      <c r="BT38">
        <v>1469</v>
      </c>
      <c r="BU38">
        <v>131.92924401400001</v>
      </c>
      <c r="BV38">
        <v>3556</v>
      </c>
      <c r="BW38">
        <v>937</v>
      </c>
      <c r="BX38">
        <v>178.82817772780001</v>
      </c>
      <c r="BY38">
        <v>162.40661686230001</v>
      </c>
      <c r="CA38" t="s">
        <v>63</v>
      </c>
      <c r="CB38" t="s">
        <v>860</v>
      </c>
      <c r="CC38" t="s">
        <v>522</v>
      </c>
      <c r="CD38">
        <v>8462</v>
      </c>
      <c r="CE38">
        <v>1825</v>
      </c>
      <c r="CF38">
        <v>92.872252422599999</v>
      </c>
      <c r="CG38">
        <v>9304</v>
      </c>
      <c r="CH38">
        <v>2479</v>
      </c>
      <c r="CI38">
        <v>137.77407566639999</v>
      </c>
      <c r="CJ38">
        <v>134.98467123840001</v>
      </c>
      <c r="CL38" t="s">
        <v>63</v>
      </c>
      <c r="CM38" t="s">
        <v>829</v>
      </c>
      <c r="CN38" t="s">
        <v>837</v>
      </c>
      <c r="CO38">
        <v>1261</v>
      </c>
      <c r="CP38">
        <v>128</v>
      </c>
      <c r="CQ38">
        <v>74.454401268799998</v>
      </c>
      <c r="CR38">
        <v>1626</v>
      </c>
      <c r="CS38">
        <v>397</v>
      </c>
      <c r="CT38">
        <v>88.428659286599995</v>
      </c>
      <c r="CU38">
        <v>103.2619647355</v>
      </c>
      <c r="CW38" t="s">
        <v>63</v>
      </c>
      <c r="CX38" t="s">
        <v>845</v>
      </c>
      <c r="CY38" t="s">
        <v>853</v>
      </c>
      <c r="CZ38">
        <v>260</v>
      </c>
      <c r="DA38">
        <v>51</v>
      </c>
      <c r="DB38">
        <v>88.465384615399998</v>
      </c>
      <c r="DC38">
        <v>157</v>
      </c>
      <c r="DD38">
        <v>39</v>
      </c>
      <c r="DE38">
        <v>133.5859872611</v>
      </c>
      <c r="DF38">
        <v>162.87179487180001</v>
      </c>
      <c r="DH38" t="s">
        <v>63</v>
      </c>
      <c r="DI38" t="s">
        <v>813</v>
      </c>
      <c r="DJ38" t="s">
        <v>821</v>
      </c>
      <c r="DK38">
        <v>149</v>
      </c>
      <c r="DL38">
        <v>28</v>
      </c>
      <c r="DM38">
        <v>89.087248322099995</v>
      </c>
      <c r="DN38">
        <v>123</v>
      </c>
      <c r="DO38">
        <v>31</v>
      </c>
      <c r="DP38">
        <v>145.5040650407</v>
      </c>
      <c r="DQ38">
        <v>161.90322580649999</v>
      </c>
    </row>
    <row r="39" spans="2:121" x14ac:dyDescent="0.2">
      <c r="B39" t="s">
        <v>118</v>
      </c>
      <c r="C39">
        <v>3462</v>
      </c>
      <c r="D39">
        <v>1008</v>
      </c>
      <c r="F39" t="s">
        <v>63</v>
      </c>
      <c r="G39">
        <v>4212</v>
      </c>
      <c r="H39">
        <v>301.22317188980003</v>
      </c>
      <c r="I39">
        <v>4612</v>
      </c>
      <c r="J39">
        <v>1220</v>
      </c>
      <c r="K39">
        <v>5639</v>
      </c>
      <c r="L39">
        <v>3808</v>
      </c>
      <c r="M39">
        <v>3455</v>
      </c>
      <c r="N39">
        <v>2892</v>
      </c>
      <c r="O39">
        <v>1947</v>
      </c>
      <c r="P39">
        <v>209</v>
      </c>
      <c r="Q39">
        <v>0</v>
      </c>
      <c r="R39">
        <v>1</v>
      </c>
      <c r="T39" t="s">
        <v>373</v>
      </c>
      <c r="U39">
        <v>7505</v>
      </c>
      <c r="V39">
        <v>94.200133244499995</v>
      </c>
      <c r="W39">
        <v>11006</v>
      </c>
      <c r="X39">
        <v>2479</v>
      </c>
      <c r="Y39">
        <v>10064</v>
      </c>
      <c r="Z39">
        <v>3299</v>
      </c>
      <c r="AA39">
        <v>223</v>
      </c>
      <c r="AB39">
        <v>219</v>
      </c>
      <c r="AC39">
        <v>578</v>
      </c>
      <c r="AD39">
        <v>204</v>
      </c>
      <c r="AE39">
        <v>1252</v>
      </c>
      <c r="AF39">
        <v>2550</v>
      </c>
      <c r="AH39" t="s">
        <v>416</v>
      </c>
      <c r="AI39">
        <v>2939</v>
      </c>
      <c r="AJ39">
        <v>342.10173528410002</v>
      </c>
      <c r="AK39">
        <v>5857</v>
      </c>
      <c r="AL39">
        <v>902</v>
      </c>
      <c r="AM39">
        <v>4229</v>
      </c>
      <c r="AN39">
        <v>2214</v>
      </c>
      <c r="AO39">
        <v>1382</v>
      </c>
      <c r="AP39">
        <v>624</v>
      </c>
      <c r="AQ39">
        <v>2518</v>
      </c>
      <c r="AR39">
        <v>1206</v>
      </c>
      <c r="AS39">
        <v>7</v>
      </c>
      <c r="AT39">
        <v>68</v>
      </c>
      <c r="AV39" t="s">
        <v>418</v>
      </c>
      <c r="AW39">
        <v>45</v>
      </c>
      <c r="AX39">
        <v>111.1333333333</v>
      </c>
      <c r="AY39">
        <v>73</v>
      </c>
      <c r="AZ39">
        <v>13</v>
      </c>
      <c r="BA39">
        <v>63</v>
      </c>
      <c r="BB39">
        <v>21</v>
      </c>
      <c r="BC39">
        <v>2</v>
      </c>
      <c r="BD39">
        <v>2</v>
      </c>
      <c r="BE39">
        <v>3</v>
      </c>
      <c r="BF39">
        <v>1</v>
      </c>
      <c r="BG39">
        <v>11</v>
      </c>
      <c r="BH39">
        <v>20</v>
      </c>
      <c r="BJ39" t="s">
        <v>518</v>
      </c>
      <c r="BK39" t="s">
        <v>373</v>
      </c>
      <c r="BL39">
        <v>2385</v>
      </c>
      <c r="BM39">
        <v>411</v>
      </c>
      <c r="BN39">
        <v>77.453249475899995</v>
      </c>
      <c r="BO39">
        <v>6613</v>
      </c>
      <c r="BP39">
        <v>1726</v>
      </c>
      <c r="BQ39">
        <v>57.088764554699999</v>
      </c>
      <c r="BR39">
        <v>66.165701042899997</v>
      </c>
      <c r="BS39">
        <v>4001</v>
      </c>
      <c r="BT39">
        <v>790</v>
      </c>
      <c r="BU39">
        <v>90.648087978000007</v>
      </c>
      <c r="BV39">
        <v>8151</v>
      </c>
      <c r="BW39">
        <v>2113</v>
      </c>
      <c r="BX39">
        <v>82.235308551100005</v>
      </c>
      <c r="BY39">
        <v>83.823946994799996</v>
      </c>
      <c r="CA39" t="s">
        <v>386</v>
      </c>
      <c r="CB39" t="s">
        <v>860</v>
      </c>
      <c r="CC39" t="s">
        <v>992</v>
      </c>
      <c r="CD39">
        <v>15578</v>
      </c>
      <c r="CE39">
        <v>4142</v>
      </c>
      <c r="CF39">
        <v>100.86570804980001</v>
      </c>
      <c r="CG39">
        <v>16925</v>
      </c>
      <c r="CH39">
        <v>3992</v>
      </c>
      <c r="CI39">
        <v>143.23066469720001</v>
      </c>
      <c r="CJ39">
        <v>142.87274549099999</v>
      </c>
      <c r="CL39" t="s">
        <v>386</v>
      </c>
      <c r="CM39" t="s">
        <v>829</v>
      </c>
      <c r="CN39" t="s">
        <v>838</v>
      </c>
      <c r="CO39">
        <v>1276</v>
      </c>
      <c r="CP39">
        <v>154</v>
      </c>
      <c r="CQ39">
        <v>73.474921630099999</v>
      </c>
      <c r="CR39">
        <v>1576</v>
      </c>
      <c r="CS39">
        <v>379</v>
      </c>
      <c r="CT39">
        <v>85.270304568499995</v>
      </c>
      <c r="CU39">
        <v>95.139841688700002</v>
      </c>
      <c r="CW39" t="s">
        <v>386</v>
      </c>
      <c r="CX39" t="s">
        <v>845</v>
      </c>
      <c r="CY39" t="s">
        <v>854</v>
      </c>
      <c r="CZ39">
        <v>617</v>
      </c>
      <c r="DA39">
        <v>177</v>
      </c>
      <c r="DB39">
        <v>97.931928687199999</v>
      </c>
      <c r="DC39">
        <v>369</v>
      </c>
      <c r="DD39">
        <v>98</v>
      </c>
      <c r="DE39">
        <v>151.49051490510001</v>
      </c>
      <c r="DF39">
        <v>162.1428571429</v>
      </c>
      <c r="DH39" t="s">
        <v>386</v>
      </c>
      <c r="DI39" t="s">
        <v>813</v>
      </c>
      <c r="DJ39" t="s">
        <v>822</v>
      </c>
      <c r="DK39">
        <v>1112</v>
      </c>
      <c r="DL39">
        <v>242</v>
      </c>
      <c r="DM39">
        <v>91.171762589899998</v>
      </c>
      <c r="DN39">
        <v>677</v>
      </c>
      <c r="DO39">
        <v>177</v>
      </c>
      <c r="DP39">
        <v>145.48153618910001</v>
      </c>
      <c r="DQ39">
        <v>153.05084745760001</v>
      </c>
    </row>
    <row r="40" spans="2:121" x14ac:dyDescent="0.2">
      <c r="B40" t="s">
        <v>102</v>
      </c>
      <c r="C40">
        <v>14582</v>
      </c>
      <c r="D40">
        <v>1744</v>
      </c>
      <c r="F40" t="s">
        <v>55</v>
      </c>
      <c r="G40">
        <v>7483</v>
      </c>
      <c r="H40">
        <v>381.91968461850001</v>
      </c>
      <c r="I40">
        <v>9144</v>
      </c>
      <c r="J40">
        <v>1975</v>
      </c>
      <c r="K40">
        <v>9008</v>
      </c>
      <c r="L40">
        <v>6137</v>
      </c>
      <c r="M40">
        <v>1029</v>
      </c>
      <c r="N40">
        <v>887</v>
      </c>
      <c r="O40">
        <v>4156</v>
      </c>
      <c r="P40">
        <v>3451</v>
      </c>
      <c r="Q40">
        <v>2</v>
      </c>
      <c r="R40">
        <v>31</v>
      </c>
      <c r="T40" t="s">
        <v>8</v>
      </c>
      <c r="U40">
        <v>143</v>
      </c>
      <c r="V40">
        <v>94.524475524500005</v>
      </c>
      <c r="W40">
        <v>214</v>
      </c>
      <c r="X40">
        <v>92</v>
      </c>
      <c r="Y40">
        <v>315</v>
      </c>
      <c r="Z40">
        <v>149</v>
      </c>
      <c r="AA40">
        <v>11</v>
      </c>
      <c r="AB40">
        <v>10</v>
      </c>
      <c r="AC40">
        <v>8</v>
      </c>
      <c r="AD40">
        <v>5</v>
      </c>
      <c r="AE40">
        <v>33</v>
      </c>
      <c r="AF40">
        <v>22</v>
      </c>
      <c r="AH40" t="s">
        <v>413</v>
      </c>
      <c r="AI40">
        <v>7699</v>
      </c>
      <c r="AJ40">
        <v>441.99805169500002</v>
      </c>
      <c r="AK40">
        <v>4600</v>
      </c>
      <c r="AL40">
        <v>1186</v>
      </c>
      <c r="AM40">
        <v>10320</v>
      </c>
      <c r="AN40">
        <v>7748</v>
      </c>
      <c r="AO40">
        <v>3081</v>
      </c>
      <c r="AP40">
        <v>2617</v>
      </c>
      <c r="AQ40">
        <v>2698</v>
      </c>
      <c r="AR40">
        <v>1533</v>
      </c>
      <c r="AS40">
        <v>7</v>
      </c>
      <c r="AT40">
        <v>79</v>
      </c>
      <c r="AV40" t="s">
        <v>63</v>
      </c>
      <c r="AW40">
        <v>1280</v>
      </c>
      <c r="AX40">
        <v>94.649218750000003</v>
      </c>
      <c r="AY40">
        <v>2281</v>
      </c>
      <c r="AZ40">
        <v>531</v>
      </c>
      <c r="BA40">
        <v>1757</v>
      </c>
      <c r="BB40">
        <v>571</v>
      </c>
      <c r="BC40">
        <v>16</v>
      </c>
      <c r="BD40">
        <v>16</v>
      </c>
      <c r="BE40">
        <v>81</v>
      </c>
      <c r="BF40">
        <v>35</v>
      </c>
      <c r="BG40">
        <v>184</v>
      </c>
      <c r="BH40">
        <v>391</v>
      </c>
      <c r="BJ40" t="s">
        <v>539</v>
      </c>
      <c r="BK40" t="s">
        <v>373</v>
      </c>
      <c r="BL40">
        <v>10498</v>
      </c>
      <c r="BM40">
        <v>2473</v>
      </c>
      <c r="BN40">
        <v>93.284149361800004</v>
      </c>
      <c r="BO40">
        <v>10532</v>
      </c>
      <c r="BP40">
        <v>2951</v>
      </c>
      <c r="BQ40">
        <v>141.69910748199999</v>
      </c>
      <c r="BR40">
        <v>130.63741104709999</v>
      </c>
      <c r="BS40">
        <v>10092</v>
      </c>
      <c r="BT40">
        <v>2343</v>
      </c>
      <c r="BU40">
        <v>90.890110978999999</v>
      </c>
      <c r="BV40">
        <v>10693</v>
      </c>
      <c r="BW40">
        <v>2852</v>
      </c>
      <c r="BX40">
        <v>136.79472552140001</v>
      </c>
      <c r="BY40">
        <v>127.8180224404</v>
      </c>
      <c r="CA40" t="s">
        <v>379</v>
      </c>
      <c r="CB40" t="s">
        <v>860</v>
      </c>
      <c r="CC40" t="s">
        <v>993</v>
      </c>
      <c r="CD40">
        <v>8172</v>
      </c>
      <c r="CE40">
        <v>2262</v>
      </c>
      <c r="CF40">
        <v>108.83076358300001</v>
      </c>
      <c r="CG40">
        <v>10114</v>
      </c>
      <c r="CH40">
        <v>2619</v>
      </c>
      <c r="CI40">
        <v>145.75904686569999</v>
      </c>
      <c r="CJ40">
        <v>135.7617411226</v>
      </c>
      <c r="CL40" t="s">
        <v>379</v>
      </c>
      <c r="CM40" t="s">
        <v>829</v>
      </c>
      <c r="CN40" t="s">
        <v>839</v>
      </c>
      <c r="CO40">
        <v>1508</v>
      </c>
      <c r="CP40">
        <v>151</v>
      </c>
      <c r="CQ40">
        <v>73.614721485399997</v>
      </c>
      <c r="CR40">
        <v>1924</v>
      </c>
      <c r="CS40">
        <v>453</v>
      </c>
      <c r="CT40">
        <v>86.443866943900005</v>
      </c>
      <c r="CU40">
        <v>102.66887417220001</v>
      </c>
      <c r="CW40" t="s">
        <v>379</v>
      </c>
      <c r="CX40" t="s">
        <v>845</v>
      </c>
      <c r="CY40" t="s">
        <v>855</v>
      </c>
      <c r="CZ40">
        <v>206</v>
      </c>
      <c r="DA40">
        <v>50</v>
      </c>
      <c r="DB40">
        <v>92.572815534</v>
      </c>
      <c r="DC40">
        <v>134</v>
      </c>
      <c r="DD40">
        <v>26</v>
      </c>
      <c r="DE40">
        <v>139.82835820899999</v>
      </c>
      <c r="DF40">
        <v>149.0384615385</v>
      </c>
      <c r="DH40" t="s">
        <v>379</v>
      </c>
      <c r="DI40" t="s">
        <v>813</v>
      </c>
      <c r="DJ40" t="s">
        <v>823</v>
      </c>
      <c r="DK40">
        <v>127</v>
      </c>
      <c r="DL40">
        <v>22</v>
      </c>
      <c r="DM40">
        <v>82.905511810999997</v>
      </c>
      <c r="DN40">
        <v>143</v>
      </c>
      <c r="DO40">
        <v>43</v>
      </c>
      <c r="DP40">
        <v>130.60839160840001</v>
      </c>
      <c r="DQ40">
        <v>132.3953488372</v>
      </c>
    </row>
    <row r="41" spans="2:121" x14ac:dyDescent="0.2">
      <c r="B41" t="s">
        <v>127</v>
      </c>
      <c r="C41">
        <v>267</v>
      </c>
      <c r="D41">
        <v>108</v>
      </c>
      <c r="F41" t="s">
        <v>25</v>
      </c>
      <c r="G41">
        <v>12985</v>
      </c>
      <c r="H41">
        <v>342.3708894879</v>
      </c>
      <c r="I41">
        <v>16377</v>
      </c>
      <c r="J41">
        <v>4196</v>
      </c>
      <c r="K41">
        <v>18551</v>
      </c>
      <c r="L41">
        <v>13233</v>
      </c>
      <c r="M41">
        <v>7381</v>
      </c>
      <c r="N41">
        <v>4968</v>
      </c>
      <c r="O41">
        <v>10948</v>
      </c>
      <c r="P41">
        <v>9773</v>
      </c>
      <c r="Q41">
        <v>64</v>
      </c>
      <c r="R41">
        <v>6</v>
      </c>
      <c r="T41" t="s">
        <v>389</v>
      </c>
      <c r="U41">
        <v>2019</v>
      </c>
      <c r="V41">
        <v>46.452699356099998</v>
      </c>
      <c r="W41">
        <v>3006</v>
      </c>
      <c r="X41">
        <v>163</v>
      </c>
      <c r="Y41">
        <v>2818</v>
      </c>
      <c r="Z41">
        <v>157</v>
      </c>
      <c r="AA41">
        <v>22</v>
      </c>
      <c r="AB41">
        <v>18</v>
      </c>
      <c r="AC41">
        <v>161</v>
      </c>
      <c r="AD41">
        <v>64</v>
      </c>
      <c r="AE41">
        <v>2472</v>
      </c>
      <c r="AF41">
        <v>449</v>
      </c>
      <c r="AH41" t="s">
        <v>8</v>
      </c>
      <c r="AI41">
        <v>4115</v>
      </c>
      <c r="AJ41">
        <v>384.78590522479999</v>
      </c>
      <c r="AK41">
        <v>4078</v>
      </c>
      <c r="AL41">
        <v>1719</v>
      </c>
      <c r="AM41">
        <v>5698</v>
      </c>
      <c r="AN41">
        <v>3989</v>
      </c>
      <c r="AO41">
        <v>1462</v>
      </c>
      <c r="AP41">
        <v>820</v>
      </c>
      <c r="AQ41">
        <v>1893</v>
      </c>
      <c r="AR41">
        <v>1147</v>
      </c>
      <c r="AS41">
        <v>455</v>
      </c>
      <c r="AT41">
        <v>141</v>
      </c>
      <c r="AV41" t="s">
        <v>415</v>
      </c>
      <c r="AW41">
        <v>188</v>
      </c>
      <c r="AX41">
        <v>46.3031914894</v>
      </c>
      <c r="AY41">
        <v>238</v>
      </c>
      <c r="AZ41">
        <v>24</v>
      </c>
      <c r="BA41">
        <v>278</v>
      </c>
      <c r="BB41">
        <v>20</v>
      </c>
      <c r="BC41">
        <v>4</v>
      </c>
      <c r="BD41">
        <v>3</v>
      </c>
      <c r="BE41">
        <v>18</v>
      </c>
      <c r="BF41">
        <v>3</v>
      </c>
      <c r="BG41">
        <v>80</v>
      </c>
      <c r="BH41">
        <v>25</v>
      </c>
      <c r="BJ41" t="s">
        <v>631</v>
      </c>
      <c r="BK41" t="s">
        <v>373</v>
      </c>
      <c r="BL41">
        <v>1340</v>
      </c>
      <c r="BM41">
        <v>158</v>
      </c>
      <c r="BN41">
        <v>74.597761194</v>
      </c>
      <c r="BO41">
        <v>1500</v>
      </c>
      <c r="BP41">
        <v>297</v>
      </c>
      <c r="BQ41">
        <v>108.58</v>
      </c>
      <c r="BR41">
        <v>114.303030303</v>
      </c>
      <c r="BS41">
        <v>5489</v>
      </c>
      <c r="BT41">
        <v>1332</v>
      </c>
      <c r="BU41">
        <v>99.516123155399995</v>
      </c>
      <c r="BV41">
        <v>5791</v>
      </c>
      <c r="BW41">
        <v>1289</v>
      </c>
      <c r="BX41">
        <v>135.3218787774</v>
      </c>
      <c r="BY41">
        <v>142.3258339798</v>
      </c>
      <c r="CA41" t="s">
        <v>376</v>
      </c>
      <c r="CB41" t="s">
        <v>860</v>
      </c>
      <c r="CC41" t="s">
        <v>994</v>
      </c>
      <c r="CD41">
        <v>863</v>
      </c>
      <c r="CE41">
        <v>189</v>
      </c>
      <c r="CF41">
        <v>92.5446118192</v>
      </c>
      <c r="CG41">
        <v>1035</v>
      </c>
      <c r="CH41">
        <v>249</v>
      </c>
      <c r="CI41">
        <v>116.6599033816</v>
      </c>
      <c r="CJ41">
        <v>126.9156626506</v>
      </c>
      <c r="CL41" t="s">
        <v>376</v>
      </c>
      <c r="CM41" t="s">
        <v>829</v>
      </c>
      <c r="CN41" t="s">
        <v>840</v>
      </c>
      <c r="CO41">
        <v>105</v>
      </c>
      <c r="CP41">
        <v>9</v>
      </c>
      <c r="CQ41">
        <v>70.057142857100004</v>
      </c>
      <c r="CR41">
        <v>164</v>
      </c>
      <c r="CS41">
        <v>37</v>
      </c>
      <c r="CT41">
        <v>92.713414634100005</v>
      </c>
      <c r="CU41">
        <v>104.5135135135</v>
      </c>
      <c r="CW41" t="s">
        <v>376</v>
      </c>
      <c r="CX41" t="s">
        <v>845</v>
      </c>
      <c r="CY41" t="s">
        <v>856</v>
      </c>
      <c r="CZ41">
        <v>12</v>
      </c>
      <c r="DA41">
        <v>6</v>
      </c>
      <c r="DB41">
        <v>122.9166666667</v>
      </c>
      <c r="DC41">
        <v>8</v>
      </c>
      <c r="DD41">
        <v>0</v>
      </c>
      <c r="DE41">
        <v>157.625</v>
      </c>
      <c r="DF41">
        <v>0</v>
      </c>
      <c r="DH41" t="s">
        <v>376</v>
      </c>
      <c r="DI41" t="s">
        <v>813</v>
      </c>
      <c r="DJ41" t="s">
        <v>824</v>
      </c>
      <c r="DK41">
        <v>9</v>
      </c>
      <c r="DL41">
        <v>4</v>
      </c>
      <c r="DM41">
        <v>120.8888888889</v>
      </c>
      <c r="DN41">
        <v>10</v>
      </c>
      <c r="DO41">
        <v>1</v>
      </c>
      <c r="DP41">
        <v>124</v>
      </c>
      <c r="DQ41">
        <v>151</v>
      </c>
    </row>
    <row r="42" spans="2:121" x14ac:dyDescent="0.2">
      <c r="B42" t="s">
        <v>108</v>
      </c>
      <c r="C42">
        <v>7300</v>
      </c>
      <c r="D42">
        <v>5854</v>
      </c>
      <c r="F42" t="s">
        <v>69</v>
      </c>
      <c r="G42">
        <v>6911</v>
      </c>
      <c r="H42">
        <v>446.59875560699999</v>
      </c>
      <c r="I42">
        <v>4278</v>
      </c>
      <c r="J42">
        <v>1124</v>
      </c>
      <c r="K42">
        <v>8392</v>
      </c>
      <c r="L42">
        <v>6319</v>
      </c>
      <c r="M42">
        <v>3049</v>
      </c>
      <c r="N42">
        <v>2714</v>
      </c>
      <c r="O42">
        <v>1926</v>
      </c>
      <c r="P42">
        <v>1198</v>
      </c>
      <c r="Q42">
        <v>0</v>
      </c>
      <c r="R42">
        <v>76</v>
      </c>
      <c r="T42" t="s">
        <v>408</v>
      </c>
      <c r="U42">
        <v>1561</v>
      </c>
      <c r="V42">
        <v>44.914157591299997</v>
      </c>
      <c r="W42">
        <v>3126</v>
      </c>
      <c r="X42">
        <v>158</v>
      </c>
      <c r="Y42">
        <v>2208</v>
      </c>
      <c r="Z42">
        <v>96</v>
      </c>
      <c r="AA42">
        <v>18</v>
      </c>
      <c r="AB42">
        <v>11</v>
      </c>
      <c r="AC42">
        <v>164</v>
      </c>
      <c r="AD42">
        <v>73</v>
      </c>
      <c r="AE42">
        <v>2684</v>
      </c>
      <c r="AF42">
        <v>470</v>
      </c>
      <c r="AH42" t="s">
        <v>379</v>
      </c>
      <c r="AI42">
        <v>7895</v>
      </c>
      <c r="AJ42">
        <v>446.1747941735</v>
      </c>
      <c r="AK42">
        <v>8638</v>
      </c>
      <c r="AL42">
        <v>2397</v>
      </c>
      <c r="AM42">
        <v>11930</v>
      </c>
      <c r="AN42">
        <v>8747</v>
      </c>
      <c r="AO42">
        <v>2035</v>
      </c>
      <c r="AP42">
        <v>1293</v>
      </c>
      <c r="AQ42">
        <v>6534</v>
      </c>
      <c r="AR42">
        <v>5117</v>
      </c>
      <c r="AS42">
        <v>1373</v>
      </c>
      <c r="AT42">
        <v>12</v>
      </c>
      <c r="AV42" t="s">
        <v>414</v>
      </c>
      <c r="AW42">
        <v>782</v>
      </c>
      <c r="AX42">
        <v>46.432225063899999</v>
      </c>
      <c r="AY42">
        <v>1293</v>
      </c>
      <c r="AZ42">
        <v>45</v>
      </c>
      <c r="BA42">
        <v>1167</v>
      </c>
      <c r="BB42">
        <v>53</v>
      </c>
      <c r="BC42">
        <v>10</v>
      </c>
      <c r="BD42">
        <v>8</v>
      </c>
      <c r="BE42">
        <v>64</v>
      </c>
      <c r="BF42">
        <v>38</v>
      </c>
      <c r="BG42">
        <v>1195</v>
      </c>
      <c r="BH42">
        <v>243</v>
      </c>
      <c r="BJ42" t="s">
        <v>633</v>
      </c>
      <c r="BK42" t="s">
        <v>373</v>
      </c>
      <c r="BL42">
        <v>573</v>
      </c>
      <c r="BM42">
        <v>134</v>
      </c>
      <c r="BN42">
        <v>96.617801047100002</v>
      </c>
      <c r="BO42">
        <v>412</v>
      </c>
      <c r="BP42">
        <v>164</v>
      </c>
      <c r="BQ42">
        <v>142.31796116500001</v>
      </c>
      <c r="BR42">
        <v>140.10365853659999</v>
      </c>
      <c r="BS42">
        <v>699</v>
      </c>
      <c r="BT42">
        <v>193</v>
      </c>
      <c r="BU42">
        <v>102.6223175966</v>
      </c>
      <c r="BV42">
        <v>639</v>
      </c>
      <c r="BW42">
        <v>190</v>
      </c>
      <c r="BX42">
        <v>168.3787167449</v>
      </c>
      <c r="BY42">
        <v>157.20526315789999</v>
      </c>
      <c r="CA42" t="s">
        <v>421</v>
      </c>
      <c r="CB42" t="s">
        <v>860</v>
      </c>
      <c r="CC42" t="s">
        <v>995</v>
      </c>
      <c r="CD42">
        <v>504</v>
      </c>
      <c r="CE42">
        <v>106</v>
      </c>
      <c r="CF42">
        <v>92.892857142899999</v>
      </c>
      <c r="CG42">
        <v>437</v>
      </c>
      <c r="CH42">
        <v>151</v>
      </c>
      <c r="CI42">
        <v>141.4164759725</v>
      </c>
      <c r="CJ42">
        <v>140.95364238409999</v>
      </c>
      <c r="CL42" t="s">
        <v>421</v>
      </c>
      <c r="CM42" t="s">
        <v>829</v>
      </c>
      <c r="CN42" t="s">
        <v>841</v>
      </c>
      <c r="CO42">
        <v>54</v>
      </c>
      <c r="CP42">
        <v>6</v>
      </c>
      <c r="CQ42">
        <v>63.129629629599997</v>
      </c>
      <c r="CR42">
        <v>47</v>
      </c>
      <c r="CS42">
        <v>20</v>
      </c>
      <c r="CT42">
        <v>97.510638297900002</v>
      </c>
      <c r="CU42">
        <v>106.35</v>
      </c>
      <c r="CW42" t="s">
        <v>421</v>
      </c>
      <c r="CX42" t="s">
        <v>845</v>
      </c>
      <c r="CY42" t="s">
        <v>857</v>
      </c>
      <c r="CZ42">
        <v>3</v>
      </c>
      <c r="DA42">
        <v>1</v>
      </c>
      <c r="DB42">
        <v>95.666666666699996</v>
      </c>
      <c r="DC42">
        <v>5</v>
      </c>
      <c r="DD42">
        <v>2</v>
      </c>
      <c r="DE42">
        <v>125</v>
      </c>
      <c r="DF42">
        <v>150.5</v>
      </c>
      <c r="DH42" t="s">
        <v>421</v>
      </c>
      <c r="DI42" t="s">
        <v>813</v>
      </c>
      <c r="DJ42" t="s">
        <v>825</v>
      </c>
      <c r="DK42">
        <v>3</v>
      </c>
      <c r="DL42">
        <v>0</v>
      </c>
      <c r="DM42">
        <v>60</v>
      </c>
      <c r="DN42">
        <v>6</v>
      </c>
      <c r="DO42">
        <v>1</v>
      </c>
      <c r="DP42">
        <v>106</v>
      </c>
      <c r="DQ42">
        <v>170</v>
      </c>
    </row>
    <row r="43" spans="2:121" x14ac:dyDescent="0.2">
      <c r="B43" t="s">
        <v>115</v>
      </c>
      <c r="C43">
        <v>8233</v>
      </c>
      <c r="D43">
        <v>582</v>
      </c>
      <c r="F43" t="s">
        <v>35</v>
      </c>
      <c r="G43">
        <v>2011</v>
      </c>
      <c r="H43">
        <v>456.5683739433</v>
      </c>
      <c r="I43">
        <v>1179</v>
      </c>
      <c r="J43">
        <v>338</v>
      </c>
      <c r="K43">
        <v>2729</v>
      </c>
      <c r="L43">
        <v>1995</v>
      </c>
      <c r="M43">
        <v>2132</v>
      </c>
      <c r="N43">
        <v>1825</v>
      </c>
      <c r="O43">
        <v>513</v>
      </c>
      <c r="P43">
        <v>241</v>
      </c>
      <c r="Q43">
        <v>0</v>
      </c>
      <c r="R43">
        <v>2</v>
      </c>
      <c r="AH43" t="s">
        <v>431</v>
      </c>
      <c r="AI43">
        <v>1973</v>
      </c>
      <c r="AJ43">
        <v>301.40040547389998</v>
      </c>
      <c r="AK43">
        <v>3210</v>
      </c>
      <c r="AL43">
        <v>850</v>
      </c>
      <c r="AM43">
        <v>4793</v>
      </c>
      <c r="AN43">
        <v>2541</v>
      </c>
      <c r="AO43">
        <v>922</v>
      </c>
      <c r="AP43">
        <v>674</v>
      </c>
      <c r="AQ43">
        <v>1555</v>
      </c>
      <c r="AR43">
        <v>1102</v>
      </c>
      <c r="AS43">
        <v>356</v>
      </c>
      <c r="AT43">
        <v>3</v>
      </c>
      <c r="AV43" t="s">
        <v>420</v>
      </c>
      <c r="AW43">
        <v>147</v>
      </c>
      <c r="AX43">
        <v>103.80952380950001</v>
      </c>
      <c r="AY43">
        <v>143</v>
      </c>
      <c r="AZ43">
        <v>28</v>
      </c>
      <c r="BA43">
        <v>186</v>
      </c>
      <c r="BB43">
        <v>60</v>
      </c>
      <c r="BC43">
        <v>2</v>
      </c>
      <c r="BD43">
        <v>2</v>
      </c>
      <c r="BE43">
        <v>13</v>
      </c>
      <c r="BF43">
        <v>3</v>
      </c>
      <c r="BG43">
        <v>28</v>
      </c>
      <c r="BH43">
        <v>35</v>
      </c>
      <c r="BJ43" t="s">
        <v>647</v>
      </c>
      <c r="BK43" t="s">
        <v>373</v>
      </c>
      <c r="BL43">
        <v>732</v>
      </c>
      <c r="BM43">
        <v>224</v>
      </c>
      <c r="BN43">
        <v>106.1092896175</v>
      </c>
      <c r="BO43">
        <v>810</v>
      </c>
      <c r="BP43">
        <v>194</v>
      </c>
      <c r="BQ43">
        <v>143.76296296300001</v>
      </c>
      <c r="BR43">
        <v>152.0515463918</v>
      </c>
      <c r="BS43">
        <v>575</v>
      </c>
      <c r="BT43">
        <v>105</v>
      </c>
      <c r="BU43">
        <v>80.2139130435</v>
      </c>
      <c r="BV43">
        <v>384</v>
      </c>
      <c r="BW43">
        <v>100</v>
      </c>
      <c r="BX43">
        <v>120.4921875</v>
      </c>
      <c r="BY43">
        <v>131.19999999999999</v>
      </c>
      <c r="CA43" t="s">
        <v>382</v>
      </c>
      <c r="CB43" t="s">
        <v>860</v>
      </c>
      <c r="CC43" t="s">
        <v>996</v>
      </c>
      <c r="CD43">
        <v>10097</v>
      </c>
      <c r="CE43">
        <v>2405</v>
      </c>
      <c r="CF43">
        <v>94.561552936499993</v>
      </c>
      <c r="CG43">
        <v>11144</v>
      </c>
      <c r="CH43">
        <v>3057</v>
      </c>
      <c r="CI43">
        <v>136.81882627420001</v>
      </c>
      <c r="CJ43">
        <v>126.11841674839999</v>
      </c>
      <c r="CL43" t="s">
        <v>382</v>
      </c>
      <c r="CM43" t="s">
        <v>829</v>
      </c>
      <c r="CN43" t="s">
        <v>842</v>
      </c>
      <c r="CO43">
        <v>786</v>
      </c>
      <c r="CP43">
        <v>100</v>
      </c>
      <c r="CQ43">
        <v>74.679389313000001</v>
      </c>
      <c r="CR43">
        <v>1045</v>
      </c>
      <c r="CS43">
        <v>253</v>
      </c>
      <c r="CT43">
        <v>93.354066985599999</v>
      </c>
      <c r="CU43">
        <v>104.9920948617</v>
      </c>
      <c r="CW43" t="s">
        <v>382</v>
      </c>
      <c r="CX43" t="s">
        <v>845</v>
      </c>
      <c r="CY43" t="s">
        <v>858</v>
      </c>
      <c r="CZ43">
        <v>665</v>
      </c>
      <c r="DA43">
        <v>164</v>
      </c>
      <c r="DB43">
        <v>98.419548872199996</v>
      </c>
      <c r="DC43">
        <v>404</v>
      </c>
      <c r="DD43">
        <v>123</v>
      </c>
      <c r="DE43">
        <v>166.4455445545</v>
      </c>
      <c r="DF43">
        <v>168.54471544719999</v>
      </c>
      <c r="DH43" t="s">
        <v>382</v>
      </c>
      <c r="DI43" t="s">
        <v>813</v>
      </c>
      <c r="DJ43" t="s">
        <v>826</v>
      </c>
      <c r="DK43">
        <v>1109</v>
      </c>
      <c r="DL43">
        <v>283</v>
      </c>
      <c r="DM43">
        <v>102.25157799820001</v>
      </c>
      <c r="DN43">
        <v>691</v>
      </c>
      <c r="DO43">
        <v>232</v>
      </c>
      <c r="DP43">
        <v>153.2894356006</v>
      </c>
      <c r="DQ43">
        <v>157.51293103450001</v>
      </c>
    </row>
    <row r="44" spans="2:121" x14ac:dyDescent="0.2">
      <c r="B44" t="s">
        <v>116</v>
      </c>
      <c r="C44">
        <v>16008</v>
      </c>
      <c r="D44">
        <v>4297</v>
      </c>
      <c r="F44" t="s">
        <v>78</v>
      </c>
      <c r="G44">
        <v>4574</v>
      </c>
      <c r="H44">
        <v>255.93900306079999</v>
      </c>
      <c r="I44">
        <v>5867</v>
      </c>
      <c r="J44">
        <v>1117</v>
      </c>
      <c r="K44">
        <v>6191</v>
      </c>
      <c r="L44">
        <v>3842</v>
      </c>
      <c r="M44">
        <v>2363</v>
      </c>
      <c r="N44">
        <v>1862</v>
      </c>
      <c r="O44">
        <v>5567</v>
      </c>
      <c r="P44">
        <v>4785</v>
      </c>
      <c r="Q44">
        <v>0</v>
      </c>
      <c r="R44">
        <v>64</v>
      </c>
      <c r="AH44" t="s">
        <v>376</v>
      </c>
      <c r="AI44">
        <v>345</v>
      </c>
      <c r="AJ44">
        <v>255.69565217389999</v>
      </c>
      <c r="AK44">
        <v>861</v>
      </c>
      <c r="AL44">
        <v>201</v>
      </c>
      <c r="AM44">
        <v>668</v>
      </c>
      <c r="AN44">
        <v>350</v>
      </c>
      <c r="AO44">
        <v>278</v>
      </c>
      <c r="AP44">
        <v>192</v>
      </c>
      <c r="AQ44">
        <v>202</v>
      </c>
      <c r="AR44">
        <v>112</v>
      </c>
      <c r="AS44">
        <v>213</v>
      </c>
      <c r="AT44">
        <v>2</v>
      </c>
      <c r="AV44" t="s">
        <v>398</v>
      </c>
      <c r="AW44">
        <v>344</v>
      </c>
      <c r="AX44">
        <v>50.154069767400003</v>
      </c>
      <c r="AY44">
        <v>833</v>
      </c>
      <c r="AZ44">
        <v>114</v>
      </c>
      <c r="BA44">
        <v>519</v>
      </c>
      <c r="BB44">
        <v>29</v>
      </c>
      <c r="BC44">
        <v>1</v>
      </c>
      <c r="BD44">
        <v>1</v>
      </c>
      <c r="BE44">
        <v>44</v>
      </c>
      <c r="BF44">
        <v>11</v>
      </c>
      <c r="BG44">
        <v>97</v>
      </c>
      <c r="BH44">
        <v>118</v>
      </c>
      <c r="BJ44" t="s">
        <v>547</v>
      </c>
      <c r="BK44" t="s">
        <v>373</v>
      </c>
      <c r="BL44">
        <v>16250</v>
      </c>
      <c r="BM44">
        <v>4271</v>
      </c>
      <c r="BN44">
        <v>100.80670769229999</v>
      </c>
      <c r="BO44">
        <v>17134</v>
      </c>
      <c r="BP44">
        <v>4012</v>
      </c>
      <c r="BQ44">
        <v>149.06104820819999</v>
      </c>
      <c r="BR44">
        <v>148.0989531406</v>
      </c>
      <c r="BS44">
        <v>11597</v>
      </c>
      <c r="BT44">
        <v>1949</v>
      </c>
      <c r="BU44">
        <v>83.392773993299997</v>
      </c>
      <c r="BV44">
        <v>10903</v>
      </c>
      <c r="BW44">
        <v>2634</v>
      </c>
      <c r="BX44">
        <v>140.39924791339999</v>
      </c>
      <c r="BY44">
        <v>134.56226271829999</v>
      </c>
      <c r="CA44" t="s">
        <v>383</v>
      </c>
      <c r="CB44" t="s">
        <v>860</v>
      </c>
      <c r="CC44" t="s">
        <v>997</v>
      </c>
      <c r="CD44">
        <v>2624</v>
      </c>
      <c r="CE44">
        <v>468</v>
      </c>
      <c r="CF44">
        <v>86.525152438999996</v>
      </c>
      <c r="CG44">
        <v>2762</v>
      </c>
      <c r="CH44">
        <v>632</v>
      </c>
      <c r="CI44">
        <v>121.2805937726</v>
      </c>
      <c r="CJ44">
        <v>123.3370253165</v>
      </c>
      <c r="CL44" t="s">
        <v>383</v>
      </c>
      <c r="CM44" t="s">
        <v>829</v>
      </c>
      <c r="CN44" t="s">
        <v>843</v>
      </c>
      <c r="CO44">
        <v>239</v>
      </c>
      <c r="CP44">
        <v>32</v>
      </c>
      <c r="CQ44">
        <v>72.313807531400002</v>
      </c>
      <c r="CR44">
        <v>365</v>
      </c>
      <c r="CS44">
        <v>93</v>
      </c>
      <c r="CT44">
        <v>89.986301369900005</v>
      </c>
      <c r="CU44">
        <v>96.537634408599999</v>
      </c>
      <c r="CW44" t="s">
        <v>383</v>
      </c>
      <c r="CX44" t="s">
        <v>845</v>
      </c>
      <c r="CY44" t="s">
        <v>859</v>
      </c>
      <c r="CZ44">
        <v>20</v>
      </c>
      <c r="DA44">
        <v>3</v>
      </c>
      <c r="DB44">
        <v>73.400000000000006</v>
      </c>
      <c r="DC44">
        <v>17</v>
      </c>
      <c r="DD44">
        <v>7</v>
      </c>
      <c r="DE44">
        <v>148.4705882353</v>
      </c>
      <c r="DF44">
        <v>151</v>
      </c>
      <c r="DH44" t="s">
        <v>383</v>
      </c>
      <c r="DI44" t="s">
        <v>813</v>
      </c>
      <c r="DJ44" t="s">
        <v>827</v>
      </c>
      <c r="DK44">
        <v>28</v>
      </c>
      <c r="DL44">
        <v>9</v>
      </c>
      <c r="DM44">
        <v>108.82142857140001</v>
      </c>
      <c r="DN44">
        <v>22</v>
      </c>
      <c r="DO44">
        <v>8</v>
      </c>
      <c r="DP44">
        <v>139.7272727273</v>
      </c>
      <c r="DQ44">
        <v>172</v>
      </c>
    </row>
    <row r="45" spans="2:121" x14ac:dyDescent="0.2">
      <c r="B45" t="s">
        <v>129</v>
      </c>
      <c r="C45">
        <v>10125</v>
      </c>
      <c r="D45">
        <v>7431</v>
      </c>
      <c r="F45" t="s">
        <v>66</v>
      </c>
      <c r="G45">
        <v>6050</v>
      </c>
      <c r="H45">
        <v>390.29190082640002</v>
      </c>
      <c r="I45">
        <v>11022</v>
      </c>
      <c r="J45">
        <v>2974</v>
      </c>
      <c r="K45">
        <v>9143</v>
      </c>
      <c r="L45">
        <v>6653</v>
      </c>
      <c r="M45">
        <v>2342</v>
      </c>
      <c r="N45">
        <v>991</v>
      </c>
      <c r="O45">
        <v>7350</v>
      </c>
      <c r="P45">
        <v>6377</v>
      </c>
      <c r="Q45">
        <v>12384</v>
      </c>
      <c r="R45">
        <v>0</v>
      </c>
      <c r="AH45" t="s">
        <v>387</v>
      </c>
      <c r="AI45">
        <v>10448</v>
      </c>
      <c r="AJ45">
        <v>345.00411562020003</v>
      </c>
      <c r="AK45">
        <v>9173</v>
      </c>
      <c r="AL45">
        <v>2707</v>
      </c>
      <c r="AM45">
        <v>14235</v>
      </c>
      <c r="AN45">
        <v>10412</v>
      </c>
      <c r="AO45">
        <v>2818</v>
      </c>
      <c r="AP45">
        <v>1745</v>
      </c>
      <c r="AQ45">
        <v>3165</v>
      </c>
      <c r="AR45">
        <v>1753</v>
      </c>
      <c r="AS45">
        <v>623</v>
      </c>
      <c r="AT45">
        <v>61</v>
      </c>
      <c r="AV45" t="s">
        <v>425</v>
      </c>
      <c r="AW45">
        <v>16</v>
      </c>
      <c r="AX45">
        <v>57.25</v>
      </c>
      <c r="AY45">
        <v>16</v>
      </c>
      <c r="AZ45">
        <v>2</v>
      </c>
      <c r="BA45">
        <v>25</v>
      </c>
      <c r="BB45">
        <v>3</v>
      </c>
      <c r="BC45">
        <v>0</v>
      </c>
      <c r="BE45">
        <v>2</v>
      </c>
      <c r="BF45">
        <v>1</v>
      </c>
      <c r="BG45">
        <v>50</v>
      </c>
      <c r="BH45">
        <v>2</v>
      </c>
      <c r="BJ45" t="s">
        <v>8</v>
      </c>
      <c r="BK45" t="s">
        <v>8</v>
      </c>
      <c r="BL45">
        <v>173</v>
      </c>
      <c r="BM45">
        <v>110</v>
      </c>
      <c r="BN45">
        <v>209.86127167629999</v>
      </c>
      <c r="BO45">
        <v>398</v>
      </c>
      <c r="BP45">
        <v>51</v>
      </c>
      <c r="BQ45">
        <v>208.70100502509999</v>
      </c>
      <c r="BR45">
        <v>248.8431372549</v>
      </c>
      <c r="BS45">
        <v>1041</v>
      </c>
      <c r="BT45">
        <v>368</v>
      </c>
      <c r="BU45">
        <v>119.63112391929999</v>
      </c>
      <c r="BV45">
        <v>470</v>
      </c>
      <c r="BW45">
        <v>6</v>
      </c>
      <c r="BX45">
        <v>147.0829787234</v>
      </c>
      <c r="BY45">
        <v>66.166666666699996</v>
      </c>
      <c r="CA45" t="s">
        <v>373</v>
      </c>
      <c r="CB45" t="s">
        <v>860</v>
      </c>
      <c r="CD45">
        <v>65442</v>
      </c>
      <c r="CE45">
        <v>15668</v>
      </c>
      <c r="CF45">
        <v>97.2442009719</v>
      </c>
      <c r="CG45">
        <v>72436</v>
      </c>
      <c r="CH45">
        <v>17875</v>
      </c>
      <c r="CI45">
        <v>137.67847479150001</v>
      </c>
      <c r="CJ45">
        <v>136.1160839161</v>
      </c>
      <c r="CL45" t="s">
        <v>373</v>
      </c>
      <c r="CM45" t="s">
        <v>829</v>
      </c>
      <c r="CO45">
        <v>7228</v>
      </c>
      <c r="CP45">
        <v>815</v>
      </c>
      <c r="CQ45">
        <v>73.568898727199993</v>
      </c>
      <c r="CR45">
        <v>9406</v>
      </c>
      <c r="CS45">
        <v>2289</v>
      </c>
      <c r="CT45">
        <v>87.4024027217</v>
      </c>
      <c r="CU45">
        <v>100.7426823941</v>
      </c>
      <c r="CW45" t="s">
        <v>373</v>
      </c>
      <c r="CX45" t="s">
        <v>845</v>
      </c>
      <c r="CZ45">
        <v>2380</v>
      </c>
      <c r="DA45">
        <v>606</v>
      </c>
      <c r="DB45">
        <v>96.296638655500004</v>
      </c>
      <c r="DC45">
        <v>1485</v>
      </c>
      <c r="DD45">
        <v>401</v>
      </c>
      <c r="DE45">
        <v>151.07003366999999</v>
      </c>
      <c r="DF45">
        <v>163.029925187</v>
      </c>
      <c r="DH45" t="s">
        <v>373</v>
      </c>
      <c r="DI45" t="s">
        <v>813</v>
      </c>
      <c r="DK45">
        <v>3128</v>
      </c>
      <c r="DL45">
        <v>724</v>
      </c>
      <c r="DM45">
        <v>96.066176470599999</v>
      </c>
      <c r="DN45">
        <v>2116</v>
      </c>
      <c r="DO45">
        <v>620</v>
      </c>
      <c r="DP45">
        <v>146.8988657845</v>
      </c>
      <c r="DQ45">
        <v>156.05483870969999</v>
      </c>
    </row>
    <row r="46" spans="2:121" x14ac:dyDescent="0.2">
      <c r="B46" t="s">
        <v>130</v>
      </c>
      <c r="C46">
        <v>59585</v>
      </c>
      <c r="D46">
        <v>53320</v>
      </c>
      <c r="F46" t="s">
        <v>84</v>
      </c>
      <c r="G46">
        <v>1720</v>
      </c>
      <c r="H46">
        <v>183.18023255809999</v>
      </c>
      <c r="I46">
        <v>2593</v>
      </c>
      <c r="J46">
        <v>436</v>
      </c>
      <c r="K46">
        <v>2408</v>
      </c>
      <c r="L46">
        <v>1210</v>
      </c>
      <c r="M46">
        <v>1105</v>
      </c>
      <c r="N46">
        <v>441</v>
      </c>
      <c r="O46">
        <v>245</v>
      </c>
      <c r="P46">
        <v>100</v>
      </c>
      <c r="Q46">
        <v>0</v>
      </c>
      <c r="R46">
        <v>9</v>
      </c>
      <c r="AH46" t="s">
        <v>424</v>
      </c>
      <c r="AI46">
        <v>372</v>
      </c>
      <c r="AJ46">
        <v>278.47043010750002</v>
      </c>
      <c r="AK46">
        <v>861</v>
      </c>
      <c r="AL46">
        <v>150</v>
      </c>
      <c r="AM46">
        <v>699</v>
      </c>
      <c r="AN46">
        <v>355</v>
      </c>
      <c r="AO46">
        <v>308</v>
      </c>
      <c r="AP46">
        <v>136</v>
      </c>
      <c r="AQ46">
        <v>125</v>
      </c>
      <c r="AR46">
        <v>74</v>
      </c>
      <c r="AS46">
        <v>1</v>
      </c>
      <c r="AT46">
        <v>1</v>
      </c>
      <c r="AV46" t="s">
        <v>393</v>
      </c>
      <c r="AW46">
        <v>219</v>
      </c>
      <c r="AX46">
        <v>45.063926940599998</v>
      </c>
      <c r="AY46">
        <v>294</v>
      </c>
      <c r="AZ46">
        <v>26</v>
      </c>
      <c r="BA46">
        <v>279</v>
      </c>
      <c r="BB46">
        <v>26</v>
      </c>
      <c r="BC46">
        <v>3</v>
      </c>
      <c r="BD46">
        <v>3</v>
      </c>
      <c r="BE46">
        <v>20</v>
      </c>
      <c r="BF46">
        <v>4</v>
      </c>
      <c r="BG46">
        <v>73</v>
      </c>
      <c r="BH46">
        <v>22</v>
      </c>
      <c r="BJ46" t="s">
        <v>690</v>
      </c>
      <c r="BK46" t="s">
        <v>8</v>
      </c>
      <c r="BL46">
        <v>173</v>
      </c>
      <c r="BM46">
        <v>110</v>
      </c>
      <c r="BN46">
        <v>209.86127167629999</v>
      </c>
      <c r="BO46">
        <v>398</v>
      </c>
      <c r="BP46">
        <v>51</v>
      </c>
      <c r="BQ46">
        <v>208.70100502509999</v>
      </c>
      <c r="BR46">
        <v>248.8431372549</v>
      </c>
      <c r="BS46">
        <v>1041</v>
      </c>
      <c r="BT46">
        <v>368</v>
      </c>
      <c r="BU46">
        <v>119.63112391929999</v>
      </c>
      <c r="BV46">
        <v>470</v>
      </c>
      <c r="BW46">
        <v>6</v>
      </c>
      <c r="BX46">
        <v>147.0829787234</v>
      </c>
      <c r="BY46">
        <v>66.166666666699996</v>
      </c>
      <c r="CA46" t="s">
        <v>8</v>
      </c>
      <c r="CB46" t="s">
        <v>690</v>
      </c>
      <c r="CC46" t="s">
        <v>690</v>
      </c>
      <c r="CD46">
        <v>3341</v>
      </c>
      <c r="CE46">
        <v>1274</v>
      </c>
      <c r="CF46">
        <v>129.2146064053</v>
      </c>
      <c r="CG46">
        <v>3134</v>
      </c>
      <c r="CH46">
        <v>793</v>
      </c>
      <c r="CI46">
        <v>179.88927887680001</v>
      </c>
      <c r="CJ46">
        <v>161.0226986129</v>
      </c>
      <c r="CL46" t="s">
        <v>8</v>
      </c>
      <c r="CM46" t="s">
        <v>862</v>
      </c>
      <c r="CN46" t="s">
        <v>862</v>
      </c>
      <c r="CO46">
        <v>188</v>
      </c>
      <c r="CP46">
        <v>31</v>
      </c>
      <c r="CQ46">
        <v>79.457446808499995</v>
      </c>
      <c r="CR46">
        <v>298</v>
      </c>
      <c r="CS46">
        <v>68</v>
      </c>
      <c r="CT46">
        <v>89.399328859099995</v>
      </c>
      <c r="CU46">
        <v>94.485294117600006</v>
      </c>
      <c r="CW46" t="s">
        <v>8</v>
      </c>
      <c r="CX46" t="s">
        <v>863</v>
      </c>
      <c r="CY46" t="s">
        <v>863</v>
      </c>
      <c r="CZ46">
        <v>25</v>
      </c>
      <c r="DA46">
        <v>4</v>
      </c>
      <c r="DB46">
        <v>94.84</v>
      </c>
      <c r="DC46">
        <v>20</v>
      </c>
      <c r="DD46">
        <v>8</v>
      </c>
      <c r="DE46">
        <v>147.30000000000001</v>
      </c>
      <c r="DF46">
        <v>163.25</v>
      </c>
      <c r="DH46" t="s">
        <v>8</v>
      </c>
      <c r="DI46" t="s">
        <v>861</v>
      </c>
      <c r="DJ46" t="s">
        <v>861</v>
      </c>
      <c r="DK46">
        <v>74</v>
      </c>
      <c r="DL46">
        <v>6</v>
      </c>
      <c r="DM46">
        <v>84.216216216199996</v>
      </c>
      <c r="DN46">
        <v>46</v>
      </c>
      <c r="DO46">
        <v>9</v>
      </c>
      <c r="DP46">
        <v>118.3043478261</v>
      </c>
      <c r="DQ46">
        <v>145.7777777778</v>
      </c>
    </row>
    <row r="47" spans="2:121" x14ac:dyDescent="0.2">
      <c r="B47" t="s">
        <v>111</v>
      </c>
      <c r="C47">
        <v>521</v>
      </c>
      <c r="D47">
        <v>431</v>
      </c>
      <c r="F47" t="s">
        <v>81</v>
      </c>
      <c r="G47">
        <v>1450</v>
      </c>
      <c r="H47">
        <v>261.21586206900002</v>
      </c>
      <c r="I47">
        <v>1239</v>
      </c>
      <c r="J47">
        <v>156</v>
      </c>
      <c r="K47">
        <v>2139</v>
      </c>
      <c r="L47">
        <v>1319</v>
      </c>
      <c r="M47">
        <v>1134</v>
      </c>
      <c r="N47">
        <v>853</v>
      </c>
      <c r="O47">
        <v>391</v>
      </c>
      <c r="P47">
        <v>188</v>
      </c>
      <c r="Q47">
        <v>1</v>
      </c>
      <c r="R47">
        <v>0</v>
      </c>
      <c r="AH47" t="s">
        <v>388</v>
      </c>
      <c r="AI47">
        <v>6272</v>
      </c>
      <c r="AJ47">
        <v>297.05787627550001</v>
      </c>
      <c r="AK47">
        <v>9709</v>
      </c>
      <c r="AL47">
        <v>2228</v>
      </c>
      <c r="AM47">
        <v>10483</v>
      </c>
      <c r="AN47">
        <v>5642</v>
      </c>
      <c r="AO47">
        <v>3396</v>
      </c>
      <c r="AP47">
        <v>2314</v>
      </c>
      <c r="AQ47">
        <v>2526</v>
      </c>
      <c r="AR47">
        <v>1565</v>
      </c>
      <c r="AS47">
        <v>561</v>
      </c>
      <c r="AT47">
        <v>258</v>
      </c>
      <c r="AV47" t="s">
        <v>427</v>
      </c>
      <c r="AW47">
        <v>55</v>
      </c>
      <c r="AX47">
        <v>95.436363636400003</v>
      </c>
      <c r="AY47">
        <v>105</v>
      </c>
      <c r="AZ47">
        <v>20</v>
      </c>
      <c r="BA47">
        <v>78</v>
      </c>
      <c r="BB47">
        <v>25</v>
      </c>
      <c r="BC47">
        <v>2</v>
      </c>
      <c r="BD47">
        <v>1</v>
      </c>
      <c r="BE47">
        <v>7</v>
      </c>
      <c r="BF47">
        <v>3</v>
      </c>
      <c r="BG47">
        <v>15</v>
      </c>
      <c r="BH47">
        <v>28</v>
      </c>
      <c r="BJ47" t="s">
        <v>590</v>
      </c>
      <c r="BK47" t="s">
        <v>408</v>
      </c>
      <c r="BL47">
        <v>2903</v>
      </c>
      <c r="BM47">
        <v>544</v>
      </c>
      <c r="BN47">
        <v>93.262831553599995</v>
      </c>
      <c r="BO47">
        <v>3052</v>
      </c>
      <c r="BP47">
        <v>892</v>
      </c>
      <c r="BQ47">
        <v>144.56356487549999</v>
      </c>
      <c r="BR47">
        <v>138.74551569510001</v>
      </c>
      <c r="BS47">
        <v>2307</v>
      </c>
      <c r="BT47">
        <v>406</v>
      </c>
      <c r="BU47">
        <v>86.3415691374</v>
      </c>
      <c r="BV47">
        <v>2472</v>
      </c>
      <c r="BW47">
        <v>660</v>
      </c>
      <c r="BX47">
        <v>145.8563915858</v>
      </c>
      <c r="BY47">
        <v>144.61666666670001</v>
      </c>
      <c r="CA47" t="s">
        <v>8</v>
      </c>
      <c r="CB47" t="s">
        <v>690</v>
      </c>
      <c r="CC47" t="s">
        <v>690</v>
      </c>
      <c r="CD47">
        <v>3341</v>
      </c>
      <c r="CE47">
        <v>1274</v>
      </c>
      <c r="CF47">
        <v>129.2146064053</v>
      </c>
      <c r="CG47">
        <v>3134</v>
      </c>
      <c r="CH47">
        <v>793</v>
      </c>
      <c r="CI47">
        <v>179.88927887680001</v>
      </c>
      <c r="CJ47">
        <v>161.0226986129</v>
      </c>
      <c r="CL47" t="s">
        <v>8</v>
      </c>
      <c r="CM47" t="s">
        <v>862</v>
      </c>
      <c r="CN47" t="s">
        <v>862</v>
      </c>
      <c r="CO47">
        <v>188</v>
      </c>
      <c r="CP47">
        <v>31</v>
      </c>
      <c r="CQ47">
        <v>79.457446808499995</v>
      </c>
      <c r="CR47">
        <v>298</v>
      </c>
      <c r="CS47">
        <v>68</v>
      </c>
      <c r="CT47">
        <v>89.399328859099995</v>
      </c>
      <c r="CU47">
        <v>94.485294117600006</v>
      </c>
      <c r="CW47" t="s">
        <v>8</v>
      </c>
      <c r="CX47" t="s">
        <v>863</v>
      </c>
      <c r="CY47" t="s">
        <v>863</v>
      </c>
      <c r="CZ47">
        <v>25</v>
      </c>
      <c r="DA47">
        <v>4</v>
      </c>
      <c r="DB47">
        <v>94.84</v>
      </c>
      <c r="DC47">
        <v>20</v>
      </c>
      <c r="DD47">
        <v>8</v>
      </c>
      <c r="DE47">
        <v>147.30000000000001</v>
      </c>
      <c r="DF47">
        <v>163.25</v>
      </c>
      <c r="DH47" t="s">
        <v>8</v>
      </c>
      <c r="DI47" t="s">
        <v>861</v>
      </c>
      <c r="DJ47" t="s">
        <v>861</v>
      </c>
      <c r="DK47">
        <v>74</v>
      </c>
      <c r="DL47">
        <v>6</v>
      </c>
      <c r="DM47">
        <v>84.216216216199996</v>
      </c>
      <c r="DN47">
        <v>46</v>
      </c>
      <c r="DO47">
        <v>9</v>
      </c>
      <c r="DP47">
        <v>118.3043478261</v>
      </c>
      <c r="DQ47">
        <v>145.7777777778</v>
      </c>
    </row>
    <row r="48" spans="2:121" x14ac:dyDescent="0.2">
      <c r="B48" t="s">
        <v>21</v>
      </c>
      <c r="C48">
        <v>39561</v>
      </c>
      <c r="D48">
        <v>12307</v>
      </c>
      <c r="F48" t="s">
        <v>434</v>
      </c>
      <c r="G48">
        <v>31363</v>
      </c>
      <c r="H48">
        <v>539.16366419029998</v>
      </c>
      <c r="I48">
        <v>1255</v>
      </c>
      <c r="J48">
        <v>421</v>
      </c>
      <c r="K48">
        <v>31823</v>
      </c>
      <c r="L48">
        <v>31329</v>
      </c>
      <c r="M48">
        <v>1074</v>
      </c>
      <c r="N48">
        <v>651</v>
      </c>
      <c r="O48">
        <v>1344</v>
      </c>
      <c r="P48">
        <v>1216</v>
      </c>
      <c r="Q48">
        <v>0</v>
      </c>
      <c r="R48">
        <v>0</v>
      </c>
      <c r="AH48" t="s">
        <v>414</v>
      </c>
      <c r="AI48">
        <v>29834</v>
      </c>
      <c r="AJ48">
        <v>359.60136086339998</v>
      </c>
      <c r="AK48">
        <v>35125</v>
      </c>
      <c r="AL48">
        <v>7694</v>
      </c>
      <c r="AM48">
        <v>40572</v>
      </c>
      <c r="AN48">
        <v>26224</v>
      </c>
      <c r="AO48">
        <v>8422</v>
      </c>
      <c r="AP48">
        <v>5052</v>
      </c>
      <c r="AQ48">
        <v>14087</v>
      </c>
      <c r="AR48">
        <v>7432</v>
      </c>
      <c r="AS48">
        <v>29</v>
      </c>
      <c r="AT48">
        <v>406</v>
      </c>
      <c r="AV48" t="s">
        <v>423</v>
      </c>
      <c r="AW48">
        <v>26</v>
      </c>
      <c r="AX48">
        <v>33.2307692308</v>
      </c>
      <c r="AY48">
        <v>34</v>
      </c>
      <c r="AZ48">
        <v>2</v>
      </c>
      <c r="BA48">
        <v>38</v>
      </c>
      <c r="BC48">
        <v>0</v>
      </c>
      <c r="BE48">
        <v>1</v>
      </c>
      <c r="BG48">
        <v>63</v>
      </c>
      <c r="BH48">
        <v>6</v>
      </c>
      <c r="BJ48" t="s">
        <v>649</v>
      </c>
      <c r="BK48" t="s">
        <v>408</v>
      </c>
      <c r="BL48">
        <v>1330</v>
      </c>
      <c r="BM48">
        <v>340</v>
      </c>
      <c r="BN48">
        <v>93.817293233100003</v>
      </c>
      <c r="BO48">
        <v>777</v>
      </c>
      <c r="BP48">
        <v>222</v>
      </c>
      <c r="BQ48">
        <v>152.2187902188</v>
      </c>
      <c r="BR48">
        <v>175.79279279279999</v>
      </c>
      <c r="BS48">
        <v>1088</v>
      </c>
      <c r="BT48">
        <v>336</v>
      </c>
      <c r="BU48">
        <v>101.70036764709999</v>
      </c>
      <c r="BV48">
        <v>769</v>
      </c>
      <c r="BW48">
        <v>205</v>
      </c>
      <c r="BX48">
        <v>155.82184655399999</v>
      </c>
      <c r="BY48">
        <v>177.91219512200001</v>
      </c>
      <c r="CA48" t="s">
        <v>8</v>
      </c>
      <c r="CB48" t="s">
        <v>690</v>
      </c>
      <c r="CC48" t="s">
        <v>690</v>
      </c>
      <c r="CD48">
        <v>3341</v>
      </c>
      <c r="CE48">
        <v>1274</v>
      </c>
      <c r="CF48">
        <v>129.2146064053</v>
      </c>
      <c r="CG48">
        <v>3134</v>
      </c>
      <c r="CH48">
        <v>793</v>
      </c>
      <c r="CI48">
        <v>179.88927887680001</v>
      </c>
      <c r="CJ48">
        <v>161.0226986129</v>
      </c>
      <c r="CL48" t="s">
        <v>8</v>
      </c>
      <c r="CM48" t="s">
        <v>862</v>
      </c>
      <c r="CN48" t="s">
        <v>862</v>
      </c>
      <c r="CO48">
        <v>188</v>
      </c>
      <c r="CP48">
        <v>31</v>
      </c>
      <c r="CQ48">
        <v>79.457446808499995</v>
      </c>
      <c r="CR48">
        <v>298</v>
      </c>
      <c r="CS48">
        <v>68</v>
      </c>
      <c r="CT48">
        <v>89.399328859099995</v>
      </c>
      <c r="CU48">
        <v>94.485294117600006</v>
      </c>
      <c r="CW48" t="s">
        <v>8</v>
      </c>
      <c r="CX48" t="s">
        <v>863</v>
      </c>
      <c r="CY48" t="s">
        <v>863</v>
      </c>
      <c r="CZ48">
        <v>25</v>
      </c>
      <c r="DA48">
        <v>4</v>
      </c>
      <c r="DB48">
        <v>94.84</v>
      </c>
      <c r="DC48">
        <v>20</v>
      </c>
      <c r="DD48">
        <v>8</v>
      </c>
      <c r="DE48">
        <v>147.30000000000001</v>
      </c>
      <c r="DF48">
        <v>163.25</v>
      </c>
      <c r="DH48" t="s">
        <v>8</v>
      </c>
      <c r="DI48" t="s">
        <v>861</v>
      </c>
      <c r="DJ48" t="s">
        <v>861</v>
      </c>
      <c r="DK48">
        <v>74</v>
      </c>
      <c r="DL48">
        <v>6</v>
      </c>
      <c r="DM48">
        <v>84.216216216199996</v>
      </c>
      <c r="DN48">
        <v>46</v>
      </c>
      <c r="DO48">
        <v>9</v>
      </c>
      <c r="DP48">
        <v>118.3043478261</v>
      </c>
      <c r="DQ48">
        <v>145.7777777778</v>
      </c>
    </row>
    <row r="49" spans="2:121" x14ac:dyDescent="0.2">
      <c r="B49" t="s">
        <v>105</v>
      </c>
      <c r="C49">
        <v>19942</v>
      </c>
      <c r="D49">
        <v>14645</v>
      </c>
      <c r="F49" t="s">
        <v>51</v>
      </c>
      <c r="G49">
        <v>7130</v>
      </c>
      <c r="H49">
        <v>584.69354838710001</v>
      </c>
      <c r="I49">
        <v>4664</v>
      </c>
      <c r="J49">
        <v>996</v>
      </c>
      <c r="K49">
        <v>11229</v>
      </c>
      <c r="L49">
        <v>8577</v>
      </c>
      <c r="M49">
        <v>1903</v>
      </c>
      <c r="N49">
        <v>1330</v>
      </c>
      <c r="O49">
        <v>1831</v>
      </c>
      <c r="P49">
        <v>1407</v>
      </c>
      <c r="Q49">
        <v>1</v>
      </c>
      <c r="R49">
        <v>200</v>
      </c>
      <c r="AH49" t="s">
        <v>410</v>
      </c>
      <c r="AI49">
        <v>2000</v>
      </c>
      <c r="AJ49">
        <v>295.8365</v>
      </c>
      <c r="AK49">
        <v>2144</v>
      </c>
      <c r="AL49">
        <v>546</v>
      </c>
      <c r="AM49">
        <v>2602</v>
      </c>
      <c r="AN49">
        <v>1602</v>
      </c>
      <c r="AO49">
        <v>575</v>
      </c>
      <c r="AP49">
        <v>334</v>
      </c>
      <c r="AQ49">
        <v>410</v>
      </c>
      <c r="AR49">
        <v>189</v>
      </c>
      <c r="AS49">
        <v>0</v>
      </c>
      <c r="AT49">
        <v>1</v>
      </c>
      <c r="AV49" t="s">
        <v>382</v>
      </c>
      <c r="AW49">
        <v>839</v>
      </c>
      <c r="AX49">
        <v>90.206197854600006</v>
      </c>
      <c r="AY49">
        <v>870</v>
      </c>
      <c r="AZ49">
        <v>183</v>
      </c>
      <c r="BA49">
        <v>1097</v>
      </c>
      <c r="BB49">
        <v>344</v>
      </c>
      <c r="BC49">
        <v>140</v>
      </c>
      <c r="BD49">
        <v>140</v>
      </c>
      <c r="BE49">
        <v>75</v>
      </c>
      <c r="BF49">
        <v>31</v>
      </c>
      <c r="BG49">
        <v>177</v>
      </c>
      <c r="BH49">
        <v>336</v>
      </c>
      <c r="BJ49" t="s">
        <v>605</v>
      </c>
      <c r="BK49" t="s">
        <v>408</v>
      </c>
      <c r="BL49">
        <v>1376</v>
      </c>
      <c r="BM49">
        <v>264</v>
      </c>
      <c r="BN49">
        <v>82.870639534899993</v>
      </c>
      <c r="BO49">
        <v>1709</v>
      </c>
      <c r="BP49">
        <v>421</v>
      </c>
      <c r="BQ49">
        <v>118.74663545929999</v>
      </c>
      <c r="BR49">
        <v>118.72921615200001</v>
      </c>
      <c r="BS49">
        <v>1710</v>
      </c>
      <c r="BT49">
        <v>330</v>
      </c>
      <c r="BU49">
        <v>84.898245614000004</v>
      </c>
      <c r="BV49">
        <v>1950</v>
      </c>
      <c r="BW49">
        <v>480</v>
      </c>
      <c r="BX49">
        <v>130.13025641030001</v>
      </c>
      <c r="BY49">
        <v>127.41249999999999</v>
      </c>
      <c r="CA49" t="s">
        <v>8</v>
      </c>
      <c r="CB49" t="s">
        <v>690</v>
      </c>
      <c r="CD49">
        <v>3341</v>
      </c>
      <c r="CE49">
        <v>1274</v>
      </c>
      <c r="CF49">
        <v>129.2146064053</v>
      </c>
      <c r="CG49">
        <v>3134</v>
      </c>
      <c r="CH49">
        <v>793</v>
      </c>
      <c r="CI49">
        <v>179.88927887680001</v>
      </c>
      <c r="CJ49">
        <v>161.0226986129</v>
      </c>
      <c r="CL49" t="s">
        <v>8</v>
      </c>
      <c r="CM49" t="s">
        <v>862</v>
      </c>
      <c r="CO49">
        <v>188</v>
      </c>
      <c r="CP49">
        <v>31</v>
      </c>
      <c r="CQ49">
        <v>79.457446808499995</v>
      </c>
      <c r="CR49">
        <v>298</v>
      </c>
      <c r="CS49">
        <v>68</v>
      </c>
      <c r="CT49">
        <v>89.399328859099995</v>
      </c>
      <c r="CU49">
        <v>94.485294117600006</v>
      </c>
      <c r="CW49" t="s">
        <v>8</v>
      </c>
      <c r="CX49" t="s">
        <v>863</v>
      </c>
      <c r="CZ49">
        <v>25</v>
      </c>
      <c r="DA49">
        <v>4</v>
      </c>
      <c r="DB49">
        <v>94.84</v>
      </c>
      <c r="DC49">
        <v>20</v>
      </c>
      <c r="DD49">
        <v>8</v>
      </c>
      <c r="DE49">
        <v>147.30000000000001</v>
      </c>
      <c r="DF49">
        <v>163.25</v>
      </c>
      <c r="DH49" t="s">
        <v>8</v>
      </c>
      <c r="DI49" t="s">
        <v>861</v>
      </c>
      <c r="DK49">
        <v>74</v>
      </c>
      <c r="DL49">
        <v>6</v>
      </c>
      <c r="DM49">
        <v>84.216216216199996</v>
      </c>
      <c r="DN49">
        <v>46</v>
      </c>
      <c r="DO49">
        <v>9</v>
      </c>
      <c r="DP49">
        <v>118.3043478261</v>
      </c>
      <c r="DQ49">
        <v>145.7777777778</v>
      </c>
    </row>
    <row r="50" spans="2:121" x14ac:dyDescent="0.2">
      <c r="B50" t="s">
        <v>120</v>
      </c>
      <c r="C50">
        <v>4529</v>
      </c>
      <c r="D50">
        <v>902</v>
      </c>
      <c r="F50" t="s">
        <v>75</v>
      </c>
      <c r="G50">
        <v>1700</v>
      </c>
      <c r="H50">
        <v>301.85647058820001</v>
      </c>
      <c r="I50">
        <v>3160</v>
      </c>
      <c r="J50">
        <v>842</v>
      </c>
      <c r="K50">
        <v>2736</v>
      </c>
      <c r="L50">
        <v>2054</v>
      </c>
      <c r="M50">
        <v>830</v>
      </c>
      <c r="N50">
        <v>601</v>
      </c>
      <c r="O50">
        <v>1043</v>
      </c>
      <c r="P50">
        <v>780</v>
      </c>
      <c r="Q50">
        <v>0</v>
      </c>
      <c r="R50">
        <v>3</v>
      </c>
      <c r="AH50" t="s">
        <v>421</v>
      </c>
      <c r="AI50">
        <v>432</v>
      </c>
      <c r="AJ50">
        <v>365.8101851852</v>
      </c>
      <c r="AK50">
        <v>489</v>
      </c>
      <c r="AL50">
        <v>104</v>
      </c>
      <c r="AM50">
        <v>911</v>
      </c>
      <c r="AN50">
        <v>473</v>
      </c>
      <c r="AO50">
        <v>214</v>
      </c>
      <c r="AP50">
        <v>143</v>
      </c>
      <c r="AQ50">
        <v>126</v>
      </c>
      <c r="AR50">
        <v>88</v>
      </c>
      <c r="AS50">
        <v>82</v>
      </c>
      <c r="AT50">
        <v>1</v>
      </c>
      <c r="AV50" t="s">
        <v>410</v>
      </c>
      <c r="AW50">
        <v>74</v>
      </c>
      <c r="AX50">
        <v>51.581081081100002</v>
      </c>
      <c r="AY50">
        <v>136</v>
      </c>
      <c r="AZ50">
        <v>6</v>
      </c>
      <c r="BA50">
        <v>93</v>
      </c>
      <c r="BB50">
        <v>5</v>
      </c>
      <c r="BC50">
        <v>0</v>
      </c>
      <c r="BE50">
        <v>4</v>
      </c>
      <c r="BF50">
        <v>1</v>
      </c>
      <c r="BG50">
        <v>117</v>
      </c>
      <c r="BH50">
        <v>11</v>
      </c>
      <c r="BJ50" t="s">
        <v>645</v>
      </c>
      <c r="BK50" t="s">
        <v>408</v>
      </c>
      <c r="BL50">
        <v>1787</v>
      </c>
      <c r="BM50">
        <v>462</v>
      </c>
      <c r="BN50">
        <v>86.655847789600003</v>
      </c>
      <c r="BO50">
        <v>2593</v>
      </c>
      <c r="BP50">
        <v>592</v>
      </c>
      <c r="BQ50">
        <v>139.0335518704</v>
      </c>
      <c r="BR50">
        <v>125.4375</v>
      </c>
      <c r="BS50">
        <v>1954</v>
      </c>
      <c r="BT50">
        <v>378</v>
      </c>
      <c r="BU50">
        <v>80.710849539400002</v>
      </c>
      <c r="BV50">
        <v>2169</v>
      </c>
      <c r="BW50">
        <v>635</v>
      </c>
      <c r="BX50">
        <v>128.06731212540001</v>
      </c>
      <c r="BY50">
        <v>108.631496063</v>
      </c>
      <c r="CA50" t="s">
        <v>428</v>
      </c>
      <c r="CB50" t="s">
        <v>894</v>
      </c>
      <c r="CC50" t="s">
        <v>1019</v>
      </c>
      <c r="CD50">
        <v>1326</v>
      </c>
      <c r="CE50">
        <v>312</v>
      </c>
      <c r="CF50">
        <v>90.450226244299998</v>
      </c>
      <c r="CG50">
        <v>1077</v>
      </c>
      <c r="CH50">
        <v>292</v>
      </c>
      <c r="CI50">
        <v>114.6657381616</v>
      </c>
      <c r="CJ50">
        <v>139.43493150680001</v>
      </c>
      <c r="CL50" t="s">
        <v>428</v>
      </c>
      <c r="CM50" t="s">
        <v>875</v>
      </c>
      <c r="CN50" t="s">
        <v>874</v>
      </c>
      <c r="CO50">
        <v>40</v>
      </c>
      <c r="CP50">
        <v>3</v>
      </c>
      <c r="CQ50">
        <v>62.05</v>
      </c>
      <c r="CR50">
        <v>59</v>
      </c>
      <c r="CS50">
        <v>21</v>
      </c>
      <c r="CT50">
        <v>75.677966101699994</v>
      </c>
      <c r="CU50">
        <v>80.047619047599994</v>
      </c>
      <c r="CW50" t="s">
        <v>428</v>
      </c>
      <c r="CX50" t="s">
        <v>885</v>
      </c>
      <c r="CY50" t="s">
        <v>884</v>
      </c>
      <c r="CZ50">
        <v>23</v>
      </c>
      <c r="DA50">
        <v>3</v>
      </c>
      <c r="DB50">
        <v>78.695652173900001</v>
      </c>
      <c r="DC50">
        <v>13</v>
      </c>
      <c r="DD50">
        <v>3</v>
      </c>
      <c r="DE50">
        <v>130.30769230769999</v>
      </c>
      <c r="DF50">
        <v>161.3333333333</v>
      </c>
      <c r="DH50" t="s">
        <v>428</v>
      </c>
      <c r="DI50" t="s">
        <v>865</v>
      </c>
      <c r="DJ50" t="s">
        <v>864</v>
      </c>
      <c r="DK50">
        <v>32</v>
      </c>
      <c r="DL50">
        <v>5</v>
      </c>
      <c r="DM50">
        <v>87.71875</v>
      </c>
      <c r="DN50">
        <v>35</v>
      </c>
      <c r="DO50">
        <v>10</v>
      </c>
      <c r="DP50">
        <v>128.5428571429</v>
      </c>
      <c r="DQ50">
        <v>134.5</v>
      </c>
    </row>
    <row r="51" spans="2:121" x14ac:dyDescent="0.2">
      <c r="B51" t="s">
        <v>104</v>
      </c>
      <c r="C51">
        <v>213278</v>
      </c>
      <c r="D51">
        <v>151520</v>
      </c>
      <c r="F51" t="s">
        <v>43</v>
      </c>
      <c r="G51">
        <v>6595</v>
      </c>
      <c r="H51">
        <v>501.37846853680003</v>
      </c>
      <c r="I51">
        <v>8443</v>
      </c>
      <c r="J51">
        <v>2399</v>
      </c>
      <c r="K51">
        <v>8960</v>
      </c>
      <c r="L51">
        <v>6444</v>
      </c>
      <c r="M51">
        <v>3155</v>
      </c>
      <c r="N51">
        <v>2224</v>
      </c>
      <c r="O51">
        <v>816</v>
      </c>
      <c r="P51">
        <v>398</v>
      </c>
      <c r="Q51">
        <v>0</v>
      </c>
      <c r="R51">
        <v>56</v>
      </c>
      <c r="AH51" t="s">
        <v>382</v>
      </c>
      <c r="AI51">
        <v>16808</v>
      </c>
      <c r="AJ51">
        <v>437.87577344120001</v>
      </c>
      <c r="AK51">
        <v>12027</v>
      </c>
      <c r="AL51">
        <v>2916</v>
      </c>
      <c r="AM51">
        <v>21538</v>
      </c>
      <c r="AN51">
        <v>14958</v>
      </c>
      <c r="AO51">
        <v>8202</v>
      </c>
      <c r="AP51">
        <v>5993</v>
      </c>
      <c r="AQ51">
        <v>6970</v>
      </c>
      <c r="AR51">
        <v>5040</v>
      </c>
      <c r="AS51">
        <v>863</v>
      </c>
      <c r="AT51">
        <v>15</v>
      </c>
      <c r="AV51" t="s">
        <v>377</v>
      </c>
      <c r="AW51">
        <v>205</v>
      </c>
      <c r="AX51">
        <v>92.834146341500002</v>
      </c>
      <c r="AY51">
        <v>397</v>
      </c>
      <c r="AZ51">
        <v>108</v>
      </c>
      <c r="BA51">
        <v>282</v>
      </c>
      <c r="BB51">
        <v>83</v>
      </c>
      <c r="BC51">
        <v>2</v>
      </c>
      <c r="BD51">
        <v>2</v>
      </c>
      <c r="BE51">
        <v>27</v>
      </c>
      <c r="BF51">
        <v>4</v>
      </c>
      <c r="BG51">
        <v>27</v>
      </c>
      <c r="BH51">
        <v>71</v>
      </c>
      <c r="BJ51" t="s">
        <v>597</v>
      </c>
      <c r="BK51" t="s">
        <v>408</v>
      </c>
      <c r="BL51">
        <v>8825</v>
      </c>
      <c r="BM51">
        <v>1928</v>
      </c>
      <c r="BN51">
        <v>89.6772804533</v>
      </c>
      <c r="BO51">
        <v>9584</v>
      </c>
      <c r="BP51">
        <v>2061</v>
      </c>
      <c r="BQ51">
        <v>140.71671535889999</v>
      </c>
      <c r="BR51">
        <v>138.90587093639999</v>
      </c>
      <c r="BS51">
        <v>8056</v>
      </c>
      <c r="BT51">
        <v>1225</v>
      </c>
      <c r="BU51">
        <v>77.945506454799997</v>
      </c>
      <c r="BV51">
        <v>7739</v>
      </c>
      <c r="BW51">
        <v>1789</v>
      </c>
      <c r="BX51">
        <v>118.64090967830001</v>
      </c>
      <c r="BY51">
        <v>120.1106763555</v>
      </c>
      <c r="CA51" t="s">
        <v>430</v>
      </c>
      <c r="CB51" t="s">
        <v>894</v>
      </c>
      <c r="CC51" t="s">
        <v>1020</v>
      </c>
      <c r="CD51">
        <v>5780</v>
      </c>
      <c r="CE51">
        <v>1314</v>
      </c>
      <c r="CF51">
        <v>95.353114186900001</v>
      </c>
      <c r="CG51">
        <v>6817</v>
      </c>
      <c r="CH51">
        <v>2074</v>
      </c>
      <c r="CI51">
        <v>132.7969781429</v>
      </c>
      <c r="CJ51">
        <v>127.63500482160001</v>
      </c>
      <c r="CL51" t="s">
        <v>430</v>
      </c>
      <c r="CM51" t="s">
        <v>875</v>
      </c>
      <c r="CN51" t="s">
        <v>876</v>
      </c>
      <c r="CO51">
        <v>453</v>
      </c>
      <c r="CP51">
        <v>49</v>
      </c>
      <c r="CQ51">
        <v>66.8322295806</v>
      </c>
      <c r="CR51">
        <v>1136</v>
      </c>
      <c r="CS51">
        <v>257</v>
      </c>
      <c r="CT51">
        <v>65.152288732399995</v>
      </c>
      <c r="CU51">
        <v>64.8832684825</v>
      </c>
      <c r="CW51" t="s">
        <v>430</v>
      </c>
      <c r="CX51" t="s">
        <v>885</v>
      </c>
      <c r="CY51" t="s">
        <v>886</v>
      </c>
      <c r="CZ51">
        <v>192</v>
      </c>
      <c r="DA51">
        <v>32</v>
      </c>
      <c r="DB51">
        <v>88.713541666699996</v>
      </c>
      <c r="DC51">
        <v>159</v>
      </c>
      <c r="DD51">
        <v>40</v>
      </c>
      <c r="DE51">
        <v>140.20754716979999</v>
      </c>
      <c r="DF51">
        <v>152.44999999999999</v>
      </c>
      <c r="DH51" t="s">
        <v>430</v>
      </c>
      <c r="DI51" t="s">
        <v>865</v>
      </c>
      <c r="DJ51" t="s">
        <v>866</v>
      </c>
      <c r="DK51">
        <v>114</v>
      </c>
      <c r="DL51">
        <v>19</v>
      </c>
      <c r="DM51">
        <v>90.368421052599999</v>
      </c>
      <c r="DN51">
        <v>129</v>
      </c>
      <c r="DO51">
        <v>32</v>
      </c>
      <c r="DP51">
        <v>133.3488372093</v>
      </c>
      <c r="DQ51">
        <v>149.6875</v>
      </c>
    </row>
    <row r="52" spans="2:121" x14ac:dyDescent="0.2">
      <c r="B52" t="s">
        <v>128</v>
      </c>
      <c r="C52">
        <v>28656</v>
      </c>
      <c r="D52">
        <v>6206</v>
      </c>
      <c r="F52" t="s">
        <v>53</v>
      </c>
      <c r="G52">
        <v>2050</v>
      </c>
      <c r="H52">
        <v>145.62146341459999</v>
      </c>
      <c r="I52">
        <v>2214</v>
      </c>
      <c r="J52">
        <v>232</v>
      </c>
      <c r="K52">
        <v>3172</v>
      </c>
      <c r="L52">
        <v>1286</v>
      </c>
      <c r="M52">
        <v>808</v>
      </c>
      <c r="N52">
        <v>584</v>
      </c>
      <c r="O52">
        <v>632</v>
      </c>
      <c r="P52">
        <v>286</v>
      </c>
      <c r="Q52">
        <v>2</v>
      </c>
      <c r="R52">
        <v>16</v>
      </c>
      <c r="AH52" t="s">
        <v>83</v>
      </c>
      <c r="AI52">
        <v>12064</v>
      </c>
      <c r="AJ52">
        <v>393.22281167109998</v>
      </c>
      <c r="AK52">
        <v>6186</v>
      </c>
      <c r="AL52">
        <v>1142</v>
      </c>
      <c r="AM52">
        <v>17868</v>
      </c>
      <c r="AN52">
        <v>13081</v>
      </c>
      <c r="AO52">
        <v>4435</v>
      </c>
      <c r="AP52">
        <v>3230</v>
      </c>
      <c r="AQ52">
        <v>5938</v>
      </c>
      <c r="AR52">
        <v>4056</v>
      </c>
      <c r="AS52">
        <v>12</v>
      </c>
      <c r="AT52">
        <v>143</v>
      </c>
      <c r="AV52" t="s">
        <v>383</v>
      </c>
      <c r="AW52">
        <v>286</v>
      </c>
      <c r="AX52">
        <v>89.367132867099997</v>
      </c>
      <c r="AY52">
        <v>303</v>
      </c>
      <c r="AZ52">
        <v>59</v>
      </c>
      <c r="BA52">
        <v>359</v>
      </c>
      <c r="BB52">
        <v>107</v>
      </c>
      <c r="BC52">
        <v>0</v>
      </c>
      <c r="BE52">
        <v>14</v>
      </c>
      <c r="BF52">
        <v>11</v>
      </c>
      <c r="BG52">
        <v>53</v>
      </c>
      <c r="BH52">
        <v>79</v>
      </c>
      <c r="BJ52" t="s">
        <v>619</v>
      </c>
      <c r="BK52" t="s">
        <v>408</v>
      </c>
      <c r="BL52">
        <v>718</v>
      </c>
      <c r="BM52">
        <v>196</v>
      </c>
      <c r="BN52">
        <v>103.9401114206</v>
      </c>
      <c r="BO52">
        <v>957</v>
      </c>
      <c r="BP52">
        <v>266</v>
      </c>
      <c r="BQ52">
        <v>133.8840125392</v>
      </c>
      <c r="BR52">
        <v>120.7556390977</v>
      </c>
      <c r="BS52">
        <v>1476</v>
      </c>
      <c r="BT52">
        <v>701</v>
      </c>
      <c r="BU52">
        <v>136.83062330620001</v>
      </c>
      <c r="BV52">
        <v>1944</v>
      </c>
      <c r="BW52">
        <v>515</v>
      </c>
      <c r="BX52">
        <v>180.8333333333</v>
      </c>
      <c r="BY52">
        <v>155.25242718449999</v>
      </c>
      <c r="CA52" t="s">
        <v>411</v>
      </c>
      <c r="CB52" t="s">
        <v>894</v>
      </c>
      <c r="CC52" t="s">
        <v>1021</v>
      </c>
      <c r="CD52">
        <v>28716</v>
      </c>
      <c r="CE52">
        <v>6513</v>
      </c>
      <c r="CF52">
        <v>91.247527510799998</v>
      </c>
      <c r="CG52">
        <v>29986</v>
      </c>
      <c r="CH52">
        <v>7364</v>
      </c>
      <c r="CI52">
        <v>139.14520109380001</v>
      </c>
      <c r="CJ52">
        <v>134.98574144489999</v>
      </c>
      <c r="CL52" t="s">
        <v>411</v>
      </c>
      <c r="CM52" t="s">
        <v>875</v>
      </c>
      <c r="CN52" t="s">
        <v>877</v>
      </c>
      <c r="CO52">
        <v>1827</v>
      </c>
      <c r="CP52">
        <v>153</v>
      </c>
      <c r="CQ52">
        <v>62.151614668900002</v>
      </c>
      <c r="CR52">
        <v>4828</v>
      </c>
      <c r="CS52">
        <v>1079</v>
      </c>
      <c r="CT52">
        <v>64.355426677699995</v>
      </c>
      <c r="CU52">
        <v>67.494902687700005</v>
      </c>
      <c r="CW52" t="s">
        <v>411</v>
      </c>
      <c r="CX52" t="s">
        <v>885</v>
      </c>
      <c r="CY52" t="s">
        <v>887</v>
      </c>
      <c r="CZ52">
        <v>1437</v>
      </c>
      <c r="DA52">
        <v>271</v>
      </c>
      <c r="DB52">
        <v>87.538622129399997</v>
      </c>
      <c r="DC52">
        <v>988</v>
      </c>
      <c r="DD52">
        <v>234</v>
      </c>
      <c r="DE52">
        <v>136.3168016194</v>
      </c>
      <c r="DF52">
        <v>150.46581196579999</v>
      </c>
      <c r="DH52" t="s">
        <v>411</v>
      </c>
      <c r="DI52" t="s">
        <v>865</v>
      </c>
      <c r="DJ52" t="s">
        <v>867</v>
      </c>
      <c r="DK52">
        <v>727</v>
      </c>
      <c r="DL52">
        <v>107</v>
      </c>
      <c r="DM52">
        <v>81.907840440200005</v>
      </c>
      <c r="DN52">
        <v>672</v>
      </c>
      <c r="DO52">
        <v>193</v>
      </c>
      <c r="DP52">
        <v>127.94047619049999</v>
      </c>
      <c r="DQ52">
        <v>141.99481865280001</v>
      </c>
    </row>
    <row r="53" spans="2:121" x14ac:dyDescent="0.2">
      <c r="B53" t="s">
        <v>123</v>
      </c>
      <c r="C53">
        <v>283</v>
      </c>
      <c r="D53">
        <v>280</v>
      </c>
      <c r="F53" t="s">
        <v>45</v>
      </c>
      <c r="G53">
        <v>3152</v>
      </c>
      <c r="H53">
        <v>289.73572335030002</v>
      </c>
      <c r="I53">
        <v>6562</v>
      </c>
      <c r="J53">
        <v>1732</v>
      </c>
      <c r="K53">
        <v>7420</v>
      </c>
      <c r="L53">
        <v>3720</v>
      </c>
      <c r="M53">
        <v>1442</v>
      </c>
      <c r="N53">
        <v>1075</v>
      </c>
      <c r="O53">
        <v>5152</v>
      </c>
      <c r="P53">
        <v>433</v>
      </c>
      <c r="Q53">
        <v>2</v>
      </c>
      <c r="R53">
        <v>201</v>
      </c>
      <c r="AH53" t="s">
        <v>383</v>
      </c>
      <c r="AI53">
        <v>2169</v>
      </c>
      <c r="AJ53">
        <v>267.95481788839999</v>
      </c>
      <c r="AK53">
        <v>2570</v>
      </c>
      <c r="AL53">
        <v>504</v>
      </c>
      <c r="AM53">
        <v>3557</v>
      </c>
      <c r="AN53">
        <v>2248</v>
      </c>
      <c r="AO53">
        <v>467</v>
      </c>
      <c r="AP53">
        <v>213</v>
      </c>
      <c r="AQ53">
        <v>1340</v>
      </c>
      <c r="AR53">
        <v>995</v>
      </c>
      <c r="AS53">
        <v>370</v>
      </c>
      <c r="AT53">
        <v>13</v>
      </c>
      <c r="AV53" t="s">
        <v>396</v>
      </c>
      <c r="AW53">
        <v>237</v>
      </c>
      <c r="AX53">
        <v>58.936708860800003</v>
      </c>
      <c r="AY53">
        <v>587</v>
      </c>
      <c r="AZ53">
        <v>72</v>
      </c>
      <c r="BA53">
        <v>373</v>
      </c>
      <c r="BB53">
        <v>30</v>
      </c>
      <c r="BC53">
        <v>2</v>
      </c>
      <c r="BD53">
        <v>2</v>
      </c>
      <c r="BE53">
        <v>27</v>
      </c>
      <c r="BF53">
        <v>13</v>
      </c>
      <c r="BG53">
        <v>54</v>
      </c>
      <c r="BH53">
        <v>68</v>
      </c>
      <c r="BJ53" t="s">
        <v>595</v>
      </c>
      <c r="BK53" t="s">
        <v>408</v>
      </c>
      <c r="BL53">
        <v>11049</v>
      </c>
      <c r="BM53">
        <v>3015</v>
      </c>
      <c r="BN53">
        <v>98.985247533700004</v>
      </c>
      <c r="BO53">
        <v>9467</v>
      </c>
      <c r="BP53">
        <v>2432</v>
      </c>
      <c r="BQ53">
        <v>152.85423048480001</v>
      </c>
      <c r="BR53">
        <v>147.44695723679999</v>
      </c>
      <c r="BS53">
        <v>8662</v>
      </c>
      <c r="BT53">
        <v>2359</v>
      </c>
      <c r="BU53">
        <v>92.094435465299995</v>
      </c>
      <c r="BV53">
        <v>5965</v>
      </c>
      <c r="BW53">
        <v>1615</v>
      </c>
      <c r="BX53">
        <v>138.3124895222</v>
      </c>
      <c r="BY53">
        <v>145.19504643959999</v>
      </c>
      <c r="CA53" t="s">
        <v>432</v>
      </c>
      <c r="CB53" t="s">
        <v>894</v>
      </c>
      <c r="CC53" t="s">
        <v>1022</v>
      </c>
      <c r="CD53">
        <v>1651</v>
      </c>
      <c r="CE53">
        <v>327</v>
      </c>
      <c r="CF53">
        <v>84.437916414300005</v>
      </c>
      <c r="CG53">
        <v>2553</v>
      </c>
      <c r="CH53">
        <v>685</v>
      </c>
      <c r="CI53">
        <v>117.5330983157</v>
      </c>
      <c r="CJ53">
        <v>104.6919708029</v>
      </c>
      <c r="CL53" t="s">
        <v>432</v>
      </c>
      <c r="CM53" t="s">
        <v>875</v>
      </c>
      <c r="CN53" t="s">
        <v>878</v>
      </c>
      <c r="CO53">
        <v>73</v>
      </c>
      <c r="CP53">
        <v>8</v>
      </c>
      <c r="CQ53">
        <v>71.232876712299998</v>
      </c>
      <c r="CR53">
        <v>145</v>
      </c>
      <c r="CS53">
        <v>30</v>
      </c>
      <c r="CT53">
        <v>64.172413793100006</v>
      </c>
      <c r="CU53">
        <v>64.833333333300004</v>
      </c>
      <c r="CW53" t="s">
        <v>432</v>
      </c>
      <c r="CX53" t="s">
        <v>885</v>
      </c>
      <c r="CY53" t="s">
        <v>888</v>
      </c>
      <c r="CZ53">
        <v>41</v>
      </c>
      <c r="DA53">
        <v>8</v>
      </c>
      <c r="DB53">
        <v>89.195121951199994</v>
      </c>
      <c r="DC53">
        <v>26</v>
      </c>
      <c r="DD53">
        <v>5</v>
      </c>
      <c r="DE53">
        <v>137.61538461539999</v>
      </c>
      <c r="DF53">
        <v>144.4</v>
      </c>
      <c r="DH53" t="s">
        <v>432</v>
      </c>
      <c r="DI53" t="s">
        <v>865</v>
      </c>
      <c r="DJ53" t="s">
        <v>868</v>
      </c>
      <c r="DK53">
        <v>104</v>
      </c>
      <c r="DL53">
        <v>10</v>
      </c>
      <c r="DM53">
        <v>74.326923076900002</v>
      </c>
      <c r="DN53">
        <v>58</v>
      </c>
      <c r="DO53">
        <v>16</v>
      </c>
      <c r="DP53">
        <v>121.5517241379</v>
      </c>
      <c r="DQ53">
        <v>140.4375</v>
      </c>
    </row>
    <row r="54" spans="2:121" x14ac:dyDescent="0.2">
      <c r="F54" t="s">
        <v>79</v>
      </c>
      <c r="G54">
        <v>2665</v>
      </c>
      <c r="H54">
        <v>146.21651031889999</v>
      </c>
      <c r="I54">
        <v>9047</v>
      </c>
      <c r="J54">
        <v>1622</v>
      </c>
      <c r="K54">
        <v>10969</v>
      </c>
      <c r="L54">
        <v>3259</v>
      </c>
      <c r="M54">
        <v>1135</v>
      </c>
      <c r="N54">
        <v>251</v>
      </c>
      <c r="O54">
        <v>1163</v>
      </c>
      <c r="P54">
        <v>620</v>
      </c>
      <c r="Q54">
        <v>25</v>
      </c>
      <c r="R54">
        <v>0</v>
      </c>
      <c r="AH54" t="s">
        <v>400</v>
      </c>
      <c r="AI54">
        <v>4147</v>
      </c>
      <c r="AJ54">
        <v>286.22498191459999</v>
      </c>
      <c r="AK54">
        <v>3801</v>
      </c>
      <c r="AL54">
        <v>776</v>
      </c>
      <c r="AM54">
        <v>6083</v>
      </c>
      <c r="AN54">
        <v>3241</v>
      </c>
      <c r="AO54">
        <v>677</v>
      </c>
      <c r="AP54">
        <v>464</v>
      </c>
      <c r="AQ54">
        <v>913</v>
      </c>
      <c r="AR54">
        <v>512</v>
      </c>
      <c r="AS54">
        <v>426</v>
      </c>
      <c r="AT54">
        <v>6</v>
      </c>
      <c r="AV54" t="s">
        <v>428</v>
      </c>
      <c r="AW54">
        <v>15</v>
      </c>
      <c r="AX54">
        <v>43.4</v>
      </c>
      <c r="AY54">
        <v>17</v>
      </c>
      <c r="BA54">
        <v>25</v>
      </c>
      <c r="BB54">
        <v>1</v>
      </c>
      <c r="BC54">
        <v>0</v>
      </c>
      <c r="BE54">
        <v>0</v>
      </c>
      <c r="BG54">
        <v>32</v>
      </c>
      <c r="BH54">
        <v>5</v>
      </c>
      <c r="BJ54" t="s">
        <v>408</v>
      </c>
      <c r="BK54" t="s">
        <v>408</v>
      </c>
      <c r="BL54">
        <v>57354</v>
      </c>
      <c r="BM54">
        <v>12498</v>
      </c>
      <c r="BN54">
        <v>90.404679708499998</v>
      </c>
      <c r="BO54">
        <v>71900</v>
      </c>
      <c r="BP54">
        <v>18149</v>
      </c>
      <c r="BQ54">
        <v>122.2855910987</v>
      </c>
      <c r="BR54">
        <v>119.7965177145</v>
      </c>
      <c r="BS54">
        <v>56421</v>
      </c>
      <c r="BT54">
        <v>11839</v>
      </c>
      <c r="BU54">
        <v>88.273976001799994</v>
      </c>
      <c r="BV54">
        <v>69488</v>
      </c>
      <c r="BW54">
        <v>17793</v>
      </c>
      <c r="BX54">
        <v>118.5502244992</v>
      </c>
      <c r="BY54">
        <v>116.5340302366</v>
      </c>
      <c r="CA54" t="s">
        <v>412</v>
      </c>
      <c r="CB54" t="s">
        <v>894</v>
      </c>
      <c r="CC54" t="s">
        <v>1023</v>
      </c>
      <c r="CD54">
        <v>1450</v>
      </c>
      <c r="CE54">
        <v>273</v>
      </c>
      <c r="CF54">
        <v>82.658620689700001</v>
      </c>
      <c r="CG54">
        <v>1841</v>
      </c>
      <c r="CH54">
        <v>450</v>
      </c>
      <c r="CI54">
        <v>116.7892449756</v>
      </c>
      <c r="CJ54">
        <v>117.6022222222</v>
      </c>
      <c r="CL54" t="s">
        <v>412</v>
      </c>
      <c r="CM54" t="s">
        <v>875</v>
      </c>
      <c r="CN54" t="s">
        <v>879</v>
      </c>
      <c r="CO54">
        <v>111</v>
      </c>
      <c r="CP54">
        <v>13</v>
      </c>
      <c r="CQ54">
        <v>73.819819819800003</v>
      </c>
      <c r="CR54">
        <v>256</v>
      </c>
      <c r="CS54">
        <v>59</v>
      </c>
      <c r="CT54">
        <v>55.83984375</v>
      </c>
      <c r="CU54">
        <v>58.881355932200002</v>
      </c>
      <c r="CW54" t="s">
        <v>412</v>
      </c>
      <c r="CX54" t="s">
        <v>885</v>
      </c>
      <c r="CY54" t="s">
        <v>889</v>
      </c>
      <c r="CZ54">
        <v>40</v>
      </c>
      <c r="DA54">
        <v>12</v>
      </c>
      <c r="DB54">
        <v>96.525000000000006</v>
      </c>
      <c r="DC54">
        <v>28</v>
      </c>
      <c r="DD54">
        <v>10</v>
      </c>
      <c r="DE54">
        <v>134.5</v>
      </c>
      <c r="DF54">
        <v>138.69999999999999</v>
      </c>
      <c r="DH54" t="s">
        <v>412</v>
      </c>
      <c r="DI54" t="s">
        <v>865</v>
      </c>
      <c r="DJ54" t="s">
        <v>869</v>
      </c>
      <c r="DK54">
        <v>50</v>
      </c>
      <c r="DL54">
        <v>10</v>
      </c>
      <c r="DM54">
        <v>77.12</v>
      </c>
      <c r="DN54">
        <v>45</v>
      </c>
      <c r="DO54">
        <v>14</v>
      </c>
      <c r="DP54">
        <v>122.8444444444</v>
      </c>
      <c r="DQ54">
        <v>134.5</v>
      </c>
    </row>
    <row r="55" spans="2:121" x14ac:dyDescent="0.2">
      <c r="F55" t="s">
        <v>56</v>
      </c>
      <c r="G55">
        <v>7522</v>
      </c>
      <c r="H55">
        <v>500.53017814409998</v>
      </c>
      <c r="I55">
        <v>3903</v>
      </c>
      <c r="J55">
        <v>968</v>
      </c>
      <c r="K55">
        <v>11634</v>
      </c>
      <c r="L55">
        <v>7950</v>
      </c>
      <c r="M55">
        <v>3414</v>
      </c>
      <c r="N55">
        <v>2907</v>
      </c>
      <c r="O55">
        <v>1060</v>
      </c>
      <c r="P55">
        <v>480</v>
      </c>
      <c r="Q55">
        <v>82</v>
      </c>
      <c r="R55">
        <v>264</v>
      </c>
      <c r="AH55" t="s">
        <v>425</v>
      </c>
      <c r="AI55">
        <v>444</v>
      </c>
      <c r="AJ55">
        <v>325.6081081081</v>
      </c>
      <c r="AK55">
        <v>892</v>
      </c>
      <c r="AL55">
        <v>119</v>
      </c>
      <c r="AM55">
        <v>787</v>
      </c>
      <c r="AN55">
        <v>431</v>
      </c>
      <c r="AO55">
        <v>163</v>
      </c>
      <c r="AP55">
        <v>85</v>
      </c>
      <c r="AQ55">
        <v>166</v>
      </c>
      <c r="AR55">
        <v>91</v>
      </c>
      <c r="AS55">
        <v>2</v>
      </c>
      <c r="AT55">
        <v>2</v>
      </c>
      <c r="AV55" t="s">
        <v>405</v>
      </c>
      <c r="AW55">
        <v>173</v>
      </c>
      <c r="AX55">
        <v>41.421965317900003</v>
      </c>
      <c r="AY55">
        <v>253</v>
      </c>
      <c r="AZ55">
        <v>9</v>
      </c>
      <c r="BA55">
        <v>231</v>
      </c>
      <c r="BB55">
        <v>5</v>
      </c>
      <c r="BC55">
        <v>1</v>
      </c>
      <c r="BD55">
        <v>1</v>
      </c>
      <c r="BE55">
        <v>8</v>
      </c>
      <c r="BF55">
        <v>2</v>
      </c>
      <c r="BG55">
        <v>620</v>
      </c>
      <c r="BH55">
        <v>22</v>
      </c>
      <c r="BJ55" t="s">
        <v>599</v>
      </c>
      <c r="BK55" t="s">
        <v>408</v>
      </c>
      <c r="BL55">
        <v>4404</v>
      </c>
      <c r="BM55">
        <v>1077</v>
      </c>
      <c r="BN55">
        <v>94.614441416899993</v>
      </c>
      <c r="BO55">
        <v>5271</v>
      </c>
      <c r="BP55">
        <v>1494</v>
      </c>
      <c r="BQ55">
        <v>137.46879150070001</v>
      </c>
      <c r="BR55">
        <v>135.6666666667</v>
      </c>
      <c r="BS55">
        <v>6161</v>
      </c>
      <c r="BT55">
        <v>1651</v>
      </c>
      <c r="BU55">
        <v>100.5413082292</v>
      </c>
      <c r="BV55">
        <v>7615</v>
      </c>
      <c r="BW55">
        <v>2069</v>
      </c>
      <c r="BX55">
        <v>144.756664478</v>
      </c>
      <c r="BY55">
        <v>136.20154664090001</v>
      </c>
      <c r="CA55" t="s">
        <v>417</v>
      </c>
      <c r="CB55" t="s">
        <v>894</v>
      </c>
      <c r="CC55" t="s">
        <v>1024</v>
      </c>
      <c r="CD55">
        <v>3388</v>
      </c>
      <c r="CE55">
        <v>799</v>
      </c>
      <c r="CF55">
        <v>94.386953955099997</v>
      </c>
      <c r="CG55">
        <v>3990</v>
      </c>
      <c r="CH55">
        <v>937</v>
      </c>
      <c r="CI55">
        <v>146.01954887220001</v>
      </c>
      <c r="CJ55">
        <v>136.22945570970001</v>
      </c>
      <c r="CL55" t="s">
        <v>417</v>
      </c>
      <c r="CM55" t="s">
        <v>875</v>
      </c>
      <c r="CN55" t="s">
        <v>880</v>
      </c>
      <c r="CO55">
        <v>218</v>
      </c>
      <c r="CP55">
        <v>22</v>
      </c>
      <c r="CQ55">
        <v>65.674311926599998</v>
      </c>
      <c r="CR55">
        <v>512</v>
      </c>
      <c r="CS55">
        <v>122</v>
      </c>
      <c r="CT55">
        <v>62.1015625</v>
      </c>
      <c r="CU55">
        <v>66.680327868899994</v>
      </c>
      <c r="CW55" t="s">
        <v>417</v>
      </c>
      <c r="CX55" t="s">
        <v>885</v>
      </c>
      <c r="CY55" t="s">
        <v>890</v>
      </c>
      <c r="CZ55">
        <v>110</v>
      </c>
      <c r="DA55">
        <v>18</v>
      </c>
      <c r="DB55">
        <v>84.072727272700007</v>
      </c>
      <c r="DC55">
        <v>76</v>
      </c>
      <c r="DD55">
        <v>24</v>
      </c>
      <c r="DE55">
        <v>147.72368421050001</v>
      </c>
      <c r="DF55">
        <v>150</v>
      </c>
      <c r="DH55" t="s">
        <v>417</v>
      </c>
      <c r="DI55" t="s">
        <v>865</v>
      </c>
      <c r="DJ55" t="s">
        <v>870</v>
      </c>
      <c r="DK55">
        <v>101</v>
      </c>
      <c r="DL55">
        <v>10</v>
      </c>
      <c r="DM55">
        <v>77.594059405899998</v>
      </c>
      <c r="DN55">
        <v>85</v>
      </c>
      <c r="DO55">
        <v>24</v>
      </c>
      <c r="DP55">
        <v>132.84705882349999</v>
      </c>
      <c r="DQ55">
        <v>132.75</v>
      </c>
    </row>
    <row r="56" spans="2:121" x14ac:dyDescent="0.2">
      <c r="F56" t="s">
        <v>65</v>
      </c>
      <c r="G56">
        <v>10681</v>
      </c>
      <c r="H56">
        <v>428.80919389569999</v>
      </c>
      <c r="I56">
        <v>11176</v>
      </c>
      <c r="J56">
        <v>2996</v>
      </c>
      <c r="K56">
        <v>13606</v>
      </c>
      <c r="L56">
        <v>10601</v>
      </c>
      <c r="M56">
        <v>3780</v>
      </c>
      <c r="N56">
        <v>3115</v>
      </c>
      <c r="O56">
        <v>2316</v>
      </c>
      <c r="P56">
        <v>1766</v>
      </c>
      <c r="Q56">
        <v>0</v>
      </c>
      <c r="R56">
        <v>31</v>
      </c>
      <c r="BJ56" t="s">
        <v>607</v>
      </c>
      <c r="BK56" t="s">
        <v>408</v>
      </c>
      <c r="BL56">
        <v>4538</v>
      </c>
      <c r="BM56">
        <v>1124</v>
      </c>
      <c r="BN56">
        <v>100.1141472014</v>
      </c>
      <c r="BO56">
        <v>4989</v>
      </c>
      <c r="BP56">
        <v>1236</v>
      </c>
      <c r="BQ56">
        <v>142.85047103630001</v>
      </c>
      <c r="BR56">
        <v>141.76941747570001</v>
      </c>
      <c r="BS56">
        <v>4682</v>
      </c>
      <c r="BT56">
        <v>1086</v>
      </c>
      <c r="BU56">
        <v>95.937847073900002</v>
      </c>
      <c r="BV56">
        <v>5129</v>
      </c>
      <c r="BW56">
        <v>1227</v>
      </c>
      <c r="BX56">
        <v>137.67751998439999</v>
      </c>
      <c r="BY56">
        <v>138.30643846780001</v>
      </c>
      <c r="CA56" t="s">
        <v>409</v>
      </c>
      <c r="CB56" t="s">
        <v>894</v>
      </c>
      <c r="CC56" t="s">
        <v>1025</v>
      </c>
      <c r="CD56">
        <v>2575</v>
      </c>
      <c r="CE56">
        <v>511</v>
      </c>
      <c r="CF56">
        <v>92.239223300999996</v>
      </c>
      <c r="CG56">
        <v>2896</v>
      </c>
      <c r="CH56">
        <v>729</v>
      </c>
      <c r="CI56">
        <v>147.9240331492</v>
      </c>
      <c r="CJ56">
        <v>143.81755829900001</v>
      </c>
      <c r="CL56" t="s">
        <v>409</v>
      </c>
      <c r="CM56" t="s">
        <v>875</v>
      </c>
      <c r="CN56" t="s">
        <v>881</v>
      </c>
      <c r="CO56">
        <v>185</v>
      </c>
      <c r="CP56">
        <v>12</v>
      </c>
      <c r="CQ56">
        <v>55.664864864899997</v>
      </c>
      <c r="CR56">
        <v>382</v>
      </c>
      <c r="CS56">
        <v>89</v>
      </c>
      <c r="CT56">
        <v>57.596858638699999</v>
      </c>
      <c r="CU56">
        <v>51.4494382022</v>
      </c>
      <c r="CW56" t="s">
        <v>409</v>
      </c>
      <c r="CX56" t="s">
        <v>885</v>
      </c>
      <c r="CY56" t="s">
        <v>891</v>
      </c>
      <c r="CZ56">
        <v>65</v>
      </c>
      <c r="DA56">
        <v>12</v>
      </c>
      <c r="DB56">
        <v>82.430769230799996</v>
      </c>
      <c r="DC56">
        <v>44</v>
      </c>
      <c r="DD56">
        <v>10</v>
      </c>
      <c r="DE56">
        <v>173.0909090909</v>
      </c>
      <c r="DF56">
        <v>180</v>
      </c>
      <c r="DH56" t="s">
        <v>409</v>
      </c>
      <c r="DI56" t="s">
        <v>865</v>
      </c>
      <c r="DJ56" t="s">
        <v>871</v>
      </c>
      <c r="DK56">
        <v>78</v>
      </c>
      <c r="DL56">
        <v>14</v>
      </c>
      <c r="DM56">
        <v>86.435897435900003</v>
      </c>
      <c r="DN56">
        <v>43</v>
      </c>
      <c r="DO56">
        <v>9</v>
      </c>
      <c r="DP56">
        <v>155.06976744190001</v>
      </c>
      <c r="DQ56">
        <v>201.6666666667</v>
      </c>
    </row>
    <row r="57" spans="2:121" x14ac:dyDescent="0.2">
      <c r="F57" t="s">
        <v>67</v>
      </c>
      <c r="G57">
        <v>4250</v>
      </c>
      <c r="H57">
        <v>250.0371764706</v>
      </c>
      <c r="I57">
        <v>4112</v>
      </c>
      <c r="J57">
        <v>1056</v>
      </c>
      <c r="K57">
        <v>5146</v>
      </c>
      <c r="L57">
        <v>3015</v>
      </c>
      <c r="M57">
        <v>1084</v>
      </c>
      <c r="N57">
        <v>305</v>
      </c>
      <c r="O57">
        <v>2692</v>
      </c>
      <c r="P57">
        <v>2039</v>
      </c>
      <c r="Q57">
        <v>1</v>
      </c>
      <c r="R57">
        <v>69</v>
      </c>
      <c r="BJ57" t="s">
        <v>615</v>
      </c>
      <c r="BK57" t="s">
        <v>408</v>
      </c>
      <c r="BL57">
        <v>3232</v>
      </c>
      <c r="BM57">
        <v>761</v>
      </c>
      <c r="BN57">
        <v>95.956064356400006</v>
      </c>
      <c r="BO57">
        <v>3663</v>
      </c>
      <c r="BP57">
        <v>852</v>
      </c>
      <c r="BQ57">
        <v>149.27327327329999</v>
      </c>
      <c r="BR57">
        <v>138.65375586850001</v>
      </c>
      <c r="BS57">
        <v>2753</v>
      </c>
      <c r="BT57">
        <v>480</v>
      </c>
      <c r="BU57">
        <v>85.393389030099996</v>
      </c>
      <c r="BV57">
        <v>2839</v>
      </c>
      <c r="BW57">
        <v>706</v>
      </c>
      <c r="BX57">
        <v>127.48749559700001</v>
      </c>
      <c r="BY57">
        <v>127.1912181303</v>
      </c>
      <c r="CA57" t="s">
        <v>413</v>
      </c>
      <c r="CB57" t="s">
        <v>894</v>
      </c>
      <c r="CC57" t="s">
        <v>1026</v>
      </c>
      <c r="CD57">
        <v>4586</v>
      </c>
      <c r="CE57">
        <v>1129</v>
      </c>
      <c r="CF57">
        <v>99.478848669900003</v>
      </c>
      <c r="CG57">
        <v>5107</v>
      </c>
      <c r="CH57">
        <v>1291</v>
      </c>
      <c r="CI57">
        <v>141.8787938124</v>
      </c>
      <c r="CJ57">
        <v>141.8450813323</v>
      </c>
      <c r="CL57" t="s">
        <v>413</v>
      </c>
      <c r="CM57" t="s">
        <v>875</v>
      </c>
      <c r="CN57" t="s">
        <v>882</v>
      </c>
      <c r="CO57">
        <v>291</v>
      </c>
      <c r="CP57">
        <v>28</v>
      </c>
      <c r="CQ57">
        <v>66.800687285199999</v>
      </c>
      <c r="CR57">
        <v>760</v>
      </c>
      <c r="CS57">
        <v>161</v>
      </c>
      <c r="CT57">
        <v>67.815789473699994</v>
      </c>
      <c r="CU57">
        <v>66.714285714300004</v>
      </c>
      <c r="CW57" t="s">
        <v>413</v>
      </c>
      <c r="CX57" t="s">
        <v>885</v>
      </c>
      <c r="CY57" t="s">
        <v>892</v>
      </c>
      <c r="CZ57">
        <v>106</v>
      </c>
      <c r="DA57">
        <v>31</v>
      </c>
      <c r="DB57">
        <v>102.66981132079999</v>
      </c>
      <c r="DC57">
        <v>73</v>
      </c>
      <c r="DD57">
        <v>17</v>
      </c>
      <c r="DE57">
        <v>135.4109589041</v>
      </c>
      <c r="DF57">
        <v>173.76470588239999</v>
      </c>
      <c r="DH57" t="s">
        <v>413</v>
      </c>
      <c r="DI57" t="s">
        <v>865</v>
      </c>
      <c r="DJ57" t="s">
        <v>872</v>
      </c>
      <c r="DK57">
        <v>46</v>
      </c>
      <c r="DL57">
        <v>7</v>
      </c>
      <c r="DM57">
        <v>89.413043478299997</v>
      </c>
      <c r="DN57">
        <v>38</v>
      </c>
      <c r="DO57">
        <v>12</v>
      </c>
      <c r="DP57">
        <v>126.2368421053</v>
      </c>
      <c r="DQ57">
        <v>123.8333333333</v>
      </c>
    </row>
    <row r="58" spans="2:121" x14ac:dyDescent="0.2">
      <c r="F58" t="s">
        <v>57</v>
      </c>
      <c r="G58">
        <v>1424</v>
      </c>
      <c r="H58">
        <v>378.1109550562</v>
      </c>
      <c r="I58">
        <v>1016</v>
      </c>
      <c r="J58">
        <v>243</v>
      </c>
      <c r="K58">
        <v>1922</v>
      </c>
      <c r="L58">
        <v>1272</v>
      </c>
      <c r="M58">
        <v>372</v>
      </c>
      <c r="N58">
        <v>366</v>
      </c>
      <c r="O58">
        <v>92</v>
      </c>
      <c r="P58">
        <v>49</v>
      </c>
      <c r="Q58">
        <v>0</v>
      </c>
      <c r="R58">
        <v>1</v>
      </c>
      <c r="BJ58" t="s">
        <v>628</v>
      </c>
      <c r="BK58" t="s">
        <v>408</v>
      </c>
      <c r="BL58">
        <v>9681</v>
      </c>
      <c r="BM58">
        <v>1714</v>
      </c>
      <c r="BN58">
        <v>86.321867575699997</v>
      </c>
      <c r="BO58">
        <v>10806</v>
      </c>
      <c r="BP58">
        <v>3047</v>
      </c>
      <c r="BQ58">
        <v>133.0783823802</v>
      </c>
      <c r="BR58">
        <v>128.5707253036</v>
      </c>
      <c r="BS58">
        <v>9472</v>
      </c>
      <c r="BT58">
        <v>1784</v>
      </c>
      <c r="BU58">
        <v>89.203019425700006</v>
      </c>
      <c r="BV58">
        <v>11203</v>
      </c>
      <c r="BW58">
        <v>3010</v>
      </c>
      <c r="BX58">
        <v>141.67008836919999</v>
      </c>
      <c r="BY58">
        <v>132.00863787380001</v>
      </c>
      <c r="CA58" t="s">
        <v>83</v>
      </c>
      <c r="CB58" t="s">
        <v>894</v>
      </c>
      <c r="CC58" t="s">
        <v>1027</v>
      </c>
      <c r="CD58">
        <v>5462</v>
      </c>
      <c r="CE58">
        <v>1006</v>
      </c>
      <c r="CF58">
        <v>86.647564994500001</v>
      </c>
      <c r="CG58">
        <v>8639</v>
      </c>
      <c r="CH58">
        <v>2026</v>
      </c>
      <c r="CI58">
        <v>114.4802639194</v>
      </c>
      <c r="CJ58">
        <v>110.4230009872</v>
      </c>
      <c r="CL58" t="s">
        <v>83</v>
      </c>
      <c r="CM58" t="s">
        <v>875</v>
      </c>
      <c r="CN58" t="s">
        <v>883</v>
      </c>
      <c r="CO58">
        <v>509</v>
      </c>
      <c r="CP58">
        <v>45</v>
      </c>
      <c r="CQ58">
        <v>66.8172888016</v>
      </c>
      <c r="CR58">
        <v>1120</v>
      </c>
      <c r="CS58">
        <v>236</v>
      </c>
      <c r="CT58">
        <v>67.428571428599994</v>
      </c>
      <c r="CU58">
        <v>70.580508474599995</v>
      </c>
      <c r="CW58" t="s">
        <v>83</v>
      </c>
      <c r="CX58" t="s">
        <v>885</v>
      </c>
      <c r="CY58" t="s">
        <v>893</v>
      </c>
      <c r="CZ58">
        <v>329</v>
      </c>
      <c r="DA58">
        <v>55</v>
      </c>
      <c r="DB58">
        <v>84.969604863200004</v>
      </c>
      <c r="DC58">
        <v>206</v>
      </c>
      <c r="DD58">
        <v>65</v>
      </c>
      <c r="DE58">
        <v>134.40776699029999</v>
      </c>
      <c r="DF58">
        <v>143.76923076919999</v>
      </c>
      <c r="DH58" t="s">
        <v>83</v>
      </c>
      <c r="DI58" t="s">
        <v>865</v>
      </c>
      <c r="DJ58" t="s">
        <v>873</v>
      </c>
      <c r="DK58">
        <v>463</v>
      </c>
      <c r="DL58">
        <v>52</v>
      </c>
      <c r="DM58">
        <v>85.615550755900003</v>
      </c>
      <c r="DN58">
        <v>405</v>
      </c>
      <c r="DO58">
        <v>115</v>
      </c>
      <c r="DP58">
        <v>127.1308641975</v>
      </c>
      <c r="DQ58">
        <v>143.37391304350001</v>
      </c>
    </row>
    <row r="59" spans="2:121" x14ac:dyDescent="0.2">
      <c r="F59" t="s">
        <v>49</v>
      </c>
      <c r="G59">
        <v>12974</v>
      </c>
      <c r="H59">
        <v>351.4855865577</v>
      </c>
      <c r="I59">
        <v>15236</v>
      </c>
      <c r="J59">
        <v>3775</v>
      </c>
      <c r="K59">
        <v>17027</v>
      </c>
      <c r="L59">
        <v>11718</v>
      </c>
      <c r="M59">
        <v>3184</v>
      </c>
      <c r="N59">
        <v>1873</v>
      </c>
      <c r="O59">
        <v>3371</v>
      </c>
      <c r="P59">
        <v>2492</v>
      </c>
      <c r="Q59">
        <v>1</v>
      </c>
      <c r="R59">
        <v>225</v>
      </c>
      <c r="BJ59" t="s">
        <v>601</v>
      </c>
      <c r="BK59" t="s">
        <v>408</v>
      </c>
      <c r="BL59">
        <v>7511</v>
      </c>
      <c r="BM59">
        <v>1073</v>
      </c>
      <c r="BN59">
        <v>72.445213686599999</v>
      </c>
      <c r="BO59">
        <v>19032</v>
      </c>
      <c r="BP59">
        <v>4634</v>
      </c>
      <c r="BQ59">
        <v>69.5387242539</v>
      </c>
      <c r="BR59">
        <v>69.563659904999994</v>
      </c>
      <c r="BS59">
        <v>8100</v>
      </c>
      <c r="BT59">
        <v>1103</v>
      </c>
      <c r="BU59">
        <v>73.028765432100002</v>
      </c>
      <c r="BV59">
        <v>19694</v>
      </c>
      <c r="BW59">
        <v>4882</v>
      </c>
      <c r="BX59">
        <v>69.748603635600006</v>
      </c>
      <c r="BY59">
        <v>70.352929127400003</v>
      </c>
      <c r="CA59" t="s">
        <v>408</v>
      </c>
      <c r="CB59" t="s">
        <v>894</v>
      </c>
      <c r="CD59">
        <v>54934</v>
      </c>
      <c r="CE59">
        <v>12184</v>
      </c>
      <c r="CF59">
        <v>91.698802198999999</v>
      </c>
      <c r="CG59">
        <v>62906</v>
      </c>
      <c r="CH59">
        <v>15848</v>
      </c>
      <c r="CI59">
        <v>134.1815884017</v>
      </c>
      <c r="CJ59">
        <v>130.2012241292</v>
      </c>
      <c r="CL59" t="s">
        <v>408</v>
      </c>
      <c r="CM59" t="s">
        <v>875</v>
      </c>
      <c r="CO59">
        <v>3707</v>
      </c>
      <c r="CP59">
        <v>333</v>
      </c>
      <c r="CQ59">
        <v>64.139735635299999</v>
      </c>
      <c r="CR59">
        <v>9198</v>
      </c>
      <c r="CS59">
        <v>2054</v>
      </c>
      <c r="CT59">
        <v>64.540552293999994</v>
      </c>
      <c r="CU59">
        <v>66.559883154800005</v>
      </c>
      <c r="CW59" t="s">
        <v>408</v>
      </c>
      <c r="CX59" t="s">
        <v>885</v>
      </c>
      <c r="CZ59">
        <v>2343</v>
      </c>
      <c r="DA59">
        <v>442</v>
      </c>
      <c r="DB59">
        <v>87.749893299199996</v>
      </c>
      <c r="DC59">
        <v>1613</v>
      </c>
      <c r="DD59">
        <v>408</v>
      </c>
      <c r="DE59">
        <v>137.89708617479999</v>
      </c>
      <c r="DF59">
        <v>150.9779411765</v>
      </c>
      <c r="DH59" t="s">
        <v>408</v>
      </c>
      <c r="DI59" t="s">
        <v>865</v>
      </c>
      <c r="DK59">
        <v>1715</v>
      </c>
      <c r="DL59">
        <v>234</v>
      </c>
      <c r="DM59">
        <v>83.133527696800002</v>
      </c>
      <c r="DN59">
        <v>1510</v>
      </c>
      <c r="DO59">
        <v>425</v>
      </c>
      <c r="DP59">
        <v>128.80794701990001</v>
      </c>
      <c r="DQ59">
        <v>142.6941176471</v>
      </c>
    </row>
    <row r="60" spans="2:121" x14ac:dyDescent="0.2">
      <c r="F60" t="s">
        <v>138</v>
      </c>
      <c r="G60">
        <v>422</v>
      </c>
      <c r="H60">
        <v>348.71327014219997</v>
      </c>
      <c r="I60">
        <v>517</v>
      </c>
      <c r="J60">
        <v>120</v>
      </c>
      <c r="K60">
        <v>627</v>
      </c>
      <c r="L60">
        <v>408</v>
      </c>
      <c r="M60">
        <v>111</v>
      </c>
      <c r="N60">
        <v>68</v>
      </c>
      <c r="O60">
        <v>124</v>
      </c>
      <c r="P60">
        <v>71</v>
      </c>
      <c r="Q60">
        <v>0</v>
      </c>
      <c r="R60">
        <v>1</v>
      </c>
      <c r="BJ60" t="s">
        <v>543</v>
      </c>
      <c r="BK60" t="s">
        <v>384</v>
      </c>
      <c r="BL60">
        <v>15915</v>
      </c>
      <c r="BM60">
        <v>4043</v>
      </c>
      <c r="BN60">
        <v>98.150047125399993</v>
      </c>
      <c r="BO60">
        <v>15572</v>
      </c>
      <c r="BP60">
        <v>4033</v>
      </c>
      <c r="BQ60">
        <v>153.2925764192</v>
      </c>
      <c r="BR60">
        <v>153.89486734440001</v>
      </c>
      <c r="BS60">
        <v>14107</v>
      </c>
      <c r="BT60">
        <v>2612</v>
      </c>
      <c r="BU60">
        <v>86.915573828600003</v>
      </c>
      <c r="BV60">
        <v>11974</v>
      </c>
      <c r="BW60">
        <v>3410</v>
      </c>
      <c r="BX60">
        <v>147.280023384</v>
      </c>
      <c r="BY60">
        <v>143.051026393</v>
      </c>
      <c r="CA60" t="s">
        <v>392</v>
      </c>
      <c r="CB60" t="s">
        <v>919</v>
      </c>
      <c r="CC60" t="s">
        <v>1028</v>
      </c>
      <c r="CD60">
        <v>6806</v>
      </c>
      <c r="CE60">
        <v>1486</v>
      </c>
      <c r="CF60">
        <v>89.407287687299998</v>
      </c>
      <c r="CG60">
        <v>8366</v>
      </c>
      <c r="CH60">
        <v>2018</v>
      </c>
      <c r="CI60">
        <v>136.88309825479999</v>
      </c>
      <c r="CJ60">
        <v>131.0763131814</v>
      </c>
      <c r="CL60" t="s">
        <v>392</v>
      </c>
      <c r="CM60" t="s">
        <v>904</v>
      </c>
      <c r="CN60" t="s">
        <v>903</v>
      </c>
      <c r="CO60">
        <v>705</v>
      </c>
      <c r="CP60">
        <v>84</v>
      </c>
      <c r="CQ60">
        <v>69.879432624100005</v>
      </c>
      <c r="CR60">
        <v>1562</v>
      </c>
      <c r="CS60">
        <v>446</v>
      </c>
      <c r="CT60">
        <v>65.491677336699993</v>
      </c>
      <c r="CU60">
        <v>71.526905829599997</v>
      </c>
      <c r="CW60" t="s">
        <v>392</v>
      </c>
      <c r="CX60" t="s">
        <v>912</v>
      </c>
      <c r="CY60" t="s">
        <v>911</v>
      </c>
      <c r="CZ60">
        <v>213</v>
      </c>
      <c r="DA60">
        <v>62</v>
      </c>
      <c r="DB60">
        <v>102.21596244129999</v>
      </c>
      <c r="DC60">
        <v>93</v>
      </c>
      <c r="DD60">
        <v>32</v>
      </c>
      <c r="DE60">
        <v>149.935483871</v>
      </c>
      <c r="DF60">
        <v>152.53125</v>
      </c>
      <c r="DH60" t="s">
        <v>392</v>
      </c>
      <c r="DI60" t="s">
        <v>896</v>
      </c>
      <c r="DJ60" t="s">
        <v>895</v>
      </c>
      <c r="DK60">
        <v>186</v>
      </c>
      <c r="DL60">
        <v>44</v>
      </c>
      <c r="DM60">
        <v>99.059139784899997</v>
      </c>
      <c r="DN60">
        <v>144</v>
      </c>
      <c r="DO60">
        <v>40</v>
      </c>
      <c r="DP60">
        <v>151.0208333333</v>
      </c>
      <c r="DQ60">
        <v>153.80000000000001</v>
      </c>
    </row>
    <row r="61" spans="2:121" x14ac:dyDescent="0.2">
      <c r="F61" t="s">
        <v>59</v>
      </c>
      <c r="G61">
        <v>4509</v>
      </c>
      <c r="H61">
        <v>197.63251275229999</v>
      </c>
      <c r="I61">
        <v>6183</v>
      </c>
      <c r="J61">
        <v>1198</v>
      </c>
      <c r="K61">
        <v>5724</v>
      </c>
      <c r="L61">
        <v>2783</v>
      </c>
      <c r="M61">
        <v>595</v>
      </c>
      <c r="N61">
        <v>397</v>
      </c>
      <c r="O61">
        <v>584</v>
      </c>
      <c r="P61">
        <v>290</v>
      </c>
      <c r="Q61">
        <v>6001</v>
      </c>
      <c r="R61">
        <v>0</v>
      </c>
      <c r="BJ61" t="s">
        <v>551</v>
      </c>
      <c r="BK61" t="s">
        <v>384</v>
      </c>
      <c r="BL61">
        <v>8333</v>
      </c>
      <c r="BM61">
        <v>2378</v>
      </c>
      <c r="BN61">
        <v>104.2695307812</v>
      </c>
      <c r="BO61">
        <v>8574</v>
      </c>
      <c r="BP61">
        <v>1986</v>
      </c>
      <c r="BQ61">
        <v>137.79811056680001</v>
      </c>
      <c r="BR61">
        <v>139.52567975829999</v>
      </c>
      <c r="BS61">
        <v>8294</v>
      </c>
      <c r="BT61">
        <v>2362</v>
      </c>
      <c r="BU61">
        <v>103.4475524476</v>
      </c>
      <c r="BV61">
        <v>8691</v>
      </c>
      <c r="BW61">
        <v>2038</v>
      </c>
      <c r="BX61">
        <v>138.06052237949999</v>
      </c>
      <c r="BY61">
        <v>141.01521099120001</v>
      </c>
      <c r="CA61" t="s">
        <v>429</v>
      </c>
      <c r="CB61" t="s">
        <v>919</v>
      </c>
      <c r="CC61" t="s">
        <v>1029</v>
      </c>
      <c r="CD61">
        <v>20903</v>
      </c>
      <c r="CE61">
        <v>5274</v>
      </c>
      <c r="CF61">
        <v>99.903698033799998</v>
      </c>
      <c r="CG61">
        <v>25440</v>
      </c>
      <c r="CH61">
        <v>6613</v>
      </c>
      <c r="CI61">
        <v>144.667177673</v>
      </c>
      <c r="CJ61">
        <v>140.18508997430001</v>
      </c>
      <c r="CL61" t="s">
        <v>429</v>
      </c>
      <c r="CM61" t="s">
        <v>904</v>
      </c>
      <c r="CN61" t="s">
        <v>905</v>
      </c>
      <c r="CO61">
        <v>2604</v>
      </c>
      <c r="CP61">
        <v>257</v>
      </c>
      <c r="CQ61">
        <v>69.809139784899997</v>
      </c>
      <c r="CR61">
        <v>3302</v>
      </c>
      <c r="CS61">
        <v>787</v>
      </c>
      <c r="CT61">
        <v>84.688673531199996</v>
      </c>
      <c r="CU61">
        <v>97.780177890700003</v>
      </c>
      <c r="CW61" t="s">
        <v>429</v>
      </c>
      <c r="CX61" t="s">
        <v>912</v>
      </c>
      <c r="CY61" t="s">
        <v>913</v>
      </c>
      <c r="CZ61">
        <v>850</v>
      </c>
      <c r="DA61">
        <v>208</v>
      </c>
      <c r="DB61">
        <v>97.065882352900005</v>
      </c>
      <c r="DC61">
        <v>492</v>
      </c>
      <c r="DD61">
        <v>137</v>
      </c>
      <c r="DE61">
        <v>155.2784552846</v>
      </c>
      <c r="DF61">
        <v>167.1313868613</v>
      </c>
      <c r="DH61" t="s">
        <v>429</v>
      </c>
      <c r="DI61" t="s">
        <v>896</v>
      </c>
      <c r="DJ61" t="s">
        <v>897</v>
      </c>
      <c r="DK61">
        <v>1015</v>
      </c>
      <c r="DL61">
        <v>265</v>
      </c>
      <c r="DM61">
        <v>99.319211822699998</v>
      </c>
      <c r="DN61">
        <v>704</v>
      </c>
      <c r="DO61">
        <v>158</v>
      </c>
      <c r="DP61">
        <v>143.96732954550001</v>
      </c>
      <c r="DQ61">
        <v>161.84177215189999</v>
      </c>
    </row>
    <row r="62" spans="2:121" x14ac:dyDescent="0.2">
      <c r="BJ62" t="s">
        <v>567</v>
      </c>
      <c r="BK62" t="s">
        <v>384</v>
      </c>
      <c r="BL62">
        <v>3980</v>
      </c>
      <c r="BM62">
        <v>836</v>
      </c>
      <c r="BN62">
        <v>101.5793969849</v>
      </c>
      <c r="BO62">
        <v>5578</v>
      </c>
      <c r="BP62">
        <v>1303</v>
      </c>
      <c r="BQ62">
        <v>148.09842237359999</v>
      </c>
      <c r="BR62">
        <v>156.53568687640001</v>
      </c>
      <c r="BS62">
        <v>6234</v>
      </c>
      <c r="BT62">
        <v>2445</v>
      </c>
      <c r="BU62">
        <v>145.24831568819999</v>
      </c>
      <c r="BV62">
        <v>7024</v>
      </c>
      <c r="BW62">
        <v>1744</v>
      </c>
      <c r="BX62">
        <v>172.54313781319999</v>
      </c>
      <c r="BY62">
        <v>196.16800458719999</v>
      </c>
      <c r="CA62" t="s">
        <v>385</v>
      </c>
      <c r="CB62" t="s">
        <v>919</v>
      </c>
      <c r="CC62" t="s">
        <v>1030</v>
      </c>
      <c r="CD62">
        <v>17109</v>
      </c>
      <c r="CE62">
        <v>4141</v>
      </c>
      <c r="CF62">
        <v>95.483195978699996</v>
      </c>
      <c r="CG62">
        <v>17206</v>
      </c>
      <c r="CH62">
        <v>4516</v>
      </c>
      <c r="CI62">
        <v>143.9492037661</v>
      </c>
      <c r="CJ62">
        <v>144.5059787422</v>
      </c>
      <c r="CL62" t="s">
        <v>385</v>
      </c>
      <c r="CM62" t="s">
        <v>904</v>
      </c>
      <c r="CN62" t="s">
        <v>906</v>
      </c>
      <c r="CO62">
        <v>1316</v>
      </c>
      <c r="CP62">
        <v>139</v>
      </c>
      <c r="CQ62">
        <v>71.139057750800006</v>
      </c>
      <c r="CR62">
        <v>1680</v>
      </c>
      <c r="CS62">
        <v>394</v>
      </c>
      <c r="CT62">
        <v>88.294642857100001</v>
      </c>
      <c r="CU62">
        <v>94.233502538099998</v>
      </c>
      <c r="CW62" t="s">
        <v>385</v>
      </c>
      <c r="CX62" t="s">
        <v>912</v>
      </c>
      <c r="CY62" t="s">
        <v>914</v>
      </c>
      <c r="CZ62">
        <v>472</v>
      </c>
      <c r="DA62">
        <v>116</v>
      </c>
      <c r="DB62">
        <v>98.635593220299995</v>
      </c>
      <c r="DC62">
        <v>293</v>
      </c>
      <c r="DD62">
        <v>77</v>
      </c>
      <c r="DE62">
        <v>157.83959044369999</v>
      </c>
      <c r="DF62">
        <v>167.24675324680001</v>
      </c>
      <c r="DH62" t="s">
        <v>385</v>
      </c>
      <c r="DI62" t="s">
        <v>896</v>
      </c>
      <c r="DJ62" t="s">
        <v>898</v>
      </c>
      <c r="DK62">
        <v>515</v>
      </c>
      <c r="DL62">
        <v>126</v>
      </c>
      <c r="DM62">
        <v>97.751456310699993</v>
      </c>
      <c r="DN62">
        <v>372</v>
      </c>
      <c r="DO62">
        <v>92</v>
      </c>
      <c r="DP62">
        <v>147.92741935480001</v>
      </c>
      <c r="DQ62">
        <v>157.09782608699999</v>
      </c>
    </row>
    <row r="63" spans="2:121" x14ac:dyDescent="0.2">
      <c r="BJ63" t="s">
        <v>557</v>
      </c>
      <c r="BK63" t="s">
        <v>384</v>
      </c>
      <c r="BL63">
        <v>6975</v>
      </c>
      <c r="BM63">
        <v>1422</v>
      </c>
      <c r="BN63">
        <v>85.453333333299994</v>
      </c>
      <c r="BO63">
        <v>7954</v>
      </c>
      <c r="BP63">
        <v>1899</v>
      </c>
      <c r="BQ63">
        <v>139.93248679909999</v>
      </c>
      <c r="BR63">
        <v>133.0989994734</v>
      </c>
      <c r="BS63">
        <v>6709</v>
      </c>
      <c r="BT63">
        <v>1174</v>
      </c>
      <c r="BU63">
        <v>80.012073334299998</v>
      </c>
      <c r="BV63">
        <v>7266</v>
      </c>
      <c r="BW63">
        <v>1778</v>
      </c>
      <c r="BX63">
        <v>138.61835948250001</v>
      </c>
      <c r="BY63">
        <v>127.99156355460001</v>
      </c>
      <c r="CA63" t="s">
        <v>397</v>
      </c>
      <c r="CB63" t="s">
        <v>919</v>
      </c>
      <c r="CC63" t="s">
        <v>1031</v>
      </c>
      <c r="CD63">
        <v>3730</v>
      </c>
      <c r="CE63">
        <v>661</v>
      </c>
      <c r="CF63">
        <v>91.457908847200002</v>
      </c>
      <c r="CG63">
        <v>5543</v>
      </c>
      <c r="CH63">
        <v>1285</v>
      </c>
      <c r="CI63">
        <v>129.5809128631</v>
      </c>
      <c r="CJ63">
        <v>127.5315175097</v>
      </c>
      <c r="CL63" t="s">
        <v>397</v>
      </c>
      <c r="CM63" t="s">
        <v>904</v>
      </c>
      <c r="CN63" t="s">
        <v>907</v>
      </c>
      <c r="CO63">
        <v>370</v>
      </c>
      <c r="CP63">
        <v>60</v>
      </c>
      <c r="CQ63">
        <v>72.640540540499998</v>
      </c>
      <c r="CR63">
        <v>792</v>
      </c>
      <c r="CS63">
        <v>208</v>
      </c>
      <c r="CT63">
        <v>74.277777777799997</v>
      </c>
      <c r="CU63">
        <v>78.533653846199996</v>
      </c>
      <c r="CW63" t="s">
        <v>397</v>
      </c>
      <c r="CX63" t="s">
        <v>912</v>
      </c>
      <c r="CY63" t="s">
        <v>915</v>
      </c>
      <c r="CZ63">
        <v>111</v>
      </c>
      <c r="DA63">
        <v>25</v>
      </c>
      <c r="DB63">
        <v>98.747747747700004</v>
      </c>
      <c r="DC63">
        <v>62</v>
      </c>
      <c r="DD63">
        <v>14</v>
      </c>
      <c r="DE63">
        <v>147.9838709677</v>
      </c>
      <c r="DF63">
        <v>172.71428571429999</v>
      </c>
      <c r="DH63" t="s">
        <v>397</v>
      </c>
      <c r="DI63" t="s">
        <v>896</v>
      </c>
      <c r="DJ63" t="s">
        <v>899</v>
      </c>
      <c r="DK63">
        <v>184</v>
      </c>
      <c r="DL63">
        <v>37</v>
      </c>
      <c r="DM63">
        <v>95.375</v>
      </c>
      <c r="DN63">
        <v>92</v>
      </c>
      <c r="DO63">
        <v>20</v>
      </c>
      <c r="DP63">
        <v>139.01086956520001</v>
      </c>
      <c r="DQ63">
        <v>147.19999999999999</v>
      </c>
    </row>
    <row r="64" spans="2:121" x14ac:dyDescent="0.2">
      <c r="BJ64" t="s">
        <v>553</v>
      </c>
      <c r="BK64" t="s">
        <v>384</v>
      </c>
      <c r="BL64">
        <v>9893</v>
      </c>
      <c r="BM64">
        <v>2145</v>
      </c>
      <c r="BN64">
        <v>95.455170322499995</v>
      </c>
      <c r="BO64">
        <v>9715</v>
      </c>
      <c r="BP64">
        <v>2506</v>
      </c>
      <c r="BQ64">
        <v>133.49408131760001</v>
      </c>
      <c r="BR64">
        <v>133.66879489230001</v>
      </c>
      <c r="BS64">
        <v>9828</v>
      </c>
      <c r="BT64">
        <v>2209</v>
      </c>
      <c r="BU64">
        <v>96.849104599100002</v>
      </c>
      <c r="BV64">
        <v>10400</v>
      </c>
      <c r="BW64">
        <v>2594</v>
      </c>
      <c r="BX64">
        <v>140.44836538460001</v>
      </c>
      <c r="BY64">
        <v>137.81148804930001</v>
      </c>
      <c r="CA64" t="s">
        <v>431</v>
      </c>
      <c r="CB64" t="s">
        <v>919</v>
      </c>
      <c r="CC64" t="s">
        <v>1032</v>
      </c>
      <c r="CD64">
        <v>3139</v>
      </c>
      <c r="CE64">
        <v>831</v>
      </c>
      <c r="CF64">
        <v>106.227142402</v>
      </c>
      <c r="CG64">
        <v>2692</v>
      </c>
      <c r="CH64">
        <v>782</v>
      </c>
      <c r="CI64">
        <v>163.3424962853</v>
      </c>
      <c r="CJ64">
        <v>163.44245524300001</v>
      </c>
      <c r="CL64" t="s">
        <v>431</v>
      </c>
      <c r="CM64" t="s">
        <v>904</v>
      </c>
      <c r="CN64" t="s">
        <v>908</v>
      </c>
      <c r="CO64">
        <v>502</v>
      </c>
      <c r="CP64">
        <v>60</v>
      </c>
      <c r="CQ64">
        <v>77.743027888399993</v>
      </c>
      <c r="CR64">
        <v>583</v>
      </c>
      <c r="CS64">
        <v>128</v>
      </c>
      <c r="CT64">
        <v>95.598627787300003</v>
      </c>
      <c r="CU64">
        <v>115.8359375</v>
      </c>
      <c r="CW64" t="s">
        <v>431</v>
      </c>
      <c r="CX64" t="s">
        <v>912</v>
      </c>
      <c r="CY64" t="s">
        <v>916</v>
      </c>
      <c r="CZ64">
        <v>13</v>
      </c>
      <c r="DA64">
        <v>1</v>
      </c>
      <c r="DB64">
        <v>66.615384615400004</v>
      </c>
      <c r="DC64">
        <v>4</v>
      </c>
      <c r="DD64">
        <v>1</v>
      </c>
      <c r="DE64">
        <v>144.5</v>
      </c>
      <c r="DF64">
        <v>134</v>
      </c>
      <c r="DH64" t="s">
        <v>431</v>
      </c>
      <c r="DI64" t="s">
        <v>896</v>
      </c>
      <c r="DJ64" t="s">
        <v>900</v>
      </c>
      <c r="DK64">
        <v>12</v>
      </c>
      <c r="DL64">
        <v>3</v>
      </c>
      <c r="DM64">
        <v>99</v>
      </c>
      <c r="DN64">
        <v>16</v>
      </c>
      <c r="DO64">
        <v>8</v>
      </c>
      <c r="DP64">
        <v>118.5625</v>
      </c>
      <c r="DQ64">
        <v>149.75</v>
      </c>
    </row>
    <row r="65" spans="62:121" x14ac:dyDescent="0.2">
      <c r="BJ65" t="s">
        <v>617</v>
      </c>
      <c r="BK65" t="s">
        <v>384</v>
      </c>
      <c r="BL65">
        <v>3183</v>
      </c>
      <c r="BM65">
        <v>852</v>
      </c>
      <c r="BN65">
        <v>106.6270813698</v>
      </c>
      <c r="BO65">
        <v>2641</v>
      </c>
      <c r="BP65">
        <v>787</v>
      </c>
      <c r="BQ65">
        <v>166.96667928810001</v>
      </c>
      <c r="BR65">
        <v>168.20711562899999</v>
      </c>
      <c r="BS65">
        <v>3101</v>
      </c>
      <c r="BT65">
        <v>778</v>
      </c>
      <c r="BU65">
        <v>107.7997420187</v>
      </c>
      <c r="BV65">
        <v>2647</v>
      </c>
      <c r="BW65">
        <v>728</v>
      </c>
      <c r="BX65">
        <v>182.95919909329999</v>
      </c>
      <c r="BY65">
        <v>175.49587912090001</v>
      </c>
      <c r="CA65" t="s">
        <v>387</v>
      </c>
      <c r="CB65" t="s">
        <v>919</v>
      </c>
      <c r="CC65" t="s">
        <v>1033</v>
      </c>
      <c r="CD65">
        <v>8592</v>
      </c>
      <c r="CE65">
        <v>2497</v>
      </c>
      <c r="CF65">
        <v>105.2147346369</v>
      </c>
      <c r="CG65">
        <v>9263</v>
      </c>
      <c r="CH65">
        <v>2142</v>
      </c>
      <c r="CI65">
        <v>134.9813235453</v>
      </c>
      <c r="CJ65">
        <v>136.6788048553</v>
      </c>
      <c r="CL65" t="s">
        <v>387</v>
      </c>
      <c r="CM65" t="s">
        <v>904</v>
      </c>
      <c r="CN65" t="s">
        <v>909</v>
      </c>
      <c r="CO65">
        <v>741</v>
      </c>
      <c r="CP65">
        <v>99</v>
      </c>
      <c r="CQ65">
        <v>71.417004048600006</v>
      </c>
      <c r="CR65">
        <v>1020</v>
      </c>
      <c r="CS65">
        <v>227</v>
      </c>
      <c r="CT65">
        <v>86.508823529400004</v>
      </c>
      <c r="CU65">
        <v>97.718061673999998</v>
      </c>
      <c r="CW65" t="s">
        <v>387</v>
      </c>
      <c r="CX65" t="s">
        <v>912</v>
      </c>
      <c r="CY65" t="s">
        <v>917</v>
      </c>
      <c r="CZ65">
        <v>257</v>
      </c>
      <c r="DA65">
        <v>82</v>
      </c>
      <c r="DB65">
        <v>105.4552529183</v>
      </c>
      <c r="DC65">
        <v>166</v>
      </c>
      <c r="DD65">
        <v>45</v>
      </c>
      <c r="DE65">
        <v>157.1686746988</v>
      </c>
      <c r="DF65">
        <v>174.7111111111</v>
      </c>
      <c r="DH65" t="s">
        <v>387</v>
      </c>
      <c r="DI65" t="s">
        <v>896</v>
      </c>
      <c r="DJ65" t="s">
        <v>901</v>
      </c>
      <c r="DK65">
        <v>276</v>
      </c>
      <c r="DL65">
        <v>64</v>
      </c>
      <c r="DM65">
        <v>98.094202898600003</v>
      </c>
      <c r="DN65">
        <v>176</v>
      </c>
      <c r="DO65">
        <v>52</v>
      </c>
      <c r="DP65">
        <v>140.7727272727</v>
      </c>
      <c r="DQ65">
        <v>154.2884615385</v>
      </c>
    </row>
    <row r="66" spans="62:121" x14ac:dyDescent="0.2">
      <c r="BJ66" t="s">
        <v>384</v>
      </c>
      <c r="BK66" t="s">
        <v>384</v>
      </c>
      <c r="BL66">
        <v>68040</v>
      </c>
      <c r="BM66">
        <v>16685</v>
      </c>
      <c r="BN66">
        <v>98.616284538499997</v>
      </c>
      <c r="BO66">
        <v>73379</v>
      </c>
      <c r="BP66">
        <v>18633</v>
      </c>
      <c r="BQ66">
        <v>145.83082353259999</v>
      </c>
      <c r="BR66">
        <v>144.4399184243</v>
      </c>
      <c r="BS66">
        <v>66936</v>
      </c>
      <c r="BT66">
        <v>15587</v>
      </c>
      <c r="BU66">
        <v>97.553947053900004</v>
      </c>
      <c r="BV66">
        <v>68816</v>
      </c>
      <c r="BW66">
        <v>18015</v>
      </c>
      <c r="BX66">
        <v>144.6912636596</v>
      </c>
      <c r="BY66">
        <v>143.82031640299999</v>
      </c>
      <c r="CA66" t="s">
        <v>388</v>
      </c>
      <c r="CB66" t="s">
        <v>919</v>
      </c>
      <c r="CC66" t="s">
        <v>1034</v>
      </c>
      <c r="CD66">
        <v>9541</v>
      </c>
      <c r="CE66">
        <v>2027</v>
      </c>
      <c r="CF66">
        <v>94.578765328599999</v>
      </c>
      <c r="CG66">
        <v>10026</v>
      </c>
      <c r="CH66">
        <v>2558</v>
      </c>
      <c r="CI66">
        <v>129.96289646919999</v>
      </c>
      <c r="CJ66">
        <v>129.6614542611</v>
      </c>
      <c r="CL66" t="s">
        <v>388</v>
      </c>
      <c r="CM66" t="s">
        <v>904</v>
      </c>
      <c r="CN66" t="s">
        <v>910</v>
      </c>
      <c r="CO66">
        <v>671</v>
      </c>
      <c r="CP66">
        <v>92</v>
      </c>
      <c r="CQ66">
        <v>71.017883755599996</v>
      </c>
      <c r="CR66">
        <v>1374</v>
      </c>
      <c r="CS66">
        <v>347</v>
      </c>
      <c r="CT66">
        <v>66.487627365400002</v>
      </c>
      <c r="CU66">
        <v>72.325648415000003</v>
      </c>
      <c r="CW66" t="s">
        <v>388</v>
      </c>
      <c r="CX66" t="s">
        <v>912</v>
      </c>
      <c r="CY66" t="s">
        <v>918</v>
      </c>
      <c r="CZ66">
        <v>272</v>
      </c>
      <c r="DA66">
        <v>75</v>
      </c>
      <c r="DB66">
        <v>100.0845588235</v>
      </c>
      <c r="DC66">
        <v>128</v>
      </c>
      <c r="DD66">
        <v>28</v>
      </c>
      <c r="DE66">
        <v>152.0703125</v>
      </c>
      <c r="DF66">
        <v>168.67857142860001</v>
      </c>
      <c r="DH66" t="s">
        <v>388</v>
      </c>
      <c r="DI66" t="s">
        <v>896</v>
      </c>
      <c r="DJ66" t="s">
        <v>902</v>
      </c>
      <c r="DK66">
        <v>407</v>
      </c>
      <c r="DL66">
        <v>84</v>
      </c>
      <c r="DM66">
        <v>97.444717444700004</v>
      </c>
      <c r="DN66">
        <v>298</v>
      </c>
      <c r="DO66">
        <v>66</v>
      </c>
      <c r="DP66">
        <v>144.2953020134</v>
      </c>
      <c r="DQ66">
        <v>147.86363636359999</v>
      </c>
    </row>
    <row r="67" spans="62:121" x14ac:dyDescent="0.2">
      <c r="BJ67" t="s">
        <v>545</v>
      </c>
      <c r="BK67" t="s">
        <v>384</v>
      </c>
      <c r="BL67">
        <v>19761</v>
      </c>
      <c r="BM67">
        <v>5009</v>
      </c>
      <c r="BN67">
        <v>100.9493952735</v>
      </c>
      <c r="BO67">
        <v>23345</v>
      </c>
      <c r="BP67">
        <v>6119</v>
      </c>
      <c r="BQ67">
        <v>148.01443563929999</v>
      </c>
      <c r="BR67">
        <v>142.10148717109999</v>
      </c>
      <c r="BS67">
        <v>18663</v>
      </c>
      <c r="BT67">
        <v>4007</v>
      </c>
      <c r="BU67">
        <v>92.019503831099996</v>
      </c>
      <c r="BV67">
        <v>20814</v>
      </c>
      <c r="BW67">
        <v>5723</v>
      </c>
      <c r="BX67">
        <v>135.94498894969999</v>
      </c>
      <c r="BY67">
        <v>132.93727066220001</v>
      </c>
      <c r="CA67" t="s">
        <v>384</v>
      </c>
      <c r="CB67" t="s">
        <v>919</v>
      </c>
      <c r="CD67">
        <v>69820</v>
      </c>
      <c r="CE67">
        <v>16917</v>
      </c>
      <c r="CF67">
        <v>97.556301919199996</v>
      </c>
      <c r="CG67">
        <v>78536</v>
      </c>
      <c r="CH67">
        <v>19914</v>
      </c>
      <c r="CI67">
        <v>140.23647753899999</v>
      </c>
      <c r="CJ67">
        <v>138.60977201969999</v>
      </c>
      <c r="CL67" t="s">
        <v>384</v>
      </c>
      <c r="CM67" t="s">
        <v>904</v>
      </c>
      <c r="CO67">
        <v>6909</v>
      </c>
      <c r="CP67">
        <v>791</v>
      </c>
      <c r="CQ67">
        <v>71.087566941700004</v>
      </c>
      <c r="CR67">
        <v>10313</v>
      </c>
      <c r="CS67">
        <v>2537</v>
      </c>
      <c r="CT67">
        <v>79.940851352699994</v>
      </c>
      <c r="CU67">
        <v>88.459992116699993</v>
      </c>
      <c r="CW67" t="s">
        <v>384</v>
      </c>
      <c r="CX67" t="s">
        <v>912</v>
      </c>
      <c r="CZ67">
        <v>2188</v>
      </c>
      <c r="DA67">
        <v>569</v>
      </c>
      <c r="DB67">
        <v>99.170932358300007</v>
      </c>
      <c r="DC67">
        <v>1238</v>
      </c>
      <c r="DD67">
        <v>334</v>
      </c>
      <c r="DE67">
        <v>155.00484652669999</v>
      </c>
      <c r="DF67">
        <v>167.04491017960001</v>
      </c>
      <c r="DH67" t="s">
        <v>384</v>
      </c>
      <c r="DI67" t="s">
        <v>896</v>
      </c>
      <c r="DK67">
        <v>2595</v>
      </c>
      <c r="DL67">
        <v>623</v>
      </c>
      <c r="DM67">
        <v>98.284007707100002</v>
      </c>
      <c r="DN67">
        <v>1802</v>
      </c>
      <c r="DO67">
        <v>436</v>
      </c>
      <c r="DP67">
        <v>144.6120976693</v>
      </c>
      <c r="DQ67">
        <v>156.19266055049999</v>
      </c>
    </row>
    <row r="68" spans="62:121" x14ac:dyDescent="0.2">
      <c r="BJ68" t="s">
        <v>311</v>
      </c>
      <c r="BK68" t="s">
        <v>699</v>
      </c>
      <c r="BL68">
        <v>8868</v>
      </c>
      <c r="BM68">
        <v>1612</v>
      </c>
      <c r="BN68">
        <v>91.670838971600006</v>
      </c>
      <c r="BO68">
        <v>6463</v>
      </c>
      <c r="BP68">
        <v>1771</v>
      </c>
      <c r="BQ68">
        <v>135.2970756615</v>
      </c>
      <c r="BR68">
        <v>146.50875211740001</v>
      </c>
      <c r="BS68">
        <v>684</v>
      </c>
      <c r="BT68">
        <v>330</v>
      </c>
      <c r="BU68">
        <v>119.4429824561</v>
      </c>
      <c r="BV68">
        <v>1052</v>
      </c>
      <c r="BW68">
        <v>295</v>
      </c>
      <c r="BX68">
        <v>130.48764258560001</v>
      </c>
      <c r="BY68">
        <v>154.27118644070001</v>
      </c>
      <c r="CA68" t="s">
        <v>702</v>
      </c>
      <c r="CD68">
        <v>352666</v>
      </c>
      <c r="CE68">
        <v>77437</v>
      </c>
      <c r="CF68">
        <v>92.8550526561</v>
      </c>
      <c r="CG68">
        <v>409078</v>
      </c>
      <c r="CH68">
        <v>101376</v>
      </c>
      <c r="CI68">
        <v>128.1766826864</v>
      </c>
      <c r="CJ68">
        <v>127.7264835859</v>
      </c>
      <c r="CL68" t="s">
        <v>702</v>
      </c>
      <c r="CO68">
        <v>352666</v>
      </c>
      <c r="CP68">
        <v>77437</v>
      </c>
      <c r="CQ68">
        <v>92.8550526561</v>
      </c>
      <c r="CR68">
        <v>409078</v>
      </c>
      <c r="CS68">
        <v>101376</v>
      </c>
      <c r="CT68">
        <v>128.1766826864</v>
      </c>
      <c r="CU68">
        <v>127.7264835859</v>
      </c>
      <c r="CW68" t="s">
        <v>702</v>
      </c>
      <c r="CZ68">
        <v>352666</v>
      </c>
      <c r="DA68">
        <v>77437</v>
      </c>
      <c r="DB68">
        <v>92.8550526561</v>
      </c>
      <c r="DC68">
        <v>409078</v>
      </c>
      <c r="DD68">
        <v>101376</v>
      </c>
      <c r="DE68">
        <v>128.1766826864</v>
      </c>
      <c r="DF68">
        <v>127.7264835859</v>
      </c>
      <c r="DH68" t="s">
        <v>702</v>
      </c>
      <c r="DK68">
        <v>352666</v>
      </c>
      <c r="DL68">
        <v>77437</v>
      </c>
      <c r="DM68">
        <v>92.8550526561</v>
      </c>
      <c r="DN68">
        <v>409078</v>
      </c>
      <c r="DO68">
        <v>101376</v>
      </c>
      <c r="DP68">
        <v>128.1766826864</v>
      </c>
      <c r="DQ68">
        <v>127.7264835859</v>
      </c>
    </row>
    <row r="69" spans="62:121" x14ac:dyDescent="0.2">
      <c r="BJ69" t="s">
        <v>214</v>
      </c>
      <c r="BK69" t="s">
        <v>699</v>
      </c>
      <c r="BL69">
        <v>60</v>
      </c>
      <c r="BM69">
        <v>15</v>
      </c>
      <c r="BN69">
        <v>98.3</v>
      </c>
      <c r="BO69">
        <v>62</v>
      </c>
      <c r="BP69">
        <v>24</v>
      </c>
      <c r="BQ69">
        <v>143.77419354840001</v>
      </c>
      <c r="BR69">
        <v>134.125</v>
      </c>
      <c r="BS69">
        <v>4109</v>
      </c>
      <c r="BT69">
        <v>472</v>
      </c>
      <c r="BU69">
        <v>83.867364322200004</v>
      </c>
      <c r="BV69">
        <v>3512</v>
      </c>
      <c r="BW69">
        <v>984</v>
      </c>
      <c r="BX69">
        <v>125.8023917995</v>
      </c>
      <c r="BY69">
        <v>137.412601626</v>
      </c>
    </row>
    <row r="70" spans="62:121" x14ac:dyDescent="0.2">
      <c r="BJ70" t="s">
        <v>699</v>
      </c>
      <c r="BK70" t="s">
        <v>699</v>
      </c>
      <c r="BL70">
        <v>10561</v>
      </c>
      <c r="BM70">
        <v>2037</v>
      </c>
      <c r="BN70">
        <v>91.782691033000006</v>
      </c>
      <c r="BO70">
        <v>8060</v>
      </c>
      <c r="BP70">
        <v>2173</v>
      </c>
      <c r="BQ70">
        <v>137.476674938</v>
      </c>
      <c r="BR70">
        <v>148.21997238840001</v>
      </c>
      <c r="BS70">
        <v>10561</v>
      </c>
      <c r="BT70">
        <v>2037</v>
      </c>
      <c r="BU70">
        <v>91.782691033000006</v>
      </c>
      <c r="BV70">
        <v>8060</v>
      </c>
      <c r="BW70">
        <v>2173</v>
      </c>
      <c r="BX70">
        <v>137.476674938</v>
      </c>
      <c r="BY70">
        <v>148.21997238840001</v>
      </c>
    </row>
    <row r="71" spans="62:121" x14ac:dyDescent="0.2">
      <c r="BJ71" t="s">
        <v>216</v>
      </c>
      <c r="BK71" t="s">
        <v>699</v>
      </c>
      <c r="BL71">
        <v>1633</v>
      </c>
      <c r="BM71">
        <v>410</v>
      </c>
      <c r="BN71">
        <v>92.150642988399994</v>
      </c>
      <c r="BO71">
        <v>1535</v>
      </c>
      <c r="BP71">
        <v>378</v>
      </c>
      <c r="BQ71">
        <v>146.39934853419999</v>
      </c>
      <c r="BR71">
        <v>157.13227513230001</v>
      </c>
      <c r="BS71">
        <v>5768</v>
      </c>
      <c r="BT71">
        <v>1235</v>
      </c>
      <c r="BU71">
        <v>94.14129681</v>
      </c>
      <c r="BV71">
        <v>3496</v>
      </c>
      <c r="BW71">
        <v>894</v>
      </c>
      <c r="BX71">
        <v>151.3074942792</v>
      </c>
      <c r="BY71">
        <v>158.1185682327</v>
      </c>
    </row>
    <row r="72" spans="62:121" x14ac:dyDescent="0.2">
      <c r="BJ72" t="s">
        <v>212</v>
      </c>
      <c r="BK72" t="s">
        <v>700</v>
      </c>
      <c r="BL72">
        <v>6306</v>
      </c>
      <c r="BM72">
        <v>770</v>
      </c>
      <c r="BN72">
        <v>68.593244529000003</v>
      </c>
      <c r="BO72">
        <v>13624</v>
      </c>
      <c r="BP72">
        <v>3586</v>
      </c>
      <c r="BQ72">
        <v>70.358998825599997</v>
      </c>
      <c r="BR72">
        <v>76.337702175100006</v>
      </c>
      <c r="BS72">
        <v>6313</v>
      </c>
      <c r="BT72">
        <v>767</v>
      </c>
      <c r="BU72">
        <v>68.370822113100004</v>
      </c>
      <c r="BV72">
        <v>13682</v>
      </c>
      <c r="BW72">
        <v>3608</v>
      </c>
      <c r="BX72">
        <v>70.537567607100002</v>
      </c>
      <c r="BY72">
        <v>76.527993348099997</v>
      </c>
    </row>
    <row r="73" spans="62:121" x14ac:dyDescent="0.2">
      <c r="BJ73" t="s">
        <v>227</v>
      </c>
      <c r="BK73" t="s">
        <v>700</v>
      </c>
      <c r="BL73">
        <v>715</v>
      </c>
      <c r="BM73">
        <v>337</v>
      </c>
      <c r="BN73">
        <v>165.69650349649999</v>
      </c>
      <c r="BO73">
        <v>1726</v>
      </c>
      <c r="BP73">
        <v>435</v>
      </c>
      <c r="BQ73">
        <v>54.050984936299997</v>
      </c>
      <c r="BR73">
        <v>59.112643678200001</v>
      </c>
      <c r="BS73">
        <v>623</v>
      </c>
      <c r="BT73">
        <v>331</v>
      </c>
      <c r="BU73">
        <v>182.86195826650001</v>
      </c>
      <c r="BV73">
        <v>1461</v>
      </c>
      <c r="BW73">
        <v>361</v>
      </c>
      <c r="BX73">
        <v>42.484599589299997</v>
      </c>
      <c r="BY73">
        <v>48.567867036000003</v>
      </c>
    </row>
    <row r="74" spans="62:121" x14ac:dyDescent="0.2">
      <c r="BJ74" t="s">
        <v>213</v>
      </c>
      <c r="BK74" t="s">
        <v>700</v>
      </c>
      <c r="BL74">
        <v>12157</v>
      </c>
      <c r="BM74">
        <v>1213</v>
      </c>
      <c r="BN74">
        <v>69.853911326800002</v>
      </c>
      <c r="BO74">
        <v>15011</v>
      </c>
      <c r="BP74">
        <v>3658</v>
      </c>
      <c r="BQ74">
        <v>87.672373592699998</v>
      </c>
      <c r="BR74">
        <v>100.60907599780001</v>
      </c>
      <c r="BS74">
        <v>12209</v>
      </c>
      <c r="BT74">
        <v>1228</v>
      </c>
      <c r="BU74">
        <v>69.968547792600006</v>
      </c>
      <c r="BV74">
        <v>15111</v>
      </c>
      <c r="BW74">
        <v>3684</v>
      </c>
      <c r="BX74">
        <v>88.124545033399997</v>
      </c>
      <c r="BY74">
        <v>100.8642779587</v>
      </c>
    </row>
    <row r="75" spans="62:121" x14ac:dyDescent="0.2">
      <c r="BJ75" t="s">
        <v>215</v>
      </c>
      <c r="BK75" t="s">
        <v>700</v>
      </c>
      <c r="BL75">
        <v>7053</v>
      </c>
      <c r="BM75">
        <v>558</v>
      </c>
      <c r="BN75">
        <v>61.839500921599999</v>
      </c>
      <c r="BO75">
        <v>17426</v>
      </c>
      <c r="BP75">
        <v>3915</v>
      </c>
      <c r="BQ75">
        <v>65.905256513300003</v>
      </c>
      <c r="BR75">
        <v>68.106257982100004</v>
      </c>
      <c r="BS75">
        <v>7086</v>
      </c>
      <c r="BT75">
        <v>552</v>
      </c>
      <c r="BU75">
        <v>61.613886536800003</v>
      </c>
      <c r="BV75">
        <v>17533</v>
      </c>
      <c r="BW75">
        <v>3941</v>
      </c>
      <c r="BX75">
        <v>66.021958592399997</v>
      </c>
      <c r="BY75">
        <v>68.2301446333</v>
      </c>
    </row>
    <row r="76" spans="62:121" x14ac:dyDescent="0.2">
      <c r="BJ76" t="s">
        <v>700</v>
      </c>
      <c r="BK76" t="s">
        <v>700</v>
      </c>
      <c r="BL76">
        <v>26231</v>
      </c>
      <c r="BM76">
        <v>2878</v>
      </c>
      <c r="BN76">
        <v>70.008387022999997</v>
      </c>
      <c r="BO76">
        <v>47787</v>
      </c>
      <c r="BP76">
        <v>11594</v>
      </c>
      <c r="BQ76">
        <v>73.584405800699997</v>
      </c>
      <c r="BR76">
        <v>80.569691219600003</v>
      </c>
      <c r="BS76">
        <v>26231</v>
      </c>
      <c r="BT76">
        <v>2878</v>
      </c>
      <c r="BU76">
        <v>70.008387022999997</v>
      </c>
      <c r="BV76">
        <v>47787</v>
      </c>
      <c r="BW76">
        <v>11594</v>
      </c>
      <c r="BX76">
        <v>73.584405800699997</v>
      </c>
      <c r="BY76">
        <v>80.569691219600003</v>
      </c>
    </row>
    <row r="77" spans="62:121" x14ac:dyDescent="0.2">
      <c r="BJ77" t="s">
        <v>310</v>
      </c>
      <c r="BK77" t="s">
        <v>701</v>
      </c>
      <c r="BL77">
        <v>7066</v>
      </c>
      <c r="BM77">
        <v>1408</v>
      </c>
      <c r="BN77">
        <v>92.206906311899999</v>
      </c>
      <c r="BO77">
        <v>3855</v>
      </c>
      <c r="BP77">
        <v>1040</v>
      </c>
      <c r="BQ77">
        <v>148.4420233463</v>
      </c>
      <c r="BR77">
        <v>162.80000000000001</v>
      </c>
      <c r="BS77">
        <v>403</v>
      </c>
      <c r="BT77">
        <v>41</v>
      </c>
      <c r="BU77">
        <v>53.0595533499</v>
      </c>
      <c r="BV77">
        <v>155</v>
      </c>
      <c r="BW77">
        <v>23</v>
      </c>
      <c r="BX77">
        <v>136.47096774190001</v>
      </c>
      <c r="BY77">
        <v>217.47826086960001</v>
      </c>
    </row>
    <row r="78" spans="62:121" x14ac:dyDescent="0.2">
      <c r="BJ78" t="s">
        <v>960</v>
      </c>
      <c r="BK78" t="s">
        <v>701</v>
      </c>
      <c r="BL78">
        <v>1672</v>
      </c>
      <c r="BM78">
        <v>324</v>
      </c>
      <c r="BN78">
        <v>87.133373205699996</v>
      </c>
      <c r="BO78">
        <v>1441</v>
      </c>
      <c r="BP78">
        <v>374</v>
      </c>
      <c r="BQ78">
        <v>128.82650936850001</v>
      </c>
      <c r="BR78">
        <v>144.61497326200001</v>
      </c>
      <c r="BS78">
        <v>4739</v>
      </c>
      <c r="BT78">
        <v>701</v>
      </c>
      <c r="BU78">
        <v>86.464866005499999</v>
      </c>
      <c r="BV78">
        <v>3182</v>
      </c>
      <c r="BW78">
        <v>824</v>
      </c>
      <c r="BX78">
        <v>131.23192960399999</v>
      </c>
      <c r="BY78">
        <v>145.4053398058</v>
      </c>
    </row>
    <row r="79" spans="62:121" x14ac:dyDescent="0.2">
      <c r="BJ79" t="s">
        <v>701</v>
      </c>
      <c r="BK79" t="s">
        <v>701</v>
      </c>
      <c r="BL79">
        <v>10427</v>
      </c>
      <c r="BM79">
        <v>2244</v>
      </c>
      <c r="BN79">
        <v>92.282056200200003</v>
      </c>
      <c r="BO79">
        <v>6434</v>
      </c>
      <c r="BP79">
        <v>1698</v>
      </c>
      <c r="BQ79">
        <v>145.1866645943</v>
      </c>
      <c r="BR79">
        <v>158.8733804476</v>
      </c>
      <c r="BS79">
        <v>10427</v>
      </c>
      <c r="BT79">
        <v>2244</v>
      </c>
      <c r="BU79">
        <v>92.282056200200003</v>
      </c>
      <c r="BV79">
        <v>6434</v>
      </c>
      <c r="BW79">
        <v>1698</v>
      </c>
      <c r="BX79">
        <v>145.1866645943</v>
      </c>
      <c r="BY79">
        <v>158.8733804476</v>
      </c>
    </row>
    <row r="80" spans="62:121" x14ac:dyDescent="0.2">
      <c r="BJ80" t="s">
        <v>961</v>
      </c>
      <c r="BK80" t="s">
        <v>701</v>
      </c>
      <c r="BL80">
        <v>1689</v>
      </c>
      <c r="BM80">
        <v>512</v>
      </c>
      <c r="BN80">
        <v>97.693309650700002</v>
      </c>
      <c r="BO80">
        <v>1138</v>
      </c>
      <c r="BP80">
        <v>284</v>
      </c>
      <c r="BQ80">
        <v>154.87521968370001</v>
      </c>
      <c r="BR80">
        <v>163.2711267606</v>
      </c>
      <c r="BS80">
        <v>5285</v>
      </c>
      <c r="BT80">
        <v>1502</v>
      </c>
      <c r="BU80">
        <v>100.4891201514</v>
      </c>
      <c r="BV80">
        <v>3097</v>
      </c>
      <c r="BW80">
        <v>851</v>
      </c>
      <c r="BX80">
        <v>159.96060703910001</v>
      </c>
      <c r="BY80">
        <v>170.330199765</v>
      </c>
    </row>
    <row r="81" spans="62:77" x14ac:dyDescent="0.2">
      <c r="BJ81" t="s">
        <v>702</v>
      </c>
      <c r="BL81">
        <v>352666</v>
      </c>
      <c r="BM81">
        <v>77437</v>
      </c>
      <c r="BN81" s="153">
        <v>92.8550526561</v>
      </c>
      <c r="BO81">
        <v>409078</v>
      </c>
      <c r="BP81">
        <v>101376</v>
      </c>
      <c r="BQ81">
        <v>128.1766826864</v>
      </c>
      <c r="BR81">
        <v>127.7264835859</v>
      </c>
      <c r="BS81">
        <v>352666</v>
      </c>
      <c r="BT81">
        <v>77437</v>
      </c>
      <c r="BU81">
        <v>92.8550526561</v>
      </c>
      <c r="BV81">
        <v>409078</v>
      </c>
      <c r="BW81">
        <v>101376</v>
      </c>
      <c r="BX81">
        <v>128.1766826864</v>
      </c>
      <c r="BY81">
        <v>127.7264835859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1053</v>
      </c>
      <c r="C2" t="s">
        <v>506</v>
      </c>
      <c r="D2" t="s">
        <v>922</v>
      </c>
      <c r="E2" t="s">
        <v>923</v>
      </c>
      <c r="F2" t="s">
        <v>924</v>
      </c>
      <c r="G2" t="s">
        <v>925</v>
      </c>
      <c r="H2" t="s">
        <v>927</v>
      </c>
      <c r="I2" t="s">
        <v>1047</v>
      </c>
      <c r="J2" t="s">
        <v>928</v>
      </c>
      <c r="K2" t="s">
        <v>929</v>
      </c>
      <c r="L2" t="s">
        <v>926</v>
      </c>
      <c r="M2" t="s">
        <v>931</v>
      </c>
      <c r="N2" t="s">
        <v>932</v>
      </c>
      <c r="O2" t="s">
        <v>933</v>
      </c>
      <c r="P2" t="s">
        <v>934</v>
      </c>
    </row>
    <row r="3" spans="2:16" x14ac:dyDescent="0.2">
      <c r="B3" t="s">
        <v>590</v>
      </c>
      <c r="C3" t="s">
        <v>408</v>
      </c>
      <c r="D3" s="18">
        <v>42374.458680555559</v>
      </c>
      <c r="E3" t="s">
        <v>166</v>
      </c>
      <c r="F3" s="19">
        <v>0.96997674569876724</v>
      </c>
      <c r="G3" s="19">
        <v>0.97605985037406484</v>
      </c>
      <c r="H3" s="19">
        <v>0.91076692876713683</v>
      </c>
      <c r="I3" s="19">
        <v>4.5417002055965557E-2</v>
      </c>
      <c r="J3" s="19">
        <v>0.91206161870860103</v>
      </c>
      <c r="K3" s="19">
        <v>4.7387914913841062E-2</v>
      </c>
      <c r="L3" s="19"/>
      <c r="M3" s="19"/>
      <c r="N3" s="19"/>
      <c r="O3" s="19"/>
      <c r="P3" s="19"/>
    </row>
    <row r="4" spans="2:16" x14ac:dyDescent="0.2">
      <c r="B4" t="s">
        <v>649</v>
      </c>
      <c r="C4" t="s">
        <v>408</v>
      </c>
      <c r="D4" s="18">
        <v>42374.458680555559</v>
      </c>
      <c r="E4" t="s">
        <v>191</v>
      </c>
      <c r="F4" s="19">
        <v>0.99758241758241761</v>
      </c>
      <c r="G4" s="19">
        <v>0.9873708381171068</v>
      </c>
      <c r="H4" s="19">
        <v>0.89412254412254411</v>
      </c>
      <c r="I4" s="19">
        <v>4.4048953201673131E-2</v>
      </c>
      <c r="J4" s="19">
        <v>0.94304906204906214</v>
      </c>
      <c r="K4" s="19">
        <v>4.2846120940721592E-2</v>
      </c>
      <c r="L4" s="19"/>
      <c r="M4" s="19"/>
      <c r="N4" s="19"/>
      <c r="O4" s="19"/>
      <c r="P4" s="19"/>
    </row>
    <row r="5" spans="2:16" x14ac:dyDescent="0.2">
      <c r="B5" t="s">
        <v>543</v>
      </c>
      <c r="C5" t="s">
        <v>384</v>
      </c>
      <c r="D5" s="18">
        <v>42374.458680555559</v>
      </c>
      <c r="E5" t="s">
        <v>148</v>
      </c>
      <c r="F5" s="19">
        <v>0.93325848372135733</v>
      </c>
      <c r="G5" s="19">
        <v>0.85267493305390618</v>
      </c>
      <c r="H5" s="19">
        <v>0.89207282134002097</v>
      </c>
      <c r="I5" s="19">
        <v>4.6237276593911927E-2</v>
      </c>
      <c r="J5" s="19">
        <v>0.86615985724367694</v>
      </c>
      <c r="K5" s="19">
        <v>5.0305827185885971E-2</v>
      </c>
      <c r="L5" s="19"/>
      <c r="M5" s="19"/>
      <c r="N5" s="19"/>
      <c r="O5" s="19"/>
      <c r="P5" s="19"/>
    </row>
    <row r="6" spans="2:16" x14ac:dyDescent="0.2">
      <c r="B6" t="s">
        <v>537</v>
      </c>
      <c r="C6" t="s">
        <v>373</v>
      </c>
      <c r="D6" s="18">
        <v>42374.458680555559</v>
      </c>
      <c r="E6" t="s">
        <v>146</v>
      </c>
      <c r="F6" s="19">
        <v>0.94157351218992869</v>
      </c>
      <c r="G6" s="19">
        <v>0.80943291179511645</v>
      </c>
      <c r="H6" s="19">
        <v>0.82536168293808887</v>
      </c>
      <c r="I6" s="19">
        <v>4.7654090220379572E-2</v>
      </c>
      <c r="J6" s="19">
        <v>0.8816617572068699</v>
      </c>
      <c r="K6" s="19">
        <v>4.8696534231277649E-2</v>
      </c>
      <c r="L6" s="19"/>
      <c r="M6" s="19"/>
      <c r="N6" s="19"/>
      <c r="O6" s="19"/>
      <c r="P6" s="19"/>
    </row>
    <row r="7" spans="2:16" x14ac:dyDescent="0.2">
      <c r="B7" t="s">
        <v>605</v>
      </c>
      <c r="C7" t="s">
        <v>408</v>
      </c>
      <c r="D7" s="18">
        <v>42374.458680555559</v>
      </c>
      <c r="E7" t="s">
        <v>172</v>
      </c>
      <c r="F7" s="19">
        <v>0.9765365074756861</v>
      </c>
      <c r="G7" s="19">
        <v>0.92437968840161577</v>
      </c>
      <c r="H7" s="19">
        <v>0.94499999999999995</v>
      </c>
      <c r="I7" s="19">
        <v>4.4664423350855388E-2</v>
      </c>
      <c r="J7" s="19">
        <v>0.95804729738785466</v>
      </c>
      <c r="K7" s="19">
        <v>2.9559962694862846E-2</v>
      </c>
      <c r="L7" s="19"/>
      <c r="M7" s="19"/>
      <c r="N7" s="19"/>
      <c r="O7" s="19"/>
      <c r="P7" s="19"/>
    </row>
    <row r="8" spans="2:16" x14ac:dyDescent="0.2">
      <c r="B8" t="s">
        <v>516</v>
      </c>
      <c r="C8" t="s">
        <v>373</v>
      </c>
      <c r="D8" s="18">
        <v>42374.458680555559</v>
      </c>
      <c r="E8" t="s">
        <v>139</v>
      </c>
      <c r="F8" s="19">
        <v>0.91513510284542288</v>
      </c>
      <c r="G8" s="19">
        <v>0.80435773543622924</v>
      </c>
      <c r="H8" s="19">
        <v>0.81629668055524851</v>
      </c>
      <c r="I8" s="19">
        <v>5.9557789657780587E-2</v>
      </c>
      <c r="J8" s="19">
        <v>0.91326802427234399</v>
      </c>
      <c r="K8" s="19">
        <v>5.7198828226144943E-2</v>
      </c>
      <c r="L8" s="19"/>
      <c r="M8" s="19"/>
      <c r="N8" s="19"/>
      <c r="O8" s="19"/>
      <c r="P8" s="19"/>
    </row>
    <row r="9" spans="2:16" x14ac:dyDescent="0.2">
      <c r="B9" t="s">
        <v>524</v>
      </c>
      <c r="C9" t="s">
        <v>373</v>
      </c>
      <c r="D9" s="18">
        <v>42374.458680555559</v>
      </c>
      <c r="E9" t="s">
        <v>142</v>
      </c>
      <c r="F9" s="19">
        <v>0.97290082364303454</v>
      </c>
      <c r="G9" s="19">
        <v>0.9210423079244372</v>
      </c>
      <c r="H9" s="19">
        <v>0.88971425818285677</v>
      </c>
      <c r="I9" s="19">
        <v>4.9253196543825976E-2</v>
      </c>
      <c r="J9" s="19">
        <v>0.88066854899574309</v>
      </c>
      <c r="K9" s="19">
        <v>4.7145725771360392E-2</v>
      </c>
      <c r="L9" s="19"/>
      <c r="M9" s="19"/>
      <c r="N9" s="19"/>
      <c r="O9" s="19"/>
      <c r="P9" s="19"/>
    </row>
    <row r="10" spans="2:16" x14ac:dyDescent="0.2">
      <c r="B10" t="s">
        <v>641</v>
      </c>
      <c r="C10" t="s">
        <v>389</v>
      </c>
      <c r="D10" s="18">
        <v>42374.458680555559</v>
      </c>
      <c r="E10" t="s">
        <v>677</v>
      </c>
      <c r="F10" s="19">
        <v>0.98845959325047139</v>
      </c>
      <c r="G10" s="19">
        <v>0.96576787807737408</v>
      </c>
      <c r="H10" s="19">
        <v>0.87792966719051346</v>
      </c>
      <c r="I10" s="19">
        <v>5.3317098427736125E-2</v>
      </c>
      <c r="J10" s="19">
        <v>0.88037830369861625</v>
      </c>
      <c r="K10" s="19">
        <v>5.6574629112785643E-2</v>
      </c>
      <c r="L10" s="19"/>
      <c r="M10" s="19"/>
      <c r="N10" s="19"/>
      <c r="O10" s="19"/>
      <c r="P10" s="19"/>
    </row>
    <row r="11" spans="2:16" x14ac:dyDescent="0.2">
      <c r="B11" t="s">
        <v>571</v>
      </c>
      <c r="C11" t="s">
        <v>394</v>
      </c>
      <c r="D11" s="18">
        <v>42374.458680555559</v>
      </c>
      <c r="E11" t="s">
        <v>158</v>
      </c>
      <c r="F11" s="19">
        <v>0.93580615403246215</v>
      </c>
      <c r="G11" s="19">
        <v>0.85877427894234615</v>
      </c>
      <c r="H11" s="19">
        <v>0.88925393449402601</v>
      </c>
      <c r="I11" s="19">
        <v>4.5312472927129976E-2</v>
      </c>
      <c r="J11" s="19">
        <v>0.87173050601622037</v>
      </c>
      <c r="K11" s="19">
        <v>4.8317546916384228E-2</v>
      </c>
      <c r="L11" s="252"/>
      <c r="M11" s="252"/>
      <c r="N11" s="252"/>
      <c r="O11" s="252"/>
      <c r="P11" s="252"/>
    </row>
    <row r="12" spans="2:16" x14ac:dyDescent="0.2">
      <c r="B12" t="s">
        <v>563</v>
      </c>
      <c r="C12" t="s">
        <v>394</v>
      </c>
      <c r="D12" s="18">
        <v>42374.458680555559</v>
      </c>
      <c r="E12" t="s">
        <v>155</v>
      </c>
      <c r="F12" s="19">
        <v>0.98093824943565833</v>
      </c>
      <c r="G12" s="19">
        <v>0.92455803620492039</v>
      </c>
      <c r="H12" s="19">
        <v>0.9339946052673036</v>
      </c>
      <c r="I12" s="19">
        <v>3.8492225922182044E-2</v>
      </c>
      <c r="J12" s="19">
        <v>0.87941701766722669</v>
      </c>
      <c r="K12" s="19">
        <v>5.7581535851282908E-2</v>
      </c>
      <c r="L12" s="19"/>
      <c r="M12" s="19"/>
      <c r="N12" s="19"/>
      <c r="O12" s="19"/>
      <c r="P12" s="19"/>
    </row>
    <row r="13" spans="2:16" x14ac:dyDescent="0.2">
      <c r="B13" t="s">
        <v>551</v>
      </c>
      <c r="C13" t="s">
        <v>384</v>
      </c>
      <c r="D13" s="18">
        <v>42374.458680555559</v>
      </c>
      <c r="E13" t="s">
        <v>151</v>
      </c>
      <c r="F13" s="19">
        <v>0.98733780765995427</v>
      </c>
      <c r="G13" s="19">
        <v>0.96437061048082118</v>
      </c>
      <c r="H13" s="19">
        <v>0.94700040984060541</v>
      </c>
      <c r="I13" s="19">
        <v>4.4805048803649328E-2</v>
      </c>
      <c r="J13" s="19">
        <v>0.90567444305957534</v>
      </c>
      <c r="K13" s="19">
        <v>5.8082351927540611E-2</v>
      </c>
      <c r="L13" s="19"/>
      <c r="M13" s="19"/>
      <c r="N13" s="19"/>
      <c r="O13" s="19"/>
      <c r="P13" s="19"/>
    </row>
    <row r="14" spans="2:16" x14ac:dyDescent="0.2">
      <c r="B14" t="s">
        <v>389</v>
      </c>
      <c r="C14" t="s">
        <v>389</v>
      </c>
      <c r="D14" s="18">
        <v>42374.458680555559</v>
      </c>
      <c r="E14" t="s">
        <v>668</v>
      </c>
      <c r="F14" s="19">
        <v>0.96201168837313988</v>
      </c>
      <c r="G14" s="19">
        <v>0.8825475827353525</v>
      </c>
      <c r="H14" s="19">
        <v>0.9052606774108678</v>
      </c>
      <c r="I14" s="19">
        <v>1.675789888099544E-2</v>
      </c>
      <c r="J14" s="19">
        <v>0.9307807646312023</v>
      </c>
      <c r="K14" s="19">
        <v>1.5927316075654972E-2</v>
      </c>
      <c r="L14" s="19"/>
      <c r="M14" s="19"/>
      <c r="N14" s="19"/>
      <c r="O14" s="19"/>
      <c r="P14" s="19"/>
    </row>
    <row r="15" spans="2:16" x14ac:dyDescent="0.2">
      <c r="B15" t="s">
        <v>588</v>
      </c>
      <c r="C15" t="s">
        <v>389</v>
      </c>
      <c r="D15" s="18">
        <v>42374.458680555559</v>
      </c>
      <c r="E15" t="s">
        <v>165</v>
      </c>
      <c r="F15" s="19">
        <v>0.98287907333752011</v>
      </c>
      <c r="G15" s="19">
        <v>0.93086146036932238</v>
      </c>
      <c r="H15" s="19">
        <v>0.92783659300219457</v>
      </c>
      <c r="I15" s="19">
        <v>4.0955497905660249E-2</v>
      </c>
      <c r="J15" s="19">
        <v>0.89968338947769066</v>
      </c>
      <c r="K15" s="19">
        <v>4.7861685943861115E-2</v>
      </c>
      <c r="L15" s="19"/>
      <c r="M15" s="19"/>
      <c r="N15" s="19"/>
      <c r="O15" s="19"/>
      <c r="P15" s="19"/>
    </row>
    <row r="16" spans="2:16" x14ac:dyDescent="0.2">
      <c r="B16" t="s">
        <v>580</v>
      </c>
      <c r="C16" t="s">
        <v>394</v>
      </c>
      <c r="D16" s="18">
        <v>42374.458680555559</v>
      </c>
      <c r="E16" t="s">
        <v>162</v>
      </c>
      <c r="F16" s="19">
        <v>0.97183712141838119</v>
      </c>
      <c r="G16" s="19">
        <v>0.94446789267410314</v>
      </c>
      <c r="H16" s="19">
        <v>0.980482269503546</v>
      </c>
      <c r="I16" s="19">
        <v>1.988543211369951E-2</v>
      </c>
      <c r="J16" s="19">
        <v>0.97792456335934586</v>
      </c>
      <c r="K16" s="19">
        <v>2.17236709072305E-2</v>
      </c>
      <c r="L16" s="252"/>
      <c r="M16" s="252"/>
      <c r="N16" s="252"/>
      <c r="O16" s="252"/>
      <c r="P16" s="252"/>
    </row>
    <row r="17" spans="2:16" x14ac:dyDescent="0.2">
      <c r="B17" t="s">
        <v>573</v>
      </c>
      <c r="C17" t="s">
        <v>394</v>
      </c>
      <c r="D17" s="18">
        <v>42374.458680555559</v>
      </c>
      <c r="E17" t="s">
        <v>159</v>
      </c>
      <c r="F17" s="19">
        <v>0.92413545816482656</v>
      </c>
      <c r="G17" s="19">
        <v>0.9267784756559313</v>
      </c>
      <c r="H17" s="19">
        <v>0.89602548477062616</v>
      </c>
      <c r="I17" s="19">
        <v>4.4999620244511006E-2</v>
      </c>
      <c r="J17" s="19">
        <v>0.90692693332331775</v>
      </c>
      <c r="K17" s="19">
        <v>4.8556107140536611E-2</v>
      </c>
      <c r="L17" s="19"/>
      <c r="M17" s="19"/>
      <c r="N17" s="19"/>
      <c r="O17" s="19"/>
      <c r="P17" s="19"/>
    </row>
    <row r="18" spans="2:16" x14ac:dyDescent="0.2">
      <c r="B18" t="s">
        <v>637</v>
      </c>
      <c r="C18" t="s">
        <v>394</v>
      </c>
      <c r="D18" s="18">
        <v>42374.458680555559</v>
      </c>
      <c r="E18" t="s">
        <v>186</v>
      </c>
      <c r="F18" s="19">
        <v>0.92693584445498267</v>
      </c>
      <c r="G18" s="19">
        <v>0.85428779069767447</v>
      </c>
      <c r="H18" s="19">
        <v>0.9319529957827829</v>
      </c>
      <c r="I18" s="19">
        <v>4.1640698776399532E-2</v>
      </c>
      <c r="J18" s="19">
        <v>0.96131363984234819</v>
      </c>
      <c r="K18" s="19">
        <v>3.2167381355019911E-2</v>
      </c>
      <c r="L18" s="19"/>
      <c r="M18" s="19"/>
      <c r="N18" s="19"/>
      <c r="O18" s="19"/>
      <c r="P18" s="19"/>
    </row>
    <row r="19" spans="2:16" x14ac:dyDescent="0.2">
      <c r="B19" t="s">
        <v>635</v>
      </c>
      <c r="C19" t="s">
        <v>389</v>
      </c>
      <c r="D19" s="18">
        <v>42374.458680555559</v>
      </c>
      <c r="E19" t="s">
        <v>185</v>
      </c>
      <c r="F19" s="19">
        <v>0.97600310471960505</v>
      </c>
      <c r="G19" s="19">
        <v>0.92662521198417191</v>
      </c>
      <c r="H19" s="19">
        <v>0.94374859708193037</v>
      </c>
      <c r="I19" s="19">
        <v>3.9973237573555309E-2</v>
      </c>
      <c r="J19" s="19">
        <v>0.95198464219157897</v>
      </c>
      <c r="K19" s="19">
        <v>3.2546799348705233E-2</v>
      </c>
      <c r="L19" s="19"/>
      <c r="M19" s="19"/>
      <c r="N19" s="19"/>
      <c r="O19" s="19"/>
      <c r="P19" s="19"/>
    </row>
    <row r="20" spans="2:16" x14ac:dyDescent="0.2">
      <c r="B20" t="s">
        <v>526</v>
      </c>
      <c r="C20" t="s">
        <v>373</v>
      </c>
      <c r="D20" s="18">
        <v>42374.458680555559</v>
      </c>
      <c r="E20" t="s">
        <v>143</v>
      </c>
      <c r="F20" s="19">
        <v>0.99294266353007277</v>
      </c>
      <c r="G20" s="19">
        <v>0.96322722283205264</v>
      </c>
      <c r="H20" s="19">
        <v>0.92046869333413084</v>
      </c>
      <c r="I20" s="19">
        <v>4.3251515963425573E-2</v>
      </c>
      <c r="J20" s="19">
        <v>0.96695884760400896</v>
      </c>
      <c r="K20" s="19">
        <v>3.3365891722760568E-2</v>
      </c>
      <c r="L20" s="19"/>
      <c r="M20" s="19"/>
      <c r="N20" s="19"/>
      <c r="O20" s="19"/>
      <c r="P20" s="19"/>
    </row>
    <row r="21" spans="2:16" x14ac:dyDescent="0.2">
      <c r="B21" t="s">
        <v>645</v>
      </c>
      <c r="C21" t="s">
        <v>408</v>
      </c>
      <c r="D21" s="18">
        <v>42374.458680555559</v>
      </c>
      <c r="E21" t="s">
        <v>189</v>
      </c>
      <c r="F21" s="19">
        <v>0.94982624390506709</v>
      </c>
      <c r="G21" s="19">
        <v>0.87705393388749286</v>
      </c>
      <c r="H21" s="19">
        <v>0.89039297272306983</v>
      </c>
      <c r="I21" s="19">
        <v>4.5429146510922037E-2</v>
      </c>
      <c r="J21" s="19">
        <v>0.9620298694190319</v>
      </c>
      <c r="K21" s="19">
        <v>3.101005176223012E-2</v>
      </c>
      <c r="L21" s="19"/>
      <c r="M21" s="19"/>
      <c r="N21" s="19"/>
      <c r="O21" s="19"/>
      <c r="P21" s="19"/>
    </row>
    <row r="22" spans="2:16" x14ac:dyDescent="0.2">
      <c r="B22" t="s">
        <v>623</v>
      </c>
      <c r="C22" t="s">
        <v>389</v>
      </c>
      <c r="D22" s="18">
        <v>42374.458680555559</v>
      </c>
      <c r="E22" t="s">
        <v>180</v>
      </c>
      <c r="F22" s="19">
        <v>0.94631900428536586</v>
      </c>
      <c r="G22" s="19">
        <v>0.8127137103152875</v>
      </c>
      <c r="H22" s="19">
        <v>0.85856797974445032</v>
      </c>
      <c r="I22" s="19">
        <v>4.5697503699262398E-2</v>
      </c>
      <c r="J22" s="19">
        <v>0.90866814336098467</v>
      </c>
      <c r="K22" s="19">
        <v>4.3571400307303845E-2</v>
      </c>
      <c r="L22" s="19"/>
      <c r="M22" s="19"/>
      <c r="N22" s="19"/>
      <c r="O22" s="19"/>
      <c r="P22" s="19"/>
    </row>
    <row r="23" spans="2:16" x14ac:dyDescent="0.2">
      <c r="B23" t="s">
        <v>541</v>
      </c>
      <c r="C23" t="s">
        <v>373</v>
      </c>
      <c r="D23" s="18">
        <v>42374.458680555559</v>
      </c>
      <c r="E23" t="s">
        <v>147</v>
      </c>
      <c r="F23" s="19">
        <v>0.97382659623017243</v>
      </c>
      <c r="G23" s="19">
        <v>0.93293431553100059</v>
      </c>
      <c r="H23" s="19">
        <v>0.90171809874766351</v>
      </c>
      <c r="I23" s="19">
        <v>4.3704081920787986E-2</v>
      </c>
      <c r="J23" s="19">
        <v>0.89575342716306783</v>
      </c>
      <c r="K23" s="19">
        <v>5.1571207049398993E-2</v>
      </c>
      <c r="L23" s="19"/>
      <c r="M23" s="19"/>
      <c r="N23" s="19"/>
      <c r="O23" s="19"/>
      <c r="P23" s="19"/>
    </row>
    <row r="24" spans="2:16" x14ac:dyDescent="0.2">
      <c r="B24" t="s">
        <v>565</v>
      </c>
      <c r="C24" t="s">
        <v>394</v>
      </c>
      <c r="D24" s="18">
        <v>42374.458680555559</v>
      </c>
      <c r="E24" t="s">
        <v>156</v>
      </c>
      <c r="F24" s="19">
        <v>0.95690186340042571</v>
      </c>
      <c r="G24" s="19">
        <v>0.91222675064838821</v>
      </c>
      <c r="H24" s="19">
        <v>0.91470747405408981</v>
      </c>
      <c r="I24" s="19">
        <v>4.6281048925901021E-2</v>
      </c>
      <c r="J24" s="19">
        <v>0.944543303947883</v>
      </c>
      <c r="K24" s="19">
        <v>3.3536032375189533E-2</v>
      </c>
      <c r="L24" s="19"/>
      <c r="M24" s="19"/>
      <c r="N24" s="19"/>
      <c r="O24" s="19"/>
      <c r="P24" s="19"/>
    </row>
    <row r="25" spans="2:16" x14ac:dyDescent="0.2">
      <c r="B25" t="s">
        <v>559</v>
      </c>
      <c r="C25" t="s">
        <v>389</v>
      </c>
      <c r="D25" s="18">
        <v>42374.458680555559</v>
      </c>
      <c r="E25" t="s">
        <v>154</v>
      </c>
      <c r="F25" s="19">
        <v>0.95601757830990475</v>
      </c>
      <c r="G25" s="19">
        <v>0.88445612034321708</v>
      </c>
      <c r="H25" s="19">
        <v>0.89556821593119007</v>
      </c>
      <c r="I25" s="19">
        <v>4.1774783910117887E-2</v>
      </c>
      <c r="J25" s="19">
        <v>0.88571659653749213</v>
      </c>
      <c r="K25" s="19">
        <v>5.4201882173675886E-2</v>
      </c>
      <c r="L25" s="19"/>
      <c r="M25" s="19"/>
      <c r="N25" s="19"/>
      <c r="O25" s="19"/>
      <c r="P25" s="19"/>
    </row>
    <row r="26" spans="2:16" x14ac:dyDescent="0.2">
      <c r="B26" t="s">
        <v>582</v>
      </c>
      <c r="C26" t="s">
        <v>394</v>
      </c>
      <c r="D26" s="18">
        <v>42374.458680555559</v>
      </c>
      <c r="E26" t="s">
        <v>163</v>
      </c>
      <c r="F26" s="19">
        <v>0.97082930882836982</v>
      </c>
      <c r="G26" s="19">
        <v>0.89079084287200838</v>
      </c>
      <c r="H26" s="19">
        <v>0.95506405555795193</v>
      </c>
      <c r="I26" s="19">
        <v>3.6958619792387924E-2</v>
      </c>
      <c r="J26" s="19">
        <v>0.97880545180525536</v>
      </c>
      <c r="K26" s="19">
        <v>2.3860397973589471E-2</v>
      </c>
      <c r="L26" s="19"/>
      <c r="M26" s="19"/>
      <c r="N26" s="19"/>
      <c r="O26" s="19"/>
      <c r="P26" s="19"/>
    </row>
    <row r="27" spans="2:16" x14ac:dyDescent="0.2">
      <c r="B27" t="s">
        <v>611</v>
      </c>
      <c r="C27" t="s">
        <v>389</v>
      </c>
      <c r="D27" s="18">
        <v>42374.458680555559</v>
      </c>
      <c r="E27" t="s">
        <v>175</v>
      </c>
      <c r="F27" s="19">
        <v>0.96010699414473621</v>
      </c>
      <c r="G27" s="19">
        <v>0.85267569310122515</v>
      </c>
      <c r="H27" s="19">
        <v>0.89498689466746806</v>
      </c>
      <c r="I27" s="19">
        <v>5.1592444343412043E-2</v>
      </c>
      <c r="J27" s="19">
        <v>0.93914067378878652</v>
      </c>
      <c r="K27" s="19">
        <v>4.1643613425293824E-2</v>
      </c>
      <c r="L27" s="19"/>
      <c r="M27" s="19"/>
      <c r="N27" s="19"/>
      <c r="O27" s="19"/>
      <c r="P27" s="19"/>
    </row>
    <row r="28" spans="2:16" x14ac:dyDescent="0.2">
      <c r="B28" t="s">
        <v>597</v>
      </c>
      <c r="C28" t="s">
        <v>408</v>
      </c>
      <c r="D28" s="18">
        <v>42374.458680555559</v>
      </c>
      <c r="E28" t="s">
        <v>169</v>
      </c>
      <c r="F28" s="19">
        <v>0.92117616134938085</v>
      </c>
      <c r="G28" s="19">
        <v>0.91614906832298137</v>
      </c>
      <c r="H28" s="19">
        <v>0.87941783882683011</v>
      </c>
      <c r="I28" s="19">
        <v>4.6155200796287515E-2</v>
      </c>
      <c r="J28" s="19">
        <v>0.89413505314172725</v>
      </c>
      <c r="K28" s="19">
        <v>4.8007523955498003E-2</v>
      </c>
      <c r="L28" s="19"/>
      <c r="M28" s="19"/>
      <c r="N28" s="19"/>
      <c r="O28" s="19"/>
      <c r="P28" s="19"/>
    </row>
    <row r="29" spans="2:16" x14ac:dyDescent="0.2">
      <c r="B29" t="s">
        <v>567</v>
      </c>
      <c r="C29" t="s">
        <v>384</v>
      </c>
      <c r="D29" s="18">
        <v>42374.458680555559</v>
      </c>
      <c r="E29" t="s">
        <v>157</v>
      </c>
      <c r="F29" s="19">
        <v>0.97950653423445444</v>
      </c>
      <c r="G29" s="19">
        <v>0.92613019350315096</v>
      </c>
      <c r="H29" s="19">
        <v>0.92024221400119943</v>
      </c>
      <c r="I29" s="19">
        <v>4.3930442106918551E-2</v>
      </c>
      <c r="J29" s="19">
        <v>0.9009935256510837</v>
      </c>
      <c r="K29" s="19">
        <v>4.807069998297045E-2</v>
      </c>
      <c r="L29" s="19"/>
      <c r="M29" s="19"/>
      <c r="N29" s="19"/>
      <c r="O29" s="19"/>
      <c r="P29" s="19"/>
    </row>
    <row r="30" spans="2:16" x14ac:dyDescent="0.2">
      <c r="B30" t="s">
        <v>626</v>
      </c>
      <c r="C30" t="s">
        <v>373</v>
      </c>
      <c r="D30" s="18">
        <v>42374.458680555559</v>
      </c>
      <c r="E30" t="s">
        <v>181</v>
      </c>
      <c r="F30" s="19">
        <v>0.97083819419625006</v>
      </c>
      <c r="G30" s="19">
        <v>0.95297951582867779</v>
      </c>
      <c r="H30" s="19">
        <v>0.91828318006920673</v>
      </c>
      <c r="I30" s="19">
        <v>3.998971318316457E-2</v>
      </c>
      <c r="J30" s="19">
        <v>0.91904552613265944</v>
      </c>
      <c r="K30" s="19">
        <v>4.5578205498796438E-2</v>
      </c>
      <c r="L30" s="19"/>
      <c r="M30" s="19"/>
      <c r="N30" s="19"/>
      <c r="O30" s="19"/>
      <c r="P30" s="19"/>
    </row>
    <row r="31" spans="2:16" x14ac:dyDescent="0.2">
      <c r="B31" t="s">
        <v>619</v>
      </c>
      <c r="C31" t="s">
        <v>408</v>
      </c>
      <c r="D31" s="18">
        <v>42374.458680555559</v>
      </c>
      <c r="E31" t="s">
        <v>179</v>
      </c>
      <c r="F31" s="19">
        <v>0.94623166008902881</v>
      </c>
      <c r="G31" s="19">
        <v>0.89815585960737654</v>
      </c>
      <c r="H31" s="19">
        <v>0.9305093110482332</v>
      </c>
      <c r="I31" s="19">
        <v>4.5203592670496846E-2</v>
      </c>
      <c r="J31" s="19">
        <v>0.97102996254681662</v>
      </c>
      <c r="K31" s="19">
        <v>2.7025131266069095E-2</v>
      </c>
      <c r="L31" s="19"/>
      <c r="M31" s="19"/>
      <c r="N31" s="19"/>
      <c r="O31" s="19"/>
      <c r="P31" s="19"/>
    </row>
    <row r="32" spans="2:16" x14ac:dyDescent="0.2">
      <c r="B32" t="s">
        <v>394</v>
      </c>
      <c r="C32" t="s">
        <v>394</v>
      </c>
      <c r="D32" s="18">
        <v>42374.458680555559</v>
      </c>
      <c r="E32" t="s">
        <v>667</v>
      </c>
      <c r="F32" s="19">
        <v>0.96501248042945909</v>
      </c>
      <c r="G32" s="19">
        <v>0.9267909910392611</v>
      </c>
      <c r="H32" s="19">
        <v>0.9336016278367506</v>
      </c>
      <c r="I32" s="19">
        <v>1.2705766420396572E-2</v>
      </c>
      <c r="J32" s="19">
        <v>0.90607700815432457</v>
      </c>
      <c r="K32" s="19">
        <v>2.0556487878228252E-2</v>
      </c>
      <c r="L32" s="19"/>
      <c r="M32" s="19"/>
      <c r="N32" s="19"/>
      <c r="O32" s="19"/>
      <c r="P32" s="19"/>
    </row>
    <row r="33" spans="2:16" x14ac:dyDescent="0.2">
      <c r="B33" t="s">
        <v>212</v>
      </c>
      <c r="C33" t="s">
        <v>394</v>
      </c>
      <c r="D33" s="18">
        <v>42374.458680555559</v>
      </c>
      <c r="E33" t="s">
        <v>160</v>
      </c>
      <c r="F33" s="19">
        <v>0.98905237004542101</v>
      </c>
      <c r="G33" s="19">
        <v>0.95353244078269805</v>
      </c>
      <c r="H33" s="19">
        <v>0.96730348971489943</v>
      </c>
      <c r="I33" s="19">
        <v>3.4325997387215777E-2</v>
      </c>
      <c r="J33" s="19">
        <v>0.90466426300662917</v>
      </c>
      <c r="K33" s="19">
        <v>5.2976962994764849E-2</v>
      </c>
      <c r="L33" s="19">
        <v>1</v>
      </c>
      <c r="M33" s="19">
        <v>0.9527406412662911</v>
      </c>
      <c r="N33" s="19">
        <v>3.4903923101055979E-2</v>
      </c>
      <c r="O33" s="19">
        <v>0.97667166653509119</v>
      </c>
      <c r="P33" s="19">
        <v>2.2442018434798996E-2</v>
      </c>
    </row>
    <row r="34" spans="2:16" x14ac:dyDescent="0.2">
      <c r="B34" t="s">
        <v>575</v>
      </c>
      <c r="C34" t="s">
        <v>394</v>
      </c>
      <c r="D34" s="18">
        <v>42374.458680555559</v>
      </c>
      <c r="E34" t="s">
        <v>160</v>
      </c>
      <c r="F34" s="19">
        <v>0.98905237004542101</v>
      </c>
      <c r="G34" s="19">
        <v>0.95353244078269805</v>
      </c>
      <c r="H34" s="19">
        <v>0.96730348971489943</v>
      </c>
      <c r="I34" s="19">
        <v>3.4325997387215777E-2</v>
      </c>
      <c r="J34" s="19">
        <v>0.90466426300662917</v>
      </c>
      <c r="K34" s="19">
        <v>5.2976962994764849E-2</v>
      </c>
      <c r="L34" s="19">
        <v>1</v>
      </c>
      <c r="M34" s="19">
        <v>0.9527406412662911</v>
      </c>
      <c r="N34" s="19">
        <v>3.4903923101055979E-2</v>
      </c>
      <c r="O34" s="19">
        <v>0.97667166653509119</v>
      </c>
      <c r="P34" s="19">
        <v>2.2442018434798996E-2</v>
      </c>
    </row>
    <row r="35" spans="2:16" x14ac:dyDescent="0.2">
      <c r="B35" t="s">
        <v>557</v>
      </c>
      <c r="C35" t="s">
        <v>384</v>
      </c>
      <c r="D35" s="18">
        <v>42374.458680555559</v>
      </c>
      <c r="E35" t="s">
        <v>153</v>
      </c>
      <c r="F35" s="19">
        <v>0.92183695479845285</v>
      </c>
      <c r="G35" s="19">
        <v>0.88559609667621841</v>
      </c>
      <c r="H35" s="19">
        <v>0.91630605507638796</v>
      </c>
      <c r="I35" s="19">
        <v>4.1046399082281797E-2</v>
      </c>
      <c r="J35" s="19">
        <v>0.92951824729357757</v>
      </c>
      <c r="K35" s="19">
        <v>3.8788517472027377E-2</v>
      </c>
      <c r="L35" s="19"/>
      <c r="M35" s="19"/>
      <c r="N35" s="19"/>
      <c r="O35" s="19"/>
      <c r="P35" s="19"/>
    </row>
    <row r="36" spans="2:16" x14ac:dyDescent="0.2">
      <c r="B36" t="s">
        <v>613</v>
      </c>
      <c r="C36" t="s">
        <v>389</v>
      </c>
      <c r="D36" s="18">
        <v>42374.458680555559</v>
      </c>
      <c r="E36" t="s">
        <v>176</v>
      </c>
      <c r="F36" s="19">
        <v>0.96829933072283403</v>
      </c>
      <c r="G36" s="19">
        <v>0.92067323164059967</v>
      </c>
      <c r="H36" s="19">
        <v>0.92685063803416068</v>
      </c>
      <c r="I36" s="19">
        <v>4.5476456720553671E-2</v>
      </c>
      <c r="J36" s="19">
        <v>0.94442286397582986</v>
      </c>
      <c r="K36" s="19">
        <v>4.6656277931826369E-2</v>
      </c>
      <c r="L36" s="19"/>
      <c r="M36" s="19"/>
      <c r="N36" s="19"/>
      <c r="O36" s="19"/>
      <c r="P36" s="19"/>
    </row>
    <row r="37" spans="2:16" x14ac:dyDescent="0.2">
      <c r="B37" t="s">
        <v>553</v>
      </c>
      <c r="C37" t="s">
        <v>384</v>
      </c>
      <c r="D37" s="18">
        <v>42374.458680555559</v>
      </c>
      <c r="E37" t="s">
        <v>94</v>
      </c>
      <c r="F37" s="19">
        <v>0.99117324623365466</v>
      </c>
      <c r="G37" s="19">
        <v>1</v>
      </c>
      <c r="H37" s="19">
        <v>0.95353361112355683</v>
      </c>
      <c r="I37" s="19">
        <v>3.2407502926613534E-2</v>
      </c>
      <c r="J37" s="19">
        <v>0.93317521753048327</v>
      </c>
      <c r="K37" s="19">
        <v>3.9162338713145457E-2</v>
      </c>
      <c r="L37" s="19"/>
      <c r="M37" s="19"/>
      <c r="N37" s="19"/>
      <c r="O37" s="19"/>
      <c r="P37" s="19"/>
    </row>
    <row r="38" spans="2:16" x14ac:dyDescent="0.2">
      <c r="B38" t="s">
        <v>555</v>
      </c>
      <c r="C38" t="s">
        <v>389</v>
      </c>
      <c r="D38" s="18">
        <v>42374.458680555559</v>
      </c>
      <c r="E38" t="s">
        <v>152</v>
      </c>
      <c r="F38" s="19">
        <v>0.9868946128128735</v>
      </c>
      <c r="G38" s="19">
        <v>0.97209996270048493</v>
      </c>
      <c r="H38" s="19">
        <v>0.92617298498912159</v>
      </c>
      <c r="I38" s="19">
        <v>4.0964917430248916E-2</v>
      </c>
      <c r="J38" s="19">
        <v>0.94333841395382767</v>
      </c>
      <c r="K38" s="19">
        <v>3.4840560243678452E-2</v>
      </c>
      <c r="L38" s="19"/>
      <c r="M38" s="19"/>
      <c r="N38" s="19"/>
      <c r="O38" s="19"/>
      <c r="P38" s="19"/>
    </row>
    <row r="39" spans="2:16" x14ac:dyDescent="0.2">
      <c r="B39" t="s">
        <v>522</v>
      </c>
      <c r="C39" t="s">
        <v>373</v>
      </c>
      <c r="D39" s="18">
        <v>42374.458680555559</v>
      </c>
      <c r="E39" t="s">
        <v>141</v>
      </c>
      <c r="F39" s="19">
        <v>0.9309579048110056</v>
      </c>
      <c r="G39" s="19">
        <v>0.82271031855864396</v>
      </c>
      <c r="H39" s="19">
        <v>0.90256916498993978</v>
      </c>
      <c r="I39" s="19">
        <v>4.8066180689815712E-2</v>
      </c>
      <c r="J39" s="19">
        <v>0.92324390080204044</v>
      </c>
      <c r="K39" s="19">
        <v>4.1670066440340679E-2</v>
      </c>
      <c r="L39" s="19"/>
      <c r="M39" s="19"/>
      <c r="N39" s="19"/>
      <c r="O39" s="19"/>
      <c r="P39" s="19"/>
    </row>
    <row r="40" spans="2:16" x14ac:dyDescent="0.2">
      <c r="B40" t="s">
        <v>528</v>
      </c>
      <c r="C40" t="s">
        <v>373</v>
      </c>
      <c r="D40" s="18">
        <v>42374.458680555559</v>
      </c>
      <c r="E40" t="s">
        <v>144</v>
      </c>
      <c r="F40" s="19">
        <v>0.93767883533000007</v>
      </c>
      <c r="G40" s="19">
        <v>0.88166404474742177</v>
      </c>
      <c r="H40" s="19">
        <v>0.87932553351546094</v>
      </c>
      <c r="I40" s="19">
        <v>4.375571969644497E-2</v>
      </c>
      <c r="J40" s="19">
        <v>0.85503522570817581</v>
      </c>
      <c r="K40" s="19">
        <v>5.1176209522065225E-2</v>
      </c>
      <c r="L40" s="19"/>
      <c r="M40" s="19"/>
      <c r="N40" s="19"/>
      <c r="O40" s="19"/>
      <c r="P40" s="19"/>
    </row>
    <row r="41" spans="2:16" x14ac:dyDescent="0.2">
      <c r="B41" t="s">
        <v>373</v>
      </c>
      <c r="C41" t="s">
        <v>373</v>
      </c>
      <c r="D41" s="18">
        <v>42374.458680555559</v>
      </c>
      <c r="E41" t="s">
        <v>666</v>
      </c>
      <c r="F41" s="19">
        <v>0.9602834708770337</v>
      </c>
      <c r="G41" s="19">
        <v>0.88343657779439999</v>
      </c>
      <c r="H41" s="19">
        <v>0.87075523409242972</v>
      </c>
      <c r="I41" s="19">
        <v>1.6770998241114582E-2</v>
      </c>
      <c r="J41" s="19">
        <v>0.89397814954597565</v>
      </c>
      <c r="K41" s="19">
        <v>1.5886202338098201E-2</v>
      </c>
      <c r="L41" s="19"/>
      <c r="M41" s="19"/>
      <c r="N41" s="19"/>
      <c r="O41" s="19"/>
      <c r="P41" s="19"/>
    </row>
    <row r="42" spans="2:16" x14ac:dyDescent="0.2">
      <c r="B42" t="s">
        <v>595</v>
      </c>
      <c r="C42" t="s">
        <v>408</v>
      </c>
      <c r="D42" s="18">
        <v>42374.458680555559</v>
      </c>
      <c r="E42" t="s">
        <v>168</v>
      </c>
      <c r="F42" s="19">
        <v>0.96294267934005218</v>
      </c>
      <c r="G42" s="19">
        <v>0.93321878211716336</v>
      </c>
      <c r="H42" s="19">
        <v>0.94899377198939872</v>
      </c>
      <c r="I42" s="19">
        <v>3.4197020275535547E-2</v>
      </c>
      <c r="J42" s="19">
        <v>0.9095791342628704</v>
      </c>
      <c r="K42" s="19">
        <v>4.8814972416533139E-2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408</v>
      </c>
      <c r="C44" t="s">
        <v>408</v>
      </c>
      <c r="D44" s="18">
        <v>42374.458680555559</v>
      </c>
      <c r="E44" t="s">
        <v>669</v>
      </c>
      <c r="F44" s="19">
        <v>0.95328805892639512</v>
      </c>
      <c r="G44" s="19">
        <v>0.8880115344826045</v>
      </c>
      <c r="H44" s="19">
        <v>0.90781945305034695</v>
      </c>
      <c r="I44" s="19">
        <v>1.5941174696001072E-2</v>
      </c>
      <c r="J44" s="19">
        <v>0.93406046148647615</v>
      </c>
      <c r="K44" s="19">
        <v>1.525307463992462E-2</v>
      </c>
      <c r="L44" s="19"/>
      <c r="M44" s="19"/>
      <c r="N44" s="19"/>
      <c r="O44" s="19"/>
      <c r="P44" s="19"/>
    </row>
    <row r="45" spans="2:16" x14ac:dyDescent="0.2">
      <c r="B45" t="s">
        <v>213</v>
      </c>
      <c r="C45" t="s">
        <v>373</v>
      </c>
      <c r="D45" s="18">
        <v>42374.458680555559</v>
      </c>
      <c r="E45" t="s">
        <v>102</v>
      </c>
      <c r="F45" s="19">
        <v>0.96772408735050564</v>
      </c>
      <c r="G45" s="19">
        <v>0.93488888053247077</v>
      </c>
      <c r="H45" s="19">
        <v>0.86094930004569425</v>
      </c>
      <c r="I45" s="19">
        <v>5.1128656528516031E-2</v>
      </c>
      <c r="J45" s="19">
        <v>0.89468325884570687</v>
      </c>
      <c r="K45" s="19">
        <v>5.2004402500186231E-2</v>
      </c>
      <c r="L45" s="19">
        <v>0.91294528988622348</v>
      </c>
      <c r="M45" s="19">
        <v>0.93017667772598667</v>
      </c>
      <c r="N45" s="19">
        <v>4.3386517725416809E-2</v>
      </c>
      <c r="O45" s="19">
        <v>0.92519699830758606</v>
      </c>
      <c r="P45" s="19">
        <v>4.881325786853296E-2</v>
      </c>
    </row>
    <row r="46" spans="2:16" x14ac:dyDescent="0.2">
      <c r="B46" t="s">
        <v>530</v>
      </c>
      <c r="C46" t="s">
        <v>373</v>
      </c>
      <c r="D46" s="18">
        <v>42374.458680555559</v>
      </c>
      <c r="E46" t="s">
        <v>102</v>
      </c>
      <c r="F46" s="19">
        <v>0.96772408735050564</v>
      </c>
      <c r="G46" s="19">
        <v>0.93488888053247077</v>
      </c>
      <c r="H46" s="19">
        <v>0.86094930004569425</v>
      </c>
      <c r="I46" s="19">
        <v>5.1128656528516031E-2</v>
      </c>
      <c r="J46" s="19">
        <v>0.89468325884570687</v>
      </c>
      <c r="K46" s="19">
        <v>5.2004402500186231E-2</v>
      </c>
      <c r="L46" s="19">
        <v>0.91294528988622348</v>
      </c>
      <c r="M46" s="19">
        <v>0.93017667772598667</v>
      </c>
      <c r="N46" s="19">
        <v>4.3386517725416809E-2</v>
      </c>
      <c r="O46" s="19">
        <v>0.92519699830758606</v>
      </c>
      <c r="P46" s="19">
        <v>4.881325786853296E-2</v>
      </c>
    </row>
    <row r="47" spans="2:16" x14ac:dyDescent="0.2">
      <c r="B47" t="s">
        <v>599</v>
      </c>
      <c r="C47" t="s">
        <v>408</v>
      </c>
      <c r="D47" s="18">
        <v>42374.458680555559</v>
      </c>
      <c r="E47" t="s">
        <v>170</v>
      </c>
      <c r="F47" s="19">
        <v>0.97033674714176288</v>
      </c>
      <c r="G47" s="19">
        <v>0.86083160304530681</v>
      </c>
      <c r="H47" s="19">
        <v>0.89588482791198421</v>
      </c>
      <c r="I47" s="19">
        <v>5.09728347936673E-2</v>
      </c>
      <c r="J47" s="19">
        <v>0.93008657218889712</v>
      </c>
      <c r="K47" s="19">
        <v>4.3639410526307924E-2</v>
      </c>
      <c r="L47" s="19"/>
      <c r="M47" s="19"/>
      <c r="N47" s="19"/>
      <c r="O47" s="19"/>
      <c r="P47" s="19"/>
    </row>
    <row r="48" spans="2:16" x14ac:dyDescent="0.2">
      <c r="B48" t="s">
        <v>533</v>
      </c>
      <c r="C48" t="s">
        <v>373</v>
      </c>
      <c r="D48" s="18">
        <v>42374.458680555559</v>
      </c>
      <c r="E48" t="s">
        <v>145</v>
      </c>
      <c r="F48" s="19">
        <v>0.89264644170719065</v>
      </c>
      <c r="G48" s="19">
        <v>0.86267918932278809</v>
      </c>
      <c r="H48" s="19">
        <v>0.89501628148136447</v>
      </c>
      <c r="I48" s="19">
        <v>4.7987089016772587E-2</v>
      </c>
      <c r="J48" s="19">
        <v>0.89272950754772717</v>
      </c>
      <c r="K48" s="19">
        <v>6.1393887445169708E-2</v>
      </c>
      <c r="L48" s="19"/>
      <c r="M48" s="19"/>
      <c r="N48" s="19"/>
      <c r="O48" s="19"/>
      <c r="P48" s="19"/>
    </row>
    <row r="49" spans="2:16" x14ac:dyDescent="0.2">
      <c r="B49" t="s">
        <v>607</v>
      </c>
      <c r="C49" t="s">
        <v>408</v>
      </c>
      <c r="D49" s="18">
        <v>42374.458680555559</v>
      </c>
      <c r="E49" t="s">
        <v>173</v>
      </c>
      <c r="F49" s="19">
        <v>0.88206653692624859</v>
      </c>
      <c r="G49" s="19">
        <v>0.83834526650755758</v>
      </c>
      <c r="H49" s="19">
        <v>0.90719080781192563</v>
      </c>
      <c r="I49" s="19">
        <v>4.7938081606358478E-2</v>
      </c>
      <c r="J49" s="19">
        <v>0.9398631366609278</v>
      </c>
      <c r="K49" s="19">
        <v>4.0495378490909249E-2</v>
      </c>
      <c r="L49" s="19"/>
      <c r="M49" s="19"/>
      <c r="N49" s="19"/>
      <c r="O49" s="19"/>
      <c r="P49" s="19"/>
    </row>
    <row r="50" spans="2:16" x14ac:dyDescent="0.2">
      <c r="B50" t="s">
        <v>518</v>
      </c>
      <c r="C50" t="s">
        <v>373</v>
      </c>
      <c r="D50" s="18">
        <v>42374.458680555559</v>
      </c>
      <c r="E50" t="s">
        <v>140</v>
      </c>
      <c r="F50" s="19">
        <v>0.97846077807786269</v>
      </c>
      <c r="G50" s="19">
        <v>0.9234382194934766</v>
      </c>
      <c r="H50" s="19">
        <v>0.86546179515091071</v>
      </c>
      <c r="I50" s="19">
        <v>6.1458675408162765E-2</v>
      </c>
      <c r="J50" s="19">
        <v>0.96440821256038634</v>
      </c>
      <c r="K50" s="19">
        <v>2.9057881010602388E-2</v>
      </c>
      <c r="L50" s="19"/>
      <c r="M50" s="19"/>
      <c r="N50" s="19"/>
      <c r="O50" s="19"/>
      <c r="P50" s="19"/>
    </row>
    <row r="51" spans="2:16" x14ac:dyDescent="0.2">
      <c r="B51" t="s">
        <v>615</v>
      </c>
      <c r="C51" t="s">
        <v>408</v>
      </c>
      <c r="D51" s="18">
        <v>42374.458680555559</v>
      </c>
      <c r="E51" t="s">
        <v>177</v>
      </c>
      <c r="F51" s="19">
        <v>0.9152060116563574</v>
      </c>
      <c r="G51" s="19">
        <v>0.8514619883040937</v>
      </c>
      <c r="H51" s="19">
        <v>0.89313917513645757</v>
      </c>
      <c r="I51" s="19">
        <v>5.1597823076428358E-2</v>
      </c>
      <c r="J51" s="19">
        <v>0.95163276842108957</v>
      </c>
      <c r="K51" s="19">
        <v>3.5118189744587053E-2</v>
      </c>
      <c r="L51" s="19"/>
      <c r="M51" s="19"/>
      <c r="N51" s="19"/>
      <c r="O51" s="19"/>
      <c r="P51" s="19"/>
    </row>
    <row r="52" spans="2:16" x14ac:dyDescent="0.2">
      <c r="B52" t="s">
        <v>539</v>
      </c>
      <c r="C52" t="s">
        <v>373</v>
      </c>
      <c r="D52" s="18">
        <v>42374.458680555559</v>
      </c>
      <c r="E52" t="s">
        <v>106</v>
      </c>
      <c r="F52" s="19">
        <v>0.95152562622882364</v>
      </c>
      <c r="G52" s="19">
        <v>0.82786320862979113</v>
      </c>
      <c r="H52" s="19">
        <v>0.90482226030999069</v>
      </c>
      <c r="I52" s="19">
        <v>4.7945896177201491E-2</v>
      </c>
      <c r="J52" s="19">
        <v>0.91252981744131167</v>
      </c>
      <c r="K52" s="19">
        <v>4.3477177312269008E-2</v>
      </c>
      <c r="L52" s="19"/>
      <c r="M52" s="19"/>
      <c r="N52" s="19"/>
      <c r="O52" s="19"/>
      <c r="P52" s="19"/>
    </row>
    <row r="53" spans="2:16" x14ac:dyDescent="0.2">
      <c r="B53" t="s">
        <v>592</v>
      </c>
      <c r="C53" t="s">
        <v>389</v>
      </c>
      <c r="D53" s="18">
        <v>42374.458680555559</v>
      </c>
      <c r="E53" t="s">
        <v>167</v>
      </c>
      <c r="F53" s="19">
        <v>0.96758651574347176</v>
      </c>
      <c r="G53" s="19">
        <v>0.92664092664092668</v>
      </c>
      <c r="H53" s="19">
        <v>0.91584536820192564</v>
      </c>
      <c r="I53" s="19">
        <v>4.1989562474995738E-2</v>
      </c>
      <c r="J53" s="19">
        <v>0.95739158298808325</v>
      </c>
      <c r="K53" s="19">
        <v>3.150656932999759E-2</v>
      </c>
      <c r="L53" s="252"/>
      <c r="M53" s="252"/>
      <c r="N53" s="252"/>
      <c r="O53" s="252"/>
      <c r="P53" s="252"/>
    </row>
    <row r="54" spans="2:16" x14ac:dyDescent="0.2">
      <c r="B54" t="s">
        <v>628</v>
      </c>
      <c r="C54" t="s">
        <v>408</v>
      </c>
      <c r="D54" s="18">
        <v>42374.458680555559</v>
      </c>
      <c r="E54" t="s">
        <v>182</v>
      </c>
      <c r="F54" s="19">
        <v>0.97210875607030156</v>
      </c>
      <c r="G54" s="19">
        <v>0.82433043392795713</v>
      </c>
      <c r="H54" s="19">
        <v>0.88497587172823344</v>
      </c>
      <c r="I54" s="19">
        <v>4.2893779318932845E-2</v>
      </c>
      <c r="J54" s="19">
        <v>0.93916164147185455</v>
      </c>
      <c r="K54" s="19">
        <v>4.0370772834936307E-2</v>
      </c>
      <c r="L54" s="19"/>
      <c r="M54" s="19"/>
      <c r="N54" s="19"/>
      <c r="O54" s="19"/>
      <c r="P54" s="19"/>
    </row>
    <row r="55" spans="2:16" x14ac:dyDescent="0.2">
      <c r="B55" t="s">
        <v>617</v>
      </c>
      <c r="C55" t="s">
        <v>384</v>
      </c>
      <c r="D55" s="18">
        <v>42374.458680555559</v>
      </c>
      <c r="E55" t="s">
        <v>178</v>
      </c>
      <c r="F55" s="19">
        <v>0.95311336444815997</v>
      </c>
      <c r="G55" s="19">
        <v>0.95987403494514423</v>
      </c>
      <c r="H55" s="19">
        <v>0.87859865737663212</v>
      </c>
      <c r="I55" s="19">
        <v>4.8913730725727189E-2</v>
      </c>
      <c r="J55" s="19">
        <v>0.86926290446412091</v>
      </c>
      <c r="K55" s="19">
        <v>5.5930811021387188E-2</v>
      </c>
      <c r="L55" s="19"/>
      <c r="M55" s="19"/>
      <c r="N55" s="19"/>
      <c r="O55" s="19"/>
      <c r="P55" s="19"/>
    </row>
    <row r="56" spans="2:16" x14ac:dyDescent="0.2">
      <c r="B56" t="s">
        <v>601</v>
      </c>
      <c r="C56" t="s">
        <v>408</v>
      </c>
      <c r="D56" s="18">
        <v>42374.458680555559</v>
      </c>
      <c r="E56" t="s">
        <v>171</v>
      </c>
      <c r="F56" s="19">
        <v>0.95349549194089434</v>
      </c>
      <c r="G56" s="19">
        <v>0.91555691999818067</v>
      </c>
      <c r="H56" s="19">
        <v>0.92515215994231792</v>
      </c>
      <c r="I56" s="19">
        <v>3.8736358754112958E-2</v>
      </c>
      <c r="J56" s="19">
        <v>0.94596726414504961</v>
      </c>
      <c r="K56" s="19">
        <v>3.6999518770433115E-2</v>
      </c>
      <c r="L56" s="19"/>
      <c r="M56" s="19"/>
      <c r="N56" s="19"/>
      <c r="O56" s="19"/>
      <c r="P56" s="19"/>
    </row>
    <row r="57" spans="2:16" x14ac:dyDescent="0.2">
      <c r="B57" t="s">
        <v>639</v>
      </c>
      <c r="C57" t="s">
        <v>394</v>
      </c>
      <c r="D57" s="18">
        <v>42374.458680555559</v>
      </c>
      <c r="E57" t="s">
        <v>187</v>
      </c>
      <c r="F57" s="19">
        <v>0.910024646647553</v>
      </c>
      <c r="G57" s="19">
        <v>0.93712035995500576</v>
      </c>
      <c r="H57" s="19">
        <v>0.94087408895413216</v>
      </c>
      <c r="I57" s="19">
        <v>3.8048872007494412E-2</v>
      </c>
      <c r="J57" s="19">
        <v>0.93922366020526737</v>
      </c>
      <c r="K57" s="19">
        <v>3.6351795341703193E-2</v>
      </c>
      <c r="L57" s="19"/>
      <c r="M57" s="19"/>
      <c r="N57" s="19"/>
      <c r="O57" s="19"/>
      <c r="P57" s="19"/>
    </row>
    <row r="58" spans="2:16" x14ac:dyDescent="0.2">
      <c r="B58" t="s">
        <v>384</v>
      </c>
      <c r="C58" t="s">
        <v>384</v>
      </c>
      <c r="D58" s="18">
        <v>42374.458680555559</v>
      </c>
      <c r="E58" t="s">
        <v>665</v>
      </c>
      <c r="F58" s="19">
        <v>0.94873625439757014</v>
      </c>
      <c r="G58" s="19">
        <v>0.89717046357132768</v>
      </c>
      <c r="H58" s="19">
        <v>0.90588098061530897</v>
      </c>
      <c r="I58" s="19">
        <v>2.0602571827564021E-2</v>
      </c>
      <c r="J58" s="19">
        <v>0.88894016447813529</v>
      </c>
      <c r="K58" s="19">
        <v>2.6878714908559687E-2</v>
      </c>
      <c r="L58" s="19"/>
      <c r="M58" s="19"/>
      <c r="N58" s="19"/>
      <c r="O58" s="19"/>
      <c r="P58" s="19"/>
    </row>
    <row r="59" spans="2:16" x14ac:dyDescent="0.2">
      <c r="B59" t="s">
        <v>578</v>
      </c>
      <c r="C59" t="s">
        <v>394</v>
      </c>
      <c r="D59" s="18">
        <v>42374.458680555559</v>
      </c>
      <c r="E59" t="s">
        <v>161</v>
      </c>
      <c r="F59" s="19">
        <v>0.97823187234309328</v>
      </c>
      <c r="G59" s="19">
        <v>0.98217246205188924</v>
      </c>
      <c r="H59" s="19">
        <v>0.9203918640471862</v>
      </c>
      <c r="I59" s="19">
        <v>4.1042321720226767E-2</v>
      </c>
      <c r="J59" s="19">
        <v>0.88857707118716878</v>
      </c>
      <c r="K59" s="19">
        <v>5.030346262783169E-2</v>
      </c>
      <c r="L59" s="19"/>
      <c r="M59" s="19"/>
      <c r="N59" s="19"/>
      <c r="O59" s="19"/>
      <c r="P59" s="19"/>
    </row>
    <row r="60" spans="2:16" x14ac:dyDescent="0.2">
      <c r="B60" t="s">
        <v>215</v>
      </c>
      <c r="C60" t="s">
        <v>394</v>
      </c>
      <c r="D60" s="18">
        <v>42374.458680555559</v>
      </c>
      <c r="E60" t="s">
        <v>164</v>
      </c>
      <c r="F60" s="19">
        <v>0.97871948258719621</v>
      </c>
      <c r="G60" s="19">
        <v>0.93965241338245709</v>
      </c>
      <c r="H60" s="19">
        <v>0.95013162904101178</v>
      </c>
      <c r="I60" s="19">
        <v>3.5584169863787596E-2</v>
      </c>
      <c r="J60" s="19">
        <v>0.876896724869484</v>
      </c>
      <c r="K60" s="19">
        <v>5.653014573817039E-2</v>
      </c>
      <c r="L60" s="19">
        <v>1</v>
      </c>
      <c r="M60" s="19">
        <v>0.99564297054154172</v>
      </c>
      <c r="N60" s="19">
        <v>6.4823634343978394E-3</v>
      </c>
      <c r="O60" s="19">
        <v>0.99094843130183918</v>
      </c>
      <c r="P60" s="19">
        <v>1.3483231278089036E-2</v>
      </c>
    </row>
    <row r="61" spans="2:16" x14ac:dyDescent="0.2">
      <c r="B61" t="s">
        <v>584</v>
      </c>
      <c r="C61" t="s">
        <v>394</v>
      </c>
      <c r="D61" s="18">
        <v>42374.458680555559</v>
      </c>
      <c r="E61" t="s">
        <v>164</v>
      </c>
      <c r="F61" s="19">
        <v>0.97871948258719621</v>
      </c>
      <c r="G61" s="19">
        <v>0.93965241338245709</v>
      </c>
      <c r="H61" s="19">
        <v>0.95013162904101178</v>
      </c>
      <c r="I61" s="19">
        <v>3.5584169863787596E-2</v>
      </c>
      <c r="J61" s="19">
        <v>0.876896724869484</v>
      </c>
      <c r="K61" s="19">
        <v>5.653014573817039E-2</v>
      </c>
      <c r="L61" s="19">
        <v>1</v>
      </c>
      <c r="M61" s="19">
        <v>0.99564297054154172</v>
      </c>
      <c r="N61" s="19">
        <v>6.4823634343978394E-3</v>
      </c>
      <c r="O61" s="19">
        <v>0.99094843130183918</v>
      </c>
      <c r="P61" s="19">
        <v>1.3483231278089036E-2</v>
      </c>
    </row>
    <row r="62" spans="2:16" x14ac:dyDescent="0.2">
      <c r="B62" t="s">
        <v>545</v>
      </c>
      <c r="C62" t="s">
        <v>384</v>
      </c>
      <c r="D62" s="18">
        <v>42374.458680555559</v>
      </c>
      <c r="E62" t="s">
        <v>149</v>
      </c>
      <c r="F62" s="19">
        <v>0.92302944402668807</v>
      </c>
      <c r="G62" s="19">
        <v>0.82688146304098042</v>
      </c>
      <c r="H62" s="19">
        <v>0.86802281536617132</v>
      </c>
      <c r="I62" s="19">
        <v>5.5609707904932006E-2</v>
      </c>
      <c r="J62" s="19">
        <v>0.87015171720815121</v>
      </c>
      <c r="K62" s="19">
        <v>5.838166457889251E-2</v>
      </c>
      <c r="L62" s="19"/>
      <c r="M62" s="19"/>
      <c r="N62" s="19"/>
      <c r="O62" s="19"/>
      <c r="P62" s="19"/>
    </row>
    <row r="63" spans="2:16" x14ac:dyDescent="0.2">
      <c r="B63" t="s">
        <v>631</v>
      </c>
      <c r="C63" t="s">
        <v>373</v>
      </c>
      <c r="D63" s="18">
        <v>42374.458680555559</v>
      </c>
      <c r="E63" t="s">
        <v>183</v>
      </c>
      <c r="F63" s="19">
        <v>0.97482626361856239</v>
      </c>
      <c r="G63" s="19">
        <v>0.93310924369747905</v>
      </c>
      <c r="H63" s="19">
        <v>0.87728844491403335</v>
      </c>
      <c r="I63" s="19">
        <v>5.8404860319807954E-2</v>
      </c>
      <c r="J63" s="19">
        <v>0.96138227536418208</v>
      </c>
      <c r="K63" s="19">
        <v>3.768486353500286E-2</v>
      </c>
      <c r="L63" s="19"/>
      <c r="M63" s="19"/>
      <c r="N63" s="19"/>
      <c r="O63" s="19"/>
      <c r="P63" s="19"/>
    </row>
    <row r="64" spans="2:16" x14ac:dyDescent="0.2">
      <c r="B64" t="s">
        <v>700</v>
      </c>
      <c r="C64" t="s">
        <v>6</v>
      </c>
      <c r="D64" s="18">
        <v>42374.458680555559</v>
      </c>
      <c r="E64" t="s">
        <v>441</v>
      </c>
      <c r="F64" s="19"/>
      <c r="G64" s="19"/>
      <c r="H64" s="19"/>
      <c r="I64" s="19"/>
      <c r="J64" s="19"/>
      <c r="K64" s="19"/>
      <c r="L64" s="19">
        <v>0.97160112937304843</v>
      </c>
      <c r="M64" s="19">
        <v>0.96163913115719257</v>
      </c>
      <c r="N64" s="19">
        <v>1.7703075779040064E-2</v>
      </c>
      <c r="O64" s="19">
        <v>0.96424101944600116</v>
      </c>
      <c r="P64" s="19">
        <v>1.8811832979832133E-2</v>
      </c>
    </row>
    <row r="65" spans="2:16" x14ac:dyDescent="0.2">
      <c r="B65" t="s">
        <v>702</v>
      </c>
      <c r="C65" t="s">
        <v>6</v>
      </c>
      <c r="D65" s="18">
        <v>42374.458680555559</v>
      </c>
      <c r="E65" t="s">
        <v>441</v>
      </c>
      <c r="F65" s="19">
        <v>0.95793074625683206</v>
      </c>
      <c r="G65" s="19">
        <v>0.89500092594819125</v>
      </c>
      <c r="H65" s="19">
        <v>0.90338038648447916</v>
      </c>
      <c r="I65" s="19">
        <v>7.5234859257471247E-3</v>
      </c>
      <c r="J65" s="19">
        <v>0.9085906670232986</v>
      </c>
      <c r="K65" s="19">
        <v>8.7967662163893571E-3</v>
      </c>
      <c r="L65" s="19">
        <v>0.97160112937304843</v>
      </c>
      <c r="M65" s="19">
        <v>0.96163913115719257</v>
      </c>
      <c r="N65" s="19">
        <v>1.7703075779040064E-2</v>
      </c>
      <c r="O65" s="19">
        <v>0.96424101944600116</v>
      </c>
      <c r="P65" s="19">
        <v>1.8811832979832133E-2</v>
      </c>
    </row>
    <row r="66" spans="2:16" x14ac:dyDescent="0.2">
      <c r="B66" t="s">
        <v>609</v>
      </c>
      <c r="C66" t="s">
        <v>389</v>
      </c>
      <c r="D66" s="18">
        <v>42374.458680555559</v>
      </c>
      <c r="E66" t="s">
        <v>174</v>
      </c>
      <c r="F66" s="19">
        <v>0.95464857956433213</v>
      </c>
      <c r="G66" s="19">
        <v>0.84110880478415528</v>
      </c>
      <c r="H66" s="19">
        <v>0.90528507070083752</v>
      </c>
      <c r="I66" s="19">
        <v>4.3428021747033085E-2</v>
      </c>
      <c r="J66" s="19">
        <v>0.91245865527221159</v>
      </c>
      <c r="K66" s="19">
        <v>4.7151448937631242E-2</v>
      </c>
      <c r="L66" s="19"/>
      <c r="M66" s="19"/>
      <c r="N66" s="19"/>
      <c r="O66" s="19"/>
      <c r="P66" s="19"/>
    </row>
    <row r="67" spans="2:16" x14ac:dyDescent="0.2">
      <c r="B67" t="s">
        <v>674</v>
      </c>
      <c r="C67" t="s">
        <v>373</v>
      </c>
      <c r="D67" s="18">
        <v>42374.458680555559</v>
      </c>
      <c r="E67" t="s">
        <v>673</v>
      </c>
      <c r="F67" s="152">
        <v>0.96179735427129587</v>
      </c>
      <c r="G67" s="152">
        <v>0.91046501849983186</v>
      </c>
      <c r="H67" s="152">
        <v>0.90769673874512591</v>
      </c>
      <c r="I67" s="152">
        <v>0.10188268184589766</v>
      </c>
      <c r="J67" s="152">
        <v>0.81546744318342723</v>
      </c>
      <c r="K67" s="152">
        <v>3.980384430997766E-2</v>
      </c>
      <c r="L67" s="152"/>
      <c r="M67" s="152"/>
      <c r="N67" s="152"/>
      <c r="O67" s="152"/>
      <c r="P67" s="152"/>
    </row>
    <row r="68" spans="2:16" x14ac:dyDescent="0.2">
      <c r="B68" t="s">
        <v>633</v>
      </c>
      <c r="C68" t="s">
        <v>373</v>
      </c>
      <c r="D68" s="18">
        <v>42374.458680555559</v>
      </c>
      <c r="E68" t="s">
        <v>92</v>
      </c>
      <c r="F68" s="152">
        <v>0.89788239917700241</v>
      </c>
      <c r="G68" s="152">
        <v>0.81767887878042766</v>
      </c>
      <c r="H68" s="152">
        <v>0.82574129396003926</v>
      </c>
      <c r="I68" s="152">
        <v>5.3492724060872091E-2</v>
      </c>
      <c r="J68" s="152">
        <v>0.89697304195543626</v>
      </c>
      <c r="K68" s="152">
        <v>3.9208575895078542E-2</v>
      </c>
      <c r="L68" s="152"/>
      <c r="M68" s="152"/>
      <c r="N68" s="152"/>
      <c r="O68" s="152"/>
      <c r="P68" s="152"/>
    </row>
    <row r="69" spans="2:16" x14ac:dyDescent="0.2">
      <c r="B69" t="s">
        <v>643</v>
      </c>
      <c r="C69" t="s">
        <v>394</v>
      </c>
      <c r="D69" s="18">
        <v>42374.458680555559</v>
      </c>
      <c r="E69" t="s">
        <v>188</v>
      </c>
      <c r="F69" s="152">
        <v>0.95669168230143831</v>
      </c>
      <c r="G69" s="152">
        <v>0.88987641780937876</v>
      </c>
      <c r="H69" s="152">
        <v>0.93224815313155673</v>
      </c>
      <c r="I69" s="152">
        <v>4.003131093348429E-2</v>
      </c>
      <c r="J69" s="152">
        <v>0.90713323760954589</v>
      </c>
      <c r="K69" s="152">
        <v>5.9600314474417715E-2</v>
      </c>
      <c r="L69" s="152"/>
      <c r="M69" s="152"/>
      <c r="N69" s="152"/>
      <c r="O69" s="152"/>
      <c r="P69" s="152"/>
    </row>
    <row r="70" spans="2:16" x14ac:dyDescent="0.2">
      <c r="B70" t="s">
        <v>647</v>
      </c>
      <c r="C70" t="s">
        <v>373</v>
      </c>
      <c r="D70" s="18">
        <v>42374.458680555559</v>
      </c>
      <c r="E70" t="s">
        <v>190</v>
      </c>
      <c r="F70" s="152">
        <v>0.92686134555715871</v>
      </c>
      <c r="G70" s="152">
        <v>0.82216603455541515</v>
      </c>
      <c r="H70" s="152">
        <v>0.86779042182519106</v>
      </c>
      <c r="I70" s="152">
        <v>4.6849540436246569E-2</v>
      </c>
      <c r="J70" s="152">
        <v>0.88755736108471039</v>
      </c>
      <c r="K70" s="152">
        <v>5.0868954657902206E-2</v>
      </c>
      <c r="L70" s="152"/>
      <c r="M70" s="152"/>
      <c r="N70" s="152"/>
      <c r="O70" s="152"/>
      <c r="P70" s="152"/>
    </row>
    <row r="71" spans="2:16" x14ac:dyDescent="0.2">
      <c r="B71" t="s">
        <v>547</v>
      </c>
      <c r="C71" t="s">
        <v>373</v>
      </c>
      <c r="D71" s="18">
        <v>42374.458680555559</v>
      </c>
      <c r="E71" t="s">
        <v>150</v>
      </c>
      <c r="F71" s="152">
        <v>0.96590175676835222</v>
      </c>
      <c r="G71" s="152">
        <v>0.85800305184114367</v>
      </c>
      <c r="H71" s="152">
        <v>0.82970171691976191</v>
      </c>
      <c r="I71" s="152">
        <v>5.3853925693320551E-2</v>
      </c>
      <c r="J71" s="152">
        <v>0.94813896229333006</v>
      </c>
      <c r="K71" s="152">
        <v>3.6797931644336403E-2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954</v>
      </c>
      <c r="C2" t="s">
        <v>955</v>
      </c>
      <c r="D2" t="s">
        <v>136</v>
      </c>
      <c r="F2" t="s">
        <v>949</v>
      </c>
      <c r="G2" t="s">
        <v>936</v>
      </c>
      <c r="H2" t="s">
        <v>937</v>
      </c>
      <c r="I2" t="s">
        <v>938</v>
      </c>
      <c r="J2" t="s">
        <v>939</v>
      </c>
      <c r="K2" t="s">
        <v>940</v>
      </c>
      <c r="L2" t="s">
        <v>941</v>
      </c>
      <c r="M2" t="s">
        <v>942</v>
      </c>
      <c r="N2" t="s">
        <v>943</v>
      </c>
      <c r="O2" t="s">
        <v>944</v>
      </c>
      <c r="P2" t="s">
        <v>945</v>
      </c>
      <c r="Q2" t="s">
        <v>946</v>
      </c>
      <c r="R2" t="s">
        <v>947</v>
      </c>
      <c r="S2" t="s">
        <v>948</v>
      </c>
      <c r="V2" t="s">
        <v>950</v>
      </c>
      <c r="W2" t="s">
        <v>936</v>
      </c>
      <c r="X2" t="s">
        <v>937</v>
      </c>
      <c r="Y2" t="s">
        <v>938</v>
      </c>
      <c r="Z2" t="s">
        <v>939</v>
      </c>
      <c r="AA2" t="s">
        <v>940</v>
      </c>
      <c r="AB2" t="s">
        <v>941</v>
      </c>
      <c r="AC2" t="s">
        <v>942</v>
      </c>
      <c r="AD2" t="s">
        <v>943</v>
      </c>
      <c r="AE2" t="s">
        <v>944</v>
      </c>
      <c r="AF2" t="s">
        <v>945</v>
      </c>
      <c r="AG2" t="s">
        <v>946</v>
      </c>
      <c r="AH2" t="s">
        <v>947</v>
      </c>
      <c r="AI2" t="s">
        <v>948</v>
      </c>
      <c r="AL2" t="s">
        <v>951</v>
      </c>
      <c r="AM2" t="s">
        <v>936</v>
      </c>
      <c r="AN2" t="s">
        <v>937</v>
      </c>
      <c r="AO2" t="s">
        <v>938</v>
      </c>
      <c r="AP2" t="s">
        <v>939</v>
      </c>
      <c r="AQ2" t="s">
        <v>940</v>
      </c>
      <c r="AR2" t="s">
        <v>941</v>
      </c>
      <c r="AS2" t="s">
        <v>942</v>
      </c>
      <c r="AT2" t="s">
        <v>943</v>
      </c>
      <c r="AU2" t="s">
        <v>944</v>
      </c>
      <c r="AV2" t="s">
        <v>945</v>
      </c>
      <c r="AW2" t="s">
        <v>946</v>
      </c>
      <c r="AX2" t="s">
        <v>947</v>
      </c>
      <c r="AY2" t="s">
        <v>948</v>
      </c>
    </row>
    <row r="3" spans="2:51" x14ac:dyDescent="0.2">
      <c r="B3" t="s">
        <v>957</v>
      </c>
      <c r="C3">
        <v>397957</v>
      </c>
      <c r="D3">
        <v>424.6103247524</v>
      </c>
      <c r="F3" t="s">
        <v>8</v>
      </c>
      <c r="G3">
        <v>10864</v>
      </c>
      <c r="P3">
        <v>10864</v>
      </c>
      <c r="Q3">
        <v>187.4651505386</v>
      </c>
      <c r="V3" t="s">
        <v>312</v>
      </c>
      <c r="W3">
        <v>423</v>
      </c>
      <c r="X3">
        <v>292</v>
      </c>
      <c r="Y3">
        <v>343.51712328769997</v>
      </c>
      <c r="Z3">
        <v>33</v>
      </c>
      <c r="AA3">
        <v>626.36363636359999</v>
      </c>
      <c r="AB3">
        <v>78</v>
      </c>
      <c r="AC3">
        <v>585.98717948720002</v>
      </c>
      <c r="AD3">
        <v>35</v>
      </c>
      <c r="AE3">
        <v>718.68571428569999</v>
      </c>
      <c r="AF3">
        <v>17</v>
      </c>
      <c r="AG3">
        <v>235</v>
      </c>
      <c r="AH3">
        <v>1</v>
      </c>
      <c r="AI3">
        <v>201</v>
      </c>
      <c r="AL3" t="s">
        <v>312</v>
      </c>
      <c r="AM3">
        <v>8</v>
      </c>
      <c r="AN3">
        <v>4</v>
      </c>
      <c r="AO3">
        <v>526.25</v>
      </c>
      <c r="AP3">
        <v>2</v>
      </c>
      <c r="AQ3">
        <v>259</v>
      </c>
      <c r="AR3">
        <v>2</v>
      </c>
      <c r="AS3">
        <v>371</v>
      </c>
      <c r="AT3">
        <v>2</v>
      </c>
      <c r="AU3">
        <v>87.5</v>
      </c>
    </row>
    <row r="4" spans="2:51" x14ac:dyDescent="0.2">
      <c r="B4" t="s">
        <v>956</v>
      </c>
      <c r="C4">
        <v>36250</v>
      </c>
      <c r="D4">
        <v>424.6103247524</v>
      </c>
      <c r="F4" t="s">
        <v>8</v>
      </c>
      <c r="G4">
        <v>10864</v>
      </c>
      <c r="P4">
        <v>10864</v>
      </c>
      <c r="Q4">
        <v>187.4651505386</v>
      </c>
      <c r="V4" t="s">
        <v>8</v>
      </c>
      <c r="W4">
        <v>4676</v>
      </c>
      <c r="X4">
        <v>3465</v>
      </c>
      <c r="Y4">
        <v>454.896073903</v>
      </c>
      <c r="Z4">
        <v>454</v>
      </c>
      <c r="AA4">
        <v>485.51762114540003</v>
      </c>
      <c r="AB4">
        <v>456</v>
      </c>
      <c r="AC4">
        <v>542.23026315790003</v>
      </c>
      <c r="AD4">
        <v>712</v>
      </c>
      <c r="AE4">
        <v>842.00561797750004</v>
      </c>
      <c r="AF4">
        <v>34</v>
      </c>
      <c r="AG4">
        <v>306.8529411765</v>
      </c>
      <c r="AH4">
        <v>9</v>
      </c>
      <c r="AI4">
        <v>315.7777777778</v>
      </c>
      <c r="AL4" t="s">
        <v>8</v>
      </c>
      <c r="AM4">
        <v>64</v>
      </c>
      <c r="AN4">
        <v>55</v>
      </c>
      <c r="AO4">
        <v>205.7272727273</v>
      </c>
      <c r="AP4">
        <v>5</v>
      </c>
      <c r="AQ4">
        <v>400.8</v>
      </c>
      <c r="AR4">
        <v>9</v>
      </c>
      <c r="AS4">
        <v>188.6666666667</v>
      </c>
    </row>
    <row r="5" spans="2:51" x14ac:dyDescent="0.2">
      <c r="B5" t="s">
        <v>968</v>
      </c>
      <c r="C5">
        <v>24176</v>
      </c>
      <c r="D5">
        <v>589.32470218399999</v>
      </c>
      <c r="F5" t="s">
        <v>46</v>
      </c>
      <c r="G5">
        <v>617</v>
      </c>
      <c r="H5">
        <v>509</v>
      </c>
      <c r="I5">
        <v>252.36542239689999</v>
      </c>
      <c r="J5">
        <v>28</v>
      </c>
      <c r="K5">
        <v>558.32142857140002</v>
      </c>
      <c r="L5">
        <v>81</v>
      </c>
      <c r="M5">
        <v>233.97530864199999</v>
      </c>
      <c r="N5">
        <v>26</v>
      </c>
      <c r="O5">
        <v>255.1538461538</v>
      </c>
      <c r="R5">
        <v>1</v>
      </c>
      <c r="S5">
        <v>197</v>
      </c>
      <c r="V5" t="s">
        <v>8</v>
      </c>
      <c r="W5">
        <v>5099</v>
      </c>
      <c r="X5">
        <v>3757</v>
      </c>
      <c r="Y5">
        <v>446.23722044729999</v>
      </c>
      <c r="Z5">
        <v>487</v>
      </c>
      <c r="AA5">
        <v>495.0616016427</v>
      </c>
      <c r="AB5">
        <v>534</v>
      </c>
      <c r="AC5">
        <v>548.62172284639996</v>
      </c>
      <c r="AD5">
        <v>747</v>
      </c>
      <c r="AE5">
        <v>836.22757697459997</v>
      </c>
      <c r="AF5">
        <v>51</v>
      </c>
      <c r="AG5">
        <v>282.9019607843</v>
      </c>
      <c r="AH5">
        <v>10</v>
      </c>
      <c r="AI5">
        <v>304.3</v>
      </c>
      <c r="AL5" t="s">
        <v>8</v>
      </c>
      <c r="AM5">
        <v>72</v>
      </c>
      <c r="AN5">
        <v>59</v>
      </c>
      <c r="AO5">
        <v>227.45762711859999</v>
      </c>
      <c r="AP5">
        <v>7</v>
      </c>
      <c r="AQ5">
        <v>360.28571428570001</v>
      </c>
      <c r="AR5">
        <v>11</v>
      </c>
      <c r="AS5">
        <v>221.8181818182</v>
      </c>
      <c r="AT5">
        <v>2</v>
      </c>
      <c r="AU5">
        <v>87.5</v>
      </c>
    </row>
    <row r="6" spans="2:51" x14ac:dyDescent="0.2">
      <c r="B6" t="s">
        <v>244</v>
      </c>
      <c r="C6">
        <v>54202</v>
      </c>
      <c r="D6">
        <v>606.26764695029999</v>
      </c>
      <c r="F6" t="s">
        <v>40</v>
      </c>
      <c r="G6">
        <v>8248</v>
      </c>
      <c r="H6">
        <v>6406</v>
      </c>
      <c r="I6">
        <v>451.44021230099997</v>
      </c>
      <c r="J6">
        <v>250</v>
      </c>
      <c r="K6">
        <v>889.08399999999995</v>
      </c>
      <c r="L6">
        <v>1264</v>
      </c>
      <c r="M6">
        <v>594.78481012659995</v>
      </c>
      <c r="N6">
        <v>561</v>
      </c>
      <c r="O6">
        <v>609.76648841350004</v>
      </c>
      <c r="R6">
        <v>17</v>
      </c>
      <c r="S6">
        <v>760.23529411760001</v>
      </c>
      <c r="V6" t="s">
        <v>403</v>
      </c>
      <c r="W6">
        <v>1360</v>
      </c>
      <c r="X6">
        <v>703</v>
      </c>
      <c r="Y6">
        <v>169.39687055479999</v>
      </c>
      <c r="Z6">
        <v>217</v>
      </c>
      <c r="AA6">
        <v>319.2304147465</v>
      </c>
      <c r="AB6">
        <v>450</v>
      </c>
      <c r="AC6">
        <v>276.79333333329998</v>
      </c>
      <c r="AD6">
        <v>117</v>
      </c>
      <c r="AE6">
        <v>281.16239316240001</v>
      </c>
      <c r="AF6">
        <v>87</v>
      </c>
      <c r="AG6">
        <v>170.74712643679999</v>
      </c>
      <c r="AH6">
        <v>3</v>
      </c>
      <c r="AI6">
        <v>117.3333333333</v>
      </c>
      <c r="AL6" t="s">
        <v>403</v>
      </c>
      <c r="AM6">
        <v>28</v>
      </c>
      <c r="AN6">
        <v>20</v>
      </c>
      <c r="AO6">
        <v>139.30000000000001</v>
      </c>
      <c r="AP6">
        <v>13</v>
      </c>
      <c r="AQ6">
        <v>252.23076923080001</v>
      </c>
      <c r="AR6">
        <v>8</v>
      </c>
      <c r="AS6">
        <v>199.25</v>
      </c>
    </row>
    <row r="7" spans="2:51" x14ac:dyDescent="0.2">
      <c r="B7" t="s">
        <v>243</v>
      </c>
      <c r="C7">
        <v>235448</v>
      </c>
      <c r="D7">
        <v>403.49382847139998</v>
      </c>
      <c r="F7" t="s">
        <v>45</v>
      </c>
      <c r="G7">
        <v>5631</v>
      </c>
      <c r="H7">
        <v>3971</v>
      </c>
      <c r="I7">
        <v>397.81944094689999</v>
      </c>
      <c r="J7">
        <v>824</v>
      </c>
      <c r="K7">
        <v>492.79004854369998</v>
      </c>
      <c r="L7">
        <v>1070</v>
      </c>
      <c r="M7">
        <v>597.67476635510002</v>
      </c>
      <c r="N7">
        <v>577</v>
      </c>
      <c r="O7">
        <v>427.96187175040001</v>
      </c>
      <c r="R7">
        <v>13</v>
      </c>
      <c r="S7">
        <v>527.84615384619997</v>
      </c>
      <c r="V7" t="s">
        <v>395</v>
      </c>
      <c r="W7">
        <v>13576</v>
      </c>
      <c r="X7">
        <v>9954</v>
      </c>
      <c r="Y7">
        <v>638.06459714690004</v>
      </c>
      <c r="Z7">
        <v>613</v>
      </c>
      <c r="AA7">
        <v>1199.6557911908999</v>
      </c>
      <c r="AB7">
        <v>2543</v>
      </c>
      <c r="AC7">
        <v>1326.8006291781001</v>
      </c>
      <c r="AD7">
        <v>872</v>
      </c>
      <c r="AE7">
        <v>885.83371559629995</v>
      </c>
      <c r="AF7">
        <v>186</v>
      </c>
      <c r="AG7">
        <v>235.68279569890001</v>
      </c>
      <c r="AH7">
        <v>21</v>
      </c>
      <c r="AI7">
        <v>720.52380952379997</v>
      </c>
      <c r="AL7" t="s">
        <v>395</v>
      </c>
      <c r="AM7">
        <v>370</v>
      </c>
      <c r="AN7">
        <v>292</v>
      </c>
      <c r="AO7">
        <v>516.78082191780004</v>
      </c>
      <c r="AP7">
        <v>46</v>
      </c>
      <c r="AQ7">
        <v>960.76086956519998</v>
      </c>
      <c r="AR7">
        <v>72</v>
      </c>
      <c r="AS7">
        <v>491.3888888889</v>
      </c>
      <c r="AT7">
        <v>6</v>
      </c>
      <c r="AU7">
        <v>197.8333333333</v>
      </c>
    </row>
    <row r="8" spans="2:51" x14ac:dyDescent="0.2">
      <c r="B8" t="s">
        <v>245</v>
      </c>
      <c r="C8">
        <v>24924</v>
      </c>
      <c r="D8">
        <v>527.30124398069995</v>
      </c>
      <c r="F8" t="s">
        <v>53</v>
      </c>
      <c r="G8">
        <v>1111</v>
      </c>
      <c r="H8">
        <v>377</v>
      </c>
      <c r="I8">
        <v>89.419098143200003</v>
      </c>
      <c r="J8">
        <v>352</v>
      </c>
      <c r="K8">
        <v>226.71875</v>
      </c>
      <c r="L8">
        <v>509</v>
      </c>
      <c r="M8">
        <v>224.06679764239999</v>
      </c>
      <c r="N8">
        <v>223</v>
      </c>
      <c r="O8">
        <v>214.04035874440001</v>
      </c>
      <c r="R8">
        <v>2</v>
      </c>
      <c r="S8">
        <v>315</v>
      </c>
      <c r="V8" t="s">
        <v>426</v>
      </c>
      <c r="W8">
        <v>1359</v>
      </c>
      <c r="X8">
        <v>873</v>
      </c>
      <c r="Y8">
        <v>213.10652920960001</v>
      </c>
      <c r="Z8">
        <v>223</v>
      </c>
      <c r="AA8">
        <v>325.2421524664</v>
      </c>
      <c r="AB8">
        <v>197</v>
      </c>
      <c r="AC8">
        <v>127.7969543147</v>
      </c>
      <c r="AD8">
        <v>199</v>
      </c>
      <c r="AE8">
        <v>378.81407035180001</v>
      </c>
      <c r="AF8">
        <v>87</v>
      </c>
      <c r="AG8">
        <v>173.25287356320001</v>
      </c>
      <c r="AH8">
        <v>3</v>
      </c>
      <c r="AI8">
        <v>209.6666666667</v>
      </c>
      <c r="AL8" t="s">
        <v>426</v>
      </c>
      <c r="AM8">
        <v>32</v>
      </c>
      <c r="AN8">
        <v>23</v>
      </c>
      <c r="AO8">
        <v>136.82608695650001</v>
      </c>
      <c r="AP8">
        <v>6</v>
      </c>
      <c r="AQ8">
        <v>252.8333333333</v>
      </c>
      <c r="AR8">
        <v>8</v>
      </c>
      <c r="AS8">
        <v>189.625</v>
      </c>
      <c r="AT8">
        <v>1</v>
      </c>
      <c r="AU8">
        <v>45</v>
      </c>
    </row>
    <row r="9" spans="2:51" x14ac:dyDescent="0.2">
      <c r="B9" t="s">
        <v>246</v>
      </c>
      <c r="C9">
        <v>10864</v>
      </c>
      <c r="D9">
        <v>187.4651505386</v>
      </c>
      <c r="F9" t="s">
        <v>84</v>
      </c>
      <c r="G9">
        <v>1221</v>
      </c>
      <c r="H9">
        <v>819</v>
      </c>
      <c r="I9">
        <v>208.71062271060001</v>
      </c>
      <c r="J9">
        <v>231</v>
      </c>
      <c r="K9">
        <v>332.23809523810002</v>
      </c>
      <c r="L9">
        <v>190</v>
      </c>
      <c r="M9">
        <v>104.3</v>
      </c>
      <c r="N9">
        <v>209</v>
      </c>
      <c r="O9">
        <v>381.35885167459998</v>
      </c>
      <c r="R9">
        <v>3</v>
      </c>
      <c r="S9">
        <v>209.6666666667</v>
      </c>
      <c r="V9" t="s">
        <v>396</v>
      </c>
      <c r="W9">
        <v>8169</v>
      </c>
      <c r="X9">
        <v>6319</v>
      </c>
      <c r="Y9">
        <v>506.51131508150002</v>
      </c>
      <c r="Z9">
        <v>336</v>
      </c>
      <c r="AA9">
        <v>893.38392857140002</v>
      </c>
      <c r="AB9">
        <v>1288</v>
      </c>
      <c r="AC9">
        <v>986.98059006209996</v>
      </c>
      <c r="AD9">
        <v>413</v>
      </c>
      <c r="AE9">
        <v>706.196125908</v>
      </c>
      <c r="AF9">
        <v>146</v>
      </c>
      <c r="AG9">
        <v>168.1712328767</v>
      </c>
      <c r="AH9">
        <v>3</v>
      </c>
      <c r="AI9">
        <v>117.3333333333</v>
      </c>
      <c r="AL9" t="s">
        <v>396</v>
      </c>
      <c r="AM9">
        <v>175</v>
      </c>
      <c r="AN9">
        <v>158</v>
      </c>
      <c r="AO9">
        <v>522.80379746840003</v>
      </c>
      <c r="AP9">
        <v>18</v>
      </c>
      <c r="AQ9">
        <v>839.2222222222</v>
      </c>
      <c r="AR9">
        <v>15</v>
      </c>
      <c r="AS9">
        <v>235.26666666669999</v>
      </c>
      <c r="AT9">
        <v>2</v>
      </c>
      <c r="AU9">
        <v>187</v>
      </c>
    </row>
    <row r="10" spans="2:51" x14ac:dyDescent="0.2">
      <c r="B10" t="s">
        <v>952</v>
      </c>
      <c r="C10">
        <v>462</v>
      </c>
      <c r="D10">
        <v>460.48917748920002</v>
      </c>
      <c r="F10" t="s">
        <v>79</v>
      </c>
      <c r="G10">
        <v>1751</v>
      </c>
      <c r="H10">
        <v>693</v>
      </c>
      <c r="I10">
        <v>117.84848484849999</v>
      </c>
      <c r="J10">
        <v>604</v>
      </c>
      <c r="K10">
        <v>212.46688741720001</v>
      </c>
      <c r="L10">
        <v>965</v>
      </c>
      <c r="M10">
        <v>289.10259067359999</v>
      </c>
      <c r="N10">
        <v>93</v>
      </c>
      <c r="O10">
        <v>180.69892473120001</v>
      </c>
      <c r="V10" t="s">
        <v>398</v>
      </c>
      <c r="W10">
        <v>8434</v>
      </c>
      <c r="X10">
        <v>6334</v>
      </c>
      <c r="Y10">
        <v>448.17413956429999</v>
      </c>
      <c r="Z10">
        <v>254</v>
      </c>
      <c r="AA10">
        <v>862.83464566930002</v>
      </c>
      <c r="AB10">
        <v>1258</v>
      </c>
      <c r="AC10">
        <v>599.41096979329996</v>
      </c>
      <c r="AD10">
        <v>559</v>
      </c>
      <c r="AE10">
        <v>604.14669051880003</v>
      </c>
      <c r="AF10">
        <v>266</v>
      </c>
      <c r="AG10">
        <v>185.36466165409999</v>
      </c>
      <c r="AH10">
        <v>17</v>
      </c>
      <c r="AI10">
        <v>760.23529411760001</v>
      </c>
      <c r="AL10" t="s">
        <v>398</v>
      </c>
      <c r="AM10">
        <v>350</v>
      </c>
      <c r="AN10">
        <v>247</v>
      </c>
      <c r="AO10">
        <v>402.86234817809998</v>
      </c>
      <c r="AP10">
        <v>19</v>
      </c>
      <c r="AQ10">
        <v>616.36842105259996</v>
      </c>
      <c r="AR10">
        <v>89</v>
      </c>
      <c r="AS10">
        <v>382.07865168540002</v>
      </c>
      <c r="AT10">
        <v>12</v>
      </c>
      <c r="AU10">
        <v>202.8333333333</v>
      </c>
      <c r="AV10">
        <v>2</v>
      </c>
      <c r="AW10">
        <v>-0.5</v>
      </c>
    </row>
    <row r="11" spans="2:51" x14ac:dyDescent="0.2">
      <c r="F11" t="s">
        <v>41</v>
      </c>
      <c r="G11">
        <v>13581</v>
      </c>
      <c r="H11">
        <v>10103</v>
      </c>
      <c r="I11">
        <v>644.40997723450005</v>
      </c>
      <c r="J11">
        <v>610</v>
      </c>
      <c r="K11">
        <v>1230.0344262295</v>
      </c>
      <c r="L11">
        <v>2596</v>
      </c>
      <c r="M11">
        <v>1338.6436825886001</v>
      </c>
      <c r="N11">
        <v>861</v>
      </c>
      <c r="O11">
        <v>899.32404181180004</v>
      </c>
      <c r="R11">
        <v>21</v>
      </c>
      <c r="S11">
        <v>720.52380952379997</v>
      </c>
      <c r="V11" t="s">
        <v>399</v>
      </c>
      <c r="W11">
        <v>5913</v>
      </c>
      <c r="X11">
        <v>3961</v>
      </c>
      <c r="Y11">
        <v>400.70310527639998</v>
      </c>
      <c r="Z11">
        <v>809</v>
      </c>
      <c r="AA11">
        <v>499.38318912239998</v>
      </c>
      <c r="AB11">
        <v>1079</v>
      </c>
      <c r="AC11">
        <v>608.58109360519995</v>
      </c>
      <c r="AD11">
        <v>585</v>
      </c>
      <c r="AE11">
        <v>435.80170940170001</v>
      </c>
      <c r="AF11">
        <v>275</v>
      </c>
      <c r="AG11">
        <v>192.6509090909</v>
      </c>
      <c r="AH11">
        <v>13</v>
      </c>
      <c r="AI11">
        <v>527.84615384619997</v>
      </c>
      <c r="AL11" t="s">
        <v>399</v>
      </c>
      <c r="AM11">
        <v>252</v>
      </c>
      <c r="AN11">
        <v>200</v>
      </c>
      <c r="AO11">
        <v>386.39</v>
      </c>
      <c r="AP11">
        <v>17</v>
      </c>
      <c r="AQ11">
        <v>625.1176470588</v>
      </c>
      <c r="AR11">
        <v>45</v>
      </c>
      <c r="AS11">
        <v>372.04444444440003</v>
      </c>
      <c r="AT11">
        <v>6</v>
      </c>
      <c r="AU11">
        <v>461</v>
      </c>
      <c r="AV11">
        <v>1</v>
      </c>
      <c r="AW11">
        <v>172</v>
      </c>
    </row>
    <row r="12" spans="2:51" x14ac:dyDescent="0.2">
      <c r="F12" t="s">
        <v>59</v>
      </c>
      <c r="G12">
        <v>3309</v>
      </c>
      <c r="H12">
        <v>2779</v>
      </c>
      <c r="I12">
        <v>290.07772580059998</v>
      </c>
      <c r="J12">
        <v>333</v>
      </c>
      <c r="K12">
        <v>506.02702702699997</v>
      </c>
      <c r="L12">
        <v>486</v>
      </c>
      <c r="M12">
        <v>309.12345679010002</v>
      </c>
      <c r="N12">
        <v>44</v>
      </c>
      <c r="O12">
        <v>143.95454545449999</v>
      </c>
      <c r="V12" t="s">
        <v>401</v>
      </c>
      <c r="W12">
        <v>6799</v>
      </c>
      <c r="X12">
        <v>5677</v>
      </c>
      <c r="Y12">
        <v>300.94627444069999</v>
      </c>
      <c r="Z12">
        <v>448</v>
      </c>
      <c r="AA12">
        <v>628.37276785710003</v>
      </c>
      <c r="AB12">
        <v>353</v>
      </c>
      <c r="AC12">
        <v>211.05665722379999</v>
      </c>
      <c r="AD12">
        <v>489</v>
      </c>
      <c r="AE12">
        <v>358.96932515340001</v>
      </c>
      <c r="AF12">
        <v>269</v>
      </c>
      <c r="AG12">
        <v>178.29739776950001</v>
      </c>
      <c r="AH12">
        <v>11</v>
      </c>
      <c r="AI12">
        <v>373.45454545450002</v>
      </c>
      <c r="AL12" t="s">
        <v>401</v>
      </c>
      <c r="AM12">
        <v>223</v>
      </c>
      <c r="AN12">
        <v>187</v>
      </c>
      <c r="AO12">
        <v>387.38502673800002</v>
      </c>
      <c r="AP12">
        <v>4</v>
      </c>
      <c r="AQ12">
        <v>660</v>
      </c>
      <c r="AR12">
        <v>34</v>
      </c>
      <c r="AS12">
        <v>209.0588235294</v>
      </c>
      <c r="AT12">
        <v>1</v>
      </c>
      <c r="AU12">
        <v>1030</v>
      </c>
      <c r="AV12">
        <v>1</v>
      </c>
      <c r="AW12">
        <v>-2</v>
      </c>
    </row>
    <row r="13" spans="2:51" x14ac:dyDescent="0.2">
      <c r="F13" t="s">
        <v>78</v>
      </c>
      <c r="G13">
        <v>6438</v>
      </c>
      <c r="H13">
        <v>5634</v>
      </c>
      <c r="I13">
        <v>295.33280085199999</v>
      </c>
      <c r="J13">
        <v>459</v>
      </c>
      <c r="K13">
        <v>624.64705882349995</v>
      </c>
      <c r="L13">
        <v>315</v>
      </c>
      <c r="M13">
        <v>172.25079365080001</v>
      </c>
      <c r="N13">
        <v>478</v>
      </c>
      <c r="O13">
        <v>354.5</v>
      </c>
      <c r="R13">
        <v>11</v>
      </c>
      <c r="S13">
        <v>373.45454545450002</v>
      </c>
      <c r="V13" t="s">
        <v>404</v>
      </c>
      <c r="W13">
        <v>1253</v>
      </c>
      <c r="X13">
        <v>405</v>
      </c>
      <c r="Y13">
        <v>116.8395061728</v>
      </c>
      <c r="Z13">
        <v>353</v>
      </c>
      <c r="AA13">
        <v>244.45325779039999</v>
      </c>
      <c r="AB13">
        <v>503</v>
      </c>
      <c r="AC13">
        <v>230.7972166998</v>
      </c>
      <c r="AD13">
        <v>221</v>
      </c>
      <c r="AE13">
        <v>215.55656108599999</v>
      </c>
      <c r="AF13">
        <v>122</v>
      </c>
      <c r="AG13">
        <v>197.8032786885</v>
      </c>
      <c r="AH13">
        <v>2</v>
      </c>
      <c r="AI13">
        <v>315</v>
      </c>
      <c r="AL13" t="s">
        <v>404</v>
      </c>
      <c r="AM13">
        <v>25</v>
      </c>
      <c r="AN13">
        <v>13</v>
      </c>
      <c r="AO13">
        <v>163.76923076919999</v>
      </c>
      <c r="AP13">
        <v>6</v>
      </c>
      <c r="AQ13">
        <v>231.3333333333</v>
      </c>
      <c r="AR13">
        <v>8</v>
      </c>
      <c r="AS13">
        <v>142.625</v>
      </c>
      <c r="AT13">
        <v>4</v>
      </c>
      <c r="AU13">
        <v>152</v>
      </c>
    </row>
    <row r="14" spans="2:51" x14ac:dyDescent="0.2">
      <c r="F14" t="s">
        <v>44</v>
      </c>
      <c r="G14">
        <v>1238</v>
      </c>
      <c r="H14">
        <v>667</v>
      </c>
      <c r="I14">
        <v>143.4332833583</v>
      </c>
      <c r="J14">
        <v>222</v>
      </c>
      <c r="K14">
        <v>309.25675675679997</v>
      </c>
      <c r="L14">
        <v>451</v>
      </c>
      <c r="M14">
        <v>274.84700665190002</v>
      </c>
      <c r="N14">
        <v>117</v>
      </c>
      <c r="O14">
        <v>277.00854700849999</v>
      </c>
      <c r="R14">
        <v>3</v>
      </c>
      <c r="S14">
        <v>117.3333333333</v>
      </c>
      <c r="V14" t="s">
        <v>405</v>
      </c>
      <c r="W14">
        <v>2183</v>
      </c>
      <c r="X14">
        <v>927</v>
      </c>
      <c r="Y14">
        <v>169.02588996759999</v>
      </c>
      <c r="Z14">
        <v>606</v>
      </c>
      <c r="AA14">
        <v>224.3399339934</v>
      </c>
      <c r="AB14">
        <v>988</v>
      </c>
      <c r="AC14">
        <v>296.5860323887</v>
      </c>
      <c r="AD14">
        <v>101</v>
      </c>
      <c r="AE14">
        <v>238.8811881188</v>
      </c>
      <c r="AF14">
        <v>167</v>
      </c>
      <c r="AG14">
        <v>192.95808383229999</v>
      </c>
      <c r="AL14" t="s">
        <v>405</v>
      </c>
      <c r="AM14">
        <v>29</v>
      </c>
      <c r="AN14">
        <v>21</v>
      </c>
      <c r="AO14">
        <v>90.809523809500007</v>
      </c>
      <c r="AP14">
        <v>19</v>
      </c>
      <c r="AQ14">
        <v>301.10526315790003</v>
      </c>
      <c r="AR14">
        <v>3</v>
      </c>
      <c r="AS14">
        <v>150.6666666667</v>
      </c>
      <c r="AT14">
        <v>5</v>
      </c>
      <c r="AU14">
        <v>131</v>
      </c>
    </row>
    <row r="15" spans="2:51" x14ac:dyDescent="0.2">
      <c r="F15" t="s">
        <v>77</v>
      </c>
      <c r="G15">
        <v>231</v>
      </c>
      <c r="H15">
        <v>89</v>
      </c>
      <c r="I15">
        <v>118.4831460674</v>
      </c>
      <c r="J15">
        <v>103</v>
      </c>
      <c r="K15">
        <v>189.2233009709</v>
      </c>
      <c r="L15">
        <v>91</v>
      </c>
      <c r="M15">
        <v>193.45054945050001</v>
      </c>
      <c r="N15">
        <v>43</v>
      </c>
      <c r="O15">
        <v>213.79069767440001</v>
      </c>
      <c r="R15">
        <v>8</v>
      </c>
      <c r="S15">
        <v>245.375</v>
      </c>
      <c r="V15" t="s">
        <v>400</v>
      </c>
      <c r="W15">
        <v>3398</v>
      </c>
      <c r="X15">
        <v>2750</v>
      </c>
      <c r="Y15">
        <v>297.1123636364</v>
      </c>
      <c r="Z15">
        <v>340</v>
      </c>
      <c r="AA15">
        <v>522.51764705879998</v>
      </c>
      <c r="AB15">
        <v>482</v>
      </c>
      <c r="AC15">
        <v>323.3091286307</v>
      </c>
      <c r="AD15">
        <v>63</v>
      </c>
      <c r="AE15">
        <v>240.31746031750001</v>
      </c>
      <c r="AF15">
        <v>102</v>
      </c>
      <c r="AG15">
        <v>153.92156862749999</v>
      </c>
      <c r="AH15">
        <v>1</v>
      </c>
      <c r="AI15">
        <v>81</v>
      </c>
      <c r="AL15" t="s">
        <v>400</v>
      </c>
      <c r="AM15">
        <v>105</v>
      </c>
      <c r="AN15">
        <v>77</v>
      </c>
      <c r="AO15">
        <v>294.9350649351</v>
      </c>
      <c r="AP15">
        <v>2</v>
      </c>
      <c r="AQ15">
        <v>361.5</v>
      </c>
      <c r="AR15">
        <v>23</v>
      </c>
      <c r="AS15">
        <v>352.17391304350002</v>
      </c>
      <c r="AT15">
        <v>4</v>
      </c>
      <c r="AU15">
        <v>208</v>
      </c>
      <c r="AV15">
        <v>1</v>
      </c>
      <c r="AW15">
        <v>827</v>
      </c>
    </row>
    <row r="16" spans="2:51" x14ac:dyDescent="0.2">
      <c r="F16" t="s">
        <v>51</v>
      </c>
      <c r="G16">
        <v>8287</v>
      </c>
      <c r="H16">
        <v>6553</v>
      </c>
      <c r="I16">
        <v>508.28414466660001</v>
      </c>
      <c r="J16">
        <v>350</v>
      </c>
      <c r="K16">
        <v>904.10857142860004</v>
      </c>
      <c r="L16">
        <v>1322</v>
      </c>
      <c r="M16">
        <v>987.03706505299999</v>
      </c>
      <c r="N16">
        <v>409</v>
      </c>
      <c r="O16">
        <v>701.54767726160003</v>
      </c>
      <c r="R16">
        <v>3</v>
      </c>
      <c r="S16">
        <v>117.3333333333</v>
      </c>
      <c r="V16" t="s">
        <v>423</v>
      </c>
      <c r="W16">
        <v>476</v>
      </c>
      <c r="X16">
        <v>375</v>
      </c>
      <c r="Y16">
        <v>254.43199999999999</v>
      </c>
      <c r="Z16">
        <v>21</v>
      </c>
      <c r="AA16">
        <v>607.61904761899996</v>
      </c>
      <c r="AB16">
        <v>66</v>
      </c>
      <c r="AC16">
        <v>308.60606060610002</v>
      </c>
      <c r="AD16">
        <v>16</v>
      </c>
      <c r="AE16">
        <v>246.375</v>
      </c>
      <c r="AF16">
        <v>18</v>
      </c>
      <c r="AG16">
        <v>134.7222222222</v>
      </c>
      <c r="AH16">
        <v>1</v>
      </c>
      <c r="AI16">
        <v>197</v>
      </c>
      <c r="AL16" t="s">
        <v>423</v>
      </c>
      <c r="AM16">
        <v>7</v>
      </c>
      <c r="AN16">
        <v>6</v>
      </c>
      <c r="AO16">
        <v>149.3333333333</v>
      </c>
      <c r="AP16">
        <v>5</v>
      </c>
      <c r="AQ16">
        <v>476.6</v>
      </c>
      <c r="AR16">
        <v>1</v>
      </c>
      <c r="AS16">
        <v>122</v>
      </c>
    </row>
    <row r="17" spans="6:51" x14ac:dyDescent="0.2">
      <c r="F17" t="s">
        <v>394</v>
      </c>
      <c r="G17">
        <v>51663</v>
      </c>
      <c r="H17">
        <v>38600</v>
      </c>
      <c r="I17">
        <v>448.288626943</v>
      </c>
      <c r="J17">
        <v>4366</v>
      </c>
      <c r="K17">
        <v>581.53206596430005</v>
      </c>
      <c r="L17">
        <v>9340</v>
      </c>
      <c r="M17">
        <v>744.02119914349998</v>
      </c>
      <c r="N17">
        <v>3641</v>
      </c>
      <c r="O17">
        <v>554.38780554790003</v>
      </c>
      <c r="R17">
        <v>82</v>
      </c>
      <c r="S17">
        <v>526.19512195120001</v>
      </c>
      <c r="V17" t="s">
        <v>424</v>
      </c>
      <c r="W17">
        <v>199</v>
      </c>
      <c r="X17">
        <v>54</v>
      </c>
      <c r="Y17">
        <v>250.537037037</v>
      </c>
      <c r="Z17">
        <v>24</v>
      </c>
      <c r="AA17">
        <v>377.0833333333</v>
      </c>
      <c r="AB17">
        <v>50</v>
      </c>
      <c r="AC17">
        <v>256.04000000000002</v>
      </c>
      <c r="AD17">
        <v>44</v>
      </c>
      <c r="AE17">
        <v>247.88636363640001</v>
      </c>
      <c r="AF17">
        <v>43</v>
      </c>
      <c r="AG17">
        <v>253.7441860465</v>
      </c>
      <c r="AH17">
        <v>8</v>
      </c>
      <c r="AI17">
        <v>245.375</v>
      </c>
      <c r="AL17" t="s">
        <v>424</v>
      </c>
      <c r="AM17">
        <v>10</v>
      </c>
      <c r="AN17">
        <v>8</v>
      </c>
      <c r="AO17">
        <v>115.5</v>
      </c>
      <c r="AP17">
        <v>5</v>
      </c>
      <c r="AQ17">
        <v>270.60000000000002</v>
      </c>
      <c r="AR17">
        <v>2</v>
      </c>
      <c r="AS17">
        <v>248</v>
      </c>
    </row>
    <row r="18" spans="6:51" x14ac:dyDescent="0.2">
      <c r="F18" t="s">
        <v>71</v>
      </c>
      <c r="G18">
        <v>3058</v>
      </c>
      <c r="H18">
        <v>2407</v>
      </c>
      <c r="I18">
        <v>280.81678437890002</v>
      </c>
      <c r="J18">
        <v>251</v>
      </c>
      <c r="K18">
        <v>458.06374501990001</v>
      </c>
      <c r="L18">
        <v>398</v>
      </c>
      <c r="M18">
        <v>308.89949748740003</v>
      </c>
      <c r="N18">
        <v>248</v>
      </c>
      <c r="O18">
        <v>533.79032258059999</v>
      </c>
      <c r="R18">
        <v>5</v>
      </c>
      <c r="S18">
        <v>704.6</v>
      </c>
      <c r="V18" t="s">
        <v>394</v>
      </c>
      <c r="W18">
        <v>53119</v>
      </c>
      <c r="X18">
        <v>38332</v>
      </c>
      <c r="Y18">
        <v>446.6625013044</v>
      </c>
      <c r="Z18">
        <v>4244</v>
      </c>
      <c r="AA18">
        <v>589.95004712540003</v>
      </c>
      <c r="AB18">
        <v>9257</v>
      </c>
      <c r="AC18">
        <v>743.04439883329997</v>
      </c>
      <c r="AD18">
        <v>3679</v>
      </c>
      <c r="AE18">
        <v>555.13400380539997</v>
      </c>
      <c r="AF18">
        <v>1768</v>
      </c>
      <c r="AG18">
        <v>188.8902714932</v>
      </c>
      <c r="AH18">
        <v>83</v>
      </c>
      <c r="AI18">
        <v>520.83132530119997</v>
      </c>
      <c r="AL18" t="s">
        <v>394</v>
      </c>
      <c r="AM18">
        <v>1606</v>
      </c>
      <c r="AN18">
        <v>1252</v>
      </c>
      <c r="AO18">
        <v>413.12140575080002</v>
      </c>
      <c r="AP18">
        <v>160</v>
      </c>
      <c r="AQ18">
        <v>629.01874999999995</v>
      </c>
      <c r="AR18">
        <v>308</v>
      </c>
      <c r="AS18">
        <v>357.74675324679998</v>
      </c>
      <c r="AT18">
        <v>41</v>
      </c>
      <c r="AU18">
        <v>242.21951219510001</v>
      </c>
      <c r="AV18">
        <v>5</v>
      </c>
      <c r="AW18">
        <v>199.2</v>
      </c>
    </row>
    <row r="19" spans="6:51" x14ac:dyDescent="0.2">
      <c r="F19" t="s">
        <v>37</v>
      </c>
      <c r="G19">
        <v>920</v>
      </c>
      <c r="H19">
        <v>581</v>
      </c>
      <c r="I19">
        <v>249.1686746988</v>
      </c>
      <c r="J19">
        <v>102</v>
      </c>
      <c r="K19">
        <v>528.23529411760001</v>
      </c>
      <c r="L19">
        <v>172</v>
      </c>
      <c r="M19">
        <v>234.27906976739999</v>
      </c>
      <c r="N19">
        <v>161</v>
      </c>
      <c r="O19">
        <v>579.86956521740001</v>
      </c>
      <c r="R19">
        <v>6</v>
      </c>
      <c r="S19">
        <v>254.6666666667</v>
      </c>
      <c r="V19" t="s">
        <v>412</v>
      </c>
      <c r="W19">
        <v>1002</v>
      </c>
      <c r="X19">
        <v>599</v>
      </c>
      <c r="Y19">
        <v>263.2537562604</v>
      </c>
      <c r="Z19">
        <v>111</v>
      </c>
      <c r="AA19">
        <v>549.83783783779995</v>
      </c>
      <c r="AB19">
        <v>176</v>
      </c>
      <c r="AC19">
        <v>247.7840909091</v>
      </c>
      <c r="AD19">
        <v>156</v>
      </c>
      <c r="AE19">
        <v>580.28205128210004</v>
      </c>
      <c r="AF19">
        <v>65</v>
      </c>
      <c r="AG19">
        <v>170.44615384619999</v>
      </c>
      <c r="AH19">
        <v>6</v>
      </c>
      <c r="AI19">
        <v>254.6666666667</v>
      </c>
      <c r="AL19" t="s">
        <v>412</v>
      </c>
      <c r="AM19">
        <v>11</v>
      </c>
      <c r="AN19">
        <v>10</v>
      </c>
      <c r="AO19">
        <v>139.9</v>
      </c>
      <c r="AP19">
        <v>7</v>
      </c>
      <c r="AQ19">
        <v>305.42857142859998</v>
      </c>
      <c r="AR19">
        <v>1</v>
      </c>
      <c r="AS19">
        <v>151</v>
      </c>
    </row>
    <row r="20" spans="6:51" x14ac:dyDescent="0.2">
      <c r="F20" t="s">
        <v>58</v>
      </c>
      <c r="G20">
        <v>979</v>
      </c>
      <c r="H20">
        <v>458</v>
      </c>
      <c r="I20">
        <v>201.75982532750001</v>
      </c>
      <c r="J20">
        <v>176</v>
      </c>
      <c r="K20">
        <v>344.77840909090003</v>
      </c>
      <c r="L20">
        <v>147</v>
      </c>
      <c r="M20">
        <v>317.27210884350001</v>
      </c>
      <c r="N20">
        <v>364</v>
      </c>
      <c r="O20">
        <v>584.73626373629997</v>
      </c>
      <c r="R20">
        <v>10</v>
      </c>
      <c r="S20">
        <v>302.8</v>
      </c>
      <c r="V20" t="s">
        <v>428</v>
      </c>
      <c r="W20">
        <v>298</v>
      </c>
      <c r="X20">
        <v>133</v>
      </c>
      <c r="Y20">
        <v>190.16541353380001</v>
      </c>
      <c r="Z20">
        <v>108</v>
      </c>
      <c r="AA20">
        <v>251.6388888889</v>
      </c>
      <c r="AB20">
        <v>73</v>
      </c>
      <c r="AC20">
        <v>212.12328767119999</v>
      </c>
      <c r="AD20">
        <v>56</v>
      </c>
      <c r="AE20">
        <v>511.30357142859998</v>
      </c>
      <c r="AF20">
        <v>36</v>
      </c>
      <c r="AG20">
        <v>123.6111111111</v>
      </c>
      <c r="AL20" t="s">
        <v>428</v>
      </c>
      <c r="AM20">
        <v>2</v>
      </c>
      <c r="AN20">
        <v>1</v>
      </c>
      <c r="AO20">
        <v>213</v>
      </c>
      <c r="AP20">
        <v>1</v>
      </c>
      <c r="AQ20">
        <v>86</v>
      </c>
      <c r="AR20">
        <v>1</v>
      </c>
      <c r="AS20">
        <v>24</v>
      </c>
    </row>
    <row r="21" spans="6:51" x14ac:dyDescent="0.2">
      <c r="F21" t="s">
        <v>65</v>
      </c>
      <c r="G21">
        <v>8693</v>
      </c>
      <c r="H21">
        <v>7120</v>
      </c>
      <c r="I21">
        <v>389.86629213480001</v>
      </c>
      <c r="J21">
        <v>704</v>
      </c>
      <c r="K21">
        <v>628.96590909090003</v>
      </c>
      <c r="L21">
        <v>1162</v>
      </c>
      <c r="M21">
        <v>621.36833046469997</v>
      </c>
      <c r="N21">
        <v>395</v>
      </c>
      <c r="O21">
        <v>596.99493670890001</v>
      </c>
      <c r="R21">
        <v>16</v>
      </c>
      <c r="S21">
        <v>388.5</v>
      </c>
      <c r="V21" t="s">
        <v>432</v>
      </c>
      <c r="W21">
        <v>1193</v>
      </c>
      <c r="X21">
        <v>894</v>
      </c>
      <c r="Y21">
        <v>297.08389261740001</v>
      </c>
      <c r="Z21">
        <v>77</v>
      </c>
      <c r="AA21">
        <v>567.75324675319996</v>
      </c>
      <c r="AB21">
        <v>181</v>
      </c>
      <c r="AC21">
        <v>399.2541436464</v>
      </c>
      <c r="AD21">
        <v>60</v>
      </c>
      <c r="AE21">
        <v>492.9166666667</v>
      </c>
      <c r="AF21">
        <v>57</v>
      </c>
      <c r="AG21">
        <v>148.17543859649999</v>
      </c>
      <c r="AH21">
        <v>1</v>
      </c>
      <c r="AI21">
        <v>340</v>
      </c>
      <c r="AL21" t="s">
        <v>432</v>
      </c>
      <c r="AM21">
        <v>12</v>
      </c>
      <c r="AN21">
        <v>10</v>
      </c>
      <c r="AO21">
        <v>215.6</v>
      </c>
      <c r="AP21">
        <v>5</v>
      </c>
      <c r="AQ21">
        <v>328.6</v>
      </c>
      <c r="AR21">
        <v>2</v>
      </c>
      <c r="AS21">
        <v>136.5</v>
      </c>
    </row>
    <row r="22" spans="6:51" x14ac:dyDescent="0.2">
      <c r="F22" t="s">
        <v>67</v>
      </c>
      <c r="G22">
        <v>7158</v>
      </c>
      <c r="H22">
        <v>5379</v>
      </c>
      <c r="I22">
        <v>384.43335192410001</v>
      </c>
      <c r="J22">
        <v>394</v>
      </c>
      <c r="K22">
        <v>617.39847715739995</v>
      </c>
      <c r="L22">
        <v>1385</v>
      </c>
      <c r="M22">
        <v>764.51913357399997</v>
      </c>
      <c r="N22">
        <v>384</v>
      </c>
      <c r="O22">
        <v>591.765625</v>
      </c>
      <c r="R22">
        <v>10</v>
      </c>
      <c r="S22">
        <v>632.29999999999995</v>
      </c>
      <c r="V22" t="s">
        <v>417</v>
      </c>
      <c r="W22">
        <v>3135</v>
      </c>
      <c r="X22">
        <v>2379</v>
      </c>
      <c r="Y22">
        <v>288.95754518709998</v>
      </c>
      <c r="Z22">
        <v>242</v>
      </c>
      <c r="AA22">
        <v>453.09090909090003</v>
      </c>
      <c r="AB22">
        <v>398</v>
      </c>
      <c r="AC22">
        <v>327.44974874370001</v>
      </c>
      <c r="AD22">
        <v>250</v>
      </c>
      <c r="AE22">
        <v>519.58399999999995</v>
      </c>
      <c r="AF22">
        <v>104</v>
      </c>
      <c r="AG22">
        <v>238.17307692310001</v>
      </c>
      <c r="AH22">
        <v>4</v>
      </c>
      <c r="AI22">
        <v>863.75</v>
      </c>
      <c r="AL22" t="s">
        <v>417</v>
      </c>
      <c r="AM22">
        <v>43</v>
      </c>
      <c r="AN22">
        <v>26</v>
      </c>
      <c r="AO22">
        <v>156.19230769230001</v>
      </c>
      <c r="AP22">
        <v>17</v>
      </c>
      <c r="AQ22">
        <v>282.23529411760001</v>
      </c>
      <c r="AR22">
        <v>10</v>
      </c>
      <c r="AS22">
        <v>107.2</v>
      </c>
      <c r="AT22">
        <v>7</v>
      </c>
      <c r="AU22">
        <v>231.28571428570001</v>
      </c>
    </row>
    <row r="23" spans="6:51" x14ac:dyDescent="0.2">
      <c r="F23" t="s">
        <v>76</v>
      </c>
      <c r="G23">
        <v>5231</v>
      </c>
      <c r="H23">
        <v>4177</v>
      </c>
      <c r="I23">
        <v>267.49892267180002</v>
      </c>
      <c r="J23">
        <v>453</v>
      </c>
      <c r="K23">
        <v>469.62472406180001</v>
      </c>
      <c r="L23">
        <v>770</v>
      </c>
      <c r="M23">
        <v>368.8779220779</v>
      </c>
      <c r="N23">
        <v>273</v>
      </c>
      <c r="O23">
        <v>454.99633699629999</v>
      </c>
      <c r="R23">
        <v>11</v>
      </c>
      <c r="S23">
        <v>274.09090909090003</v>
      </c>
      <c r="V23" t="s">
        <v>413</v>
      </c>
      <c r="W23">
        <v>5555</v>
      </c>
      <c r="X23">
        <v>3718</v>
      </c>
      <c r="Y23">
        <v>372.87251210329998</v>
      </c>
      <c r="Z23">
        <v>323</v>
      </c>
      <c r="AA23">
        <v>620.24148606810002</v>
      </c>
      <c r="AB23">
        <v>1450</v>
      </c>
      <c r="AC23">
        <v>547.33931034479997</v>
      </c>
      <c r="AD23">
        <v>245</v>
      </c>
      <c r="AE23">
        <v>475.34285714290002</v>
      </c>
      <c r="AF23">
        <v>134</v>
      </c>
      <c r="AG23">
        <v>160.64179104479999</v>
      </c>
      <c r="AH23">
        <v>8</v>
      </c>
      <c r="AI23">
        <v>305.5</v>
      </c>
      <c r="AL23" t="s">
        <v>413</v>
      </c>
      <c r="AM23">
        <v>50</v>
      </c>
      <c r="AN23">
        <v>38</v>
      </c>
      <c r="AO23">
        <v>382.18421052629998</v>
      </c>
      <c r="AP23">
        <v>22</v>
      </c>
      <c r="AQ23">
        <v>398</v>
      </c>
      <c r="AR23">
        <v>12</v>
      </c>
      <c r="AS23">
        <v>161.5</v>
      </c>
    </row>
    <row r="24" spans="6:51" x14ac:dyDescent="0.2">
      <c r="F24" t="s">
        <v>48</v>
      </c>
      <c r="G24">
        <v>1443</v>
      </c>
      <c r="H24">
        <v>1119</v>
      </c>
      <c r="I24">
        <v>296.9177837355</v>
      </c>
      <c r="J24">
        <v>96</v>
      </c>
      <c r="K24">
        <v>546.0625</v>
      </c>
      <c r="L24">
        <v>250</v>
      </c>
      <c r="M24">
        <v>456.52</v>
      </c>
      <c r="N24">
        <v>72</v>
      </c>
      <c r="O24">
        <v>544.7777777778</v>
      </c>
      <c r="R24">
        <v>2</v>
      </c>
      <c r="S24">
        <v>270.5</v>
      </c>
      <c r="V24" t="s">
        <v>430</v>
      </c>
      <c r="W24">
        <v>7279</v>
      </c>
      <c r="X24">
        <v>5370</v>
      </c>
      <c r="Y24">
        <v>384.51284916200001</v>
      </c>
      <c r="Z24">
        <v>407</v>
      </c>
      <c r="AA24">
        <v>610.29975429980004</v>
      </c>
      <c r="AB24">
        <v>1352</v>
      </c>
      <c r="AC24">
        <v>744.57988165680001</v>
      </c>
      <c r="AD24">
        <v>402</v>
      </c>
      <c r="AE24">
        <v>589.18656716420003</v>
      </c>
      <c r="AF24">
        <v>146</v>
      </c>
      <c r="AG24">
        <v>211.89041095889999</v>
      </c>
      <c r="AH24">
        <v>9</v>
      </c>
      <c r="AI24">
        <v>661</v>
      </c>
      <c r="AL24" t="s">
        <v>430</v>
      </c>
      <c r="AM24">
        <v>123</v>
      </c>
      <c r="AN24">
        <v>81</v>
      </c>
      <c r="AO24">
        <v>242.24691358019999</v>
      </c>
      <c r="AP24">
        <v>49</v>
      </c>
      <c r="AQ24">
        <v>381.38775510200003</v>
      </c>
      <c r="AR24">
        <v>39</v>
      </c>
      <c r="AS24">
        <v>345.10256410260001</v>
      </c>
      <c r="AT24">
        <v>3</v>
      </c>
      <c r="AU24">
        <v>167.6666666667</v>
      </c>
    </row>
    <row r="25" spans="6:51" x14ac:dyDescent="0.2">
      <c r="F25" t="s">
        <v>69</v>
      </c>
      <c r="G25">
        <v>5510</v>
      </c>
      <c r="H25">
        <v>3759</v>
      </c>
      <c r="I25">
        <v>375.43149773879998</v>
      </c>
      <c r="J25">
        <v>322</v>
      </c>
      <c r="K25">
        <v>619.91304347829998</v>
      </c>
      <c r="L25">
        <v>1499</v>
      </c>
      <c r="M25">
        <v>555.11274182789998</v>
      </c>
      <c r="N25">
        <v>243</v>
      </c>
      <c r="O25">
        <v>486.93415637859999</v>
      </c>
      <c r="R25">
        <v>9</v>
      </c>
      <c r="S25">
        <v>328.1111111111</v>
      </c>
      <c r="V25" t="s">
        <v>411</v>
      </c>
      <c r="W25">
        <v>18575</v>
      </c>
      <c r="X25">
        <v>14749</v>
      </c>
      <c r="Y25">
        <v>332.01166180759998</v>
      </c>
      <c r="Z25">
        <v>1875</v>
      </c>
      <c r="AA25">
        <v>517.84640000000002</v>
      </c>
      <c r="AB25">
        <v>2222</v>
      </c>
      <c r="AC25">
        <v>456.22502250230002</v>
      </c>
      <c r="AD25">
        <v>888</v>
      </c>
      <c r="AE25">
        <v>456.82657657660002</v>
      </c>
      <c r="AF25">
        <v>691</v>
      </c>
      <c r="AG25">
        <v>164.516642547</v>
      </c>
      <c r="AH25">
        <v>25</v>
      </c>
      <c r="AI25">
        <v>322.16000000000003</v>
      </c>
      <c r="AL25" t="s">
        <v>411</v>
      </c>
      <c r="AM25">
        <v>424</v>
      </c>
      <c r="AN25">
        <v>308</v>
      </c>
      <c r="AO25">
        <v>295.93831168830002</v>
      </c>
      <c r="AP25">
        <v>166</v>
      </c>
      <c r="AQ25">
        <v>399.54819277109999</v>
      </c>
      <c r="AR25">
        <v>97</v>
      </c>
      <c r="AS25">
        <v>214.71134020619999</v>
      </c>
      <c r="AT25">
        <v>19</v>
      </c>
      <c r="AU25">
        <v>116.94736842109999</v>
      </c>
    </row>
    <row r="26" spans="6:51" x14ac:dyDescent="0.2">
      <c r="F26" t="s">
        <v>35</v>
      </c>
      <c r="G26">
        <v>219</v>
      </c>
      <c r="H26">
        <v>95</v>
      </c>
      <c r="I26">
        <v>103.98947368419999</v>
      </c>
      <c r="J26">
        <v>109</v>
      </c>
      <c r="K26">
        <v>236.3853211009</v>
      </c>
      <c r="L26">
        <v>66</v>
      </c>
      <c r="M26">
        <v>162.2727272727</v>
      </c>
      <c r="N26">
        <v>58</v>
      </c>
      <c r="O26">
        <v>464.68965517240002</v>
      </c>
      <c r="V26" t="s">
        <v>409</v>
      </c>
      <c r="W26">
        <v>1930</v>
      </c>
      <c r="X26">
        <v>1412</v>
      </c>
      <c r="Y26">
        <v>302.23866855519998</v>
      </c>
      <c r="Z26">
        <v>225</v>
      </c>
      <c r="AA26">
        <v>457.7866666667</v>
      </c>
      <c r="AB26">
        <v>335</v>
      </c>
      <c r="AC26">
        <v>271.53134328359999</v>
      </c>
      <c r="AD26">
        <v>107</v>
      </c>
      <c r="AE26">
        <v>376.00934579440002</v>
      </c>
      <c r="AF26">
        <v>76</v>
      </c>
      <c r="AG26">
        <v>182.3947368421</v>
      </c>
      <c r="AL26" t="s">
        <v>409</v>
      </c>
      <c r="AM26">
        <v>28</v>
      </c>
      <c r="AN26">
        <v>21</v>
      </c>
      <c r="AO26">
        <v>338.57142857140002</v>
      </c>
      <c r="AP26">
        <v>19</v>
      </c>
      <c r="AQ26">
        <v>291.52631578950002</v>
      </c>
      <c r="AR26">
        <v>7</v>
      </c>
      <c r="AS26">
        <v>131.57142857139999</v>
      </c>
    </row>
    <row r="27" spans="6:51" x14ac:dyDescent="0.2">
      <c r="F27" t="s">
        <v>74</v>
      </c>
      <c r="G27">
        <v>4398</v>
      </c>
      <c r="H27">
        <v>4008</v>
      </c>
      <c r="I27">
        <v>223.62724550900001</v>
      </c>
      <c r="J27">
        <v>529</v>
      </c>
      <c r="K27">
        <v>422.86767485820002</v>
      </c>
      <c r="L27">
        <v>191</v>
      </c>
      <c r="M27">
        <v>136.219895288</v>
      </c>
      <c r="N27">
        <v>193</v>
      </c>
      <c r="O27">
        <v>243.10362694299999</v>
      </c>
      <c r="R27">
        <v>6</v>
      </c>
      <c r="S27">
        <v>179.1666666667</v>
      </c>
      <c r="V27" t="s">
        <v>83</v>
      </c>
      <c r="W27">
        <v>5422</v>
      </c>
      <c r="X27">
        <v>4184</v>
      </c>
      <c r="Y27">
        <v>274.14101338429998</v>
      </c>
      <c r="Z27">
        <v>454</v>
      </c>
      <c r="AA27">
        <v>477.17841409689998</v>
      </c>
      <c r="AB27">
        <v>793</v>
      </c>
      <c r="AC27">
        <v>398.8133669609</v>
      </c>
      <c r="AD27">
        <v>283</v>
      </c>
      <c r="AE27">
        <v>462.29681978799999</v>
      </c>
      <c r="AF27">
        <v>152</v>
      </c>
      <c r="AG27">
        <v>153.59210526320001</v>
      </c>
      <c r="AH27">
        <v>10</v>
      </c>
      <c r="AI27">
        <v>224.3</v>
      </c>
      <c r="AL27" t="s">
        <v>83</v>
      </c>
      <c r="AM27">
        <v>91</v>
      </c>
      <c r="AN27">
        <v>67</v>
      </c>
      <c r="AO27">
        <v>207.3731343284</v>
      </c>
      <c r="AP27">
        <v>29</v>
      </c>
      <c r="AQ27">
        <v>357.86206896549999</v>
      </c>
      <c r="AR27">
        <v>21</v>
      </c>
      <c r="AS27">
        <v>116.80952380950001</v>
      </c>
      <c r="AT27">
        <v>3</v>
      </c>
      <c r="AU27">
        <v>86.666666666699996</v>
      </c>
    </row>
    <row r="28" spans="6:51" x14ac:dyDescent="0.2">
      <c r="F28" t="s">
        <v>34</v>
      </c>
      <c r="G28">
        <v>1751</v>
      </c>
      <c r="H28">
        <v>1317</v>
      </c>
      <c r="I28">
        <v>298.42293090359999</v>
      </c>
      <c r="J28">
        <v>222</v>
      </c>
      <c r="K28">
        <v>456.97297297300003</v>
      </c>
      <c r="L28">
        <v>332</v>
      </c>
      <c r="M28">
        <v>263.66867469879998</v>
      </c>
      <c r="N28">
        <v>102</v>
      </c>
      <c r="O28">
        <v>350.1568627451</v>
      </c>
      <c r="V28" t="s">
        <v>408</v>
      </c>
      <c r="W28">
        <v>44389</v>
      </c>
      <c r="X28">
        <v>33438</v>
      </c>
      <c r="Y28">
        <v>330.69516717509998</v>
      </c>
      <c r="Z28">
        <v>3822</v>
      </c>
      <c r="AA28">
        <v>518.29068550500006</v>
      </c>
      <c r="AB28">
        <v>6980</v>
      </c>
      <c r="AC28">
        <v>498.9904011461</v>
      </c>
      <c r="AD28">
        <v>2447</v>
      </c>
      <c r="AE28">
        <v>493.93747445849999</v>
      </c>
      <c r="AF28">
        <v>1461</v>
      </c>
      <c r="AG28">
        <v>172.55030800820001</v>
      </c>
      <c r="AH28">
        <v>63</v>
      </c>
      <c r="AI28">
        <v>381.1587301587</v>
      </c>
      <c r="AL28" t="s">
        <v>408</v>
      </c>
      <c r="AM28">
        <v>784</v>
      </c>
      <c r="AN28">
        <v>562</v>
      </c>
      <c r="AO28">
        <v>274.2473309609</v>
      </c>
      <c r="AP28">
        <v>315</v>
      </c>
      <c r="AQ28">
        <v>375.71746031750001</v>
      </c>
      <c r="AR28">
        <v>190</v>
      </c>
      <c r="AS28">
        <v>216.41052631580001</v>
      </c>
      <c r="AT28">
        <v>32</v>
      </c>
      <c r="AU28">
        <v>143.875</v>
      </c>
    </row>
    <row r="29" spans="6:51" x14ac:dyDescent="0.2">
      <c r="F29" t="s">
        <v>55</v>
      </c>
      <c r="G29">
        <v>4740</v>
      </c>
      <c r="H29">
        <v>3652</v>
      </c>
      <c r="I29">
        <v>332.24452354869999</v>
      </c>
      <c r="J29">
        <v>663</v>
      </c>
      <c r="K29">
        <v>471.92760181</v>
      </c>
      <c r="L29">
        <v>842</v>
      </c>
      <c r="M29">
        <v>292.19239904990002</v>
      </c>
      <c r="N29">
        <v>246</v>
      </c>
      <c r="O29">
        <v>346.6666666667</v>
      </c>
      <c r="V29" t="s">
        <v>392</v>
      </c>
      <c r="W29">
        <v>10755</v>
      </c>
      <c r="X29">
        <v>5295</v>
      </c>
      <c r="Y29">
        <v>280.12828263739999</v>
      </c>
      <c r="Z29">
        <v>672</v>
      </c>
      <c r="AA29">
        <v>610.87946428570001</v>
      </c>
      <c r="AB29">
        <v>3686</v>
      </c>
      <c r="AC29">
        <v>774.97476939770002</v>
      </c>
      <c r="AD29">
        <v>1268</v>
      </c>
      <c r="AE29">
        <v>509.41436464089998</v>
      </c>
      <c r="AF29">
        <v>479</v>
      </c>
      <c r="AG29">
        <v>176.96659707719999</v>
      </c>
      <c r="AH29">
        <v>27</v>
      </c>
      <c r="AI29">
        <v>536.48148148150005</v>
      </c>
      <c r="AL29" t="s">
        <v>392</v>
      </c>
      <c r="AM29">
        <v>285</v>
      </c>
      <c r="AN29">
        <v>204</v>
      </c>
      <c r="AO29">
        <v>371.4460784314</v>
      </c>
      <c r="AP29">
        <v>16</v>
      </c>
      <c r="AQ29">
        <v>624.625</v>
      </c>
      <c r="AR29">
        <v>71</v>
      </c>
      <c r="AS29">
        <v>470.60563380280001</v>
      </c>
      <c r="AT29">
        <v>10</v>
      </c>
      <c r="AU29">
        <v>115.9</v>
      </c>
    </row>
    <row r="30" spans="6:51" x14ac:dyDescent="0.2">
      <c r="F30" t="s">
        <v>408</v>
      </c>
      <c r="G30">
        <v>44100</v>
      </c>
      <c r="H30">
        <v>34072</v>
      </c>
      <c r="I30">
        <v>326.66741019019997</v>
      </c>
      <c r="J30">
        <v>4021</v>
      </c>
      <c r="K30">
        <v>508.3698085053</v>
      </c>
      <c r="L30">
        <v>7214</v>
      </c>
      <c r="M30">
        <v>497.82894372049998</v>
      </c>
      <c r="N30">
        <v>2739</v>
      </c>
      <c r="O30">
        <v>503.1997079226</v>
      </c>
      <c r="R30">
        <v>75</v>
      </c>
      <c r="S30">
        <v>376.02666666670001</v>
      </c>
      <c r="V30" t="s">
        <v>429</v>
      </c>
      <c r="W30">
        <v>31217</v>
      </c>
      <c r="X30">
        <v>26947</v>
      </c>
      <c r="Y30">
        <v>456.4860642049</v>
      </c>
      <c r="Z30">
        <v>1358</v>
      </c>
      <c r="AA30">
        <v>726.13843888070005</v>
      </c>
      <c r="AB30">
        <v>1147</v>
      </c>
      <c r="AC30">
        <v>348.7654751526</v>
      </c>
      <c r="AD30">
        <v>2139</v>
      </c>
      <c r="AE30">
        <v>338.44179523140002</v>
      </c>
      <c r="AF30">
        <v>976</v>
      </c>
      <c r="AG30">
        <v>188.00307377050001</v>
      </c>
      <c r="AH30">
        <v>8</v>
      </c>
      <c r="AI30">
        <v>441</v>
      </c>
      <c r="AL30" t="s">
        <v>429</v>
      </c>
      <c r="AM30">
        <v>598</v>
      </c>
      <c r="AN30">
        <v>513</v>
      </c>
      <c r="AO30">
        <v>316.92787524369999</v>
      </c>
      <c r="AP30">
        <v>138</v>
      </c>
      <c r="AQ30">
        <v>521.68840579710002</v>
      </c>
      <c r="AR30">
        <v>78</v>
      </c>
      <c r="AS30">
        <v>187.42307692310001</v>
      </c>
      <c r="AT30">
        <v>7</v>
      </c>
      <c r="AU30">
        <v>317.85714285709997</v>
      </c>
    </row>
    <row r="31" spans="6:51" x14ac:dyDescent="0.2">
      <c r="F31" t="s">
        <v>25</v>
      </c>
      <c r="G31">
        <v>17158</v>
      </c>
      <c r="H31">
        <v>14946</v>
      </c>
      <c r="I31">
        <v>550.82789079229997</v>
      </c>
      <c r="J31">
        <v>999</v>
      </c>
      <c r="K31">
        <v>845.04804804800006</v>
      </c>
      <c r="L31">
        <v>1235</v>
      </c>
      <c r="M31">
        <v>553.39028340079994</v>
      </c>
      <c r="N31">
        <v>952</v>
      </c>
      <c r="O31">
        <v>382.20715036799999</v>
      </c>
      <c r="R31">
        <v>25</v>
      </c>
      <c r="S31">
        <v>373.24</v>
      </c>
      <c r="V31" t="s">
        <v>385</v>
      </c>
      <c r="W31">
        <v>17804</v>
      </c>
      <c r="X31">
        <v>14940</v>
      </c>
      <c r="Y31">
        <v>548.14673985809998</v>
      </c>
      <c r="Z31">
        <v>1037</v>
      </c>
      <c r="AA31">
        <v>836.01157184190004</v>
      </c>
      <c r="AB31">
        <v>1313</v>
      </c>
      <c r="AC31">
        <v>571.24447829400003</v>
      </c>
      <c r="AD31">
        <v>1004</v>
      </c>
      <c r="AE31">
        <v>381.43070787639999</v>
      </c>
      <c r="AF31">
        <v>522</v>
      </c>
      <c r="AG31">
        <v>180.0652591171</v>
      </c>
      <c r="AH31">
        <v>25</v>
      </c>
      <c r="AI31">
        <v>373.24</v>
      </c>
      <c r="AL31" t="s">
        <v>385</v>
      </c>
      <c r="AM31">
        <v>374</v>
      </c>
      <c r="AN31">
        <v>276</v>
      </c>
      <c r="AO31">
        <v>346.53260869569999</v>
      </c>
      <c r="AP31">
        <v>88</v>
      </c>
      <c r="AQ31">
        <v>672.01136363640001</v>
      </c>
      <c r="AR31">
        <v>72</v>
      </c>
      <c r="AS31">
        <v>201.4166666667</v>
      </c>
      <c r="AT31">
        <v>23</v>
      </c>
      <c r="AU31">
        <v>199.86956521740001</v>
      </c>
      <c r="AV31">
        <v>1</v>
      </c>
      <c r="AW31">
        <v>214</v>
      </c>
      <c r="AX31">
        <v>2</v>
      </c>
      <c r="AY31">
        <v>254.5</v>
      </c>
    </row>
    <row r="32" spans="6:51" x14ac:dyDescent="0.2">
      <c r="F32" t="s">
        <v>42</v>
      </c>
      <c r="G32">
        <v>12919</v>
      </c>
      <c r="H32">
        <v>10269</v>
      </c>
      <c r="I32">
        <v>367.8823529412</v>
      </c>
      <c r="J32">
        <v>427</v>
      </c>
      <c r="K32">
        <v>681.82435597189999</v>
      </c>
      <c r="L32">
        <v>1726</v>
      </c>
      <c r="M32">
        <v>523.56662804170003</v>
      </c>
      <c r="N32">
        <v>904</v>
      </c>
      <c r="O32">
        <v>573.35398230090004</v>
      </c>
      <c r="R32">
        <v>20</v>
      </c>
      <c r="S32">
        <v>563.85</v>
      </c>
      <c r="V32" t="s">
        <v>397</v>
      </c>
      <c r="W32">
        <v>3424</v>
      </c>
      <c r="X32">
        <v>2198</v>
      </c>
      <c r="Y32">
        <v>465.084622384</v>
      </c>
      <c r="Z32">
        <v>364</v>
      </c>
      <c r="AA32">
        <v>487.01648351649999</v>
      </c>
      <c r="AB32">
        <v>595</v>
      </c>
      <c r="AC32">
        <v>587.23025210080004</v>
      </c>
      <c r="AD32">
        <v>494</v>
      </c>
      <c r="AE32">
        <v>599.5809716599</v>
      </c>
      <c r="AF32">
        <v>133</v>
      </c>
      <c r="AG32">
        <v>168.19548872179999</v>
      </c>
      <c r="AH32">
        <v>4</v>
      </c>
      <c r="AI32">
        <v>589</v>
      </c>
      <c r="AL32" t="s">
        <v>397</v>
      </c>
      <c r="AM32">
        <v>127</v>
      </c>
      <c r="AN32">
        <v>100</v>
      </c>
      <c r="AO32">
        <v>456.14</v>
      </c>
      <c r="AP32">
        <v>9</v>
      </c>
      <c r="AQ32">
        <v>668.44444444440001</v>
      </c>
      <c r="AR32">
        <v>23</v>
      </c>
      <c r="AS32">
        <v>295.4347826087</v>
      </c>
      <c r="AT32">
        <v>3</v>
      </c>
      <c r="AU32">
        <v>346.3333333333</v>
      </c>
      <c r="AV32">
        <v>1</v>
      </c>
      <c r="AW32">
        <v>647</v>
      </c>
    </row>
    <row r="33" spans="6:51" x14ac:dyDescent="0.2">
      <c r="F33" t="s">
        <v>75</v>
      </c>
      <c r="G33">
        <v>5996</v>
      </c>
      <c r="H33">
        <v>2926</v>
      </c>
      <c r="I33">
        <v>368.68980848149999</v>
      </c>
      <c r="J33">
        <v>425</v>
      </c>
      <c r="K33">
        <v>661.43294117649998</v>
      </c>
      <c r="L33">
        <v>2038</v>
      </c>
      <c r="M33">
        <v>708.14376840039995</v>
      </c>
      <c r="N33">
        <v>1030</v>
      </c>
      <c r="O33">
        <v>967.44660194170001</v>
      </c>
      <c r="R33">
        <v>2</v>
      </c>
      <c r="S33">
        <v>1019.5</v>
      </c>
      <c r="V33" t="s">
        <v>388</v>
      </c>
      <c r="W33">
        <v>7064</v>
      </c>
      <c r="X33">
        <v>4410</v>
      </c>
      <c r="Y33">
        <v>287.45974143799998</v>
      </c>
      <c r="Z33">
        <v>450</v>
      </c>
      <c r="AA33">
        <v>693.10666666669999</v>
      </c>
      <c r="AB33">
        <v>1496</v>
      </c>
      <c r="AC33">
        <v>374.66243315510002</v>
      </c>
      <c r="AD33">
        <v>778</v>
      </c>
      <c r="AE33">
        <v>460.20179948589998</v>
      </c>
      <c r="AF33">
        <v>366</v>
      </c>
      <c r="AG33">
        <v>204.09289617490001</v>
      </c>
      <c r="AH33">
        <v>14</v>
      </c>
      <c r="AI33">
        <v>525.57142857140002</v>
      </c>
      <c r="AL33" t="s">
        <v>388</v>
      </c>
      <c r="AM33">
        <v>256</v>
      </c>
      <c r="AN33">
        <v>194</v>
      </c>
      <c r="AO33">
        <v>316.35051546390002</v>
      </c>
      <c r="AP33">
        <v>11</v>
      </c>
      <c r="AQ33">
        <v>525.72727272730003</v>
      </c>
      <c r="AR33">
        <v>52</v>
      </c>
      <c r="AS33">
        <v>290.07692307690002</v>
      </c>
      <c r="AT33">
        <v>10</v>
      </c>
      <c r="AU33">
        <v>277.39999999999998</v>
      </c>
    </row>
    <row r="34" spans="6:51" x14ac:dyDescent="0.2">
      <c r="F34" t="s">
        <v>61</v>
      </c>
      <c r="G34">
        <v>6492</v>
      </c>
      <c r="H34">
        <v>4277</v>
      </c>
      <c r="I34">
        <v>269.54864359210001</v>
      </c>
      <c r="J34">
        <v>446</v>
      </c>
      <c r="K34">
        <v>678.40358744390005</v>
      </c>
      <c r="L34">
        <v>1429</v>
      </c>
      <c r="M34">
        <v>342.34569629110001</v>
      </c>
      <c r="N34">
        <v>772</v>
      </c>
      <c r="O34">
        <v>450.63860103629997</v>
      </c>
      <c r="R34">
        <v>14</v>
      </c>
      <c r="S34">
        <v>525.07142857140002</v>
      </c>
      <c r="V34" t="s">
        <v>431</v>
      </c>
      <c r="W34">
        <v>6084</v>
      </c>
      <c r="X34">
        <v>2835</v>
      </c>
      <c r="Y34">
        <v>368.56704304869999</v>
      </c>
      <c r="Z34">
        <v>412</v>
      </c>
      <c r="AA34">
        <v>661.65291262139999</v>
      </c>
      <c r="AB34">
        <v>1976</v>
      </c>
      <c r="AC34">
        <v>708.54807692309998</v>
      </c>
      <c r="AD34">
        <v>1003</v>
      </c>
      <c r="AE34">
        <v>966.86839481560003</v>
      </c>
      <c r="AF34">
        <v>268</v>
      </c>
      <c r="AG34">
        <v>171.91791044780001</v>
      </c>
      <c r="AH34">
        <v>2</v>
      </c>
      <c r="AI34">
        <v>1019.5</v>
      </c>
      <c r="AL34" t="s">
        <v>431</v>
      </c>
      <c r="AM34">
        <v>124</v>
      </c>
      <c r="AN34">
        <v>85</v>
      </c>
      <c r="AO34">
        <v>302.43529411759999</v>
      </c>
      <c r="AP34">
        <v>26</v>
      </c>
      <c r="AQ34">
        <v>469.11538461539999</v>
      </c>
      <c r="AR34">
        <v>29</v>
      </c>
      <c r="AS34">
        <v>259.34482758619998</v>
      </c>
      <c r="AT34">
        <v>10</v>
      </c>
      <c r="AU34">
        <v>139.80000000000001</v>
      </c>
    </row>
    <row r="35" spans="6:51" x14ac:dyDescent="0.2">
      <c r="F35" t="s">
        <v>56</v>
      </c>
      <c r="G35">
        <v>4921</v>
      </c>
      <c r="H35">
        <v>3292</v>
      </c>
      <c r="I35">
        <v>499.45504252730001</v>
      </c>
      <c r="J35">
        <v>503</v>
      </c>
      <c r="K35">
        <v>505.35188866800002</v>
      </c>
      <c r="L35">
        <v>910</v>
      </c>
      <c r="M35">
        <v>578.67362637359997</v>
      </c>
      <c r="N35">
        <v>713</v>
      </c>
      <c r="O35">
        <v>612.27629733519996</v>
      </c>
      <c r="R35">
        <v>6</v>
      </c>
      <c r="S35">
        <v>658.5</v>
      </c>
      <c r="V35" t="s">
        <v>387</v>
      </c>
      <c r="W35">
        <v>13159</v>
      </c>
      <c r="X35">
        <v>10152</v>
      </c>
      <c r="Y35">
        <v>370.17505664470002</v>
      </c>
      <c r="Z35">
        <v>442</v>
      </c>
      <c r="AA35">
        <v>670.5904977376</v>
      </c>
      <c r="AB35">
        <v>1722</v>
      </c>
      <c r="AC35">
        <v>527.54936120790001</v>
      </c>
      <c r="AD35">
        <v>908</v>
      </c>
      <c r="AE35">
        <v>565.30947136559996</v>
      </c>
      <c r="AF35">
        <v>356</v>
      </c>
      <c r="AG35">
        <v>184.53239436620001</v>
      </c>
      <c r="AH35">
        <v>21</v>
      </c>
      <c r="AI35">
        <v>599.80952380949998</v>
      </c>
      <c r="AL35" t="s">
        <v>387</v>
      </c>
      <c r="AM35">
        <v>167</v>
      </c>
      <c r="AN35">
        <v>134</v>
      </c>
      <c r="AO35">
        <v>295.2985074627</v>
      </c>
      <c r="AP35">
        <v>36</v>
      </c>
      <c r="AQ35">
        <v>385.1666666667</v>
      </c>
      <c r="AR35">
        <v>27</v>
      </c>
      <c r="AS35">
        <v>210.1851851852</v>
      </c>
      <c r="AT35">
        <v>5</v>
      </c>
      <c r="AU35">
        <v>335.6</v>
      </c>
      <c r="AV35">
        <v>1</v>
      </c>
      <c r="AW35">
        <v>-2</v>
      </c>
    </row>
    <row r="36" spans="6:51" x14ac:dyDescent="0.2">
      <c r="F36" t="s">
        <v>60</v>
      </c>
      <c r="G36">
        <v>10313</v>
      </c>
      <c r="H36">
        <v>5248</v>
      </c>
      <c r="I36">
        <v>271.66469691190002</v>
      </c>
      <c r="J36">
        <v>679</v>
      </c>
      <c r="K36">
        <v>611.00883652430002</v>
      </c>
      <c r="L36">
        <v>3759</v>
      </c>
      <c r="M36">
        <v>776.51662676240005</v>
      </c>
      <c r="N36">
        <v>1279</v>
      </c>
      <c r="O36">
        <v>505.3403755869</v>
      </c>
      <c r="R36">
        <v>27</v>
      </c>
      <c r="S36">
        <v>536.48148148150005</v>
      </c>
      <c r="V36" t="s">
        <v>384</v>
      </c>
      <c r="W36">
        <v>89507</v>
      </c>
      <c r="X36">
        <v>66777</v>
      </c>
      <c r="Y36">
        <v>435.28013419600001</v>
      </c>
      <c r="Z36">
        <v>4735</v>
      </c>
      <c r="AA36">
        <v>701.52587117209998</v>
      </c>
      <c r="AB36">
        <v>11935</v>
      </c>
      <c r="AC36">
        <v>605.36765814830005</v>
      </c>
      <c r="AD36">
        <v>7594</v>
      </c>
      <c r="AE36">
        <v>512.28003161219999</v>
      </c>
      <c r="AF36">
        <v>3100</v>
      </c>
      <c r="AG36">
        <v>184.2230471272</v>
      </c>
      <c r="AH36">
        <v>101</v>
      </c>
      <c r="AI36">
        <v>511.81188118810002</v>
      </c>
      <c r="AL36" t="s">
        <v>384</v>
      </c>
      <c r="AM36">
        <v>1931</v>
      </c>
      <c r="AN36">
        <v>1506</v>
      </c>
      <c r="AO36">
        <v>336.16533864540003</v>
      </c>
      <c r="AP36">
        <v>324</v>
      </c>
      <c r="AQ36">
        <v>552.42592592589995</v>
      </c>
      <c r="AR36">
        <v>352</v>
      </c>
      <c r="AS36">
        <v>277.29829545450002</v>
      </c>
      <c r="AT36">
        <v>68</v>
      </c>
      <c r="AU36">
        <v>218.6764705882</v>
      </c>
      <c r="AV36">
        <v>3</v>
      </c>
      <c r="AW36">
        <v>286.3333333333</v>
      </c>
      <c r="AX36">
        <v>2</v>
      </c>
      <c r="AY36">
        <v>254.5</v>
      </c>
    </row>
    <row r="37" spans="6:51" x14ac:dyDescent="0.2">
      <c r="F37" t="s">
        <v>80</v>
      </c>
      <c r="G37">
        <v>30404</v>
      </c>
      <c r="H37">
        <v>27385</v>
      </c>
      <c r="I37">
        <v>456.06080414860003</v>
      </c>
      <c r="J37">
        <v>1300</v>
      </c>
      <c r="K37">
        <v>726.3307692308</v>
      </c>
      <c r="L37">
        <v>947</v>
      </c>
      <c r="M37">
        <v>267.75290390710001</v>
      </c>
      <c r="N37">
        <v>2068</v>
      </c>
      <c r="O37">
        <v>320.74516441010002</v>
      </c>
      <c r="R37">
        <v>4</v>
      </c>
      <c r="S37">
        <v>262.75</v>
      </c>
      <c r="V37" t="s">
        <v>410</v>
      </c>
      <c r="W37">
        <v>531</v>
      </c>
      <c r="X37">
        <v>269</v>
      </c>
      <c r="Y37">
        <v>130.45353159850001</v>
      </c>
      <c r="Z37">
        <v>254</v>
      </c>
      <c r="AA37">
        <v>209.15354330709999</v>
      </c>
      <c r="AB37">
        <v>105</v>
      </c>
      <c r="AC37">
        <v>170.87619047620001</v>
      </c>
      <c r="AD37">
        <v>99</v>
      </c>
      <c r="AE37">
        <v>219.12121212119999</v>
      </c>
      <c r="AF37">
        <v>54</v>
      </c>
      <c r="AG37">
        <v>163.75925925929999</v>
      </c>
      <c r="AH37">
        <v>4</v>
      </c>
      <c r="AI37">
        <v>358.5</v>
      </c>
      <c r="AL37" t="s">
        <v>410</v>
      </c>
      <c r="AM37">
        <v>20</v>
      </c>
      <c r="AN37">
        <v>13</v>
      </c>
      <c r="AO37">
        <v>96.230769230799993</v>
      </c>
      <c r="AP37">
        <v>13</v>
      </c>
      <c r="AQ37">
        <v>240.07692307689999</v>
      </c>
      <c r="AR37">
        <v>6</v>
      </c>
      <c r="AS37">
        <v>259.3333333333</v>
      </c>
      <c r="AT37">
        <v>1</v>
      </c>
      <c r="AU37">
        <v>47</v>
      </c>
    </row>
    <row r="38" spans="6:51" x14ac:dyDescent="0.2">
      <c r="F38" t="s">
        <v>384</v>
      </c>
      <c r="G38">
        <v>88203</v>
      </c>
      <c r="H38">
        <v>68343</v>
      </c>
      <c r="I38">
        <v>436.06016126909998</v>
      </c>
      <c r="J38">
        <v>4779</v>
      </c>
      <c r="K38">
        <v>697.28311362210002</v>
      </c>
      <c r="L38">
        <v>12044</v>
      </c>
      <c r="M38">
        <v>599.3526237131</v>
      </c>
      <c r="N38">
        <v>7718</v>
      </c>
      <c r="O38">
        <v>514.75285121820002</v>
      </c>
      <c r="R38">
        <v>98</v>
      </c>
      <c r="S38">
        <v>504.94897959180003</v>
      </c>
      <c r="V38" t="s">
        <v>414</v>
      </c>
      <c r="W38">
        <v>40971</v>
      </c>
      <c r="X38">
        <v>29188</v>
      </c>
      <c r="Y38">
        <v>458.59140742770001</v>
      </c>
      <c r="Z38">
        <v>2355</v>
      </c>
      <c r="AA38">
        <v>727.9439490446</v>
      </c>
      <c r="AB38">
        <v>8400</v>
      </c>
      <c r="AC38">
        <v>739.12904761899995</v>
      </c>
      <c r="AD38">
        <v>2207</v>
      </c>
      <c r="AE38">
        <v>549.47755102040003</v>
      </c>
      <c r="AF38">
        <v>1128</v>
      </c>
      <c r="AG38">
        <v>190.47517730499999</v>
      </c>
      <c r="AH38">
        <v>48</v>
      </c>
      <c r="AI38">
        <v>529.60416666670005</v>
      </c>
      <c r="AL38" t="s">
        <v>414</v>
      </c>
      <c r="AM38">
        <v>623</v>
      </c>
      <c r="AN38">
        <v>444</v>
      </c>
      <c r="AO38">
        <v>384.72972972970001</v>
      </c>
      <c r="AP38">
        <v>223</v>
      </c>
      <c r="AQ38">
        <v>570.31838565019996</v>
      </c>
      <c r="AR38">
        <v>156</v>
      </c>
      <c r="AS38">
        <v>343.641025641</v>
      </c>
      <c r="AT38">
        <v>23</v>
      </c>
      <c r="AU38">
        <v>390.78260869569999</v>
      </c>
    </row>
    <row r="39" spans="6:51" x14ac:dyDescent="0.2">
      <c r="F39" t="s">
        <v>82</v>
      </c>
      <c r="G39">
        <v>19274</v>
      </c>
      <c r="H39">
        <v>14541</v>
      </c>
      <c r="I39">
        <v>410.72188982879999</v>
      </c>
      <c r="J39">
        <v>1055</v>
      </c>
      <c r="K39">
        <v>715.66635071090002</v>
      </c>
      <c r="L39">
        <v>3776</v>
      </c>
      <c r="M39">
        <v>790.40704449149996</v>
      </c>
      <c r="N39">
        <v>938</v>
      </c>
      <c r="O39">
        <v>492.79637526649998</v>
      </c>
      <c r="R39">
        <v>19</v>
      </c>
      <c r="S39">
        <v>652.78947368419995</v>
      </c>
      <c r="V39" t="s">
        <v>422</v>
      </c>
      <c r="W39">
        <v>429</v>
      </c>
      <c r="X39">
        <v>215</v>
      </c>
      <c r="Y39">
        <v>172.45581395350001</v>
      </c>
      <c r="Z39">
        <v>94</v>
      </c>
      <c r="AA39">
        <v>272.23404255320003</v>
      </c>
      <c r="AB39">
        <v>132</v>
      </c>
      <c r="AC39">
        <v>311.36363636359999</v>
      </c>
      <c r="AD39">
        <v>60</v>
      </c>
      <c r="AE39">
        <v>439.11666666669998</v>
      </c>
      <c r="AF39">
        <v>20</v>
      </c>
      <c r="AG39">
        <v>324.55</v>
      </c>
      <c r="AH39">
        <v>2</v>
      </c>
      <c r="AI39">
        <v>534.5</v>
      </c>
      <c r="AL39" t="s">
        <v>422</v>
      </c>
      <c r="AM39">
        <v>7</v>
      </c>
      <c r="AN39">
        <v>6</v>
      </c>
      <c r="AO39">
        <v>200.3333333333</v>
      </c>
      <c r="AP39">
        <v>4</v>
      </c>
      <c r="AQ39">
        <v>185.5</v>
      </c>
      <c r="AR39">
        <v>1</v>
      </c>
      <c r="AS39">
        <v>152</v>
      </c>
    </row>
    <row r="40" spans="6:51" x14ac:dyDescent="0.2">
      <c r="F40" t="s">
        <v>43</v>
      </c>
      <c r="G40">
        <v>6339</v>
      </c>
      <c r="H40">
        <v>3588</v>
      </c>
      <c r="I40">
        <v>262.01644370119999</v>
      </c>
      <c r="J40">
        <v>191</v>
      </c>
      <c r="K40">
        <v>549.45026178010005</v>
      </c>
      <c r="L40">
        <v>2383</v>
      </c>
      <c r="M40">
        <v>731.03231221149997</v>
      </c>
      <c r="N40">
        <v>360</v>
      </c>
      <c r="O40">
        <v>411.0138888889</v>
      </c>
      <c r="R40">
        <v>8</v>
      </c>
      <c r="S40">
        <v>301.875</v>
      </c>
      <c r="V40" t="s">
        <v>425</v>
      </c>
      <c r="W40">
        <v>318</v>
      </c>
      <c r="X40">
        <v>222</v>
      </c>
      <c r="Y40">
        <v>275.0630630631</v>
      </c>
      <c r="Z40">
        <v>57</v>
      </c>
      <c r="AA40">
        <v>509.57894736840001</v>
      </c>
      <c r="AB40">
        <v>44</v>
      </c>
      <c r="AC40">
        <v>458.25</v>
      </c>
      <c r="AD40">
        <v>28</v>
      </c>
      <c r="AE40">
        <v>365.75</v>
      </c>
      <c r="AF40">
        <v>23</v>
      </c>
      <c r="AG40">
        <v>224.08695652169999</v>
      </c>
      <c r="AH40">
        <v>1</v>
      </c>
      <c r="AI40">
        <v>442</v>
      </c>
      <c r="AL40" t="s">
        <v>425</v>
      </c>
      <c r="AM40">
        <v>7</v>
      </c>
      <c r="AN40">
        <v>2</v>
      </c>
      <c r="AO40">
        <v>502.5</v>
      </c>
      <c r="AR40">
        <v>5</v>
      </c>
      <c r="AS40">
        <v>131.19999999999999</v>
      </c>
    </row>
    <row r="41" spans="6:51" x14ac:dyDescent="0.2">
      <c r="F41" t="s">
        <v>49</v>
      </c>
      <c r="G41">
        <v>20380</v>
      </c>
      <c r="H41">
        <v>14456</v>
      </c>
      <c r="I41">
        <v>516.74827061430005</v>
      </c>
      <c r="J41">
        <v>1321</v>
      </c>
      <c r="K41">
        <v>756.56775170330002</v>
      </c>
      <c r="L41">
        <v>4668</v>
      </c>
      <c r="M41">
        <v>704.09125964010002</v>
      </c>
      <c r="N41">
        <v>1229</v>
      </c>
      <c r="O41">
        <v>606.41727791359995</v>
      </c>
      <c r="R41">
        <v>27</v>
      </c>
      <c r="S41">
        <v>426.8888888889</v>
      </c>
      <c r="V41" t="s">
        <v>415</v>
      </c>
      <c r="W41">
        <v>5344</v>
      </c>
      <c r="X41">
        <v>4093</v>
      </c>
      <c r="Y41">
        <v>486.66064011729998</v>
      </c>
      <c r="Z41">
        <v>249</v>
      </c>
      <c r="AA41">
        <v>828.77108433729995</v>
      </c>
      <c r="AB41">
        <v>587</v>
      </c>
      <c r="AC41">
        <v>280.71209540029997</v>
      </c>
      <c r="AD41">
        <v>465</v>
      </c>
      <c r="AE41">
        <v>584.18494623660001</v>
      </c>
      <c r="AF41">
        <v>195</v>
      </c>
      <c r="AG41">
        <v>203.94871794869999</v>
      </c>
      <c r="AH41">
        <v>4</v>
      </c>
      <c r="AI41">
        <v>190</v>
      </c>
      <c r="AL41" t="s">
        <v>415</v>
      </c>
      <c r="AM41">
        <v>177</v>
      </c>
      <c r="AN41">
        <v>139</v>
      </c>
      <c r="AO41">
        <v>386.9712230216</v>
      </c>
      <c r="AP41">
        <v>15</v>
      </c>
      <c r="AQ41">
        <v>842.06666666670003</v>
      </c>
      <c r="AR41">
        <v>33</v>
      </c>
      <c r="AS41">
        <v>331.60606060610002</v>
      </c>
      <c r="AT41">
        <v>5</v>
      </c>
      <c r="AU41">
        <v>687.6</v>
      </c>
    </row>
    <row r="42" spans="6:51" x14ac:dyDescent="0.2">
      <c r="F42" t="s">
        <v>52</v>
      </c>
      <c r="G42">
        <v>4672</v>
      </c>
      <c r="H42">
        <v>3096</v>
      </c>
      <c r="I42">
        <v>311.01291989660001</v>
      </c>
      <c r="J42">
        <v>314</v>
      </c>
      <c r="K42">
        <v>562.77070063689996</v>
      </c>
      <c r="L42">
        <v>1033</v>
      </c>
      <c r="M42">
        <v>389.0096805421</v>
      </c>
      <c r="N42">
        <v>532</v>
      </c>
      <c r="O42">
        <v>589.27819548870002</v>
      </c>
      <c r="R42">
        <v>11</v>
      </c>
      <c r="S42">
        <v>542.63636363640001</v>
      </c>
      <c r="V42" t="s">
        <v>407</v>
      </c>
      <c r="W42">
        <v>6451</v>
      </c>
      <c r="X42">
        <v>3574</v>
      </c>
      <c r="Y42">
        <v>269.87213206489997</v>
      </c>
      <c r="Z42">
        <v>196</v>
      </c>
      <c r="AA42">
        <v>560.58673469389998</v>
      </c>
      <c r="AB42">
        <v>2274</v>
      </c>
      <c r="AC42">
        <v>719.34872471419999</v>
      </c>
      <c r="AD42">
        <v>360</v>
      </c>
      <c r="AE42">
        <v>424.21388888889999</v>
      </c>
      <c r="AF42">
        <v>235</v>
      </c>
      <c r="AG42">
        <v>203.07234042549999</v>
      </c>
      <c r="AH42">
        <v>8</v>
      </c>
      <c r="AI42">
        <v>301.875</v>
      </c>
      <c r="AL42" t="s">
        <v>407</v>
      </c>
      <c r="AM42">
        <v>92</v>
      </c>
      <c r="AN42">
        <v>55</v>
      </c>
      <c r="AO42">
        <v>267.92727272730002</v>
      </c>
      <c r="AP42">
        <v>27</v>
      </c>
      <c r="AQ42">
        <v>272.3703703704</v>
      </c>
      <c r="AR42">
        <v>35</v>
      </c>
      <c r="AS42">
        <v>593.85714285710003</v>
      </c>
      <c r="AT42">
        <v>2</v>
      </c>
      <c r="AU42">
        <v>220</v>
      </c>
    </row>
    <row r="43" spans="6:51" x14ac:dyDescent="0.2">
      <c r="F43" t="s">
        <v>39</v>
      </c>
      <c r="G43">
        <v>272</v>
      </c>
      <c r="H43">
        <v>208</v>
      </c>
      <c r="I43">
        <v>273.96153846150003</v>
      </c>
      <c r="J43">
        <v>64</v>
      </c>
      <c r="K43">
        <v>517.9375</v>
      </c>
      <c r="L43">
        <v>34</v>
      </c>
      <c r="M43">
        <v>360.9705882353</v>
      </c>
      <c r="N43">
        <v>29</v>
      </c>
      <c r="O43">
        <v>347.82758620689998</v>
      </c>
      <c r="R43">
        <v>1</v>
      </c>
      <c r="S43">
        <v>442</v>
      </c>
      <c r="V43" t="s">
        <v>416</v>
      </c>
      <c r="W43">
        <v>4888</v>
      </c>
      <c r="X43">
        <v>2987</v>
      </c>
      <c r="Y43">
        <v>199.92936056240001</v>
      </c>
      <c r="Z43">
        <v>362</v>
      </c>
      <c r="AA43">
        <v>355.33149171269997</v>
      </c>
      <c r="AB43">
        <v>1071</v>
      </c>
      <c r="AC43">
        <v>244.59103641460001</v>
      </c>
      <c r="AD43">
        <v>529</v>
      </c>
      <c r="AE43">
        <v>329.53308128539999</v>
      </c>
      <c r="AF43">
        <v>294</v>
      </c>
      <c r="AG43">
        <v>182.32312925170001</v>
      </c>
      <c r="AH43">
        <v>7</v>
      </c>
      <c r="AI43">
        <v>230.71428571429999</v>
      </c>
      <c r="AL43" t="s">
        <v>416</v>
      </c>
      <c r="AM43">
        <v>105</v>
      </c>
      <c r="AN43">
        <v>74</v>
      </c>
      <c r="AO43">
        <v>172.8918918919</v>
      </c>
      <c r="AP43">
        <v>44</v>
      </c>
      <c r="AQ43">
        <v>235.36363636359999</v>
      </c>
      <c r="AR43">
        <v>25</v>
      </c>
      <c r="AS43">
        <v>151.91999999999999</v>
      </c>
      <c r="AT43">
        <v>5</v>
      </c>
      <c r="AU43">
        <v>329.6</v>
      </c>
      <c r="AV43">
        <v>1</v>
      </c>
      <c r="AW43">
        <v>178</v>
      </c>
    </row>
    <row r="44" spans="6:51" x14ac:dyDescent="0.2">
      <c r="F44" t="s">
        <v>27</v>
      </c>
      <c r="G44">
        <v>4560</v>
      </c>
      <c r="H44">
        <v>2939</v>
      </c>
      <c r="I44">
        <v>191.05069751619999</v>
      </c>
      <c r="J44">
        <v>360</v>
      </c>
      <c r="K44">
        <v>343.81944444440001</v>
      </c>
      <c r="L44">
        <v>1066</v>
      </c>
      <c r="M44">
        <v>236.73452157599999</v>
      </c>
      <c r="N44">
        <v>548</v>
      </c>
      <c r="O44">
        <v>320.00547445260003</v>
      </c>
      <c r="R44">
        <v>7</v>
      </c>
      <c r="S44">
        <v>230.71428571429999</v>
      </c>
      <c r="V44" t="s">
        <v>391</v>
      </c>
      <c r="W44">
        <v>5890</v>
      </c>
      <c r="X44">
        <v>4775</v>
      </c>
      <c r="Y44">
        <v>440.07602094240002</v>
      </c>
      <c r="Z44">
        <v>515</v>
      </c>
      <c r="AA44">
        <v>675.68349514559998</v>
      </c>
      <c r="AB44">
        <v>522</v>
      </c>
      <c r="AC44">
        <v>432.64750957849998</v>
      </c>
      <c r="AD44">
        <v>395</v>
      </c>
      <c r="AE44">
        <v>445.16962025319998</v>
      </c>
      <c r="AF44">
        <v>184</v>
      </c>
      <c r="AG44">
        <v>190.04891304349999</v>
      </c>
      <c r="AH44">
        <v>14</v>
      </c>
      <c r="AI44">
        <v>418.42857142859998</v>
      </c>
      <c r="AL44" t="s">
        <v>391</v>
      </c>
      <c r="AM44">
        <v>200</v>
      </c>
      <c r="AN44">
        <v>158</v>
      </c>
      <c r="AO44">
        <v>402.25316455699999</v>
      </c>
      <c r="AP44">
        <v>5</v>
      </c>
      <c r="AQ44">
        <v>658.4</v>
      </c>
      <c r="AR44">
        <v>41</v>
      </c>
      <c r="AS44">
        <v>234.78048780489999</v>
      </c>
      <c r="AT44">
        <v>1</v>
      </c>
      <c r="AU44">
        <v>152</v>
      </c>
    </row>
    <row r="45" spans="6:51" x14ac:dyDescent="0.2">
      <c r="F45" t="s">
        <v>54</v>
      </c>
      <c r="G45">
        <v>5303</v>
      </c>
      <c r="H45">
        <v>4234</v>
      </c>
      <c r="I45">
        <v>488.29995276329998</v>
      </c>
      <c r="J45">
        <v>257</v>
      </c>
      <c r="K45">
        <v>836.38910505839999</v>
      </c>
      <c r="L45">
        <v>588</v>
      </c>
      <c r="M45">
        <v>268.73469387760002</v>
      </c>
      <c r="N45">
        <v>476</v>
      </c>
      <c r="O45">
        <v>606.73739495799998</v>
      </c>
      <c r="R45">
        <v>5</v>
      </c>
      <c r="S45">
        <v>242.6</v>
      </c>
      <c r="V45" t="s">
        <v>393</v>
      </c>
      <c r="W45">
        <v>4884</v>
      </c>
      <c r="X45">
        <v>3141</v>
      </c>
      <c r="Y45">
        <v>320.11875198979999</v>
      </c>
      <c r="Z45">
        <v>328</v>
      </c>
      <c r="AA45">
        <v>571.68597560980004</v>
      </c>
      <c r="AB45">
        <v>1047</v>
      </c>
      <c r="AC45">
        <v>400.62273161410002</v>
      </c>
      <c r="AD45">
        <v>531</v>
      </c>
      <c r="AE45">
        <v>596.98493408659999</v>
      </c>
      <c r="AF45">
        <v>154</v>
      </c>
      <c r="AG45">
        <v>256.46753246750001</v>
      </c>
      <c r="AH45">
        <v>11</v>
      </c>
      <c r="AI45">
        <v>542.63636363640001</v>
      </c>
      <c r="AL45" t="s">
        <v>393</v>
      </c>
      <c r="AM45">
        <v>169</v>
      </c>
      <c r="AN45">
        <v>122</v>
      </c>
      <c r="AO45">
        <v>331.95901639340002</v>
      </c>
      <c r="AP45">
        <v>5</v>
      </c>
      <c r="AQ45">
        <v>408</v>
      </c>
      <c r="AR45">
        <v>45</v>
      </c>
      <c r="AS45">
        <v>405.24444444440002</v>
      </c>
      <c r="AT45">
        <v>2</v>
      </c>
      <c r="AU45">
        <v>429.5</v>
      </c>
    </row>
    <row r="46" spans="6:51" x14ac:dyDescent="0.2">
      <c r="F46" t="s">
        <v>62</v>
      </c>
      <c r="G46">
        <v>5726</v>
      </c>
      <c r="H46">
        <v>4794</v>
      </c>
      <c r="I46">
        <v>442.10387984980002</v>
      </c>
      <c r="J46">
        <v>518</v>
      </c>
      <c r="K46">
        <v>676.332046332</v>
      </c>
      <c r="L46">
        <v>520</v>
      </c>
      <c r="M46">
        <v>400.78653846150002</v>
      </c>
      <c r="N46">
        <v>399</v>
      </c>
      <c r="O46">
        <v>456.07769423560001</v>
      </c>
      <c r="R46">
        <v>13</v>
      </c>
      <c r="S46">
        <v>442.38461538460001</v>
      </c>
      <c r="V46" t="s">
        <v>389</v>
      </c>
      <c r="W46">
        <v>69706</v>
      </c>
      <c r="X46">
        <v>48464</v>
      </c>
      <c r="Y46">
        <v>416.3723588643</v>
      </c>
      <c r="Z46">
        <v>4410</v>
      </c>
      <c r="AA46">
        <v>635.47120181410003</v>
      </c>
      <c r="AB46">
        <v>14182</v>
      </c>
      <c r="AC46">
        <v>634.30524608660005</v>
      </c>
      <c r="AD46">
        <v>4674</v>
      </c>
      <c r="AE46">
        <v>505.43792808220002</v>
      </c>
      <c r="AF46">
        <v>2287</v>
      </c>
      <c r="AG46">
        <v>197.15959772630001</v>
      </c>
      <c r="AH46">
        <v>99</v>
      </c>
      <c r="AI46">
        <v>454.37373737370001</v>
      </c>
      <c r="AL46" t="s">
        <v>389</v>
      </c>
      <c r="AM46">
        <v>1400</v>
      </c>
      <c r="AN46">
        <v>1013</v>
      </c>
      <c r="AO46">
        <v>355.0365251728</v>
      </c>
      <c r="AP46">
        <v>336</v>
      </c>
      <c r="AQ46">
        <v>496.18154761900001</v>
      </c>
      <c r="AR46">
        <v>347</v>
      </c>
      <c r="AS46">
        <v>343.97694524500002</v>
      </c>
      <c r="AT46">
        <v>39</v>
      </c>
      <c r="AU46">
        <v>399.28205128209999</v>
      </c>
      <c r="AV46">
        <v>1</v>
      </c>
      <c r="AW46">
        <v>178</v>
      </c>
    </row>
    <row r="47" spans="6:51" x14ac:dyDescent="0.2">
      <c r="F47" t="s">
        <v>184</v>
      </c>
      <c r="G47">
        <v>351</v>
      </c>
      <c r="H47">
        <v>171</v>
      </c>
      <c r="I47">
        <v>98.941520467800004</v>
      </c>
      <c r="J47">
        <v>90</v>
      </c>
      <c r="K47">
        <v>263.86666666669998</v>
      </c>
      <c r="L47">
        <v>119</v>
      </c>
      <c r="M47">
        <v>290.31932773109997</v>
      </c>
      <c r="N47">
        <v>59</v>
      </c>
      <c r="O47">
        <v>427.89830508469998</v>
      </c>
      <c r="R47">
        <v>2</v>
      </c>
      <c r="S47">
        <v>534.5</v>
      </c>
      <c r="V47" t="s">
        <v>420</v>
      </c>
      <c r="W47">
        <v>458</v>
      </c>
      <c r="X47">
        <v>312</v>
      </c>
      <c r="Y47">
        <v>260.34615384620002</v>
      </c>
      <c r="Z47">
        <v>36</v>
      </c>
      <c r="AA47">
        <v>404.0833333333</v>
      </c>
      <c r="AB47">
        <v>49</v>
      </c>
      <c r="AC47">
        <v>344.20408163270002</v>
      </c>
      <c r="AD47">
        <v>72</v>
      </c>
      <c r="AE47">
        <v>289.6666666667</v>
      </c>
      <c r="AF47">
        <v>23</v>
      </c>
      <c r="AG47">
        <v>187.91304347830001</v>
      </c>
      <c r="AH47">
        <v>2</v>
      </c>
      <c r="AI47">
        <v>221</v>
      </c>
      <c r="AL47" t="s">
        <v>420</v>
      </c>
      <c r="AM47">
        <v>22</v>
      </c>
      <c r="AN47">
        <v>21</v>
      </c>
      <c r="AO47">
        <v>182.23809523809999</v>
      </c>
      <c r="AP47">
        <v>6</v>
      </c>
      <c r="AQ47">
        <v>316</v>
      </c>
      <c r="AR47">
        <v>1</v>
      </c>
      <c r="AS47">
        <v>138</v>
      </c>
    </row>
    <row r="48" spans="6:51" x14ac:dyDescent="0.2">
      <c r="F48" t="s">
        <v>73</v>
      </c>
      <c r="G48">
        <v>894</v>
      </c>
      <c r="H48">
        <v>683</v>
      </c>
      <c r="I48">
        <v>181.26500732060001</v>
      </c>
      <c r="J48">
        <v>266</v>
      </c>
      <c r="K48">
        <v>199.70300751880001</v>
      </c>
      <c r="L48">
        <v>100</v>
      </c>
      <c r="M48">
        <v>115.27</v>
      </c>
      <c r="N48">
        <v>108</v>
      </c>
      <c r="O48">
        <v>196.3148148148</v>
      </c>
      <c r="R48">
        <v>3</v>
      </c>
      <c r="S48">
        <v>219.6666666667</v>
      </c>
      <c r="V48" t="s">
        <v>421</v>
      </c>
      <c r="W48">
        <v>126</v>
      </c>
      <c r="X48">
        <v>87</v>
      </c>
      <c r="Y48">
        <v>157.5747126437</v>
      </c>
      <c r="Z48">
        <v>40</v>
      </c>
      <c r="AA48">
        <v>290.72500000000002</v>
      </c>
      <c r="AB48">
        <v>6</v>
      </c>
      <c r="AC48">
        <v>166</v>
      </c>
      <c r="AD48">
        <v>20</v>
      </c>
      <c r="AE48">
        <v>355.8</v>
      </c>
      <c r="AF48">
        <v>12</v>
      </c>
      <c r="AG48">
        <v>156.3333333333</v>
      </c>
      <c r="AH48">
        <v>1</v>
      </c>
      <c r="AI48">
        <v>164</v>
      </c>
      <c r="AL48" t="s">
        <v>421</v>
      </c>
      <c r="AM48">
        <v>9</v>
      </c>
      <c r="AN48">
        <v>8</v>
      </c>
      <c r="AO48">
        <v>177.625</v>
      </c>
      <c r="AP48">
        <v>3</v>
      </c>
      <c r="AQ48">
        <v>282.6666666667</v>
      </c>
      <c r="AT48">
        <v>1</v>
      </c>
      <c r="AU48">
        <v>604</v>
      </c>
    </row>
    <row r="49" spans="6:51" x14ac:dyDescent="0.2">
      <c r="F49" t="s">
        <v>389</v>
      </c>
      <c r="G49">
        <v>67771</v>
      </c>
      <c r="H49">
        <v>48710</v>
      </c>
      <c r="I49">
        <v>416.57860808869998</v>
      </c>
      <c r="J49">
        <v>4436</v>
      </c>
      <c r="K49">
        <v>639.13277727679997</v>
      </c>
      <c r="L49">
        <v>14287</v>
      </c>
      <c r="M49">
        <v>636.40400363970002</v>
      </c>
      <c r="N49">
        <v>4678</v>
      </c>
      <c r="O49">
        <v>506.94140290849998</v>
      </c>
      <c r="R49">
        <v>96</v>
      </c>
      <c r="S49">
        <v>448.5625</v>
      </c>
      <c r="V49" t="s">
        <v>427</v>
      </c>
      <c r="W49">
        <v>614</v>
      </c>
      <c r="X49">
        <v>371</v>
      </c>
      <c r="Y49">
        <v>363.96495956870001</v>
      </c>
      <c r="Z49">
        <v>50</v>
      </c>
      <c r="AA49">
        <v>501.82</v>
      </c>
      <c r="AB49">
        <v>138</v>
      </c>
      <c r="AC49">
        <v>451.55797101450003</v>
      </c>
      <c r="AD49">
        <v>73</v>
      </c>
      <c r="AE49">
        <v>604.41095890409997</v>
      </c>
      <c r="AF49">
        <v>32</v>
      </c>
      <c r="AG49">
        <v>153.65625</v>
      </c>
      <c r="AL49" t="s">
        <v>427</v>
      </c>
      <c r="AM49">
        <v>15</v>
      </c>
      <c r="AN49">
        <v>14</v>
      </c>
      <c r="AO49">
        <v>287.78571428570001</v>
      </c>
      <c r="AP49">
        <v>1</v>
      </c>
      <c r="AQ49">
        <v>449</v>
      </c>
      <c r="AV49">
        <v>1</v>
      </c>
      <c r="AW49">
        <v>463</v>
      </c>
    </row>
    <row r="50" spans="6:51" x14ac:dyDescent="0.2">
      <c r="F50" t="s">
        <v>215</v>
      </c>
      <c r="G50">
        <v>1771</v>
      </c>
      <c r="H50">
        <v>1246</v>
      </c>
      <c r="I50">
        <v>297.48154093099998</v>
      </c>
      <c r="J50">
        <v>677</v>
      </c>
      <c r="K50">
        <v>414.17725258489997</v>
      </c>
      <c r="L50">
        <v>451</v>
      </c>
      <c r="M50">
        <v>283.34811529929999</v>
      </c>
      <c r="N50">
        <v>74</v>
      </c>
      <c r="O50">
        <v>237.54054054049999</v>
      </c>
      <c r="V50" t="s">
        <v>380</v>
      </c>
      <c r="W50">
        <v>5620</v>
      </c>
      <c r="X50">
        <v>4428</v>
      </c>
      <c r="Y50">
        <v>552.48035230350001</v>
      </c>
      <c r="Z50">
        <v>298</v>
      </c>
      <c r="AA50">
        <v>884.16442953019998</v>
      </c>
      <c r="AB50">
        <v>829</v>
      </c>
      <c r="AC50">
        <v>834.87575392040003</v>
      </c>
      <c r="AD50">
        <v>276</v>
      </c>
      <c r="AE50">
        <v>643.1992753623</v>
      </c>
      <c r="AF50">
        <v>84</v>
      </c>
      <c r="AG50">
        <v>136.7738095238</v>
      </c>
      <c r="AH50">
        <v>3</v>
      </c>
      <c r="AI50">
        <v>701</v>
      </c>
      <c r="AL50" t="s">
        <v>380</v>
      </c>
      <c r="AM50">
        <v>90</v>
      </c>
      <c r="AN50">
        <v>75</v>
      </c>
      <c r="AO50">
        <v>250.9066666667</v>
      </c>
      <c r="AP50">
        <v>12</v>
      </c>
      <c r="AQ50">
        <v>352.75</v>
      </c>
      <c r="AR50">
        <v>13</v>
      </c>
      <c r="AS50">
        <v>252.61538461539999</v>
      </c>
      <c r="AT50">
        <v>2</v>
      </c>
      <c r="AU50">
        <v>505</v>
      </c>
    </row>
    <row r="51" spans="6:51" x14ac:dyDescent="0.2">
      <c r="F51" t="s">
        <v>212</v>
      </c>
      <c r="G51">
        <v>2693</v>
      </c>
      <c r="H51">
        <v>2086</v>
      </c>
      <c r="I51">
        <v>405.83557046980002</v>
      </c>
      <c r="J51">
        <v>159</v>
      </c>
      <c r="K51">
        <v>761.93710691820002</v>
      </c>
      <c r="L51">
        <v>547</v>
      </c>
      <c r="M51">
        <v>365.0676416819</v>
      </c>
      <c r="N51">
        <v>60</v>
      </c>
      <c r="O51">
        <v>282.4166666667</v>
      </c>
      <c r="V51" t="s">
        <v>63</v>
      </c>
      <c r="W51">
        <v>5391</v>
      </c>
      <c r="X51">
        <v>3548</v>
      </c>
      <c r="Y51">
        <v>258.99633596389998</v>
      </c>
      <c r="Z51">
        <v>795</v>
      </c>
      <c r="AA51">
        <v>408.80754716979999</v>
      </c>
      <c r="AB51">
        <v>915</v>
      </c>
      <c r="AC51">
        <v>302.47103825139999</v>
      </c>
      <c r="AD51">
        <v>646</v>
      </c>
      <c r="AE51">
        <v>619.74458204330006</v>
      </c>
      <c r="AF51">
        <v>253</v>
      </c>
      <c r="AG51">
        <v>184.6086956522</v>
      </c>
      <c r="AH51">
        <v>29</v>
      </c>
      <c r="AI51">
        <v>601.82758620690004</v>
      </c>
      <c r="AL51" t="s">
        <v>63</v>
      </c>
      <c r="AM51">
        <v>251</v>
      </c>
      <c r="AN51">
        <v>210</v>
      </c>
      <c r="AO51">
        <v>266.23809523810002</v>
      </c>
      <c r="AP51">
        <v>39</v>
      </c>
      <c r="AQ51">
        <v>380.84615384620002</v>
      </c>
      <c r="AR51">
        <v>34</v>
      </c>
      <c r="AS51">
        <v>257.8823529412</v>
      </c>
      <c r="AT51">
        <v>7</v>
      </c>
      <c r="AU51">
        <v>160.1428571429</v>
      </c>
    </row>
    <row r="52" spans="6:51" x14ac:dyDescent="0.2">
      <c r="F52" t="s">
        <v>213</v>
      </c>
      <c r="G52">
        <v>2753</v>
      </c>
      <c r="H52">
        <v>2233</v>
      </c>
      <c r="I52">
        <v>285.3649798477</v>
      </c>
      <c r="J52">
        <v>551</v>
      </c>
      <c r="K52">
        <v>462.12522686030002</v>
      </c>
      <c r="L52">
        <v>410</v>
      </c>
      <c r="M52">
        <v>210.13414634150001</v>
      </c>
      <c r="N52">
        <v>108</v>
      </c>
      <c r="O52">
        <v>249.24074074070001</v>
      </c>
      <c r="R52">
        <v>2</v>
      </c>
      <c r="S52">
        <v>254.5</v>
      </c>
      <c r="V52" t="s">
        <v>382</v>
      </c>
      <c r="W52">
        <v>15016</v>
      </c>
      <c r="X52">
        <v>10238</v>
      </c>
      <c r="Y52">
        <v>370.6658200645</v>
      </c>
      <c r="Z52">
        <v>766</v>
      </c>
      <c r="AA52">
        <v>792.01697127939997</v>
      </c>
      <c r="AB52">
        <v>3703</v>
      </c>
      <c r="AC52">
        <v>801.27653254120003</v>
      </c>
      <c r="AD52">
        <v>752</v>
      </c>
      <c r="AE52">
        <v>558.38297872340002</v>
      </c>
      <c r="AF52">
        <v>318</v>
      </c>
      <c r="AG52">
        <v>175.57547169809999</v>
      </c>
      <c r="AH52">
        <v>5</v>
      </c>
      <c r="AI52">
        <v>423.6</v>
      </c>
      <c r="AL52" t="s">
        <v>382</v>
      </c>
      <c r="AM52">
        <v>162</v>
      </c>
      <c r="AN52">
        <v>132</v>
      </c>
      <c r="AO52">
        <v>251.01515151519999</v>
      </c>
      <c r="AP52">
        <v>24</v>
      </c>
      <c r="AQ52">
        <v>349.2916666667</v>
      </c>
      <c r="AR52">
        <v>18</v>
      </c>
      <c r="AS52">
        <v>188.55555555559999</v>
      </c>
      <c r="AT52">
        <v>12</v>
      </c>
      <c r="AU52">
        <v>218.4166666667</v>
      </c>
    </row>
    <row r="53" spans="6:51" x14ac:dyDescent="0.2">
      <c r="F53" t="s">
        <v>466</v>
      </c>
      <c r="G53">
        <v>7217</v>
      </c>
      <c r="H53">
        <v>5565</v>
      </c>
      <c r="I53">
        <v>333.23539982030002</v>
      </c>
      <c r="J53">
        <v>1387</v>
      </c>
      <c r="K53">
        <v>473.0908435472</v>
      </c>
      <c r="L53">
        <v>1408</v>
      </c>
      <c r="M53">
        <v>293.77627840909997</v>
      </c>
      <c r="N53">
        <v>242</v>
      </c>
      <c r="O53">
        <v>253.8884297521</v>
      </c>
      <c r="R53">
        <v>2</v>
      </c>
      <c r="S53">
        <v>254.5</v>
      </c>
      <c r="V53" t="s">
        <v>378</v>
      </c>
      <c r="W53">
        <v>4152</v>
      </c>
      <c r="X53">
        <v>2871</v>
      </c>
      <c r="Y53">
        <v>324.49982584470001</v>
      </c>
      <c r="Z53">
        <v>406</v>
      </c>
      <c r="AA53">
        <v>528.77093596060001</v>
      </c>
      <c r="AB53">
        <v>569</v>
      </c>
      <c r="AC53">
        <v>267.79964850620001</v>
      </c>
      <c r="AD53">
        <v>554</v>
      </c>
      <c r="AE53">
        <v>514.46389891700005</v>
      </c>
      <c r="AF53">
        <v>153</v>
      </c>
      <c r="AG53">
        <v>231.8039215686</v>
      </c>
      <c r="AH53">
        <v>5</v>
      </c>
      <c r="AI53">
        <v>428.8</v>
      </c>
      <c r="AL53" t="s">
        <v>378</v>
      </c>
      <c r="AM53">
        <v>179</v>
      </c>
      <c r="AN53">
        <v>144</v>
      </c>
      <c r="AO53">
        <v>234.9583333333</v>
      </c>
      <c r="AP53">
        <v>29</v>
      </c>
      <c r="AQ53">
        <v>260.5862068966</v>
      </c>
      <c r="AR53">
        <v>28</v>
      </c>
      <c r="AS53">
        <v>215.25</v>
      </c>
      <c r="AT53">
        <v>6</v>
      </c>
      <c r="AU53">
        <v>350.3333333333</v>
      </c>
      <c r="AV53">
        <v>1</v>
      </c>
      <c r="AW53">
        <v>332</v>
      </c>
    </row>
    <row r="54" spans="6:51" x14ac:dyDescent="0.2">
      <c r="F54" t="s">
        <v>81</v>
      </c>
      <c r="G54">
        <v>423</v>
      </c>
      <c r="H54">
        <v>313</v>
      </c>
      <c r="I54">
        <v>213.1597444089</v>
      </c>
      <c r="J54">
        <v>42</v>
      </c>
      <c r="K54">
        <v>405.88095238099999</v>
      </c>
      <c r="L54">
        <v>40</v>
      </c>
      <c r="M54">
        <v>260.92500000000001</v>
      </c>
      <c r="N54">
        <v>68</v>
      </c>
      <c r="O54">
        <v>272.6176470588</v>
      </c>
      <c r="R54">
        <v>2</v>
      </c>
      <c r="S54">
        <v>221</v>
      </c>
      <c r="V54" t="s">
        <v>377</v>
      </c>
      <c r="W54">
        <v>1136</v>
      </c>
      <c r="X54">
        <v>706</v>
      </c>
      <c r="Y54">
        <v>199.96883852689999</v>
      </c>
      <c r="Z54">
        <v>130</v>
      </c>
      <c r="AA54">
        <v>323.60000000000002</v>
      </c>
      <c r="AB54">
        <v>186</v>
      </c>
      <c r="AC54">
        <v>223.60215053760001</v>
      </c>
      <c r="AD54">
        <v>163</v>
      </c>
      <c r="AE54">
        <v>322.93251533739999</v>
      </c>
      <c r="AF54">
        <v>80</v>
      </c>
      <c r="AG54">
        <v>179.91249999999999</v>
      </c>
      <c r="AH54">
        <v>1</v>
      </c>
      <c r="AI54">
        <v>180</v>
      </c>
      <c r="AL54" t="s">
        <v>377</v>
      </c>
      <c r="AM54">
        <v>53</v>
      </c>
      <c r="AN54">
        <v>47</v>
      </c>
      <c r="AO54">
        <v>261.8723404255</v>
      </c>
      <c r="AP54">
        <v>10</v>
      </c>
      <c r="AQ54">
        <v>317.5</v>
      </c>
      <c r="AR54">
        <v>6</v>
      </c>
      <c r="AS54">
        <v>157.5</v>
      </c>
    </row>
    <row r="55" spans="6:51" x14ac:dyDescent="0.2">
      <c r="F55" t="s">
        <v>38</v>
      </c>
      <c r="G55">
        <v>3289</v>
      </c>
      <c r="H55">
        <v>2114</v>
      </c>
      <c r="I55">
        <v>453.5617605301</v>
      </c>
      <c r="J55">
        <v>320</v>
      </c>
      <c r="K55">
        <v>544.828125</v>
      </c>
      <c r="L55">
        <v>838</v>
      </c>
      <c r="M55">
        <v>554.29355608590004</v>
      </c>
      <c r="N55">
        <v>319</v>
      </c>
      <c r="O55">
        <v>639.01253918500004</v>
      </c>
      <c r="R55">
        <v>18</v>
      </c>
      <c r="S55">
        <v>271.2777777778</v>
      </c>
      <c r="V55" t="s">
        <v>379</v>
      </c>
      <c r="W55">
        <v>7116</v>
      </c>
      <c r="X55">
        <v>4910</v>
      </c>
      <c r="Y55">
        <v>398.12932790219998</v>
      </c>
      <c r="Z55">
        <v>531</v>
      </c>
      <c r="AA55">
        <v>468.14500941620003</v>
      </c>
      <c r="AB55">
        <v>937</v>
      </c>
      <c r="AC55">
        <v>450.83244397009997</v>
      </c>
      <c r="AD55">
        <v>968</v>
      </c>
      <c r="AE55">
        <v>668.00516528929995</v>
      </c>
      <c r="AF55">
        <v>291</v>
      </c>
      <c r="AG55">
        <v>208.76288659790001</v>
      </c>
      <c r="AH55">
        <v>10</v>
      </c>
      <c r="AI55">
        <v>658.3</v>
      </c>
      <c r="AL55" t="s">
        <v>379</v>
      </c>
      <c r="AM55">
        <v>250</v>
      </c>
      <c r="AN55">
        <v>195</v>
      </c>
      <c r="AO55">
        <v>283.7538461538</v>
      </c>
      <c r="AP55">
        <v>40</v>
      </c>
      <c r="AQ55">
        <v>342.52499999999998</v>
      </c>
      <c r="AR55">
        <v>41</v>
      </c>
      <c r="AS55">
        <v>165.78048780489999</v>
      </c>
      <c r="AT55">
        <v>13</v>
      </c>
      <c r="AU55">
        <v>365.07692307690002</v>
      </c>
      <c r="AV55">
        <v>1</v>
      </c>
      <c r="AW55">
        <v>45</v>
      </c>
    </row>
    <row r="56" spans="6:51" x14ac:dyDescent="0.2">
      <c r="F56" t="s">
        <v>64</v>
      </c>
      <c r="G56">
        <v>2609</v>
      </c>
      <c r="H56">
        <v>1955</v>
      </c>
      <c r="I56">
        <v>334.13503836320001</v>
      </c>
      <c r="J56">
        <v>267</v>
      </c>
      <c r="K56">
        <v>632.96254681649998</v>
      </c>
      <c r="L56">
        <v>277</v>
      </c>
      <c r="M56">
        <v>86.328519855600007</v>
      </c>
      <c r="N56">
        <v>375</v>
      </c>
      <c r="O56">
        <v>456.78133333329998</v>
      </c>
      <c r="R56">
        <v>2</v>
      </c>
      <c r="S56">
        <v>489</v>
      </c>
      <c r="V56" t="s">
        <v>376</v>
      </c>
      <c r="W56">
        <v>313</v>
      </c>
      <c r="X56">
        <v>162</v>
      </c>
      <c r="Y56">
        <v>145.3703703704</v>
      </c>
      <c r="Z56">
        <v>89</v>
      </c>
      <c r="AA56">
        <v>194.5617977528</v>
      </c>
      <c r="AB56">
        <v>70</v>
      </c>
      <c r="AC56">
        <v>188.68571428569999</v>
      </c>
      <c r="AD56">
        <v>37</v>
      </c>
      <c r="AE56">
        <v>293.02702702699997</v>
      </c>
      <c r="AF56">
        <v>40</v>
      </c>
      <c r="AG56">
        <v>223.47499999999999</v>
      </c>
      <c r="AH56">
        <v>4</v>
      </c>
      <c r="AI56">
        <v>143.5</v>
      </c>
      <c r="AL56" t="s">
        <v>376</v>
      </c>
      <c r="AM56">
        <v>21</v>
      </c>
      <c r="AN56">
        <v>15</v>
      </c>
      <c r="AO56">
        <v>254.46666666670001</v>
      </c>
      <c r="AP56">
        <v>5</v>
      </c>
      <c r="AQ56">
        <v>357.6</v>
      </c>
      <c r="AR56">
        <v>4</v>
      </c>
      <c r="AS56">
        <v>299</v>
      </c>
      <c r="AT56">
        <v>2</v>
      </c>
      <c r="AU56">
        <v>146</v>
      </c>
    </row>
    <row r="57" spans="6:51" x14ac:dyDescent="0.2">
      <c r="F57" t="s">
        <v>24</v>
      </c>
      <c r="G57">
        <v>1851</v>
      </c>
      <c r="H57">
        <v>1116</v>
      </c>
      <c r="I57">
        <v>193.52867383509999</v>
      </c>
      <c r="J57">
        <v>376</v>
      </c>
      <c r="K57">
        <v>290.18617021279999</v>
      </c>
      <c r="L57">
        <v>522</v>
      </c>
      <c r="M57">
        <v>336.16858237550002</v>
      </c>
      <c r="N57">
        <v>200</v>
      </c>
      <c r="O57">
        <v>519.26</v>
      </c>
      <c r="R57">
        <v>13</v>
      </c>
      <c r="S57">
        <v>716.30769230769999</v>
      </c>
      <c r="V57" t="s">
        <v>375</v>
      </c>
      <c r="W57">
        <v>3427</v>
      </c>
      <c r="X57">
        <v>2045</v>
      </c>
      <c r="Y57">
        <v>437.38992172209998</v>
      </c>
      <c r="Z57">
        <v>377</v>
      </c>
      <c r="AA57">
        <v>469.30238726789997</v>
      </c>
      <c r="AB57">
        <v>862</v>
      </c>
      <c r="AC57">
        <v>515.66821345710002</v>
      </c>
      <c r="AD57">
        <v>357</v>
      </c>
      <c r="AE57">
        <v>589.68907563029995</v>
      </c>
      <c r="AF57">
        <v>144</v>
      </c>
      <c r="AG57">
        <v>177.2986111111</v>
      </c>
      <c r="AH57">
        <v>19</v>
      </c>
      <c r="AI57">
        <v>201.31578947369999</v>
      </c>
      <c r="AL57" t="s">
        <v>375</v>
      </c>
      <c r="AM57">
        <v>104</v>
      </c>
      <c r="AN57">
        <v>85</v>
      </c>
      <c r="AO57">
        <v>252.67058823529999</v>
      </c>
      <c r="AP57">
        <v>23</v>
      </c>
      <c r="AQ57">
        <v>494.21739130430001</v>
      </c>
      <c r="AR57">
        <v>16</v>
      </c>
      <c r="AS57">
        <v>265.75</v>
      </c>
      <c r="AT57">
        <v>3</v>
      </c>
      <c r="AU57">
        <v>297</v>
      </c>
    </row>
    <row r="58" spans="6:51" x14ac:dyDescent="0.2">
      <c r="F58" t="s">
        <v>72</v>
      </c>
      <c r="G58">
        <v>15231</v>
      </c>
      <c r="H58">
        <v>10551</v>
      </c>
      <c r="I58">
        <v>361.57772511849998</v>
      </c>
      <c r="J58">
        <v>777</v>
      </c>
      <c r="K58">
        <v>788.93307593309999</v>
      </c>
      <c r="L58">
        <v>3918</v>
      </c>
      <c r="M58">
        <v>811.84813680449997</v>
      </c>
      <c r="N58">
        <v>757</v>
      </c>
      <c r="O58">
        <v>550.83223249670004</v>
      </c>
      <c r="R58">
        <v>5</v>
      </c>
      <c r="S58">
        <v>423.6</v>
      </c>
      <c r="V58" t="s">
        <v>419</v>
      </c>
      <c r="W58">
        <v>645</v>
      </c>
      <c r="X58">
        <v>501</v>
      </c>
      <c r="Y58">
        <v>290.10978043910001</v>
      </c>
      <c r="Z58">
        <v>61</v>
      </c>
      <c r="AA58">
        <v>591.39344262300006</v>
      </c>
      <c r="AB58">
        <v>69</v>
      </c>
      <c r="AC58">
        <v>219.07246376809999</v>
      </c>
      <c r="AD58">
        <v>41</v>
      </c>
      <c r="AE58">
        <v>324.21951219509998</v>
      </c>
      <c r="AF58">
        <v>34</v>
      </c>
      <c r="AG58">
        <v>249.3235294118</v>
      </c>
      <c r="AL58" t="s">
        <v>419</v>
      </c>
      <c r="AM58">
        <v>15</v>
      </c>
      <c r="AN58">
        <v>13</v>
      </c>
      <c r="AO58">
        <v>303.76923076920002</v>
      </c>
      <c r="AP58">
        <v>3</v>
      </c>
      <c r="AQ58">
        <v>234</v>
      </c>
      <c r="AR58">
        <v>2</v>
      </c>
      <c r="AS58">
        <v>255.5</v>
      </c>
    </row>
    <row r="59" spans="6:51" x14ac:dyDescent="0.2">
      <c r="F59" t="s">
        <v>47</v>
      </c>
      <c r="G59">
        <v>1004</v>
      </c>
      <c r="H59">
        <v>675</v>
      </c>
      <c r="I59">
        <v>183.74666666670001</v>
      </c>
      <c r="J59">
        <v>130</v>
      </c>
      <c r="K59">
        <v>309.97692307689999</v>
      </c>
      <c r="L59">
        <v>177</v>
      </c>
      <c r="M59">
        <v>183.52542372880001</v>
      </c>
      <c r="N59">
        <v>151</v>
      </c>
      <c r="O59">
        <v>290.08609271519998</v>
      </c>
      <c r="R59">
        <v>1</v>
      </c>
      <c r="S59">
        <v>180</v>
      </c>
      <c r="V59" t="s">
        <v>383</v>
      </c>
      <c r="W59">
        <v>2270</v>
      </c>
      <c r="X59">
        <v>1446</v>
      </c>
      <c r="Y59">
        <v>380.97095435680001</v>
      </c>
      <c r="Z59">
        <v>274</v>
      </c>
      <c r="AA59">
        <v>428.78467153280002</v>
      </c>
      <c r="AB59">
        <v>153</v>
      </c>
      <c r="AC59">
        <v>288.07843137250001</v>
      </c>
      <c r="AD59">
        <v>529</v>
      </c>
      <c r="AE59">
        <v>491.62759924390002</v>
      </c>
      <c r="AF59">
        <v>136</v>
      </c>
      <c r="AG59">
        <v>171.16911764709999</v>
      </c>
      <c r="AH59">
        <v>6</v>
      </c>
      <c r="AI59">
        <v>673.16666666670005</v>
      </c>
      <c r="AL59" t="s">
        <v>383</v>
      </c>
      <c r="AM59">
        <v>46</v>
      </c>
      <c r="AN59">
        <v>33</v>
      </c>
      <c r="AO59">
        <v>270.27272727270002</v>
      </c>
      <c r="AP59">
        <v>5</v>
      </c>
      <c r="AQ59">
        <v>244.8</v>
      </c>
      <c r="AR59">
        <v>12</v>
      </c>
      <c r="AS59">
        <v>208.9166666667</v>
      </c>
      <c r="AT59">
        <v>1</v>
      </c>
      <c r="AU59">
        <v>68</v>
      </c>
    </row>
    <row r="60" spans="6:51" x14ac:dyDescent="0.2">
      <c r="F60" t="s">
        <v>63</v>
      </c>
      <c r="G60">
        <v>3151</v>
      </c>
      <c r="H60">
        <v>2308</v>
      </c>
      <c r="I60">
        <v>269.35745233969999</v>
      </c>
      <c r="J60">
        <v>428</v>
      </c>
      <c r="K60">
        <v>505.28037383179998</v>
      </c>
      <c r="L60">
        <v>369</v>
      </c>
      <c r="M60">
        <v>221</v>
      </c>
      <c r="N60">
        <v>455</v>
      </c>
      <c r="O60">
        <v>666.37142857139997</v>
      </c>
      <c r="R60">
        <v>19</v>
      </c>
      <c r="S60">
        <v>485.15789473680002</v>
      </c>
      <c r="V60" t="s">
        <v>386</v>
      </c>
      <c r="W60">
        <v>9973</v>
      </c>
      <c r="X60">
        <v>7108</v>
      </c>
      <c r="Y60">
        <v>262.0202588633</v>
      </c>
      <c r="Z60">
        <v>1221</v>
      </c>
      <c r="AA60">
        <v>514.20393120389997</v>
      </c>
      <c r="AB60">
        <v>1263</v>
      </c>
      <c r="AC60">
        <v>227.16152019</v>
      </c>
      <c r="AD60">
        <v>1011</v>
      </c>
      <c r="AE60">
        <v>375.7388724036</v>
      </c>
      <c r="AF60">
        <v>572</v>
      </c>
      <c r="AG60">
        <v>186.49211908929999</v>
      </c>
      <c r="AH60">
        <v>19</v>
      </c>
      <c r="AI60">
        <v>297.42105263159999</v>
      </c>
      <c r="AL60" t="s">
        <v>386</v>
      </c>
      <c r="AM60">
        <v>206</v>
      </c>
      <c r="AN60">
        <v>168</v>
      </c>
      <c r="AO60">
        <v>259.63095238099999</v>
      </c>
      <c r="AP60">
        <v>42</v>
      </c>
      <c r="AQ60">
        <v>407.85714285709997</v>
      </c>
      <c r="AR60">
        <v>23</v>
      </c>
      <c r="AS60">
        <v>212.3913043478</v>
      </c>
      <c r="AT60">
        <v>13</v>
      </c>
      <c r="AU60">
        <v>218</v>
      </c>
      <c r="AV60">
        <v>2</v>
      </c>
      <c r="AW60">
        <v>377</v>
      </c>
    </row>
    <row r="61" spans="6:51" x14ac:dyDescent="0.2">
      <c r="F61" t="s">
        <v>36</v>
      </c>
      <c r="G61">
        <v>5622</v>
      </c>
      <c r="H61">
        <v>4474</v>
      </c>
      <c r="I61">
        <v>576.25860527489999</v>
      </c>
      <c r="J61">
        <v>306</v>
      </c>
      <c r="K61">
        <v>919.21568627449994</v>
      </c>
      <c r="L61">
        <v>863</v>
      </c>
      <c r="M61">
        <v>837.85631517959996</v>
      </c>
      <c r="N61">
        <v>281</v>
      </c>
      <c r="O61">
        <v>665.41992882559998</v>
      </c>
      <c r="R61">
        <v>4</v>
      </c>
      <c r="S61">
        <v>763.75</v>
      </c>
      <c r="V61" t="s">
        <v>418</v>
      </c>
      <c r="W61">
        <v>592</v>
      </c>
      <c r="X61">
        <v>382</v>
      </c>
      <c r="Y61">
        <v>397.1020942408</v>
      </c>
      <c r="Z61">
        <v>17</v>
      </c>
      <c r="AA61">
        <v>824.52941176469994</v>
      </c>
      <c r="AB61">
        <v>157</v>
      </c>
      <c r="AC61">
        <v>865.20382165609999</v>
      </c>
      <c r="AD61">
        <v>42</v>
      </c>
      <c r="AE61">
        <v>567.90476190480001</v>
      </c>
      <c r="AF61">
        <v>11</v>
      </c>
      <c r="AG61">
        <v>168.9090909091</v>
      </c>
      <c r="AL61" t="s">
        <v>418</v>
      </c>
      <c r="AM61">
        <v>15</v>
      </c>
      <c r="AN61">
        <v>13</v>
      </c>
      <c r="AO61">
        <v>259.23076923079998</v>
      </c>
      <c r="AP61">
        <v>3</v>
      </c>
      <c r="AQ61">
        <v>550.66666666670005</v>
      </c>
      <c r="AR61">
        <v>2</v>
      </c>
      <c r="AS61">
        <v>110</v>
      </c>
    </row>
    <row r="62" spans="6:51" x14ac:dyDescent="0.2">
      <c r="F62" t="s">
        <v>50</v>
      </c>
      <c r="G62">
        <v>1925</v>
      </c>
      <c r="H62">
        <v>1288</v>
      </c>
      <c r="I62">
        <v>350.37189440989999</v>
      </c>
      <c r="J62">
        <v>269</v>
      </c>
      <c r="K62">
        <v>405.52788104090001</v>
      </c>
      <c r="L62">
        <v>128</v>
      </c>
      <c r="M62">
        <v>198.890625</v>
      </c>
      <c r="N62">
        <v>503</v>
      </c>
      <c r="O62">
        <v>466.06560636180001</v>
      </c>
      <c r="R62">
        <v>6</v>
      </c>
      <c r="S62">
        <v>673.16666666670005</v>
      </c>
      <c r="V62" t="s">
        <v>373</v>
      </c>
      <c r="W62">
        <v>56849</v>
      </c>
      <c r="X62">
        <v>39115</v>
      </c>
      <c r="Y62">
        <v>359.09659192599997</v>
      </c>
      <c r="Z62">
        <v>5091</v>
      </c>
      <c r="AA62">
        <v>538.4863484581</v>
      </c>
      <c r="AB62">
        <v>9906</v>
      </c>
      <c r="AC62">
        <v>562.50989299410003</v>
      </c>
      <c r="AD62">
        <v>5541</v>
      </c>
      <c r="AE62">
        <v>532.86500631649994</v>
      </c>
      <c r="AF62">
        <v>2183</v>
      </c>
      <c r="AG62">
        <v>188.04903758020001</v>
      </c>
      <c r="AH62">
        <v>104</v>
      </c>
      <c r="AI62">
        <v>435.34615384620002</v>
      </c>
      <c r="AL62" t="s">
        <v>373</v>
      </c>
      <c r="AM62">
        <v>1438</v>
      </c>
      <c r="AN62">
        <v>1173</v>
      </c>
      <c r="AO62">
        <v>258.9624893436</v>
      </c>
      <c r="AP62">
        <v>245</v>
      </c>
      <c r="AQ62">
        <v>363.09387755099999</v>
      </c>
      <c r="AR62">
        <v>200</v>
      </c>
      <c r="AS62">
        <v>214.62</v>
      </c>
      <c r="AT62">
        <v>60</v>
      </c>
      <c r="AU62">
        <v>271.48333333329998</v>
      </c>
      <c r="AV62">
        <v>5</v>
      </c>
      <c r="AW62">
        <v>318.8</v>
      </c>
    </row>
    <row r="63" spans="6:51" x14ac:dyDescent="0.2">
      <c r="F63" t="s">
        <v>57</v>
      </c>
      <c r="G63">
        <v>582</v>
      </c>
      <c r="H63">
        <v>477</v>
      </c>
      <c r="I63">
        <v>265.08385744229997</v>
      </c>
      <c r="J63">
        <v>58</v>
      </c>
      <c r="K63">
        <v>620.72413793099997</v>
      </c>
      <c r="L63">
        <v>62</v>
      </c>
      <c r="M63">
        <v>110.435483871</v>
      </c>
      <c r="N63">
        <v>43</v>
      </c>
      <c r="O63">
        <v>268.6976744186</v>
      </c>
      <c r="V63" t="s">
        <v>702</v>
      </c>
      <c r="W63">
        <v>318669</v>
      </c>
      <c r="X63">
        <v>229883</v>
      </c>
      <c r="Y63">
        <v>405.1947309578</v>
      </c>
      <c r="Z63">
        <v>22789</v>
      </c>
      <c r="AA63">
        <v>596.39900829349995</v>
      </c>
      <c r="AB63">
        <v>52794</v>
      </c>
      <c r="AC63">
        <v>614.60169716259998</v>
      </c>
      <c r="AD63">
        <v>24682</v>
      </c>
      <c r="AE63">
        <v>529.98241348570002</v>
      </c>
      <c r="AF63">
        <v>10850</v>
      </c>
      <c r="AG63">
        <v>187.372729787</v>
      </c>
      <c r="AH63">
        <v>460</v>
      </c>
      <c r="AI63">
        <v>461.38478260869999</v>
      </c>
      <c r="AL63" t="s">
        <v>702</v>
      </c>
      <c r="AM63">
        <v>7231</v>
      </c>
      <c r="AN63">
        <v>5565</v>
      </c>
      <c r="AO63">
        <v>333.23539982030002</v>
      </c>
      <c r="AP63">
        <v>1387</v>
      </c>
      <c r="AQ63">
        <v>473.0908435472</v>
      </c>
      <c r="AR63">
        <v>1408</v>
      </c>
      <c r="AS63">
        <v>293.77627840909997</v>
      </c>
      <c r="AT63">
        <v>242</v>
      </c>
      <c r="AU63">
        <v>253.8884297521</v>
      </c>
      <c r="AV63">
        <v>14</v>
      </c>
      <c r="AW63">
        <v>259.07142857140002</v>
      </c>
      <c r="AX63">
        <v>2</v>
      </c>
      <c r="AY63">
        <v>254.5</v>
      </c>
    </row>
    <row r="64" spans="6:51" x14ac:dyDescent="0.2">
      <c r="F64" t="s">
        <v>68</v>
      </c>
      <c r="G64">
        <v>5037</v>
      </c>
      <c r="H64">
        <v>3919</v>
      </c>
      <c r="I64">
        <v>570.75197754529995</v>
      </c>
      <c r="J64">
        <v>174</v>
      </c>
      <c r="K64">
        <v>1139.8735632184</v>
      </c>
      <c r="L64">
        <v>207</v>
      </c>
      <c r="M64">
        <v>677.09661835750001</v>
      </c>
      <c r="N64">
        <v>909</v>
      </c>
      <c r="O64">
        <v>888.90209020899999</v>
      </c>
      <c r="R64">
        <v>2</v>
      </c>
      <c r="S64">
        <v>842</v>
      </c>
    </row>
    <row r="65" spans="6:19" x14ac:dyDescent="0.2">
      <c r="F65" t="s">
        <v>70</v>
      </c>
      <c r="G65">
        <v>436</v>
      </c>
      <c r="H65">
        <v>230</v>
      </c>
      <c r="I65">
        <v>93.291304347799993</v>
      </c>
      <c r="J65">
        <v>159</v>
      </c>
      <c r="K65">
        <v>201.41509433959999</v>
      </c>
      <c r="L65">
        <v>124</v>
      </c>
      <c r="M65">
        <v>148.96774193549999</v>
      </c>
      <c r="N65">
        <v>76</v>
      </c>
      <c r="O65">
        <v>251.32894736840001</v>
      </c>
      <c r="R65">
        <v>6</v>
      </c>
      <c r="S65">
        <v>116.1666666667</v>
      </c>
    </row>
    <row r="66" spans="6:19" x14ac:dyDescent="0.2">
      <c r="F66" t="s">
        <v>85</v>
      </c>
      <c r="G66">
        <v>186</v>
      </c>
      <c r="H66">
        <v>44</v>
      </c>
      <c r="I66">
        <v>1084.6136363636001</v>
      </c>
      <c r="J66">
        <v>4</v>
      </c>
      <c r="K66">
        <v>1441.5</v>
      </c>
      <c r="L66">
        <v>74</v>
      </c>
      <c r="M66">
        <v>638.5</v>
      </c>
      <c r="N66">
        <v>68</v>
      </c>
      <c r="O66">
        <v>628.47058823530006</v>
      </c>
    </row>
    <row r="67" spans="6:19" x14ac:dyDescent="0.2">
      <c r="F67" t="s">
        <v>66</v>
      </c>
      <c r="G67">
        <v>5578</v>
      </c>
      <c r="H67">
        <v>3777</v>
      </c>
      <c r="I67">
        <v>270.33148001059999</v>
      </c>
      <c r="J67">
        <v>620</v>
      </c>
      <c r="K67">
        <v>335.9112903226</v>
      </c>
      <c r="L67">
        <v>1118</v>
      </c>
      <c r="M67">
        <v>397.47048300540001</v>
      </c>
      <c r="N67">
        <v>673</v>
      </c>
      <c r="O67">
        <v>596.51114413079995</v>
      </c>
      <c r="R67">
        <v>10</v>
      </c>
      <c r="S67">
        <v>554.5</v>
      </c>
    </row>
    <row r="68" spans="6:19" x14ac:dyDescent="0.2">
      <c r="F68" t="s">
        <v>434</v>
      </c>
      <c r="G68">
        <v>21</v>
      </c>
      <c r="H68">
        <v>7</v>
      </c>
      <c r="I68">
        <v>396</v>
      </c>
      <c r="L68">
        <v>4</v>
      </c>
      <c r="M68">
        <v>613</v>
      </c>
      <c r="N68">
        <v>9</v>
      </c>
      <c r="O68">
        <v>164.55555555559999</v>
      </c>
      <c r="R68">
        <v>1</v>
      </c>
      <c r="S68">
        <v>374</v>
      </c>
    </row>
    <row r="69" spans="6:19" x14ac:dyDescent="0.2">
      <c r="F69" t="s">
        <v>86</v>
      </c>
      <c r="G69">
        <v>9023</v>
      </c>
      <c r="H69">
        <v>6829</v>
      </c>
      <c r="I69">
        <v>244.38380436369999</v>
      </c>
      <c r="J69">
        <v>1217</v>
      </c>
      <c r="K69">
        <v>509.15447822509998</v>
      </c>
      <c r="L69">
        <v>1180</v>
      </c>
      <c r="M69">
        <v>183.45593220340001</v>
      </c>
      <c r="N69">
        <v>995</v>
      </c>
      <c r="O69">
        <v>362.28241206029998</v>
      </c>
      <c r="R69">
        <v>19</v>
      </c>
      <c r="S69">
        <v>297.42105263159999</v>
      </c>
    </row>
    <row r="70" spans="6:19" x14ac:dyDescent="0.2">
      <c r="F70" t="s">
        <v>138</v>
      </c>
      <c r="G70">
        <v>114</v>
      </c>
      <c r="H70">
        <v>81</v>
      </c>
      <c r="I70">
        <v>127.049382716</v>
      </c>
      <c r="J70">
        <v>40</v>
      </c>
      <c r="K70">
        <v>280.97500000000002</v>
      </c>
      <c r="L70">
        <v>8</v>
      </c>
      <c r="M70">
        <v>267.5</v>
      </c>
      <c r="N70">
        <v>24</v>
      </c>
      <c r="O70">
        <v>503.9166666667</v>
      </c>
      <c r="R70">
        <v>1</v>
      </c>
      <c r="S70">
        <v>164</v>
      </c>
    </row>
    <row r="71" spans="6:19" x14ac:dyDescent="0.2">
      <c r="F71" t="s">
        <v>373</v>
      </c>
      <c r="G71">
        <v>56082</v>
      </c>
      <c r="H71">
        <v>40158</v>
      </c>
      <c r="I71">
        <v>364.0681840821</v>
      </c>
      <c r="J71">
        <v>5187</v>
      </c>
      <c r="K71">
        <v>547.65837671099996</v>
      </c>
      <c r="L71">
        <v>9909</v>
      </c>
      <c r="M71">
        <v>564.72691492579997</v>
      </c>
      <c r="N71">
        <v>5906</v>
      </c>
      <c r="O71">
        <v>565.49695225189998</v>
      </c>
      <c r="R71">
        <v>109</v>
      </c>
      <c r="S71">
        <v>443.4862385321</v>
      </c>
    </row>
    <row r="72" spans="6:19" x14ac:dyDescent="0.2">
      <c r="F72" t="s">
        <v>702</v>
      </c>
      <c r="G72">
        <v>325900</v>
      </c>
      <c r="H72">
        <v>235448</v>
      </c>
      <c r="I72">
        <v>403.49382847139998</v>
      </c>
      <c r="J72">
        <v>24176</v>
      </c>
      <c r="K72">
        <v>589.32470218399999</v>
      </c>
      <c r="L72">
        <v>54202</v>
      </c>
      <c r="M72">
        <v>606.26764695029999</v>
      </c>
      <c r="N72">
        <v>24924</v>
      </c>
      <c r="O72">
        <v>527.30124398069995</v>
      </c>
      <c r="P72">
        <v>10864</v>
      </c>
      <c r="Q72">
        <v>187.4651505386</v>
      </c>
      <c r="R72">
        <v>462</v>
      </c>
      <c r="S72">
        <v>460.48917748920002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498</v>
      </c>
      <c r="B1" t="s">
        <v>370</v>
      </c>
      <c r="C1" t="s">
        <v>497</v>
      </c>
      <c r="D1" t="s">
        <v>499</v>
      </c>
      <c r="E1" t="s">
        <v>500</v>
      </c>
      <c r="F1" t="s">
        <v>501</v>
      </c>
      <c r="G1" t="s">
        <v>502</v>
      </c>
      <c r="H1" t="s">
        <v>503</v>
      </c>
      <c r="I1" t="s">
        <v>504</v>
      </c>
      <c r="J1" t="s">
        <v>505</v>
      </c>
      <c r="K1" t="s">
        <v>506</v>
      </c>
      <c r="L1" t="s">
        <v>371</v>
      </c>
      <c r="M1" t="s">
        <v>507</v>
      </c>
      <c r="N1" t="s">
        <v>508</v>
      </c>
      <c r="O1" t="s">
        <v>509</v>
      </c>
      <c r="P1" t="s">
        <v>510</v>
      </c>
      <c r="Q1" t="s">
        <v>511</v>
      </c>
      <c r="R1" t="s">
        <v>682</v>
      </c>
    </row>
    <row r="2" spans="1:18" x14ac:dyDescent="0.2">
      <c r="A2">
        <v>1</v>
      </c>
      <c r="B2">
        <v>-99</v>
      </c>
      <c r="C2" t="s">
        <v>441</v>
      </c>
      <c r="D2" t="s">
        <v>702</v>
      </c>
      <c r="E2" t="s">
        <v>441</v>
      </c>
      <c r="F2" t="s">
        <v>702</v>
      </c>
      <c r="G2" t="s">
        <v>441</v>
      </c>
      <c r="H2" t="s">
        <v>6</v>
      </c>
      <c r="I2">
        <v>-99</v>
      </c>
      <c r="J2">
        <v>1</v>
      </c>
      <c r="K2" t="s">
        <v>6</v>
      </c>
      <c r="L2">
        <v>-99</v>
      </c>
      <c r="M2" t="s">
        <v>658</v>
      </c>
      <c r="N2" t="s">
        <v>658</v>
      </c>
      <c r="O2">
        <v>-99</v>
      </c>
      <c r="P2">
        <v>-99</v>
      </c>
      <c r="Q2">
        <v>1</v>
      </c>
      <c r="R2" t="s">
        <v>658</v>
      </c>
    </row>
    <row r="3" spans="1:18" x14ac:dyDescent="0.2">
      <c r="A3">
        <v>2</v>
      </c>
      <c r="B3">
        <v>-99</v>
      </c>
      <c r="C3" t="s">
        <v>442</v>
      </c>
      <c r="D3" t="s">
        <v>6</v>
      </c>
      <c r="E3" t="s">
        <v>442</v>
      </c>
      <c r="F3" t="s">
        <v>1040</v>
      </c>
      <c r="G3" t="s">
        <v>441</v>
      </c>
      <c r="H3" t="s">
        <v>6</v>
      </c>
      <c r="I3">
        <v>-99</v>
      </c>
      <c r="J3">
        <v>1</v>
      </c>
      <c r="K3" t="s">
        <v>6</v>
      </c>
      <c r="L3">
        <v>-99</v>
      </c>
      <c r="M3" t="s">
        <v>658</v>
      </c>
      <c r="N3" t="s">
        <v>658</v>
      </c>
      <c r="O3">
        <v>-99</v>
      </c>
      <c r="P3">
        <v>-99</v>
      </c>
      <c r="Q3">
        <v>1</v>
      </c>
      <c r="R3" t="s">
        <v>658</v>
      </c>
    </row>
    <row r="4" spans="1:18" x14ac:dyDescent="0.2">
      <c r="A4">
        <v>3</v>
      </c>
      <c r="B4">
        <v>-99</v>
      </c>
      <c r="C4" t="s">
        <v>659</v>
      </c>
      <c r="D4" t="s">
        <v>6</v>
      </c>
      <c r="E4" t="s">
        <v>659</v>
      </c>
      <c r="F4" t="s">
        <v>1042</v>
      </c>
      <c r="G4" t="s">
        <v>441</v>
      </c>
      <c r="H4" t="s">
        <v>6</v>
      </c>
      <c r="I4">
        <v>-99</v>
      </c>
      <c r="J4">
        <v>1</v>
      </c>
      <c r="K4" t="s">
        <v>6</v>
      </c>
      <c r="L4">
        <v>-99</v>
      </c>
      <c r="M4" t="s">
        <v>658</v>
      </c>
      <c r="N4" t="s">
        <v>658</v>
      </c>
      <c r="O4">
        <v>-99</v>
      </c>
      <c r="P4">
        <v>-99</v>
      </c>
      <c r="Q4">
        <v>1</v>
      </c>
      <c r="R4" t="s">
        <v>211</v>
      </c>
    </row>
    <row r="5" spans="1:18" x14ac:dyDescent="0.2">
      <c r="A5">
        <v>4</v>
      </c>
      <c r="B5">
        <v>-99</v>
      </c>
      <c r="C5" t="s">
        <v>443</v>
      </c>
      <c r="D5" t="s">
        <v>6</v>
      </c>
      <c r="E5" t="s">
        <v>443</v>
      </c>
      <c r="F5" t="s">
        <v>1048</v>
      </c>
      <c r="G5" t="s">
        <v>441</v>
      </c>
      <c r="H5" t="s">
        <v>6</v>
      </c>
      <c r="I5">
        <v>-99</v>
      </c>
      <c r="J5">
        <v>1</v>
      </c>
      <c r="K5" t="s">
        <v>6</v>
      </c>
      <c r="L5">
        <v>-99</v>
      </c>
      <c r="M5" t="s">
        <v>658</v>
      </c>
      <c r="N5" t="s">
        <v>658</v>
      </c>
      <c r="O5">
        <v>-99</v>
      </c>
      <c r="P5">
        <v>-99</v>
      </c>
      <c r="Q5">
        <v>1</v>
      </c>
      <c r="R5" t="s">
        <v>687</v>
      </c>
    </row>
    <row r="6" spans="1:18" x14ac:dyDescent="0.2">
      <c r="A6">
        <v>5</v>
      </c>
      <c r="B6">
        <v>-99</v>
      </c>
      <c r="C6" t="s">
        <v>444</v>
      </c>
      <c r="D6" t="s">
        <v>6</v>
      </c>
      <c r="E6" t="s">
        <v>444</v>
      </c>
      <c r="F6" t="s">
        <v>699</v>
      </c>
      <c r="G6" t="s">
        <v>441</v>
      </c>
      <c r="H6" t="s">
        <v>6</v>
      </c>
      <c r="I6">
        <v>-99</v>
      </c>
      <c r="J6">
        <v>1</v>
      </c>
      <c r="K6" t="s">
        <v>6</v>
      </c>
      <c r="L6">
        <v>-99</v>
      </c>
      <c r="M6" t="s">
        <v>658</v>
      </c>
      <c r="N6" t="s">
        <v>658</v>
      </c>
      <c r="O6">
        <v>-99</v>
      </c>
      <c r="P6">
        <v>-99</v>
      </c>
      <c r="Q6">
        <v>1</v>
      </c>
      <c r="R6" t="s">
        <v>683</v>
      </c>
    </row>
    <row r="7" spans="1:18" x14ac:dyDescent="0.2">
      <c r="A7">
        <v>6</v>
      </c>
      <c r="B7">
        <v>-99</v>
      </c>
      <c r="C7" t="s">
        <v>445</v>
      </c>
      <c r="D7" t="s">
        <v>6</v>
      </c>
      <c r="E7" t="s">
        <v>445</v>
      </c>
      <c r="F7" t="s">
        <v>1043</v>
      </c>
      <c r="G7" t="s">
        <v>441</v>
      </c>
      <c r="H7" t="s">
        <v>6</v>
      </c>
      <c r="I7">
        <v>-99</v>
      </c>
      <c r="J7">
        <v>1</v>
      </c>
      <c r="K7" t="s">
        <v>6</v>
      </c>
      <c r="L7">
        <v>-99</v>
      </c>
      <c r="M7" t="s">
        <v>658</v>
      </c>
      <c r="N7" t="s">
        <v>658</v>
      </c>
      <c r="O7">
        <v>-99</v>
      </c>
      <c r="P7">
        <v>-99</v>
      </c>
      <c r="Q7">
        <v>1</v>
      </c>
      <c r="R7" t="s">
        <v>684</v>
      </c>
    </row>
    <row r="8" spans="1:18" x14ac:dyDescent="0.2">
      <c r="A8">
        <v>7</v>
      </c>
      <c r="B8">
        <v>-99</v>
      </c>
      <c r="C8" t="s">
        <v>446</v>
      </c>
      <c r="D8" t="s">
        <v>6</v>
      </c>
      <c r="E8" t="s">
        <v>446</v>
      </c>
      <c r="F8" t="s">
        <v>1049</v>
      </c>
      <c r="G8" t="s">
        <v>441</v>
      </c>
      <c r="H8" t="s">
        <v>6</v>
      </c>
      <c r="I8">
        <v>-99</v>
      </c>
      <c r="J8">
        <v>1</v>
      </c>
      <c r="K8" t="s">
        <v>6</v>
      </c>
      <c r="L8">
        <v>-99</v>
      </c>
      <c r="M8" t="s">
        <v>658</v>
      </c>
      <c r="N8" t="s">
        <v>658</v>
      </c>
      <c r="O8">
        <v>-99</v>
      </c>
      <c r="P8">
        <v>-99</v>
      </c>
      <c r="Q8">
        <v>1</v>
      </c>
      <c r="R8" t="s">
        <v>685</v>
      </c>
    </row>
    <row r="9" spans="1:18" x14ac:dyDescent="0.2">
      <c r="A9">
        <v>8</v>
      </c>
      <c r="B9">
        <v>-99</v>
      </c>
      <c r="C9" t="s">
        <v>447</v>
      </c>
      <c r="D9" t="s">
        <v>6</v>
      </c>
      <c r="E9" t="s">
        <v>447</v>
      </c>
      <c r="F9" t="s">
        <v>1050</v>
      </c>
      <c r="G9" t="s">
        <v>441</v>
      </c>
      <c r="H9" t="s">
        <v>6</v>
      </c>
      <c r="I9">
        <v>-99</v>
      </c>
      <c r="J9">
        <v>1</v>
      </c>
      <c r="K9" t="s">
        <v>6</v>
      </c>
      <c r="L9">
        <v>-99</v>
      </c>
      <c r="M9" t="s">
        <v>658</v>
      </c>
      <c r="N9" t="s">
        <v>658</v>
      </c>
      <c r="O9">
        <v>-99</v>
      </c>
      <c r="P9">
        <v>-99</v>
      </c>
      <c r="Q9">
        <v>1</v>
      </c>
      <c r="R9" t="s">
        <v>402</v>
      </c>
    </row>
    <row r="10" spans="1:18" x14ac:dyDescent="0.2">
      <c r="A10">
        <v>9</v>
      </c>
      <c r="B10">
        <v>-99</v>
      </c>
      <c r="C10" t="s">
        <v>448</v>
      </c>
      <c r="D10" t="s">
        <v>6</v>
      </c>
      <c r="E10" t="s">
        <v>448</v>
      </c>
      <c r="F10" t="s">
        <v>1051</v>
      </c>
      <c r="G10" t="s">
        <v>441</v>
      </c>
      <c r="H10" t="s">
        <v>6</v>
      </c>
      <c r="I10">
        <v>-99</v>
      </c>
      <c r="J10">
        <v>1</v>
      </c>
      <c r="K10" t="s">
        <v>6</v>
      </c>
      <c r="L10">
        <v>-99</v>
      </c>
      <c r="M10" t="s">
        <v>658</v>
      </c>
      <c r="N10" t="s">
        <v>658</v>
      </c>
      <c r="O10">
        <v>-99</v>
      </c>
      <c r="P10">
        <v>-99</v>
      </c>
      <c r="Q10">
        <v>1</v>
      </c>
      <c r="R10" t="s">
        <v>688</v>
      </c>
    </row>
    <row r="11" spans="1:18" x14ac:dyDescent="0.2">
      <c r="A11">
        <v>10</v>
      </c>
      <c r="B11">
        <v>-99</v>
      </c>
      <c r="C11" t="s">
        <v>449</v>
      </c>
      <c r="D11" t="s">
        <v>6</v>
      </c>
      <c r="E11" t="s">
        <v>449</v>
      </c>
      <c r="F11" t="s">
        <v>1052</v>
      </c>
      <c r="G11" t="s">
        <v>441</v>
      </c>
      <c r="H11" t="s">
        <v>6</v>
      </c>
      <c r="I11">
        <v>-99</v>
      </c>
      <c r="J11">
        <v>1</v>
      </c>
      <c r="K11" t="s">
        <v>6</v>
      </c>
      <c r="L11">
        <v>-99</v>
      </c>
      <c r="M11" t="s">
        <v>658</v>
      </c>
      <c r="N11" t="s">
        <v>658</v>
      </c>
      <c r="O11">
        <v>-99</v>
      </c>
      <c r="P11">
        <v>-99</v>
      </c>
      <c r="Q11">
        <v>1</v>
      </c>
      <c r="R11" t="s">
        <v>658</v>
      </c>
    </row>
    <row r="12" spans="1:18" x14ac:dyDescent="0.2">
      <c r="A12">
        <v>11</v>
      </c>
      <c r="B12">
        <v>-99</v>
      </c>
      <c r="C12" t="s">
        <v>451</v>
      </c>
      <c r="D12" t="s">
        <v>512</v>
      </c>
      <c r="E12" t="s">
        <v>660</v>
      </c>
      <c r="F12" t="s">
        <v>132</v>
      </c>
      <c r="G12" t="s">
        <v>660</v>
      </c>
      <c r="H12" t="s">
        <v>374</v>
      </c>
      <c r="I12">
        <v>-99</v>
      </c>
      <c r="J12">
        <v>-99</v>
      </c>
      <c r="K12" t="s">
        <v>658</v>
      </c>
      <c r="L12">
        <v>-99</v>
      </c>
      <c r="M12" t="s">
        <v>658</v>
      </c>
      <c r="N12" t="s">
        <v>658</v>
      </c>
      <c r="O12">
        <v>-99</v>
      </c>
      <c r="P12">
        <v>-99</v>
      </c>
      <c r="Q12">
        <v>2</v>
      </c>
      <c r="R12" t="s">
        <v>658</v>
      </c>
    </row>
    <row r="13" spans="1:18" x14ac:dyDescent="0.2">
      <c r="A13">
        <v>12</v>
      </c>
      <c r="B13">
        <v>-99</v>
      </c>
      <c r="C13" t="s">
        <v>453</v>
      </c>
      <c r="D13" t="s">
        <v>512</v>
      </c>
      <c r="E13" t="s">
        <v>661</v>
      </c>
      <c r="F13" t="s">
        <v>133</v>
      </c>
      <c r="G13" t="s">
        <v>661</v>
      </c>
      <c r="H13" t="s">
        <v>381</v>
      </c>
      <c r="I13">
        <v>-99</v>
      </c>
      <c r="J13">
        <v>-99</v>
      </c>
      <c r="K13" t="s">
        <v>658</v>
      </c>
      <c r="L13">
        <v>-99</v>
      </c>
      <c r="M13" t="s">
        <v>658</v>
      </c>
      <c r="N13" t="s">
        <v>658</v>
      </c>
      <c r="O13">
        <v>-99</v>
      </c>
      <c r="P13">
        <v>-99</v>
      </c>
      <c r="Q13">
        <v>2</v>
      </c>
      <c r="R13" t="s">
        <v>658</v>
      </c>
    </row>
    <row r="14" spans="1:18" x14ac:dyDescent="0.2">
      <c r="A14">
        <v>13</v>
      </c>
      <c r="B14">
        <v>-99</v>
      </c>
      <c r="C14" t="s">
        <v>456</v>
      </c>
      <c r="D14" t="s">
        <v>512</v>
      </c>
      <c r="E14" t="s">
        <v>662</v>
      </c>
      <c r="F14" t="s">
        <v>134</v>
      </c>
      <c r="G14" t="s">
        <v>662</v>
      </c>
      <c r="H14" t="s">
        <v>390</v>
      </c>
      <c r="I14">
        <v>-99</v>
      </c>
      <c r="J14">
        <v>-99</v>
      </c>
      <c r="K14" t="s">
        <v>658</v>
      </c>
      <c r="L14">
        <v>-99</v>
      </c>
      <c r="M14" t="s">
        <v>658</v>
      </c>
      <c r="N14" t="s">
        <v>658</v>
      </c>
      <c r="O14">
        <v>-99</v>
      </c>
      <c r="P14">
        <v>-99</v>
      </c>
      <c r="Q14">
        <v>2</v>
      </c>
      <c r="R14" t="s">
        <v>658</v>
      </c>
    </row>
    <row r="15" spans="1:18" x14ac:dyDescent="0.2">
      <c r="A15">
        <v>14</v>
      </c>
      <c r="B15">
        <v>-99</v>
      </c>
      <c r="C15" t="s">
        <v>663</v>
      </c>
      <c r="D15" t="s">
        <v>512</v>
      </c>
      <c r="E15" t="s">
        <v>664</v>
      </c>
      <c r="F15" t="s">
        <v>135</v>
      </c>
      <c r="G15" t="s">
        <v>664</v>
      </c>
      <c r="H15" t="s">
        <v>406</v>
      </c>
      <c r="I15">
        <v>-99</v>
      </c>
      <c r="J15">
        <v>-99</v>
      </c>
      <c r="K15" t="s">
        <v>658</v>
      </c>
      <c r="L15">
        <v>-99</v>
      </c>
      <c r="M15" t="s">
        <v>658</v>
      </c>
      <c r="N15" t="s">
        <v>658</v>
      </c>
      <c r="O15">
        <v>-99</v>
      </c>
      <c r="P15">
        <v>-99</v>
      </c>
      <c r="Q15">
        <v>2</v>
      </c>
      <c r="R15" t="s">
        <v>658</v>
      </c>
    </row>
    <row r="16" spans="1:18" x14ac:dyDescent="0.2">
      <c r="A16">
        <v>15</v>
      </c>
      <c r="B16">
        <v>-99</v>
      </c>
      <c r="C16" t="s">
        <v>666</v>
      </c>
      <c r="D16" t="s">
        <v>433</v>
      </c>
      <c r="E16" t="s">
        <v>666</v>
      </c>
      <c r="F16" t="s">
        <v>433</v>
      </c>
      <c r="G16" t="s">
        <v>658</v>
      </c>
      <c r="H16" t="s">
        <v>658</v>
      </c>
      <c r="I16">
        <v>-99</v>
      </c>
      <c r="J16">
        <v>30</v>
      </c>
      <c r="K16" t="s">
        <v>373</v>
      </c>
      <c r="L16">
        <v>-99</v>
      </c>
      <c r="M16" t="s">
        <v>658</v>
      </c>
      <c r="N16" t="s">
        <v>658</v>
      </c>
      <c r="O16">
        <v>-99</v>
      </c>
      <c r="P16">
        <v>-99</v>
      </c>
      <c r="Q16">
        <v>3</v>
      </c>
      <c r="R16" t="s">
        <v>658</v>
      </c>
    </row>
    <row r="17" spans="1:18" x14ac:dyDescent="0.2">
      <c r="A17">
        <v>16</v>
      </c>
      <c r="B17">
        <v>-99</v>
      </c>
      <c r="C17" t="s">
        <v>665</v>
      </c>
      <c r="D17" t="s">
        <v>439</v>
      </c>
      <c r="E17" t="s">
        <v>665</v>
      </c>
      <c r="F17" t="s">
        <v>439</v>
      </c>
      <c r="G17" t="s">
        <v>658</v>
      </c>
      <c r="H17" t="s">
        <v>658</v>
      </c>
      <c r="I17">
        <v>-99</v>
      </c>
      <c r="J17">
        <v>31</v>
      </c>
      <c r="K17" t="s">
        <v>384</v>
      </c>
      <c r="L17">
        <v>-99</v>
      </c>
      <c r="M17" t="s">
        <v>658</v>
      </c>
      <c r="N17" t="s">
        <v>658</v>
      </c>
      <c r="O17">
        <v>-99</v>
      </c>
      <c r="P17">
        <v>-99</v>
      </c>
      <c r="Q17">
        <v>3</v>
      </c>
      <c r="R17" t="s">
        <v>658</v>
      </c>
    </row>
    <row r="18" spans="1:18" x14ac:dyDescent="0.2">
      <c r="A18">
        <v>17</v>
      </c>
      <c r="B18">
        <v>-99</v>
      </c>
      <c r="C18" t="s">
        <v>667</v>
      </c>
      <c r="D18" t="s">
        <v>437</v>
      </c>
      <c r="E18" t="s">
        <v>667</v>
      </c>
      <c r="F18" t="s">
        <v>437</v>
      </c>
      <c r="G18" t="s">
        <v>658</v>
      </c>
      <c r="H18" t="s">
        <v>658</v>
      </c>
      <c r="I18">
        <v>-99</v>
      </c>
      <c r="J18">
        <v>32</v>
      </c>
      <c r="K18" t="s">
        <v>394</v>
      </c>
      <c r="L18">
        <v>-99</v>
      </c>
      <c r="M18" t="s">
        <v>658</v>
      </c>
      <c r="N18" t="s">
        <v>658</v>
      </c>
      <c r="O18">
        <v>-99</v>
      </c>
      <c r="P18">
        <v>-99</v>
      </c>
      <c r="Q18">
        <v>3</v>
      </c>
      <c r="R18" t="s">
        <v>658</v>
      </c>
    </row>
    <row r="19" spans="1:18" x14ac:dyDescent="0.2">
      <c r="A19">
        <v>18</v>
      </c>
      <c r="B19">
        <v>-99</v>
      </c>
      <c r="C19" t="s">
        <v>668</v>
      </c>
      <c r="D19" t="s">
        <v>436</v>
      </c>
      <c r="E19" t="s">
        <v>668</v>
      </c>
      <c r="F19" t="s">
        <v>436</v>
      </c>
      <c r="G19" t="s">
        <v>658</v>
      </c>
      <c r="H19" t="s">
        <v>658</v>
      </c>
      <c r="I19">
        <v>-99</v>
      </c>
      <c r="J19">
        <v>33</v>
      </c>
      <c r="K19" t="s">
        <v>389</v>
      </c>
      <c r="L19">
        <v>-99</v>
      </c>
      <c r="M19" t="s">
        <v>658</v>
      </c>
      <c r="N19" t="s">
        <v>658</v>
      </c>
      <c r="O19">
        <v>-99</v>
      </c>
      <c r="P19">
        <v>-99</v>
      </c>
      <c r="Q19">
        <v>3</v>
      </c>
      <c r="R19" t="s">
        <v>658</v>
      </c>
    </row>
    <row r="20" spans="1:18" x14ac:dyDescent="0.2">
      <c r="A20">
        <v>19</v>
      </c>
      <c r="B20">
        <v>-99</v>
      </c>
      <c r="C20" t="s">
        <v>669</v>
      </c>
      <c r="D20" t="s">
        <v>438</v>
      </c>
      <c r="E20" t="s">
        <v>669</v>
      </c>
      <c r="F20" t="s">
        <v>438</v>
      </c>
      <c r="G20" t="s">
        <v>658</v>
      </c>
      <c r="H20" t="s">
        <v>658</v>
      </c>
      <c r="I20">
        <v>-99</v>
      </c>
      <c r="J20">
        <v>34</v>
      </c>
      <c r="K20" t="s">
        <v>408</v>
      </c>
      <c r="L20">
        <v>-99</v>
      </c>
      <c r="M20" t="s">
        <v>658</v>
      </c>
      <c r="N20" t="s">
        <v>658</v>
      </c>
      <c r="O20">
        <v>-99</v>
      </c>
      <c r="P20">
        <v>-99</v>
      </c>
      <c r="Q20">
        <v>3</v>
      </c>
      <c r="R20" t="s">
        <v>658</v>
      </c>
    </row>
    <row r="21" spans="1:18" x14ac:dyDescent="0.2">
      <c r="A21">
        <v>20</v>
      </c>
      <c r="B21">
        <v>1</v>
      </c>
      <c r="C21" t="s">
        <v>671</v>
      </c>
      <c r="D21" t="s">
        <v>372</v>
      </c>
      <c r="E21" t="s">
        <v>671</v>
      </c>
      <c r="F21" t="s">
        <v>513</v>
      </c>
      <c r="G21" t="s">
        <v>672</v>
      </c>
      <c r="H21" t="s">
        <v>8</v>
      </c>
      <c r="I21">
        <v>-99</v>
      </c>
      <c r="J21">
        <v>35</v>
      </c>
      <c r="K21" t="s">
        <v>8</v>
      </c>
      <c r="L21">
        <v>8240</v>
      </c>
      <c r="M21" t="s">
        <v>514</v>
      </c>
      <c r="N21" t="s">
        <v>658</v>
      </c>
      <c r="O21">
        <v>1</v>
      </c>
      <c r="P21">
        <v>2</v>
      </c>
      <c r="Q21">
        <v>-99</v>
      </c>
      <c r="R21" t="s">
        <v>658</v>
      </c>
    </row>
    <row r="22" spans="1:18" x14ac:dyDescent="0.2">
      <c r="A22">
        <v>21</v>
      </c>
      <c r="B22">
        <v>8</v>
      </c>
      <c r="C22" t="s">
        <v>139</v>
      </c>
      <c r="D22" t="s">
        <v>38</v>
      </c>
      <c r="E22" t="s">
        <v>515</v>
      </c>
      <c r="F22" t="s">
        <v>516</v>
      </c>
      <c r="G22" t="s">
        <v>660</v>
      </c>
      <c r="H22" t="s">
        <v>374</v>
      </c>
      <c r="I22">
        <v>380</v>
      </c>
      <c r="J22">
        <v>30</v>
      </c>
      <c r="K22" t="s">
        <v>373</v>
      </c>
      <c r="L22">
        <v>8233</v>
      </c>
      <c r="M22" t="s">
        <v>329</v>
      </c>
      <c r="N22" t="s">
        <v>375</v>
      </c>
      <c r="O22">
        <v>1</v>
      </c>
      <c r="P22">
        <v>2</v>
      </c>
      <c r="Q22">
        <v>-99</v>
      </c>
      <c r="R22" t="s">
        <v>686</v>
      </c>
    </row>
    <row r="23" spans="1:18" x14ac:dyDescent="0.2">
      <c r="A23">
        <v>22</v>
      </c>
      <c r="B23">
        <v>9</v>
      </c>
      <c r="C23" t="s">
        <v>140</v>
      </c>
      <c r="D23" t="s">
        <v>70</v>
      </c>
      <c r="E23" t="s">
        <v>517</v>
      </c>
      <c r="F23" t="s">
        <v>518</v>
      </c>
      <c r="G23" t="s">
        <v>660</v>
      </c>
      <c r="H23" t="s">
        <v>374</v>
      </c>
      <c r="I23">
        <v>380</v>
      </c>
      <c r="J23">
        <v>30</v>
      </c>
      <c r="K23" t="s">
        <v>373</v>
      </c>
      <c r="L23">
        <v>8235</v>
      </c>
      <c r="M23" t="s">
        <v>364</v>
      </c>
      <c r="N23" t="s">
        <v>376</v>
      </c>
      <c r="O23">
        <v>1</v>
      </c>
      <c r="P23">
        <v>1</v>
      </c>
      <c r="Q23">
        <v>-99</v>
      </c>
      <c r="R23" t="s">
        <v>686</v>
      </c>
    </row>
    <row r="24" spans="1:18" x14ac:dyDescent="0.2">
      <c r="A24">
        <v>23</v>
      </c>
      <c r="B24">
        <v>-99</v>
      </c>
      <c r="C24" t="s">
        <v>140</v>
      </c>
      <c r="D24" t="s">
        <v>70</v>
      </c>
      <c r="E24" t="s">
        <v>519</v>
      </c>
      <c r="F24" t="s">
        <v>520</v>
      </c>
      <c r="G24" t="s">
        <v>660</v>
      </c>
      <c r="H24" t="s">
        <v>374</v>
      </c>
      <c r="I24">
        <v>380</v>
      </c>
      <c r="J24">
        <v>30</v>
      </c>
      <c r="K24" t="s">
        <v>373</v>
      </c>
      <c r="L24">
        <v>8235</v>
      </c>
      <c r="M24" t="s">
        <v>364</v>
      </c>
      <c r="N24" t="s">
        <v>376</v>
      </c>
      <c r="O24">
        <v>-99</v>
      </c>
      <c r="P24">
        <v>1</v>
      </c>
      <c r="Q24">
        <v>-99</v>
      </c>
      <c r="R24" t="s">
        <v>402</v>
      </c>
    </row>
    <row r="25" spans="1:18" x14ac:dyDescent="0.2">
      <c r="A25">
        <v>24</v>
      </c>
      <c r="B25">
        <v>10</v>
      </c>
      <c r="C25" t="s">
        <v>141</v>
      </c>
      <c r="D25" t="s">
        <v>63</v>
      </c>
      <c r="E25" t="s">
        <v>521</v>
      </c>
      <c r="F25" t="s">
        <v>522</v>
      </c>
      <c r="G25" t="s">
        <v>660</v>
      </c>
      <c r="H25" t="s">
        <v>374</v>
      </c>
      <c r="I25">
        <v>380</v>
      </c>
      <c r="J25">
        <v>30</v>
      </c>
      <c r="K25" t="s">
        <v>373</v>
      </c>
      <c r="L25">
        <v>8237</v>
      </c>
      <c r="M25" t="s">
        <v>339</v>
      </c>
      <c r="N25" t="s">
        <v>63</v>
      </c>
      <c r="O25">
        <v>1</v>
      </c>
      <c r="P25">
        <v>2</v>
      </c>
      <c r="Q25">
        <v>-99</v>
      </c>
      <c r="R25" t="s">
        <v>686</v>
      </c>
    </row>
    <row r="26" spans="1:18" x14ac:dyDescent="0.2">
      <c r="A26">
        <v>25</v>
      </c>
      <c r="B26">
        <v>11</v>
      </c>
      <c r="C26" t="s">
        <v>142</v>
      </c>
      <c r="D26" t="s">
        <v>24</v>
      </c>
      <c r="E26" t="s">
        <v>523</v>
      </c>
      <c r="F26" t="s">
        <v>524</v>
      </c>
      <c r="G26" t="s">
        <v>660</v>
      </c>
      <c r="H26" t="s">
        <v>374</v>
      </c>
      <c r="I26">
        <v>380</v>
      </c>
      <c r="J26">
        <v>30</v>
      </c>
      <c r="K26" t="s">
        <v>373</v>
      </c>
      <c r="L26">
        <v>8238</v>
      </c>
      <c r="M26" t="s">
        <v>339</v>
      </c>
      <c r="N26" t="s">
        <v>63</v>
      </c>
      <c r="O26">
        <v>1</v>
      </c>
      <c r="P26">
        <v>2</v>
      </c>
      <c r="Q26">
        <v>-99</v>
      </c>
      <c r="R26" t="s">
        <v>686</v>
      </c>
    </row>
    <row r="27" spans="1:18" x14ac:dyDescent="0.2">
      <c r="A27">
        <v>26</v>
      </c>
      <c r="B27">
        <v>12</v>
      </c>
      <c r="C27" t="s">
        <v>143</v>
      </c>
      <c r="D27" t="s">
        <v>47</v>
      </c>
      <c r="E27" t="s">
        <v>525</v>
      </c>
      <c r="F27" t="s">
        <v>526</v>
      </c>
      <c r="G27" t="s">
        <v>660</v>
      </c>
      <c r="H27" t="s">
        <v>374</v>
      </c>
      <c r="I27">
        <v>380</v>
      </c>
      <c r="J27">
        <v>30</v>
      </c>
      <c r="K27" t="s">
        <v>373</v>
      </c>
      <c r="L27">
        <v>8239</v>
      </c>
      <c r="M27" t="s">
        <v>357</v>
      </c>
      <c r="N27" t="s">
        <v>377</v>
      </c>
      <c r="O27">
        <v>1</v>
      </c>
      <c r="P27">
        <v>2</v>
      </c>
      <c r="Q27">
        <v>-99</v>
      </c>
      <c r="R27" t="s">
        <v>686</v>
      </c>
    </row>
    <row r="28" spans="1:18" x14ac:dyDescent="0.2">
      <c r="A28">
        <v>27</v>
      </c>
      <c r="B28">
        <v>13</v>
      </c>
      <c r="C28" t="s">
        <v>144</v>
      </c>
      <c r="D28" t="s">
        <v>64</v>
      </c>
      <c r="E28" t="s">
        <v>527</v>
      </c>
      <c r="F28" t="s">
        <v>528</v>
      </c>
      <c r="G28" t="s">
        <v>660</v>
      </c>
      <c r="H28" t="s">
        <v>374</v>
      </c>
      <c r="I28">
        <v>380</v>
      </c>
      <c r="J28">
        <v>30</v>
      </c>
      <c r="K28" t="s">
        <v>373</v>
      </c>
      <c r="L28">
        <v>8241</v>
      </c>
      <c r="M28" t="s">
        <v>361</v>
      </c>
      <c r="N28" t="s">
        <v>378</v>
      </c>
      <c r="O28">
        <v>1</v>
      </c>
      <c r="P28">
        <v>2</v>
      </c>
      <c r="Q28">
        <v>-99</v>
      </c>
      <c r="R28" t="s">
        <v>686</v>
      </c>
    </row>
    <row r="29" spans="1:18" x14ac:dyDescent="0.2">
      <c r="A29">
        <v>28</v>
      </c>
      <c r="B29">
        <v>14</v>
      </c>
      <c r="C29" t="s">
        <v>102</v>
      </c>
      <c r="D29" t="s">
        <v>66</v>
      </c>
      <c r="E29" t="s">
        <v>529</v>
      </c>
      <c r="F29" t="s">
        <v>530</v>
      </c>
      <c r="G29" t="s">
        <v>660</v>
      </c>
      <c r="H29" t="s">
        <v>374</v>
      </c>
      <c r="I29">
        <v>380</v>
      </c>
      <c r="J29">
        <v>30</v>
      </c>
      <c r="K29" t="s">
        <v>373</v>
      </c>
      <c r="L29">
        <v>8242</v>
      </c>
      <c r="M29" t="s">
        <v>351</v>
      </c>
      <c r="N29" t="s">
        <v>379</v>
      </c>
      <c r="O29">
        <v>1</v>
      </c>
      <c r="P29">
        <v>1</v>
      </c>
      <c r="Q29">
        <v>-99</v>
      </c>
      <c r="R29" t="s">
        <v>686</v>
      </c>
    </row>
    <row r="30" spans="1:18" x14ac:dyDescent="0.2">
      <c r="A30">
        <v>29</v>
      </c>
      <c r="B30">
        <v>-99</v>
      </c>
      <c r="C30" t="s">
        <v>102</v>
      </c>
      <c r="D30" t="s">
        <v>66</v>
      </c>
      <c r="E30" t="s">
        <v>531</v>
      </c>
      <c r="F30" t="s">
        <v>213</v>
      </c>
      <c r="G30" t="s">
        <v>660</v>
      </c>
      <c r="H30" t="s">
        <v>374</v>
      </c>
      <c r="I30">
        <v>380</v>
      </c>
      <c r="J30">
        <v>30</v>
      </c>
      <c r="K30" t="s">
        <v>373</v>
      </c>
      <c r="L30">
        <v>8242</v>
      </c>
      <c r="M30" t="s">
        <v>351</v>
      </c>
      <c r="N30" t="s">
        <v>379</v>
      </c>
      <c r="O30">
        <v>-99</v>
      </c>
      <c r="P30">
        <v>1</v>
      </c>
      <c r="Q30">
        <v>-99</v>
      </c>
      <c r="R30" t="s">
        <v>211</v>
      </c>
    </row>
    <row r="31" spans="1:18" x14ac:dyDescent="0.2">
      <c r="A31">
        <v>30</v>
      </c>
      <c r="B31">
        <v>15</v>
      </c>
      <c r="C31" t="s">
        <v>145</v>
      </c>
      <c r="D31" t="s">
        <v>68</v>
      </c>
      <c r="E31" t="s">
        <v>532</v>
      </c>
      <c r="F31" t="s">
        <v>533</v>
      </c>
      <c r="G31" t="s">
        <v>660</v>
      </c>
      <c r="H31" t="s">
        <v>374</v>
      </c>
      <c r="I31">
        <v>380</v>
      </c>
      <c r="J31">
        <v>30</v>
      </c>
      <c r="K31" t="s">
        <v>373</v>
      </c>
      <c r="L31">
        <v>8243</v>
      </c>
      <c r="M31" t="s">
        <v>351</v>
      </c>
      <c r="N31" t="s">
        <v>379</v>
      </c>
      <c r="O31">
        <v>1</v>
      </c>
      <c r="P31">
        <v>1</v>
      </c>
      <c r="Q31">
        <v>-99</v>
      </c>
      <c r="R31" t="s">
        <v>686</v>
      </c>
    </row>
    <row r="32" spans="1:18" x14ac:dyDescent="0.2">
      <c r="A32">
        <v>31</v>
      </c>
      <c r="B32">
        <v>-99</v>
      </c>
      <c r="C32" t="s">
        <v>145</v>
      </c>
      <c r="D32" t="s">
        <v>68</v>
      </c>
      <c r="E32" t="s">
        <v>534</v>
      </c>
      <c r="F32" t="s">
        <v>535</v>
      </c>
      <c r="G32" t="s">
        <v>660</v>
      </c>
      <c r="H32" t="s">
        <v>374</v>
      </c>
      <c r="I32">
        <v>380</v>
      </c>
      <c r="J32">
        <v>30</v>
      </c>
      <c r="K32" t="s">
        <v>373</v>
      </c>
      <c r="L32">
        <v>8243</v>
      </c>
      <c r="M32" t="s">
        <v>351</v>
      </c>
      <c r="N32" t="s">
        <v>379</v>
      </c>
      <c r="O32">
        <v>-99</v>
      </c>
      <c r="P32">
        <v>1</v>
      </c>
      <c r="Q32">
        <v>-99</v>
      </c>
      <c r="R32" t="s">
        <v>685</v>
      </c>
    </row>
    <row r="33" spans="1:18" x14ac:dyDescent="0.2">
      <c r="A33">
        <v>32</v>
      </c>
      <c r="B33">
        <v>16</v>
      </c>
      <c r="C33" t="s">
        <v>146</v>
      </c>
      <c r="D33" t="s">
        <v>36</v>
      </c>
      <c r="E33" t="s">
        <v>536</v>
      </c>
      <c r="F33" t="s">
        <v>537</v>
      </c>
      <c r="G33" t="s">
        <v>660</v>
      </c>
      <c r="H33" t="s">
        <v>374</v>
      </c>
      <c r="I33">
        <v>380</v>
      </c>
      <c r="J33">
        <v>30</v>
      </c>
      <c r="K33" t="s">
        <v>373</v>
      </c>
      <c r="L33">
        <v>8244</v>
      </c>
      <c r="M33" t="s">
        <v>346</v>
      </c>
      <c r="N33" t="s">
        <v>380</v>
      </c>
      <c r="O33">
        <v>1</v>
      </c>
      <c r="P33">
        <v>2</v>
      </c>
      <c r="Q33">
        <v>-99</v>
      </c>
      <c r="R33" t="s">
        <v>686</v>
      </c>
    </row>
    <row r="34" spans="1:18" x14ac:dyDescent="0.2">
      <c r="A34">
        <v>33</v>
      </c>
      <c r="B34">
        <v>23</v>
      </c>
      <c r="C34" t="s">
        <v>106</v>
      </c>
      <c r="D34" t="s">
        <v>72</v>
      </c>
      <c r="E34" t="s">
        <v>538</v>
      </c>
      <c r="F34" t="s">
        <v>539</v>
      </c>
      <c r="G34" t="s">
        <v>661</v>
      </c>
      <c r="H34" t="s">
        <v>381</v>
      </c>
      <c r="I34">
        <v>381</v>
      </c>
      <c r="J34">
        <v>30</v>
      </c>
      <c r="K34" t="s">
        <v>373</v>
      </c>
      <c r="L34">
        <v>8245</v>
      </c>
      <c r="M34" t="s">
        <v>325</v>
      </c>
      <c r="N34" t="s">
        <v>382</v>
      </c>
      <c r="O34">
        <v>1</v>
      </c>
      <c r="P34">
        <v>2</v>
      </c>
      <c r="Q34">
        <v>-99</v>
      </c>
      <c r="R34" t="s">
        <v>686</v>
      </c>
    </row>
    <row r="35" spans="1:18" x14ac:dyDescent="0.2">
      <c r="A35">
        <v>34</v>
      </c>
      <c r="B35">
        <v>24</v>
      </c>
      <c r="C35" t="s">
        <v>147</v>
      </c>
      <c r="D35" t="s">
        <v>50</v>
      </c>
      <c r="E35" t="s">
        <v>540</v>
      </c>
      <c r="F35" t="s">
        <v>541</v>
      </c>
      <c r="G35" t="s">
        <v>661</v>
      </c>
      <c r="H35" t="s">
        <v>381</v>
      </c>
      <c r="I35">
        <v>381</v>
      </c>
      <c r="J35">
        <v>30</v>
      </c>
      <c r="K35" t="s">
        <v>373</v>
      </c>
      <c r="L35">
        <v>8246</v>
      </c>
      <c r="M35" t="s">
        <v>341</v>
      </c>
      <c r="N35" t="s">
        <v>383</v>
      </c>
      <c r="O35">
        <v>1</v>
      </c>
      <c r="P35">
        <v>2</v>
      </c>
      <c r="Q35">
        <v>-99</v>
      </c>
      <c r="R35" t="s">
        <v>686</v>
      </c>
    </row>
    <row r="36" spans="1:18" x14ac:dyDescent="0.2">
      <c r="A36">
        <v>35</v>
      </c>
      <c r="B36">
        <v>30</v>
      </c>
      <c r="C36" t="s">
        <v>148</v>
      </c>
      <c r="D36" t="s">
        <v>25</v>
      </c>
      <c r="E36" t="s">
        <v>542</v>
      </c>
      <c r="F36" t="s">
        <v>543</v>
      </c>
      <c r="G36" t="s">
        <v>661</v>
      </c>
      <c r="H36" t="s">
        <v>381</v>
      </c>
      <c r="I36">
        <v>381</v>
      </c>
      <c r="J36">
        <v>31</v>
      </c>
      <c r="K36" t="s">
        <v>384</v>
      </c>
      <c r="L36">
        <v>8247</v>
      </c>
      <c r="M36" t="s">
        <v>366</v>
      </c>
      <c r="N36" t="s">
        <v>385</v>
      </c>
      <c r="O36">
        <v>1</v>
      </c>
      <c r="P36">
        <v>2</v>
      </c>
      <c r="Q36">
        <v>-99</v>
      </c>
      <c r="R36" t="s">
        <v>686</v>
      </c>
    </row>
    <row r="37" spans="1:18" x14ac:dyDescent="0.2">
      <c r="A37">
        <v>36</v>
      </c>
      <c r="B37">
        <v>194</v>
      </c>
      <c r="C37" t="s">
        <v>149</v>
      </c>
      <c r="D37" t="s">
        <v>80</v>
      </c>
      <c r="E37" t="s">
        <v>544</v>
      </c>
      <c r="F37" t="s">
        <v>545</v>
      </c>
      <c r="G37" t="s">
        <v>661</v>
      </c>
      <c r="H37" t="s">
        <v>381</v>
      </c>
      <c r="I37">
        <v>381</v>
      </c>
      <c r="J37">
        <v>31</v>
      </c>
      <c r="K37" t="s">
        <v>384</v>
      </c>
      <c r="L37">
        <v>8248</v>
      </c>
      <c r="M37" t="s">
        <v>321</v>
      </c>
      <c r="N37" t="s">
        <v>429</v>
      </c>
      <c r="O37">
        <v>1</v>
      </c>
      <c r="P37">
        <v>2</v>
      </c>
      <c r="Q37">
        <v>-99</v>
      </c>
      <c r="R37" t="s">
        <v>686</v>
      </c>
    </row>
    <row r="38" spans="1:18" x14ac:dyDescent="0.2">
      <c r="A38">
        <v>37</v>
      </c>
      <c r="B38">
        <v>34</v>
      </c>
      <c r="C38" t="s">
        <v>150</v>
      </c>
      <c r="D38" t="s">
        <v>86</v>
      </c>
      <c r="E38" t="s">
        <v>546</v>
      </c>
      <c r="F38" t="s">
        <v>547</v>
      </c>
      <c r="G38" t="s">
        <v>661</v>
      </c>
      <c r="H38" t="s">
        <v>381</v>
      </c>
      <c r="I38">
        <v>381</v>
      </c>
      <c r="J38">
        <v>30</v>
      </c>
      <c r="K38" t="s">
        <v>373</v>
      </c>
      <c r="L38">
        <v>8249</v>
      </c>
      <c r="M38" t="s">
        <v>352</v>
      </c>
      <c r="N38" t="s">
        <v>386</v>
      </c>
      <c r="O38">
        <v>1</v>
      </c>
      <c r="P38">
        <v>1</v>
      </c>
      <c r="Q38">
        <v>-99</v>
      </c>
      <c r="R38" t="s">
        <v>686</v>
      </c>
    </row>
    <row r="39" spans="1:18" x14ac:dyDescent="0.2">
      <c r="A39">
        <v>38</v>
      </c>
      <c r="B39">
        <v>-99</v>
      </c>
      <c r="C39" t="s">
        <v>150</v>
      </c>
      <c r="D39" t="s">
        <v>86</v>
      </c>
      <c r="E39" t="s">
        <v>548</v>
      </c>
      <c r="F39" t="s">
        <v>216</v>
      </c>
      <c r="G39" t="s">
        <v>661</v>
      </c>
      <c r="H39" t="s">
        <v>381</v>
      </c>
      <c r="I39">
        <v>381</v>
      </c>
      <c r="J39">
        <v>30</v>
      </c>
      <c r="K39" t="s">
        <v>373</v>
      </c>
      <c r="L39">
        <v>8249</v>
      </c>
      <c r="M39" t="s">
        <v>352</v>
      </c>
      <c r="N39" t="s">
        <v>386</v>
      </c>
      <c r="O39">
        <v>-99</v>
      </c>
      <c r="P39">
        <v>1</v>
      </c>
      <c r="Q39">
        <v>-99</v>
      </c>
      <c r="R39" t="s">
        <v>683</v>
      </c>
    </row>
    <row r="40" spans="1:18" x14ac:dyDescent="0.2">
      <c r="A40">
        <v>39</v>
      </c>
      <c r="B40">
        <v>-99</v>
      </c>
      <c r="C40" t="s">
        <v>150</v>
      </c>
      <c r="D40" t="s">
        <v>86</v>
      </c>
      <c r="E40" t="s">
        <v>549</v>
      </c>
      <c r="F40" t="s">
        <v>961</v>
      </c>
      <c r="G40" t="s">
        <v>661</v>
      </c>
      <c r="H40" t="s">
        <v>381</v>
      </c>
      <c r="I40">
        <v>381</v>
      </c>
      <c r="J40">
        <v>30</v>
      </c>
      <c r="K40" t="s">
        <v>373</v>
      </c>
      <c r="L40">
        <v>8249</v>
      </c>
      <c r="M40" t="s">
        <v>352</v>
      </c>
      <c r="N40" t="s">
        <v>386</v>
      </c>
      <c r="O40">
        <v>-99</v>
      </c>
      <c r="P40">
        <v>1</v>
      </c>
      <c r="Q40">
        <v>-99</v>
      </c>
      <c r="R40" t="s">
        <v>684</v>
      </c>
    </row>
    <row r="41" spans="1:18" x14ac:dyDescent="0.2">
      <c r="A41">
        <v>40</v>
      </c>
      <c r="B41">
        <v>35</v>
      </c>
      <c r="C41" t="s">
        <v>151</v>
      </c>
      <c r="D41" t="s">
        <v>42</v>
      </c>
      <c r="E41" t="s">
        <v>550</v>
      </c>
      <c r="F41" t="s">
        <v>551</v>
      </c>
      <c r="G41" t="s">
        <v>661</v>
      </c>
      <c r="H41" t="s">
        <v>381</v>
      </c>
      <c r="I41">
        <v>381</v>
      </c>
      <c r="J41">
        <v>31</v>
      </c>
      <c r="K41" t="s">
        <v>384</v>
      </c>
      <c r="L41">
        <v>8250</v>
      </c>
      <c r="M41" t="s">
        <v>344</v>
      </c>
      <c r="N41" t="s">
        <v>387</v>
      </c>
      <c r="O41">
        <v>1</v>
      </c>
      <c r="P41">
        <v>2</v>
      </c>
      <c r="Q41">
        <v>-99</v>
      </c>
      <c r="R41" t="s">
        <v>686</v>
      </c>
    </row>
    <row r="42" spans="1:18" x14ac:dyDescent="0.2">
      <c r="A42">
        <v>41</v>
      </c>
      <c r="B42">
        <v>36</v>
      </c>
      <c r="C42" t="s">
        <v>94</v>
      </c>
      <c r="D42" t="s">
        <v>61</v>
      </c>
      <c r="E42" t="s">
        <v>552</v>
      </c>
      <c r="F42" t="s">
        <v>553</v>
      </c>
      <c r="G42" t="s">
        <v>661</v>
      </c>
      <c r="H42" t="s">
        <v>381</v>
      </c>
      <c r="I42">
        <v>381</v>
      </c>
      <c r="J42">
        <v>31</v>
      </c>
      <c r="K42" t="s">
        <v>384</v>
      </c>
      <c r="L42">
        <v>8251</v>
      </c>
      <c r="M42" t="s">
        <v>347</v>
      </c>
      <c r="N42" t="s">
        <v>388</v>
      </c>
      <c r="O42">
        <v>1</v>
      </c>
      <c r="P42">
        <v>2</v>
      </c>
      <c r="Q42">
        <v>-99</v>
      </c>
      <c r="R42" t="s">
        <v>686</v>
      </c>
    </row>
    <row r="43" spans="1:18" x14ac:dyDescent="0.2">
      <c r="A43">
        <v>42</v>
      </c>
      <c r="B43">
        <v>37</v>
      </c>
      <c r="C43" t="s">
        <v>152</v>
      </c>
      <c r="D43" t="s">
        <v>62</v>
      </c>
      <c r="E43" t="s">
        <v>554</v>
      </c>
      <c r="F43" t="s">
        <v>555</v>
      </c>
      <c r="G43" t="s">
        <v>662</v>
      </c>
      <c r="H43" t="s">
        <v>390</v>
      </c>
      <c r="I43">
        <v>382</v>
      </c>
      <c r="J43">
        <v>33</v>
      </c>
      <c r="K43" t="s">
        <v>389</v>
      </c>
      <c r="L43">
        <v>8252</v>
      </c>
      <c r="M43" t="s">
        <v>324</v>
      </c>
      <c r="N43" t="s">
        <v>391</v>
      </c>
      <c r="O43">
        <v>1</v>
      </c>
      <c r="P43">
        <v>2</v>
      </c>
      <c r="Q43">
        <v>-99</v>
      </c>
      <c r="R43" t="s">
        <v>686</v>
      </c>
    </row>
    <row r="44" spans="1:18" x14ac:dyDescent="0.2">
      <c r="A44">
        <v>43</v>
      </c>
      <c r="B44">
        <v>38</v>
      </c>
      <c r="C44" t="s">
        <v>153</v>
      </c>
      <c r="D44" t="s">
        <v>60</v>
      </c>
      <c r="E44" t="s">
        <v>556</v>
      </c>
      <c r="F44" t="s">
        <v>557</v>
      </c>
      <c r="G44" t="s">
        <v>661</v>
      </c>
      <c r="H44" t="s">
        <v>381</v>
      </c>
      <c r="I44">
        <v>381</v>
      </c>
      <c r="J44">
        <v>31</v>
      </c>
      <c r="K44" t="s">
        <v>384</v>
      </c>
      <c r="L44">
        <v>8253</v>
      </c>
      <c r="M44" t="s">
        <v>358</v>
      </c>
      <c r="N44" t="s">
        <v>392</v>
      </c>
      <c r="O44">
        <v>1</v>
      </c>
      <c r="P44">
        <v>2</v>
      </c>
      <c r="Q44">
        <v>-99</v>
      </c>
      <c r="R44" t="s">
        <v>686</v>
      </c>
    </row>
    <row r="45" spans="1:18" x14ac:dyDescent="0.2">
      <c r="A45">
        <v>44</v>
      </c>
      <c r="B45">
        <v>39</v>
      </c>
      <c r="C45" t="s">
        <v>154</v>
      </c>
      <c r="D45" t="s">
        <v>52</v>
      </c>
      <c r="E45" t="s">
        <v>558</v>
      </c>
      <c r="F45" t="s">
        <v>559</v>
      </c>
      <c r="G45" t="s">
        <v>661</v>
      </c>
      <c r="H45" t="s">
        <v>381</v>
      </c>
      <c r="I45">
        <v>381</v>
      </c>
      <c r="J45">
        <v>33</v>
      </c>
      <c r="K45" t="s">
        <v>389</v>
      </c>
      <c r="L45">
        <v>8254</v>
      </c>
      <c r="M45" t="s">
        <v>359</v>
      </c>
      <c r="N45" t="s">
        <v>393</v>
      </c>
      <c r="O45">
        <v>1</v>
      </c>
      <c r="P45">
        <v>1</v>
      </c>
      <c r="Q45">
        <v>-99</v>
      </c>
      <c r="R45" t="s">
        <v>686</v>
      </c>
    </row>
    <row r="46" spans="1:18" x14ac:dyDescent="0.2">
      <c r="A46">
        <v>45</v>
      </c>
      <c r="B46">
        <v>-99</v>
      </c>
      <c r="C46" t="s">
        <v>154</v>
      </c>
      <c r="D46" t="s">
        <v>52</v>
      </c>
      <c r="E46" t="s">
        <v>560</v>
      </c>
      <c r="F46" t="s">
        <v>561</v>
      </c>
      <c r="G46" t="s">
        <v>661</v>
      </c>
      <c r="H46" t="s">
        <v>381</v>
      </c>
      <c r="I46">
        <v>381</v>
      </c>
      <c r="J46">
        <v>33</v>
      </c>
      <c r="K46" t="s">
        <v>389</v>
      </c>
      <c r="L46">
        <v>8254</v>
      </c>
      <c r="M46" t="s">
        <v>359</v>
      </c>
      <c r="N46" t="s">
        <v>393</v>
      </c>
      <c r="O46">
        <v>-99</v>
      </c>
      <c r="P46">
        <v>1</v>
      </c>
      <c r="Q46">
        <v>-99</v>
      </c>
      <c r="R46" t="s">
        <v>687</v>
      </c>
    </row>
    <row r="47" spans="1:18" x14ac:dyDescent="0.2">
      <c r="A47">
        <v>46</v>
      </c>
      <c r="B47">
        <v>52</v>
      </c>
      <c r="C47" t="s">
        <v>155</v>
      </c>
      <c r="D47" t="s">
        <v>41</v>
      </c>
      <c r="E47" t="s">
        <v>562</v>
      </c>
      <c r="F47" t="s">
        <v>563</v>
      </c>
      <c r="G47" t="s">
        <v>660</v>
      </c>
      <c r="H47" t="s">
        <v>374</v>
      </c>
      <c r="I47">
        <v>380</v>
      </c>
      <c r="J47">
        <v>32</v>
      </c>
      <c r="K47" t="s">
        <v>394</v>
      </c>
      <c r="L47">
        <v>8255</v>
      </c>
      <c r="M47" t="s">
        <v>360</v>
      </c>
      <c r="N47" t="s">
        <v>395</v>
      </c>
      <c r="O47">
        <v>1</v>
      </c>
      <c r="P47">
        <v>2</v>
      </c>
      <c r="Q47">
        <v>-99</v>
      </c>
      <c r="R47" t="s">
        <v>686</v>
      </c>
    </row>
    <row r="48" spans="1:18" x14ac:dyDescent="0.2">
      <c r="A48">
        <v>47</v>
      </c>
      <c r="B48">
        <v>53</v>
      </c>
      <c r="C48" t="s">
        <v>156</v>
      </c>
      <c r="D48" t="s">
        <v>51</v>
      </c>
      <c r="E48" t="s">
        <v>564</v>
      </c>
      <c r="F48" t="s">
        <v>565</v>
      </c>
      <c r="G48" t="s">
        <v>660</v>
      </c>
      <c r="H48" t="s">
        <v>374</v>
      </c>
      <c r="I48">
        <v>380</v>
      </c>
      <c r="J48">
        <v>32</v>
      </c>
      <c r="K48" t="s">
        <v>394</v>
      </c>
      <c r="L48">
        <v>8256</v>
      </c>
      <c r="M48" t="s">
        <v>334</v>
      </c>
      <c r="N48" t="s">
        <v>396</v>
      </c>
      <c r="O48">
        <v>1</v>
      </c>
      <c r="P48">
        <v>2</v>
      </c>
      <c r="Q48">
        <v>-99</v>
      </c>
      <c r="R48" t="s">
        <v>686</v>
      </c>
    </row>
    <row r="49" spans="1:18" x14ac:dyDescent="0.2">
      <c r="A49">
        <v>48</v>
      </c>
      <c r="B49">
        <v>54</v>
      </c>
      <c r="C49" t="s">
        <v>157</v>
      </c>
      <c r="D49" t="s">
        <v>56</v>
      </c>
      <c r="E49" t="s">
        <v>566</v>
      </c>
      <c r="F49" t="s">
        <v>567</v>
      </c>
      <c r="G49" t="s">
        <v>661</v>
      </c>
      <c r="H49" t="s">
        <v>381</v>
      </c>
      <c r="I49">
        <v>381</v>
      </c>
      <c r="J49">
        <v>31</v>
      </c>
      <c r="K49" t="s">
        <v>384</v>
      </c>
      <c r="L49">
        <v>8257</v>
      </c>
      <c r="M49" t="s">
        <v>340</v>
      </c>
      <c r="N49" t="s">
        <v>397</v>
      </c>
      <c r="O49">
        <v>1</v>
      </c>
      <c r="P49">
        <v>1</v>
      </c>
      <c r="Q49">
        <v>-99</v>
      </c>
      <c r="R49" t="s">
        <v>686</v>
      </c>
    </row>
    <row r="50" spans="1:18" x14ac:dyDescent="0.2">
      <c r="A50">
        <v>49</v>
      </c>
      <c r="B50">
        <v>-99</v>
      </c>
      <c r="C50" t="s">
        <v>157</v>
      </c>
      <c r="D50" t="s">
        <v>56</v>
      </c>
      <c r="E50" t="s">
        <v>568</v>
      </c>
      <c r="F50" t="s">
        <v>569</v>
      </c>
      <c r="G50" t="s">
        <v>661</v>
      </c>
      <c r="H50" t="s">
        <v>381</v>
      </c>
      <c r="I50">
        <v>381</v>
      </c>
      <c r="J50">
        <v>31</v>
      </c>
      <c r="K50" t="s">
        <v>384</v>
      </c>
      <c r="L50">
        <v>8257</v>
      </c>
      <c r="M50" t="s">
        <v>340</v>
      </c>
      <c r="N50" t="s">
        <v>397</v>
      </c>
      <c r="O50">
        <v>-99</v>
      </c>
      <c r="P50">
        <v>1</v>
      </c>
      <c r="Q50">
        <v>-99</v>
      </c>
      <c r="R50" t="s">
        <v>688</v>
      </c>
    </row>
    <row r="51" spans="1:18" x14ac:dyDescent="0.2">
      <c r="A51">
        <v>50</v>
      </c>
      <c r="B51">
        <v>55</v>
      </c>
      <c r="C51" t="s">
        <v>158</v>
      </c>
      <c r="D51" t="s">
        <v>40</v>
      </c>
      <c r="E51" t="s">
        <v>570</v>
      </c>
      <c r="F51" t="s">
        <v>571</v>
      </c>
      <c r="G51" t="s">
        <v>662</v>
      </c>
      <c r="H51" t="s">
        <v>390</v>
      </c>
      <c r="I51">
        <v>382</v>
      </c>
      <c r="J51">
        <v>32</v>
      </c>
      <c r="K51" t="s">
        <v>394</v>
      </c>
      <c r="L51">
        <v>8258</v>
      </c>
      <c r="M51" t="s">
        <v>353</v>
      </c>
      <c r="N51" t="s">
        <v>398</v>
      </c>
      <c r="O51">
        <v>1</v>
      </c>
      <c r="P51">
        <v>2</v>
      </c>
      <c r="Q51">
        <v>-99</v>
      </c>
      <c r="R51" t="s">
        <v>686</v>
      </c>
    </row>
    <row r="52" spans="1:18" x14ac:dyDescent="0.2">
      <c r="A52">
        <v>51</v>
      </c>
      <c r="B52">
        <v>56</v>
      </c>
      <c r="C52" t="s">
        <v>159</v>
      </c>
      <c r="D52" t="s">
        <v>45</v>
      </c>
      <c r="E52" t="s">
        <v>572</v>
      </c>
      <c r="F52" t="s">
        <v>573</v>
      </c>
      <c r="G52" t="s">
        <v>660</v>
      </c>
      <c r="H52" t="s">
        <v>374</v>
      </c>
      <c r="I52">
        <v>380</v>
      </c>
      <c r="J52">
        <v>32</v>
      </c>
      <c r="K52" t="s">
        <v>394</v>
      </c>
      <c r="L52">
        <v>8259</v>
      </c>
      <c r="M52" t="s">
        <v>330</v>
      </c>
      <c r="N52" t="s">
        <v>399</v>
      </c>
      <c r="O52">
        <v>1</v>
      </c>
      <c r="P52">
        <v>2</v>
      </c>
      <c r="Q52">
        <v>-99</v>
      </c>
      <c r="R52" t="s">
        <v>686</v>
      </c>
    </row>
    <row r="53" spans="1:18" x14ac:dyDescent="0.2">
      <c r="A53">
        <v>52</v>
      </c>
      <c r="B53">
        <v>57</v>
      </c>
      <c r="C53" t="s">
        <v>160</v>
      </c>
      <c r="D53" t="s">
        <v>59</v>
      </c>
      <c r="E53" t="s">
        <v>574</v>
      </c>
      <c r="F53" t="s">
        <v>575</v>
      </c>
      <c r="G53" t="s">
        <v>662</v>
      </c>
      <c r="H53" t="s">
        <v>390</v>
      </c>
      <c r="I53">
        <v>382</v>
      </c>
      <c r="J53">
        <v>32</v>
      </c>
      <c r="K53" t="s">
        <v>394</v>
      </c>
      <c r="L53">
        <v>8260</v>
      </c>
      <c r="M53" t="s">
        <v>320</v>
      </c>
      <c r="N53" t="s">
        <v>400</v>
      </c>
      <c r="O53">
        <v>1</v>
      </c>
      <c r="P53">
        <v>1</v>
      </c>
      <c r="Q53">
        <v>-99</v>
      </c>
      <c r="R53" t="s">
        <v>686</v>
      </c>
    </row>
    <row r="54" spans="1:18" x14ac:dyDescent="0.2">
      <c r="A54">
        <v>53</v>
      </c>
      <c r="B54">
        <v>-99</v>
      </c>
      <c r="C54" t="s">
        <v>160</v>
      </c>
      <c r="D54" t="s">
        <v>59</v>
      </c>
      <c r="E54" t="s">
        <v>576</v>
      </c>
      <c r="F54" t="s">
        <v>212</v>
      </c>
      <c r="G54" t="s">
        <v>662</v>
      </c>
      <c r="H54" t="s">
        <v>390</v>
      </c>
      <c r="I54">
        <v>382</v>
      </c>
      <c r="J54">
        <v>32</v>
      </c>
      <c r="K54" t="s">
        <v>394</v>
      </c>
      <c r="L54">
        <v>8260</v>
      </c>
      <c r="M54" t="s">
        <v>320</v>
      </c>
      <c r="N54" t="s">
        <v>400</v>
      </c>
      <c r="O54">
        <v>-99</v>
      </c>
      <c r="P54">
        <v>1</v>
      </c>
      <c r="Q54">
        <v>-99</v>
      </c>
      <c r="R54" t="s">
        <v>211</v>
      </c>
    </row>
    <row r="55" spans="1:18" x14ac:dyDescent="0.2">
      <c r="A55">
        <v>54</v>
      </c>
      <c r="B55">
        <v>58</v>
      </c>
      <c r="C55" t="s">
        <v>161</v>
      </c>
      <c r="D55" t="s">
        <v>78</v>
      </c>
      <c r="E55" t="s">
        <v>577</v>
      </c>
      <c r="F55" t="s">
        <v>578</v>
      </c>
      <c r="G55" t="s">
        <v>662</v>
      </c>
      <c r="H55" t="s">
        <v>390</v>
      </c>
      <c r="I55">
        <v>382</v>
      </c>
      <c r="J55">
        <v>32</v>
      </c>
      <c r="K55" t="s">
        <v>394</v>
      </c>
      <c r="L55">
        <v>8261</v>
      </c>
      <c r="M55" t="s">
        <v>343</v>
      </c>
      <c r="N55" t="s">
        <v>401</v>
      </c>
      <c r="O55">
        <v>1</v>
      </c>
      <c r="P55">
        <v>2</v>
      </c>
      <c r="Q55">
        <v>-99</v>
      </c>
      <c r="R55" t="s">
        <v>686</v>
      </c>
    </row>
    <row r="56" spans="1:18" x14ac:dyDescent="0.2">
      <c r="A56">
        <v>55</v>
      </c>
      <c r="B56">
        <v>59</v>
      </c>
      <c r="C56" t="s">
        <v>162</v>
      </c>
      <c r="D56" t="s">
        <v>44</v>
      </c>
      <c r="E56" t="s">
        <v>579</v>
      </c>
      <c r="F56" t="s">
        <v>580</v>
      </c>
      <c r="G56" t="s">
        <v>662</v>
      </c>
      <c r="H56" t="s">
        <v>390</v>
      </c>
      <c r="I56">
        <v>382</v>
      </c>
      <c r="J56">
        <v>32</v>
      </c>
      <c r="K56" t="s">
        <v>394</v>
      </c>
      <c r="L56">
        <v>8262</v>
      </c>
      <c r="M56" t="s">
        <v>367</v>
      </c>
      <c r="N56" t="s">
        <v>403</v>
      </c>
      <c r="O56">
        <v>1</v>
      </c>
      <c r="P56">
        <v>2</v>
      </c>
      <c r="Q56">
        <v>-99</v>
      </c>
      <c r="R56" t="s">
        <v>686</v>
      </c>
    </row>
    <row r="57" spans="1:18" x14ac:dyDescent="0.2">
      <c r="A57">
        <v>56</v>
      </c>
      <c r="B57">
        <v>60</v>
      </c>
      <c r="C57" t="s">
        <v>163</v>
      </c>
      <c r="D57" t="s">
        <v>53</v>
      </c>
      <c r="E57" t="s">
        <v>581</v>
      </c>
      <c r="F57" t="s">
        <v>582</v>
      </c>
      <c r="G57" t="s">
        <v>662</v>
      </c>
      <c r="H57" t="s">
        <v>390</v>
      </c>
      <c r="I57">
        <v>382</v>
      </c>
      <c r="J57">
        <v>32</v>
      </c>
      <c r="K57" t="s">
        <v>394</v>
      </c>
      <c r="L57">
        <v>8263</v>
      </c>
      <c r="M57" t="s">
        <v>326</v>
      </c>
      <c r="N57" t="s">
        <v>404</v>
      </c>
      <c r="O57">
        <v>1</v>
      </c>
      <c r="P57">
        <v>2</v>
      </c>
      <c r="Q57">
        <v>-99</v>
      </c>
      <c r="R57" t="s">
        <v>686</v>
      </c>
    </row>
    <row r="58" spans="1:18" x14ac:dyDescent="0.2">
      <c r="A58">
        <v>57</v>
      </c>
      <c r="B58">
        <v>84</v>
      </c>
      <c r="C58" t="s">
        <v>164</v>
      </c>
      <c r="D58" t="s">
        <v>79</v>
      </c>
      <c r="E58" t="s">
        <v>583</v>
      </c>
      <c r="F58" t="s">
        <v>584</v>
      </c>
      <c r="G58" t="s">
        <v>662</v>
      </c>
      <c r="H58" t="s">
        <v>390</v>
      </c>
      <c r="I58">
        <v>382</v>
      </c>
      <c r="J58">
        <v>32</v>
      </c>
      <c r="K58" t="s">
        <v>394</v>
      </c>
      <c r="L58">
        <v>8264</v>
      </c>
      <c r="M58" t="s">
        <v>337</v>
      </c>
      <c r="N58" t="s">
        <v>405</v>
      </c>
      <c r="O58">
        <v>1</v>
      </c>
      <c r="P58">
        <v>1</v>
      </c>
      <c r="Q58">
        <v>-99</v>
      </c>
      <c r="R58" t="s">
        <v>686</v>
      </c>
    </row>
    <row r="59" spans="1:18" x14ac:dyDescent="0.2">
      <c r="A59">
        <v>58</v>
      </c>
      <c r="B59">
        <v>-99</v>
      </c>
      <c r="C59" t="s">
        <v>164</v>
      </c>
      <c r="D59" t="s">
        <v>79</v>
      </c>
      <c r="E59" t="s">
        <v>585</v>
      </c>
      <c r="F59" t="s">
        <v>495</v>
      </c>
      <c r="G59" t="s">
        <v>662</v>
      </c>
      <c r="H59" t="s">
        <v>390</v>
      </c>
      <c r="I59">
        <v>382</v>
      </c>
      <c r="J59">
        <v>32</v>
      </c>
      <c r="K59" t="s">
        <v>394</v>
      </c>
      <c r="L59">
        <v>8264</v>
      </c>
      <c r="M59" t="s">
        <v>337</v>
      </c>
      <c r="N59" t="s">
        <v>405</v>
      </c>
      <c r="O59">
        <v>-99</v>
      </c>
      <c r="P59">
        <v>1</v>
      </c>
      <c r="Q59">
        <v>-99</v>
      </c>
      <c r="R59" t="s">
        <v>658</v>
      </c>
    </row>
    <row r="60" spans="1:18" x14ac:dyDescent="0.2">
      <c r="A60">
        <v>59</v>
      </c>
      <c r="B60">
        <v>-99</v>
      </c>
      <c r="C60" t="s">
        <v>164</v>
      </c>
      <c r="D60" t="s">
        <v>79</v>
      </c>
      <c r="E60" t="s">
        <v>586</v>
      </c>
      <c r="F60" t="s">
        <v>215</v>
      </c>
      <c r="G60" t="s">
        <v>662</v>
      </c>
      <c r="H60" t="s">
        <v>390</v>
      </c>
      <c r="I60">
        <v>382</v>
      </c>
      <c r="J60">
        <v>32</v>
      </c>
      <c r="K60" t="s">
        <v>394</v>
      </c>
      <c r="L60">
        <v>8264</v>
      </c>
      <c r="M60" t="s">
        <v>337</v>
      </c>
      <c r="N60" t="s">
        <v>405</v>
      </c>
      <c r="O60">
        <v>-99</v>
      </c>
      <c r="P60">
        <v>1</v>
      </c>
      <c r="Q60">
        <v>-99</v>
      </c>
      <c r="R60" t="s">
        <v>211</v>
      </c>
    </row>
    <row r="61" spans="1:18" x14ac:dyDescent="0.2">
      <c r="A61">
        <v>60</v>
      </c>
      <c r="B61">
        <v>100</v>
      </c>
      <c r="C61" t="s">
        <v>165</v>
      </c>
      <c r="D61" t="s">
        <v>43</v>
      </c>
      <c r="E61" t="s">
        <v>587</v>
      </c>
      <c r="F61" t="s">
        <v>588</v>
      </c>
      <c r="G61" t="s">
        <v>664</v>
      </c>
      <c r="H61" t="s">
        <v>406</v>
      </c>
      <c r="I61">
        <v>383</v>
      </c>
      <c r="J61">
        <v>33</v>
      </c>
      <c r="K61" t="s">
        <v>389</v>
      </c>
      <c r="L61">
        <v>8268</v>
      </c>
      <c r="M61" t="s">
        <v>354</v>
      </c>
      <c r="N61" t="s">
        <v>407</v>
      </c>
      <c r="O61">
        <v>1</v>
      </c>
      <c r="P61">
        <v>2</v>
      </c>
      <c r="Q61">
        <v>-99</v>
      </c>
      <c r="R61" t="s">
        <v>686</v>
      </c>
    </row>
    <row r="62" spans="1:18" x14ac:dyDescent="0.2">
      <c r="A62">
        <v>61</v>
      </c>
      <c r="B62">
        <v>101</v>
      </c>
      <c r="C62" t="s">
        <v>166</v>
      </c>
      <c r="D62" t="s">
        <v>34</v>
      </c>
      <c r="E62" t="s">
        <v>589</v>
      </c>
      <c r="F62" t="s">
        <v>590</v>
      </c>
      <c r="G62" t="s">
        <v>664</v>
      </c>
      <c r="H62" t="s">
        <v>406</v>
      </c>
      <c r="I62">
        <v>383</v>
      </c>
      <c r="J62">
        <v>34</v>
      </c>
      <c r="K62" t="s">
        <v>408</v>
      </c>
      <c r="L62">
        <v>8269</v>
      </c>
      <c r="M62" t="s">
        <v>322</v>
      </c>
      <c r="N62" t="s">
        <v>409</v>
      </c>
      <c r="O62">
        <v>1</v>
      </c>
      <c r="P62">
        <v>2</v>
      </c>
      <c r="Q62">
        <v>-99</v>
      </c>
      <c r="R62" t="s">
        <v>686</v>
      </c>
    </row>
    <row r="63" spans="1:18" x14ac:dyDescent="0.2">
      <c r="A63">
        <v>62</v>
      </c>
      <c r="B63">
        <v>102</v>
      </c>
      <c r="C63" t="s">
        <v>167</v>
      </c>
      <c r="D63" t="s">
        <v>73</v>
      </c>
      <c r="E63" t="s">
        <v>591</v>
      </c>
      <c r="F63" t="s">
        <v>592</v>
      </c>
      <c r="G63" t="s">
        <v>664</v>
      </c>
      <c r="H63" t="s">
        <v>406</v>
      </c>
      <c r="I63">
        <v>383</v>
      </c>
      <c r="J63">
        <v>33</v>
      </c>
      <c r="K63" t="s">
        <v>389</v>
      </c>
      <c r="L63">
        <v>8270</v>
      </c>
      <c r="M63" t="s">
        <v>348</v>
      </c>
      <c r="N63" t="s">
        <v>410</v>
      </c>
      <c r="O63">
        <v>1</v>
      </c>
      <c r="P63">
        <v>1</v>
      </c>
      <c r="Q63">
        <v>-99</v>
      </c>
      <c r="R63" t="s">
        <v>686</v>
      </c>
    </row>
    <row r="64" spans="1:18" x14ac:dyDescent="0.2">
      <c r="A64">
        <v>63</v>
      </c>
      <c r="B64">
        <v>-99</v>
      </c>
      <c r="C64" t="s">
        <v>167</v>
      </c>
      <c r="D64" t="s">
        <v>73</v>
      </c>
      <c r="E64" t="s">
        <v>593</v>
      </c>
      <c r="F64" t="s">
        <v>214</v>
      </c>
      <c r="G64" t="s">
        <v>664</v>
      </c>
      <c r="H64" t="s">
        <v>406</v>
      </c>
      <c r="I64">
        <v>383</v>
      </c>
      <c r="J64">
        <v>33</v>
      </c>
      <c r="K64" t="s">
        <v>389</v>
      </c>
      <c r="L64">
        <v>8270</v>
      </c>
      <c r="M64" t="s">
        <v>348</v>
      </c>
      <c r="N64" t="s">
        <v>410</v>
      </c>
      <c r="O64">
        <v>-99</v>
      </c>
      <c r="P64">
        <v>1</v>
      </c>
      <c r="Q64">
        <v>-99</v>
      </c>
      <c r="R64" t="s">
        <v>683</v>
      </c>
    </row>
    <row r="65" spans="1:18" x14ac:dyDescent="0.2">
      <c r="A65">
        <v>64</v>
      </c>
      <c r="B65">
        <v>103</v>
      </c>
      <c r="C65" t="s">
        <v>168</v>
      </c>
      <c r="D65" t="s">
        <v>65</v>
      </c>
      <c r="E65" t="s">
        <v>594</v>
      </c>
      <c r="F65" t="s">
        <v>595</v>
      </c>
      <c r="G65" t="s">
        <v>664</v>
      </c>
      <c r="H65" t="s">
        <v>406</v>
      </c>
      <c r="I65">
        <v>383</v>
      </c>
      <c r="J65">
        <v>34</v>
      </c>
      <c r="K65" t="s">
        <v>408</v>
      </c>
      <c r="L65">
        <v>8272</v>
      </c>
      <c r="M65" t="s">
        <v>336</v>
      </c>
      <c r="N65" t="s">
        <v>411</v>
      </c>
      <c r="O65">
        <v>1</v>
      </c>
      <c r="P65">
        <v>2</v>
      </c>
      <c r="Q65">
        <v>-99</v>
      </c>
      <c r="R65" t="s">
        <v>686</v>
      </c>
    </row>
    <row r="66" spans="1:18" x14ac:dyDescent="0.2">
      <c r="A66">
        <v>65</v>
      </c>
      <c r="B66">
        <v>104</v>
      </c>
      <c r="C66" t="s">
        <v>169</v>
      </c>
      <c r="D66" t="s">
        <v>55</v>
      </c>
      <c r="E66" t="s">
        <v>596</v>
      </c>
      <c r="F66" t="s">
        <v>597</v>
      </c>
      <c r="G66" t="s">
        <v>664</v>
      </c>
      <c r="H66" t="s">
        <v>406</v>
      </c>
      <c r="I66">
        <v>383</v>
      </c>
      <c r="J66">
        <v>34</v>
      </c>
      <c r="K66" t="s">
        <v>408</v>
      </c>
      <c r="L66">
        <v>8221</v>
      </c>
      <c r="M66" t="s">
        <v>336</v>
      </c>
      <c r="N66" t="s">
        <v>411</v>
      </c>
      <c r="O66">
        <v>1</v>
      </c>
      <c r="P66">
        <v>2</v>
      </c>
      <c r="Q66">
        <v>-99</v>
      </c>
      <c r="R66" t="s">
        <v>686</v>
      </c>
    </row>
    <row r="67" spans="1:18" x14ac:dyDescent="0.2">
      <c r="A67">
        <v>66</v>
      </c>
      <c r="B67">
        <v>196</v>
      </c>
      <c r="C67" t="s">
        <v>170</v>
      </c>
      <c r="D67" t="s">
        <v>67</v>
      </c>
      <c r="E67" t="s">
        <v>598</v>
      </c>
      <c r="F67" t="s">
        <v>599</v>
      </c>
      <c r="G67" t="s">
        <v>664</v>
      </c>
      <c r="H67" t="s">
        <v>406</v>
      </c>
      <c r="I67">
        <v>383</v>
      </c>
      <c r="J67">
        <v>34</v>
      </c>
      <c r="K67" t="s">
        <v>408</v>
      </c>
      <c r="L67">
        <v>8202</v>
      </c>
      <c r="M67" t="s">
        <v>349</v>
      </c>
      <c r="N67" t="s">
        <v>430</v>
      </c>
      <c r="O67">
        <v>1</v>
      </c>
      <c r="P67">
        <v>2</v>
      </c>
      <c r="Q67">
        <v>-99</v>
      </c>
      <c r="R67" t="s">
        <v>686</v>
      </c>
    </row>
    <row r="68" spans="1:18" x14ac:dyDescent="0.2">
      <c r="A68">
        <v>67</v>
      </c>
      <c r="B68">
        <v>110</v>
      </c>
      <c r="C68" t="s">
        <v>171</v>
      </c>
      <c r="D68" t="s">
        <v>76</v>
      </c>
      <c r="E68" t="s">
        <v>600</v>
      </c>
      <c r="F68" t="s">
        <v>601</v>
      </c>
      <c r="G68" t="s">
        <v>664</v>
      </c>
      <c r="H68" t="s">
        <v>406</v>
      </c>
      <c r="I68">
        <v>383</v>
      </c>
      <c r="J68">
        <v>34</v>
      </c>
      <c r="K68" t="s">
        <v>408</v>
      </c>
      <c r="L68">
        <v>8203</v>
      </c>
      <c r="M68" t="s">
        <v>333</v>
      </c>
      <c r="N68" t="s">
        <v>83</v>
      </c>
      <c r="O68">
        <v>1</v>
      </c>
      <c r="P68">
        <v>1</v>
      </c>
      <c r="Q68">
        <v>-99</v>
      </c>
      <c r="R68" t="s">
        <v>686</v>
      </c>
    </row>
    <row r="69" spans="1:18" x14ac:dyDescent="0.2">
      <c r="A69">
        <v>68</v>
      </c>
      <c r="B69">
        <v>-99</v>
      </c>
      <c r="C69" t="s">
        <v>171</v>
      </c>
      <c r="D69" t="s">
        <v>76</v>
      </c>
      <c r="E69" t="s">
        <v>602</v>
      </c>
      <c r="F69" t="s">
        <v>603</v>
      </c>
      <c r="G69" t="s">
        <v>664</v>
      </c>
      <c r="H69" t="s">
        <v>406</v>
      </c>
      <c r="I69">
        <v>383</v>
      </c>
      <c r="J69">
        <v>34</v>
      </c>
      <c r="K69" t="s">
        <v>408</v>
      </c>
      <c r="L69">
        <v>8203</v>
      </c>
      <c r="M69" t="s">
        <v>333</v>
      </c>
      <c r="N69" t="s">
        <v>83</v>
      </c>
      <c r="O69">
        <v>-99</v>
      </c>
      <c r="P69">
        <v>1</v>
      </c>
      <c r="Q69">
        <v>-99</v>
      </c>
      <c r="R69" t="s">
        <v>402</v>
      </c>
    </row>
    <row r="70" spans="1:18" x14ac:dyDescent="0.2">
      <c r="A70">
        <v>69</v>
      </c>
      <c r="B70">
        <v>111</v>
      </c>
      <c r="C70" t="s">
        <v>172</v>
      </c>
      <c r="D70" t="s">
        <v>37</v>
      </c>
      <c r="E70" t="s">
        <v>604</v>
      </c>
      <c r="F70" t="s">
        <v>605</v>
      </c>
      <c r="G70" t="s">
        <v>664</v>
      </c>
      <c r="H70" t="s">
        <v>406</v>
      </c>
      <c r="I70">
        <v>383</v>
      </c>
      <c r="J70">
        <v>34</v>
      </c>
      <c r="K70" t="s">
        <v>408</v>
      </c>
      <c r="L70">
        <v>8204</v>
      </c>
      <c r="M70" t="s">
        <v>338</v>
      </c>
      <c r="N70" t="s">
        <v>412</v>
      </c>
      <c r="O70">
        <v>1</v>
      </c>
      <c r="P70">
        <v>2</v>
      </c>
      <c r="Q70">
        <v>-99</v>
      </c>
      <c r="R70" t="s">
        <v>686</v>
      </c>
    </row>
    <row r="71" spans="1:18" x14ac:dyDescent="0.2">
      <c r="A71">
        <v>70</v>
      </c>
      <c r="B71">
        <v>112</v>
      </c>
      <c r="C71" t="s">
        <v>173</v>
      </c>
      <c r="D71" t="s">
        <v>69</v>
      </c>
      <c r="E71" t="s">
        <v>606</v>
      </c>
      <c r="F71" t="s">
        <v>607</v>
      </c>
      <c r="G71" t="s">
        <v>664</v>
      </c>
      <c r="H71" t="s">
        <v>406</v>
      </c>
      <c r="I71">
        <v>383</v>
      </c>
      <c r="J71">
        <v>34</v>
      </c>
      <c r="K71" t="s">
        <v>408</v>
      </c>
      <c r="L71">
        <v>8205</v>
      </c>
      <c r="M71" t="s">
        <v>355</v>
      </c>
      <c r="N71" t="s">
        <v>413</v>
      </c>
      <c r="O71">
        <v>1</v>
      </c>
      <c r="P71">
        <v>2</v>
      </c>
      <c r="Q71">
        <v>-99</v>
      </c>
      <c r="R71" t="s">
        <v>686</v>
      </c>
    </row>
    <row r="72" spans="1:18" x14ac:dyDescent="0.2">
      <c r="A72">
        <v>71</v>
      </c>
      <c r="B72">
        <v>113</v>
      </c>
      <c r="C72" t="s">
        <v>174</v>
      </c>
      <c r="D72" t="s">
        <v>82</v>
      </c>
      <c r="E72" t="s">
        <v>608</v>
      </c>
      <c r="F72" t="s">
        <v>609</v>
      </c>
      <c r="G72" t="s">
        <v>662</v>
      </c>
      <c r="H72" t="s">
        <v>390</v>
      </c>
      <c r="I72">
        <v>382</v>
      </c>
      <c r="J72">
        <v>33</v>
      </c>
      <c r="K72" t="s">
        <v>389</v>
      </c>
      <c r="L72">
        <v>8206</v>
      </c>
      <c r="M72" t="s">
        <v>331</v>
      </c>
      <c r="N72" t="s">
        <v>414</v>
      </c>
      <c r="O72">
        <v>1</v>
      </c>
      <c r="P72">
        <v>2</v>
      </c>
      <c r="Q72">
        <v>-99</v>
      </c>
      <c r="R72" t="s">
        <v>686</v>
      </c>
    </row>
    <row r="73" spans="1:18" x14ac:dyDescent="0.2">
      <c r="A73">
        <v>72</v>
      </c>
      <c r="B73">
        <v>114</v>
      </c>
      <c r="C73" t="s">
        <v>175</v>
      </c>
      <c r="D73" t="s">
        <v>54</v>
      </c>
      <c r="E73" t="s">
        <v>610</v>
      </c>
      <c r="F73" t="s">
        <v>611</v>
      </c>
      <c r="G73" t="s">
        <v>662</v>
      </c>
      <c r="H73" t="s">
        <v>390</v>
      </c>
      <c r="I73">
        <v>382</v>
      </c>
      <c r="J73">
        <v>33</v>
      </c>
      <c r="K73" t="s">
        <v>389</v>
      </c>
      <c r="L73">
        <v>8207</v>
      </c>
      <c r="M73" t="s">
        <v>319</v>
      </c>
      <c r="N73" t="s">
        <v>415</v>
      </c>
      <c r="O73">
        <v>1</v>
      </c>
      <c r="P73">
        <v>2</v>
      </c>
      <c r="Q73">
        <v>-99</v>
      </c>
      <c r="R73" t="s">
        <v>686</v>
      </c>
    </row>
    <row r="74" spans="1:18" x14ac:dyDescent="0.2">
      <c r="A74">
        <v>73</v>
      </c>
      <c r="B74">
        <v>115</v>
      </c>
      <c r="C74" t="s">
        <v>176</v>
      </c>
      <c r="D74" t="s">
        <v>27</v>
      </c>
      <c r="E74" t="s">
        <v>612</v>
      </c>
      <c r="F74" t="s">
        <v>613</v>
      </c>
      <c r="G74" t="s">
        <v>662</v>
      </c>
      <c r="H74" t="s">
        <v>390</v>
      </c>
      <c r="I74">
        <v>382</v>
      </c>
      <c r="J74">
        <v>33</v>
      </c>
      <c r="K74" t="s">
        <v>389</v>
      </c>
      <c r="L74">
        <v>8208</v>
      </c>
      <c r="M74" t="s">
        <v>342</v>
      </c>
      <c r="N74" t="s">
        <v>416</v>
      </c>
      <c r="O74">
        <v>1</v>
      </c>
      <c r="P74">
        <v>2</v>
      </c>
      <c r="Q74">
        <v>-99</v>
      </c>
      <c r="R74" t="s">
        <v>686</v>
      </c>
    </row>
    <row r="75" spans="1:18" x14ac:dyDescent="0.2">
      <c r="A75">
        <v>74</v>
      </c>
      <c r="B75">
        <v>116</v>
      </c>
      <c r="C75" t="s">
        <v>177</v>
      </c>
      <c r="D75" t="s">
        <v>71</v>
      </c>
      <c r="E75" t="s">
        <v>614</v>
      </c>
      <c r="F75" t="s">
        <v>615</v>
      </c>
      <c r="G75" t="s">
        <v>664</v>
      </c>
      <c r="H75" t="s">
        <v>406</v>
      </c>
      <c r="I75">
        <v>383</v>
      </c>
      <c r="J75">
        <v>34</v>
      </c>
      <c r="K75" t="s">
        <v>408</v>
      </c>
      <c r="L75">
        <v>8210</v>
      </c>
      <c r="M75" t="s">
        <v>332</v>
      </c>
      <c r="N75" t="s">
        <v>417</v>
      </c>
      <c r="O75">
        <v>1</v>
      </c>
      <c r="P75">
        <v>2</v>
      </c>
      <c r="Q75">
        <v>-99</v>
      </c>
      <c r="R75" t="s">
        <v>686</v>
      </c>
    </row>
    <row r="76" spans="1:18" x14ac:dyDescent="0.2">
      <c r="A76">
        <v>75</v>
      </c>
      <c r="B76">
        <v>197</v>
      </c>
      <c r="C76" t="s">
        <v>178</v>
      </c>
      <c r="D76" t="s">
        <v>75</v>
      </c>
      <c r="E76" t="s">
        <v>616</v>
      </c>
      <c r="F76" t="s">
        <v>617</v>
      </c>
      <c r="G76" t="s">
        <v>661</v>
      </c>
      <c r="H76" t="s">
        <v>381</v>
      </c>
      <c r="I76">
        <v>381</v>
      </c>
      <c r="J76">
        <v>31</v>
      </c>
      <c r="K76" t="s">
        <v>384</v>
      </c>
      <c r="L76">
        <v>8211</v>
      </c>
      <c r="M76" t="s">
        <v>335</v>
      </c>
      <c r="N76" t="s">
        <v>431</v>
      </c>
      <c r="O76">
        <v>1</v>
      </c>
      <c r="P76">
        <v>2</v>
      </c>
      <c r="Q76">
        <v>-99</v>
      </c>
      <c r="R76" t="s">
        <v>686</v>
      </c>
    </row>
    <row r="77" spans="1:18" x14ac:dyDescent="0.2">
      <c r="A77">
        <v>76</v>
      </c>
      <c r="B77">
        <v>119</v>
      </c>
      <c r="C77" t="s">
        <v>179</v>
      </c>
      <c r="D77" t="s">
        <v>58</v>
      </c>
      <c r="E77" t="s">
        <v>618</v>
      </c>
      <c r="F77" t="s">
        <v>619</v>
      </c>
      <c r="G77" t="s">
        <v>664</v>
      </c>
      <c r="H77" t="s">
        <v>406</v>
      </c>
      <c r="I77">
        <v>383</v>
      </c>
      <c r="J77">
        <v>34</v>
      </c>
      <c r="K77" t="s">
        <v>408</v>
      </c>
      <c r="L77">
        <v>8223</v>
      </c>
      <c r="M77" t="s">
        <v>620</v>
      </c>
      <c r="N77" t="s">
        <v>621</v>
      </c>
      <c r="O77">
        <v>1</v>
      </c>
      <c r="P77">
        <v>2</v>
      </c>
      <c r="Q77">
        <v>-99</v>
      </c>
      <c r="R77" t="s">
        <v>686</v>
      </c>
    </row>
    <row r="78" spans="1:18" x14ac:dyDescent="0.2">
      <c r="A78">
        <v>77</v>
      </c>
      <c r="B78">
        <v>131</v>
      </c>
      <c r="C78" t="s">
        <v>180</v>
      </c>
      <c r="D78" t="s">
        <v>49</v>
      </c>
      <c r="E78" t="s">
        <v>622</v>
      </c>
      <c r="F78" t="s">
        <v>623</v>
      </c>
      <c r="G78" t="s">
        <v>662</v>
      </c>
      <c r="H78" t="s">
        <v>390</v>
      </c>
      <c r="I78">
        <v>382</v>
      </c>
      <c r="J78">
        <v>33</v>
      </c>
      <c r="K78" t="s">
        <v>389</v>
      </c>
      <c r="L78">
        <v>8226</v>
      </c>
      <c r="M78" t="s">
        <v>331</v>
      </c>
      <c r="N78" t="s">
        <v>414</v>
      </c>
      <c r="O78">
        <v>1</v>
      </c>
      <c r="P78">
        <v>2</v>
      </c>
      <c r="Q78">
        <v>-99</v>
      </c>
      <c r="R78" t="s">
        <v>686</v>
      </c>
    </row>
    <row r="79" spans="1:18" x14ac:dyDescent="0.2">
      <c r="A79">
        <v>78</v>
      </c>
      <c r="B79">
        <v>132</v>
      </c>
      <c r="C79" t="s">
        <v>673</v>
      </c>
      <c r="D79" t="s">
        <v>434</v>
      </c>
      <c r="E79" t="s">
        <v>624</v>
      </c>
      <c r="F79" t="s">
        <v>674</v>
      </c>
      <c r="G79" t="s">
        <v>661</v>
      </c>
      <c r="H79" t="s">
        <v>381</v>
      </c>
      <c r="I79">
        <v>381</v>
      </c>
      <c r="J79">
        <v>30</v>
      </c>
      <c r="K79" t="s">
        <v>373</v>
      </c>
      <c r="L79">
        <v>8229</v>
      </c>
      <c r="M79" t="s">
        <v>350</v>
      </c>
      <c r="N79" t="s">
        <v>418</v>
      </c>
      <c r="O79">
        <v>1</v>
      </c>
      <c r="P79">
        <v>2</v>
      </c>
      <c r="Q79">
        <v>-99</v>
      </c>
      <c r="R79" t="s">
        <v>686</v>
      </c>
    </row>
    <row r="80" spans="1:18" x14ac:dyDescent="0.2">
      <c r="A80">
        <v>79</v>
      </c>
      <c r="B80">
        <v>143</v>
      </c>
      <c r="C80" t="s">
        <v>181</v>
      </c>
      <c r="D80" t="s">
        <v>57</v>
      </c>
      <c r="E80" t="s">
        <v>625</v>
      </c>
      <c r="F80" t="s">
        <v>626</v>
      </c>
      <c r="G80" t="s">
        <v>660</v>
      </c>
      <c r="H80" t="s">
        <v>374</v>
      </c>
      <c r="I80">
        <v>380</v>
      </c>
      <c r="J80">
        <v>30</v>
      </c>
      <c r="K80" t="s">
        <v>373</v>
      </c>
      <c r="L80">
        <v>8230</v>
      </c>
      <c r="M80" t="s">
        <v>363</v>
      </c>
      <c r="N80" t="s">
        <v>419</v>
      </c>
      <c r="O80">
        <v>1</v>
      </c>
      <c r="P80">
        <v>2</v>
      </c>
      <c r="Q80">
        <v>-99</v>
      </c>
      <c r="R80" t="s">
        <v>686</v>
      </c>
    </row>
    <row r="81" spans="1:18" x14ac:dyDescent="0.2">
      <c r="A81">
        <v>80</v>
      </c>
      <c r="B81">
        <v>144</v>
      </c>
      <c r="C81" t="s">
        <v>675</v>
      </c>
      <c r="D81" t="s">
        <v>493</v>
      </c>
      <c r="E81" t="s">
        <v>675</v>
      </c>
      <c r="F81" t="s">
        <v>493</v>
      </c>
      <c r="G81" t="s">
        <v>672</v>
      </c>
      <c r="H81" t="s">
        <v>8</v>
      </c>
      <c r="I81">
        <v>-99</v>
      </c>
      <c r="J81">
        <v>35</v>
      </c>
      <c r="K81" t="s">
        <v>8</v>
      </c>
      <c r="L81">
        <v>8215</v>
      </c>
      <c r="M81" t="s">
        <v>343</v>
      </c>
      <c r="N81" t="s">
        <v>401</v>
      </c>
      <c r="O81">
        <v>1</v>
      </c>
      <c r="P81">
        <v>2</v>
      </c>
      <c r="Q81">
        <v>-99</v>
      </c>
      <c r="R81" t="s">
        <v>658</v>
      </c>
    </row>
    <row r="82" spans="1:18" x14ac:dyDescent="0.2">
      <c r="A82">
        <v>81</v>
      </c>
      <c r="B82">
        <v>145</v>
      </c>
      <c r="C82" t="s">
        <v>182</v>
      </c>
      <c r="D82" t="s">
        <v>74</v>
      </c>
      <c r="E82" t="s">
        <v>627</v>
      </c>
      <c r="F82" t="s">
        <v>628</v>
      </c>
      <c r="G82" t="s">
        <v>664</v>
      </c>
      <c r="H82" t="s">
        <v>406</v>
      </c>
      <c r="I82">
        <v>383</v>
      </c>
      <c r="J82">
        <v>34</v>
      </c>
      <c r="K82" t="s">
        <v>408</v>
      </c>
      <c r="L82">
        <v>8231</v>
      </c>
      <c r="M82" t="s">
        <v>336</v>
      </c>
      <c r="N82" t="s">
        <v>411</v>
      </c>
      <c r="O82">
        <v>1</v>
      </c>
      <c r="P82">
        <v>1</v>
      </c>
      <c r="Q82">
        <v>-99</v>
      </c>
      <c r="R82" t="s">
        <v>686</v>
      </c>
    </row>
    <row r="83" spans="1:18" x14ac:dyDescent="0.2">
      <c r="A83">
        <v>82</v>
      </c>
      <c r="B83">
        <v>-99</v>
      </c>
      <c r="C83" t="s">
        <v>182</v>
      </c>
      <c r="D83" t="s">
        <v>74</v>
      </c>
      <c r="E83" t="s">
        <v>629</v>
      </c>
      <c r="F83" t="s">
        <v>960</v>
      </c>
      <c r="G83" t="s">
        <v>664</v>
      </c>
      <c r="H83" t="s">
        <v>406</v>
      </c>
      <c r="I83">
        <v>383</v>
      </c>
      <c r="J83">
        <v>34</v>
      </c>
      <c r="K83" t="s">
        <v>408</v>
      </c>
      <c r="L83">
        <v>8231</v>
      </c>
      <c r="M83" t="s">
        <v>336</v>
      </c>
      <c r="N83" t="s">
        <v>411</v>
      </c>
      <c r="O83">
        <v>-99</v>
      </c>
      <c r="P83">
        <v>1</v>
      </c>
      <c r="Q83">
        <v>-99</v>
      </c>
      <c r="R83" t="s">
        <v>684</v>
      </c>
    </row>
    <row r="84" spans="1:18" x14ac:dyDescent="0.2">
      <c r="A84">
        <v>83</v>
      </c>
      <c r="B84">
        <v>151</v>
      </c>
      <c r="C84" t="s">
        <v>676</v>
      </c>
      <c r="D84" t="s">
        <v>1061</v>
      </c>
      <c r="E84" t="s">
        <v>676</v>
      </c>
      <c r="F84" t="s">
        <v>494</v>
      </c>
      <c r="G84" t="s">
        <v>672</v>
      </c>
      <c r="H84" t="s">
        <v>8</v>
      </c>
      <c r="I84">
        <v>380</v>
      </c>
      <c r="J84">
        <v>35</v>
      </c>
      <c r="K84" t="s">
        <v>8</v>
      </c>
      <c r="L84">
        <v>3180155</v>
      </c>
      <c r="M84" t="s">
        <v>350</v>
      </c>
      <c r="N84" t="s">
        <v>418</v>
      </c>
      <c r="O84">
        <v>1</v>
      </c>
      <c r="P84">
        <v>2</v>
      </c>
      <c r="Q84">
        <v>-99</v>
      </c>
      <c r="R84" t="s">
        <v>658</v>
      </c>
    </row>
    <row r="85" spans="1:18" x14ac:dyDescent="0.2">
      <c r="A85">
        <v>84</v>
      </c>
      <c r="B85">
        <v>152</v>
      </c>
      <c r="C85" t="s">
        <v>183</v>
      </c>
      <c r="D85" t="s">
        <v>81</v>
      </c>
      <c r="E85" t="s">
        <v>630</v>
      </c>
      <c r="F85" t="s">
        <v>631</v>
      </c>
      <c r="G85" t="s">
        <v>660</v>
      </c>
      <c r="H85" t="s">
        <v>374</v>
      </c>
      <c r="I85">
        <v>380</v>
      </c>
      <c r="J85">
        <v>30</v>
      </c>
      <c r="K85" t="s">
        <v>373</v>
      </c>
      <c r="L85">
        <v>8234</v>
      </c>
      <c r="M85" t="s">
        <v>356</v>
      </c>
      <c r="N85" t="s">
        <v>420</v>
      </c>
      <c r="O85">
        <v>1</v>
      </c>
      <c r="P85">
        <v>2</v>
      </c>
      <c r="Q85">
        <v>-99</v>
      </c>
      <c r="R85" t="s">
        <v>686</v>
      </c>
    </row>
    <row r="86" spans="1:18" x14ac:dyDescent="0.2">
      <c r="A86">
        <v>85</v>
      </c>
      <c r="B86">
        <v>153</v>
      </c>
      <c r="C86" t="s">
        <v>92</v>
      </c>
      <c r="D86" t="s">
        <v>138</v>
      </c>
      <c r="E86" t="s">
        <v>632</v>
      </c>
      <c r="F86" t="s">
        <v>633</v>
      </c>
      <c r="G86" t="s">
        <v>660</v>
      </c>
      <c r="H86" t="s">
        <v>374</v>
      </c>
      <c r="I86">
        <v>380</v>
      </c>
      <c r="J86">
        <v>30</v>
      </c>
      <c r="K86" t="s">
        <v>373</v>
      </c>
      <c r="L86">
        <v>8236</v>
      </c>
      <c r="M86" t="s">
        <v>369</v>
      </c>
      <c r="N86" t="s">
        <v>421</v>
      </c>
      <c r="O86">
        <v>1</v>
      </c>
      <c r="P86">
        <v>2</v>
      </c>
      <c r="Q86">
        <v>-99</v>
      </c>
      <c r="R86" t="s">
        <v>686</v>
      </c>
    </row>
    <row r="87" spans="1:18" x14ac:dyDescent="0.2">
      <c r="A87">
        <v>86</v>
      </c>
      <c r="B87">
        <v>154</v>
      </c>
      <c r="C87" t="s">
        <v>185</v>
      </c>
      <c r="D87" t="s">
        <v>184</v>
      </c>
      <c r="E87" t="s">
        <v>634</v>
      </c>
      <c r="F87" t="s">
        <v>635</v>
      </c>
      <c r="G87" t="s">
        <v>664</v>
      </c>
      <c r="H87" t="s">
        <v>406</v>
      </c>
      <c r="I87">
        <v>383</v>
      </c>
      <c r="J87">
        <v>33</v>
      </c>
      <c r="K87" t="s">
        <v>389</v>
      </c>
      <c r="L87">
        <v>8265</v>
      </c>
      <c r="M87" t="s">
        <v>362</v>
      </c>
      <c r="N87" t="s">
        <v>422</v>
      </c>
      <c r="O87">
        <v>1</v>
      </c>
      <c r="P87">
        <v>2</v>
      </c>
      <c r="Q87">
        <v>-99</v>
      </c>
      <c r="R87" t="s">
        <v>686</v>
      </c>
    </row>
    <row r="88" spans="1:18" x14ac:dyDescent="0.2">
      <c r="A88">
        <v>87</v>
      </c>
      <c r="B88">
        <v>155</v>
      </c>
      <c r="C88" t="s">
        <v>186</v>
      </c>
      <c r="D88" t="s">
        <v>46</v>
      </c>
      <c r="E88" t="s">
        <v>636</v>
      </c>
      <c r="F88" t="s">
        <v>637</v>
      </c>
      <c r="G88" t="s">
        <v>662</v>
      </c>
      <c r="H88" t="s">
        <v>390</v>
      </c>
      <c r="I88">
        <v>382</v>
      </c>
      <c r="J88">
        <v>32</v>
      </c>
      <c r="K88" t="s">
        <v>394</v>
      </c>
      <c r="L88">
        <v>8266</v>
      </c>
      <c r="M88" t="s">
        <v>327</v>
      </c>
      <c r="N88" t="s">
        <v>423</v>
      </c>
      <c r="O88">
        <v>1</v>
      </c>
      <c r="P88">
        <v>2</v>
      </c>
      <c r="Q88">
        <v>-99</v>
      </c>
      <c r="R88" t="s">
        <v>686</v>
      </c>
    </row>
    <row r="89" spans="1:18" x14ac:dyDescent="0.2">
      <c r="A89">
        <v>88</v>
      </c>
      <c r="B89">
        <v>156</v>
      </c>
      <c r="C89" t="s">
        <v>187</v>
      </c>
      <c r="D89" t="s">
        <v>77</v>
      </c>
      <c r="E89" t="s">
        <v>638</v>
      </c>
      <c r="F89" t="s">
        <v>639</v>
      </c>
      <c r="G89" t="s">
        <v>662</v>
      </c>
      <c r="H89" t="s">
        <v>390</v>
      </c>
      <c r="I89">
        <v>382</v>
      </c>
      <c r="J89">
        <v>32</v>
      </c>
      <c r="K89" t="s">
        <v>394</v>
      </c>
      <c r="L89">
        <v>8267</v>
      </c>
      <c r="M89" t="s">
        <v>345</v>
      </c>
      <c r="N89" t="s">
        <v>424</v>
      </c>
      <c r="O89">
        <v>1</v>
      </c>
      <c r="P89">
        <v>2</v>
      </c>
      <c r="Q89">
        <v>-99</v>
      </c>
      <c r="R89" t="s">
        <v>686</v>
      </c>
    </row>
    <row r="90" spans="1:18" x14ac:dyDescent="0.2">
      <c r="A90">
        <v>89</v>
      </c>
      <c r="B90">
        <v>157</v>
      </c>
      <c r="C90" t="s">
        <v>677</v>
      </c>
      <c r="D90" t="s">
        <v>39</v>
      </c>
      <c r="E90" t="s">
        <v>640</v>
      </c>
      <c r="F90" t="s">
        <v>641</v>
      </c>
      <c r="G90" t="s">
        <v>664</v>
      </c>
      <c r="H90" t="s">
        <v>406</v>
      </c>
      <c r="I90">
        <v>383</v>
      </c>
      <c r="J90">
        <v>33</v>
      </c>
      <c r="K90" t="s">
        <v>389</v>
      </c>
      <c r="L90">
        <v>8271</v>
      </c>
      <c r="M90" t="s">
        <v>323</v>
      </c>
      <c r="N90" t="s">
        <v>425</v>
      </c>
      <c r="O90">
        <v>1</v>
      </c>
      <c r="P90">
        <v>2</v>
      </c>
      <c r="Q90">
        <v>-99</v>
      </c>
      <c r="R90" t="s">
        <v>686</v>
      </c>
    </row>
    <row r="91" spans="1:18" x14ac:dyDescent="0.2">
      <c r="A91">
        <v>90</v>
      </c>
      <c r="B91">
        <v>158</v>
      </c>
      <c r="C91" t="s">
        <v>188</v>
      </c>
      <c r="D91" t="s">
        <v>84</v>
      </c>
      <c r="E91" t="s">
        <v>642</v>
      </c>
      <c r="F91" t="s">
        <v>643</v>
      </c>
      <c r="G91" t="s">
        <v>662</v>
      </c>
      <c r="H91" t="s">
        <v>390</v>
      </c>
      <c r="I91">
        <v>382</v>
      </c>
      <c r="J91">
        <v>32</v>
      </c>
      <c r="K91" t="s">
        <v>394</v>
      </c>
      <c r="L91">
        <v>8209</v>
      </c>
      <c r="M91" t="s">
        <v>368</v>
      </c>
      <c r="N91" t="s">
        <v>426</v>
      </c>
      <c r="O91">
        <v>1</v>
      </c>
      <c r="P91">
        <v>2</v>
      </c>
      <c r="Q91">
        <v>-99</v>
      </c>
      <c r="R91" t="s">
        <v>686</v>
      </c>
    </row>
    <row r="92" spans="1:18" x14ac:dyDescent="0.2">
      <c r="A92">
        <v>91</v>
      </c>
      <c r="B92">
        <v>198</v>
      </c>
      <c r="C92" t="s">
        <v>189</v>
      </c>
      <c r="D92" t="s">
        <v>48</v>
      </c>
      <c r="E92" t="s">
        <v>644</v>
      </c>
      <c r="F92" t="s">
        <v>645</v>
      </c>
      <c r="G92" t="s">
        <v>664</v>
      </c>
      <c r="H92" t="s">
        <v>406</v>
      </c>
      <c r="I92">
        <v>383</v>
      </c>
      <c r="J92">
        <v>34</v>
      </c>
      <c r="K92" t="s">
        <v>408</v>
      </c>
      <c r="L92">
        <v>8224</v>
      </c>
      <c r="M92" t="s">
        <v>365</v>
      </c>
      <c r="N92" t="s">
        <v>432</v>
      </c>
      <c r="O92">
        <v>1</v>
      </c>
      <c r="P92">
        <v>2</v>
      </c>
      <c r="Q92">
        <v>-99</v>
      </c>
      <c r="R92" t="s">
        <v>686</v>
      </c>
    </row>
    <row r="93" spans="1:18" x14ac:dyDescent="0.2">
      <c r="A93">
        <v>92</v>
      </c>
      <c r="B93">
        <v>161</v>
      </c>
      <c r="C93" t="s">
        <v>190</v>
      </c>
      <c r="D93" t="s">
        <v>85</v>
      </c>
      <c r="E93" t="s">
        <v>646</v>
      </c>
      <c r="F93" t="s">
        <v>647</v>
      </c>
      <c r="G93" t="s">
        <v>660</v>
      </c>
      <c r="H93" t="s">
        <v>374</v>
      </c>
      <c r="I93">
        <v>380</v>
      </c>
      <c r="J93">
        <v>30</v>
      </c>
      <c r="K93" t="s">
        <v>373</v>
      </c>
      <c r="L93">
        <v>8225</v>
      </c>
      <c r="M93" t="s">
        <v>328</v>
      </c>
      <c r="N93" t="s">
        <v>427</v>
      </c>
      <c r="O93">
        <v>1</v>
      </c>
      <c r="P93">
        <v>2</v>
      </c>
      <c r="Q93">
        <v>-99</v>
      </c>
      <c r="R93" t="s">
        <v>686</v>
      </c>
    </row>
    <row r="94" spans="1:18" x14ac:dyDescent="0.2">
      <c r="A94">
        <v>93</v>
      </c>
      <c r="B94">
        <v>162</v>
      </c>
      <c r="C94" t="s">
        <v>191</v>
      </c>
      <c r="D94" t="s">
        <v>35</v>
      </c>
      <c r="E94" t="s">
        <v>648</v>
      </c>
      <c r="F94" t="s">
        <v>649</v>
      </c>
      <c r="G94" t="s">
        <v>664</v>
      </c>
      <c r="H94" t="s">
        <v>406</v>
      </c>
      <c r="I94">
        <v>383</v>
      </c>
      <c r="J94">
        <v>34</v>
      </c>
      <c r="K94" t="s">
        <v>408</v>
      </c>
      <c r="L94">
        <v>8227</v>
      </c>
      <c r="M94" t="s">
        <v>481</v>
      </c>
      <c r="N94" t="s">
        <v>428</v>
      </c>
      <c r="O94">
        <v>1</v>
      </c>
      <c r="P94">
        <v>2</v>
      </c>
      <c r="Q94">
        <v>-99</v>
      </c>
      <c r="R94" t="s">
        <v>686</v>
      </c>
    </row>
    <row r="95" spans="1:18" x14ac:dyDescent="0.2">
      <c r="A95">
        <v>94</v>
      </c>
      <c r="B95">
        <v>-99</v>
      </c>
      <c r="C95" t="s">
        <v>678</v>
      </c>
      <c r="D95" t="s">
        <v>8</v>
      </c>
      <c r="E95" t="s">
        <v>679</v>
      </c>
      <c r="F95" t="s">
        <v>227</v>
      </c>
      <c r="G95" t="s">
        <v>658</v>
      </c>
      <c r="H95" t="s">
        <v>8</v>
      </c>
      <c r="I95">
        <v>-99</v>
      </c>
      <c r="J95">
        <v>-99</v>
      </c>
      <c r="K95" t="s">
        <v>8</v>
      </c>
      <c r="L95">
        <v>-99</v>
      </c>
      <c r="M95" t="s">
        <v>658</v>
      </c>
      <c r="N95" t="s">
        <v>658</v>
      </c>
      <c r="O95">
        <v>-99</v>
      </c>
      <c r="P95">
        <v>-99</v>
      </c>
      <c r="Q95">
        <v>-99</v>
      </c>
      <c r="R95" t="s">
        <v>211</v>
      </c>
    </row>
    <row r="96" spans="1:18" x14ac:dyDescent="0.2">
      <c r="A96">
        <v>95</v>
      </c>
      <c r="B96">
        <v>-99</v>
      </c>
      <c r="C96" t="s">
        <v>678</v>
      </c>
      <c r="D96" t="s">
        <v>8</v>
      </c>
      <c r="E96" t="s">
        <v>680</v>
      </c>
      <c r="F96" t="s">
        <v>311</v>
      </c>
      <c r="G96" t="s">
        <v>658</v>
      </c>
      <c r="H96" t="s">
        <v>8</v>
      </c>
      <c r="I96">
        <v>-99</v>
      </c>
      <c r="J96">
        <v>-99</v>
      </c>
      <c r="K96" t="s">
        <v>8</v>
      </c>
      <c r="L96">
        <v>-99</v>
      </c>
      <c r="M96" t="s">
        <v>658</v>
      </c>
      <c r="N96" t="s">
        <v>658</v>
      </c>
      <c r="O96">
        <v>-99</v>
      </c>
      <c r="P96">
        <v>-99</v>
      </c>
      <c r="Q96">
        <v>-99</v>
      </c>
      <c r="R96" t="s">
        <v>683</v>
      </c>
    </row>
    <row r="97" spans="1:18" x14ac:dyDescent="0.2">
      <c r="A97">
        <v>96</v>
      </c>
      <c r="B97">
        <v>-99</v>
      </c>
      <c r="C97" t="s">
        <v>678</v>
      </c>
      <c r="D97" t="s">
        <v>8</v>
      </c>
      <c r="E97" t="s">
        <v>681</v>
      </c>
      <c r="F97" t="s">
        <v>310</v>
      </c>
      <c r="G97" t="s">
        <v>658</v>
      </c>
      <c r="H97" t="s">
        <v>8</v>
      </c>
      <c r="I97">
        <v>-99</v>
      </c>
      <c r="J97">
        <v>-99</v>
      </c>
      <c r="K97" t="s">
        <v>8</v>
      </c>
      <c r="L97">
        <v>-99</v>
      </c>
      <c r="M97" t="s">
        <v>658</v>
      </c>
      <c r="N97" t="s">
        <v>658</v>
      </c>
      <c r="O97">
        <v>-99</v>
      </c>
      <c r="P97">
        <v>-99</v>
      </c>
      <c r="Q97">
        <v>-99</v>
      </c>
      <c r="R97" t="s">
        <v>684</v>
      </c>
    </row>
    <row r="98" spans="1:18" x14ac:dyDescent="0.2">
      <c r="A98">
        <v>97</v>
      </c>
      <c r="B98">
        <v>-99</v>
      </c>
      <c r="C98" t="s">
        <v>670</v>
      </c>
      <c r="D98" t="s">
        <v>1060</v>
      </c>
      <c r="E98" t="s">
        <v>670</v>
      </c>
      <c r="F98" t="s">
        <v>1060</v>
      </c>
      <c r="G98" t="s">
        <v>658</v>
      </c>
      <c r="H98" t="s">
        <v>658</v>
      </c>
      <c r="I98">
        <v>-99</v>
      </c>
      <c r="J98">
        <v>35</v>
      </c>
      <c r="K98" t="s">
        <v>8</v>
      </c>
      <c r="L98">
        <v>-99</v>
      </c>
      <c r="M98" t="s">
        <v>658</v>
      </c>
      <c r="N98" t="s">
        <v>658</v>
      </c>
      <c r="O98">
        <v>-99</v>
      </c>
      <c r="P98">
        <v>-99</v>
      </c>
      <c r="Q98">
        <v>3</v>
      </c>
      <c r="R98" t="s">
        <v>658</v>
      </c>
    </row>
    <row r="99" spans="1:18" x14ac:dyDescent="0.2">
      <c r="A99">
        <v>98</v>
      </c>
      <c r="B99">
        <v>-99</v>
      </c>
      <c r="C99" t="s">
        <v>678</v>
      </c>
      <c r="D99" t="s">
        <v>8</v>
      </c>
      <c r="E99" t="s">
        <v>689</v>
      </c>
      <c r="F99" t="s">
        <v>690</v>
      </c>
      <c r="G99" t="s">
        <v>658</v>
      </c>
      <c r="H99" t="s">
        <v>8</v>
      </c>
      <c r="I99">
        <v>-99</v>
      </c>
      <c r="J99">
        <v>-99</v>
      </c>
      <c r="K99" t="s">
        <v>8</v>
      </c>
      <c r="L99">
        <v>-99</v>
      </c>
      <c r="M99" t="s">
        <v>658</v>
      </c>
      <c r="N99" t="s">
        <v>658</v>
      </c>
      <c r="O99">
        <v>-99</v>
      </c>
      <c r="P99">
        <v>-99</v>
      </c>
      <c r="Q99">
        <v>-99</v>
      </c>
      <c r="R99" t="s">
        <v>686</v>
      </c>
    </row>
    <row r="100" spans="1:18" x14ac:dyDescent="0.2">
      <c r="A100">
        <v>99</v>
      </c>
      <c r="B100">
        <v>250</v>
      </c>
      <c r="C100" t="s">
        <v>658</v>
      </c>
      <c r="D100" t="s">
        <v>35</v>
      </c>
      <c r="E100" t="s">
        <v>725</v>
      </c>
      <c r="F100" t="s">
        <v>691</v>
      </c>
      <c r="G100" t="s">
        <v>658</v>
      </c>
      <c r="H100" t="s">
        <v>406</v>
      </c>
      <c r="I100">
        <v>-99</v>
      </c>
      <c r="J100">
        <v>-99</v>
      </c>
      <c r="K100" t="s">
        <v>408</v>
      </c>
      <c r="L100">
        <v>-99</v>
      </c>
      <c r="M100" t="s">
        <v>658</v>
      </c>
      <c r="N100" t="s">
        <v>658</v>
      </c>
      <c r="O100">
        <v>-99</v>
      </c>
      <c r="P100">
        <v>-99</v>
      </c>
      <c r="Q100">
        <v>-99</v>
      </c>
      <c r="R100" t="s">
        <v>692</v>
      </c>
    </row>
    <row r="101" spans="1:18" x14ac:dyDescent="0.2">
      <c r="A101">
        <v>100</v>
      </c>
      <c r="B101">
        <v>256</v>
      </c>
      <c r="C101" t="s">
        <v>658</v>
      </c>
      <c r="D101" t="s">
        <v>215</v>
      </c>
      <c r="E101" t="s">
        <v>726</v>
      </c>
      <c r="F101" t="s">
        <v>693</v>
      </c>
      <c r="G101" t="s">
        <v>658</v>
      </c>
      <c r="H101" t="s">
        <v>390</v>
      </c>
      <c r="I101">
        <v>-99</v>
      </c>
      <c r="J101">
        <v>-99</v>
      </c>
      <c r="K101" t="s">
        <v>394</v>
      </c>
      <c r="L101">
        <v>-99</v>
      </c>
      <c r="M101" t="s">
        <v>658</v>
      </c>
      <c r="N101" t="s">
        <v>658</v>
      </c>
      <c r="O101">
        <v>-99</v>
      </c>
      <c r="P101">
        <v>-99</v>
      </c>
      <c r="Q101">
        <v>-99</v>
      </c>
      <c r="R101" t="s">
        <v>692</v>
      </c>
    </row>
    <row r="102" spans="1:18" x14ac:dyDescent="0.2">
      <c r="A102">
        <v>101</v>
      </c>
      <c r="B102">
        <v>257</v>
      </c>
      <c r="C102" t="s">
        <v>658</v>
      </c>
      <c r="D102" t="s">
        <v>212</v>
      </c>
      <c r="E102" t="s">
        <v>727</v>
      </c>
      <c r="F102" t="s">
        <v>694</v>
      </c>
      <c r="G102" t="s">
        <v>658</v>
      </c>
      <c r="H102" t="s">
        <v>390</v>
      </c>
      <c r="I102">
        <v>-99</v>
      </c>
      <c r="J102">
        <v>-99</v>
      </c>
      <c r="K102" t="s">
        <v>394</v>
      </c>
      <c r="L102">
        <v>-99</v>
      </c>
      <c r="M102" t="s">
        <v>658</v>
      </c>
      <c r="N102" t="s">
        <v>658</v>
      </c>
      <c r="O102">
        <v>-99</v>
      </c>
      <c r="P102">
        <v>-99</v>
      </c>
      <c r="Q102">
        <v>-99</v>
      </c>
      <c r="R102" t="s">
        <v>692</v>
      </c>
    </row>
    <row r="103" spans="1:18" x14ac:dyDescent="0.2">
      <c r="A103">
        <v>102</v>
      </c>
      <c r="B103">
        <v>258</v>
      </c>
      <c r="C103" t="s">
        <v>658</v>
      </c>
      <c r="D103" t="s">
        <v>213</v>
      </c>
      <c r="E103" t="s">
        <v>728</v>
      </c>
      <c r="F103" t="s">
        <v>695</v>
      </c>
      <c r="G103" t="s">
        <v>658</v>
      </c>
      <c r="H103" t="s">
        <v>374</v>
      </c>
      <c r="I103">
        <v>-99</v>
      </c>
      <c r="J103">
        <v>-99</v>
      </c>
      <c r="K103" t="s">
        <v>373</v>
      </c>
      <c r="L103">
        <v>-99</v>
      </c>
      <c r="M103" t="s">
        <v>658</v>
      </c>
      <c r="N103" t="s">
        <v>658</v>
      </c>
      <c r="O103">
        <v>-99</v>
      </c>
      <c r="P103">
        <v>-99</v>
      </c>
      <c r="Q103">
        <v>-99</v>
      </c>
      <c r="R103" t="s">
        <v>692</v>
      </c>
    </row>
    <row r="104" spans="1:18" x14ac:dyDescent="0.2">
      <c r="A104">
        <v>103</v>
      </c>
      <c r="B104">
        <v>259</v>
      </c>
      <c r="C104" t="s">
        <v>658</v>
      </c>
      <c r="D104" t="s">
        <v>138</v>
      </c>
      <c r="E104" t="s">
        <v>729</v>
      </c>
      <c r="F104" t="s">
        <v>696</v>
      </c>
      <c r="G104" t="s">
        <v>658</v>
      </c>
      <c r="H104" t="s">
        <v>374</v>
      </c>
      <c r="I104">
        <v>-99</v>
      </c>
      <c r="J104">
        <v>-99</v>
      </c>
      <c r="K104" t="s">
        <v>373</v>
      </c>
      <c r="L104">
        <v>-99</v>
      </c>
      <c r="M104" t="s">
        <v>658</v>
      </c>
      <c r="N104" t="s">
        <v>658</v>
      </c>
      <c r="O104">
        <v>-99</v>
      </c>
      <c r="P104">
        <v>-99</v>
      </c>
      <c r="Q104">
        <v>-99</v>
      </c>
      <c r="R104" t="s">
        <v>692</v>
      </c>
    </row>
    <row r="105" spans="1:18" x14ac:dyDescent="0.2">
      <c r="A105">
        <v>104</v>
      </c>
      <c r="B105">
        <v>260</v>
      </c>
      <c r="C105" t="s">
        <v>658</v>
      </c>
      <c r="D105" t="s">
        <v>49</v>
      </c>
      <c r="E105" t="s">
        <v>730</v>
      </c>
      <c r="F105" t="s">
        <v>697</v>
      </c>
      <c r="G105" t="s">
        <v>658</v>
      </c>
      <c r="H105" t="s">
        <v>390</v>
      </c>
      <c r="I105">
        <v>-99</v>
      </c>
      <c r="J105">
        <v>-99</v>
      </c>
      <c r="K105" t="s">
        <v>389</v>
      </c>
      <c r="L105">
        <v>-99</v>
      </c>
      <c r="M105" t="s">
        <v>658</v>
      </c>
      <c r="N105" t="s">
        <v>658</v>
      </c>
      <c r="O105">
        <v>-99</v>
      </c>
      <c r="P105">
        <v>-99</v>
      </c>
      <c r="Q105">
        <v>-99</v>
      </c>
      <c r="R105" t="s">
        <v>692</v>
      </c>
    </row>
    <row r="106" spans="1:18" x14ac:dyDescent="0.2">
      <c r="A106">
        <v>105</v>
      </c>
      <c r="B106">
        <v>261</v>
      </c>
      <c r="C106" t="s">
        <v>658</v>
      </c>
      <c r="D106" t="s">
        <v>68</v>
      </c>
      <c r="E106" t="s">
        <v>731</v>
      </c>
      <c r="F106" t="s">
        <v>698</v>
      </c>
      <c r="G106" t="s">
        <v>658</v>
      </c>
      <c r="H106" t="s">
        <v>374</v>
      </c>
      <c r="I106">
        <v>-99</v>
      </c>
      <c r="J106">
        <v>-99</v>
      </c>
      <c r="K106" t="s">
        <v>373</v>
      </c>
      <c r="L106">
        <v>-99</v>
      </c>
      <c r="M106" t="s">
        <v>658</v>
      </c>
      <c r="N106" t="s">
        <v>658</v>
      </c>
      <c r="O106">
        <v>-99</v>
      </c>
      <c r="P106">
        <v>-99</v>
      </c>
      <c r="Q106">
        <v>-99</v>
      </c>
      <c r="R106" t="s">
        <v>692</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467</v>
      </c>
      <c r="B1" t="s">
        <v>461</v>
      </c>
      <c r="C1" t="s">
        <v>468</v>
      </c>
      <c r="D1" t="s">
        <v>469</v>
      </c>
      <c r="E1" t="s">
        <v>496</v>
      </c>
    </row>
    <row r="2" spans="1:5" x14ac:dyDescent="0.2">
      <c r="A2" t="s">
        <v>329</v>
      </c>
      <c r="B2" t="s">
        <v>375</v>
      </c>
      <c r="C2" t="s">
        <v>375</v>
      </c>
      <c r="D2" t="s">
        <v>470</v>
      </c>
      <c r="E2" t="s">
        <v>373</v>
      </c>
    </row>
    <row r="3" spans="1:5" x14ac:dyDescent="0.2">
      <c r="A3" t="s">
        <v>361</v>
      </c>
      <c r="B3" t="s">
        <v>378</v>
      </c>
      <c r="C3" t="s">
        <v>378</v>
      </c>
      <c r="D3" t="s">
        <v>470</v>
      </c>
      <c r="E3" t="s">
        <v>373</v>
      </c>
    </row>
    <row r="4" spans="1:5" x14ac:dyDescent="0.2">
      <c r="A4" t="s">
        <v>356</v>
      </c>
      <c r="B4" t="s">
        <v>420</v>
      </c>
      <c r="C4" t="s">
        <v>420</v>
      </c>
      <c r="D4" t="s">
        <v>470</v>
      </c>
      <c r="E4" t="s">
        <v>373</v>
      </c>
    </row>
    <row r="5" spans="1:5" x14ac:dyDescent="0.2">
      <c r="A5" t="s">
        <v>335</v>
      </c>
      <c r="B5" t="s">
        <v>431</v>
      </c>
      <c r="C5" t="s">
        <v>431</v>
      </c>
      <c r="D5" t="s">
        <v>471</v>
      </c>
      <c r="E5" t="s">
        <v>384</v>
      </c>
    </row>
    <row r="6" spans="1:5" x14ac:dyDescent="0.2">
      <c r="A6" t="s">
        <v>359</v>
      </c>
      <c r="B6" t="s">
        <v>393</v>
      </c>
      <c r="C6" t="s">
        <v>393</v>
      </c>
      <c r="D6" t="s">
        <v>471</v>
      </c>
      <c r="E6" t="s">
        <v>389</v>
      </c>
    </row>
    <row r="7" spans="1:5" x14ac:dyDescent="0.2">
      <c r="A7" t="s">
        <v>362</v>
      </c>
      <c r="B7" t="s">
        <v>422</v>
      </c>
      <c r="C7" t="s">
        <v>422</v>
      </c>
      <c r="D7" t="s">
        <v>473</v>
      </c>
      <c r="E7" t="s">
        <v>389</v>
      </c>
    </row>
    <row r="8" spans="1:5" x14ac:dyDescent="0.2">
      <c r="A8" t="s">
        <v>337</v>
      </c>
      <c r="B8" t="s">
        <v>405</v>
      </c>
      <c r="C8" t="s">
        <v>405</v>
      </c>
      <c r="D8" t="s">
        <v>474</v>
      </c>
      <c r="E8" t="s">
        <v>394</v>
      </c>
    </row>
    <row r="9" spans="1:5" x14ac:dyDescent="0.2">
      <c r="A9" t="s">
        <v>354</v>
      </c>
      <c r="B9" t="s">
        <v>407</v>
      </c>
      <c r="C9" t="s">
        <v>407</v>
      </c>
      <c r="D9" t="s">
        <v>473</v>
      </c>
      <c r="E9" t="s">
        <v>389</v>
      </c>
    </row>
    <row r="10" spans="1:5" x14ac:dyDescent="0.2">
      <c r="A10" t="s">
        <v>482</v>
      </c>
      <c r="B10" t="s">
        <v>483</v>
      </c>
      <c r="C10" t="s">
        <v>312</v>
      </c>
      <c r="D10" t="s">
        <v>458</v>
      </c>
      <c r="E10" t="s">
        <v>8</v>
      </c>
    </row>
    <row r="11" spans="1:5" x14ac:dyDescent="0.2">
      <c r="A11" t="s">
        <v>363</v>
      </c>
      <c r="B11" t="s">
        <v>419</v>
      </c>
      <c r="C11" t="s">
        <v>419</v>
      </c>
      <c r="D11" t="s">
        <v>470</v>
      </c>
      <c r="E11" t="s">
        <v>373</v>
      </c>
    </row>
    <row r="12" spans="1:5" x14ac:dyDescent="0.2">
      <c r="A12" t="s">
        <v>341</v>
      </c>
      <c r="B12" t="s">
        <v>383</v>
      </c>
      <c r="C12" t="s">
        <v>383</v>
      </c>
      <c r="D12" t="s">
        <v>471</v>
      </c>
      <c r="E12" t="s">
        <v>373</v>
      </c>
    </row>
    <row r="13" spans="1:5" x14ac:dyDescent="0.2">
      <c r="A13" t="s">
        <v>346</v>
      </c>
      <c r="B13" t="s">
        <v>380</v>
      </c>
      <c r="C13" t="s">
        <v>380</v>
      </c>
      <c r="D13" t="s">
        <v>470</v>
      </c>
      <c r="E13" t="s">
        <v>373</v>
      </c>
    </row>
    <row r="14" spans="1:5" x14ac:dyDescent="0.2">
      <c r="A14" t="s">
        <v>344</v>
      </c>
      <c r="B14" t="s">
        <v>387</v>
      </c>
      <c r="C14" t="s">
        <v>387</v>
      </c>
      <c r="D14" t="s">
        <v>471</v>
      </c>
      <c r="E14" t="s">
        <v>384</v>
      </c>
    </row>
    <row r="15" spans="1:5" x14ac:dyDescent="0.2">
      <c r="A15" t="s">
        <v>334</v>
      </c>
      <c r="B15" t="s">
        <v>396</v>
      </c>
      <c r="C15" t="s">
        <v>396</v>
      </c>
      <c r="D15" t="s">
        <v>470</v>
      </c>
      <c r="E15" t="s">
        <v>394</v>
      </c>
    </row>
    <row r="16" spans="1:5" x14ac:dyDescent="0.2">
      <c r="A16" t="s">
        <v>348</v>
      </c>
      <c r="B16" t="s">
        <v>410</v>
      </c>
      <c r="C16" t="s">
        <v>410</v>
      </c>
      <c r="D16" t="s">
        <v>473</v>
      </c>
      <c r="E16" t="s">
        <v>389</v>
      </c>
    </row>
    <row r="17" spans="1:5" x14ac:dyDescent="0.2">
      <c r="A17" t="s">
        <v>484</v>
      </c>
      <c r="B17" t="s">
        <v>485</v>
      </c>
      <c r="C17" t="s">
        <v>312</v>
      </c>
      <c r="D17" t="s">
        <v>458</v>
      </c>
      <c r="E17" t="s">
        <v>8</v>
      </c>
    </row>
    <row r="18" spans="1:5" x14ac:dyDescent="0.2">
      <c r="A18" t="s">
        <v>360</v>
      </c>
      <c r="B18" t="s">
        <v>395</v>
      </c>
      <c r="C18" t="s">
        <v>395</v>
      </c>
      <c r="D18" t="s">
        <v>470</v>
      </c>
      <c r="E18" t="s">
        <v>394</v>
      </c>
    </row>
    <row r="19" spans="1:5" x14ac:dyDescent="0.2">
      <c r="A19" t="s">
        <v>353</v>
      </c>
      <c r="B19" t="s">
        <v>398</v>
      </c>
      <c r="C19" t="s">
        <v>398</v>
      </c>
      <c r="D19" t="s">
        <v>474</v>
      </c>
      <c r="E19" t="s">
        <v>394</v>
      </c>
    </row>
    <row r="20" spans="1:5" x14ac:dyDescent="0.2">
      <c r="A20" t="s">
        <v>343</v>
      </c>
      <c r="B20" t="s">
        <v>401</v>
      </c>
      <c r="C20" t="s">
        <v>401</v>
      </c>
      <c r="D20" t="s">
        <v>474</v>
      </c>
      <c r="E20" t="s">
        <v>394</v>
      </c>
    </row>
    <row r="21" spans="1:5" x14ac:dyDescent="0.2">
      <c r="A21" t="s">
        <v>368</v>
      </c>
      <c r="B21" t="s">
        <v>426</v>
      </c>
      <c r="C21" t="s">
        <v>426</v>
      </c>
      <c r="D21" t="s">
        <v>474</v>
      </c>
      <c r="E21" t="s">
        <v>394</v>
      </c>
    </row>
    <row r="22" spans="1:5" x14ac:dyDescent="0.2">
      <c r="A22" t="s">
        <v>339</v>
      </c>
      <c r="B22" t="s">
        <v>63</v>
      </c>
      <c r="C22" t="s">
        <v>63</v>
      </c>
      <c r="D22" t="s">
        <v>470</v>
      </c>
      <c r="E22" t="s">
        <v>373</v>
      </c>
    </row>
    <row r="23" spans="1:5" x14ac:dyDescent="0.2">
      <c r="A23" t="s">
        <v>352</v>
      </c>
      <c r="B23" t="s">
        <v>386</v>
      </c>
      <c r="C23" t="s">
        <v>386</v>
      </c>
      <c r="D23" t="s">
        <v>312</v>
      </c>
      <c r="E23" t="s">
        <v>373</v>
      </c>
    </row>
    <row r="24" spans="1:5" x14ac:dyDescent="0.2">
      <c r="A24" t="s">
        <v>347</v>
      </c>
      <c r="B24" t="s">
        <v>388</v>
      </c>
      <c r="C24" t="s">
        <v>388</v>
      </c>
      <c r="D24" t="s">
        <v>471</v>
      </c>
      <c r="E24" t="s">
        <v>384</v>
      </c>
    </row>
    <row r="25" spans="1:5" x14ac:dyDescent="0.2">
      <c r="A25" t="s">
        <v>345</v>
      </c>
      <c r="B25" t="s">
        <v>424</v>
      </c>
      <c r="C25" t="s">
        <v>424</v>
      </c>
      <c r="D25" t="s">
        <v>474</v>
      </c>
      <c r="E25" t="s">
        <v>394</v>
      </c>
    </row>
    <row r="26" spans="1:5" x14ac:dyDescent="0.2">
      <c r="A26" t="s">
        <v>322</v>
      </c>
      <c r="B26" t="s">
        <v>409</v>
      </c>
      <c r="C26" t="s">
        <v>409</v>
      </c>
      <c r="D26" t="s">
        <v>473</v>
      </c>
      <c r="E26" t="s">
        <v>408</v>
      </c>
    </row>
    <row r="27" spans="1:5" x14ac:dyDescent="0.2">
      <c r="A27" t="s">
        <v>323</v>
      </c>
      <c r="B27" t="s">
        <v>425</v>
      </c>
      <c r="C27" t="s">
        <v>425</v>
      </c>
      <c r="D27" t="s">
        <v>473</v>
      </c>
      <c r="E27" t="s">
        <v>389</v>
      </c>
    </row>
    <row r="28" spans="1:5" x14ac:dyDescent="0.2">
      <c r="A28" t="s">
        <v>357</v>
      </c>
      <c r="B28" t="s">
        <v>377</v>
      </c>
      <c r="C28" t="s">
        <v>377</v>
      </c>
      <c r="D28" t="s">
        <v>470</v>
      </c>
      <c r="E28" t="s">
        <v>373</v>
      </c>
    </row>
    <row r="29" spans="1:5" x14ac:dyDescent="0.2">
      <c r="A29" t="s">
        <v>472</v>
      </c>
      <c r="B29" t="s">
        <v>458</v>
      </c>
      <c r="C29" t="s">
        <v>312</v>
      </c>
      <c r="D29" t="s">
        <v>458</v>
      </c>
      <c r="E29" t="s">
        <v>8</v>
      </c>
    </row>
    <row r="30" spans="1:5" x14ac:dyDescent="0.2">
      <c r="A30" t="s">
        <v>369</v>
      </c>
      <c r="B30" t="s">
        <v>421</v>
      </c>
      <c r="C30" t="s">
        <v>421</v>
      </c>
      <c r="D30" t="s">
        <v>470</v>
      </c>
      <c r="E30" t="s">
        <v>373</v>
      </c>
    </row>
    <row r="31" spans="1:5" x14ac:dyDescent="0.2">
      <c r="A31" t="s">
        <v>350</v>
      </c>
      <c r="B31" t="s">
        <v>418</v>
      </c>
      <c r="C31" t="s">
        <v>418</v>
      </c>
      <c r="D31" t="s">
        <v>312</v>
      </c>
      <c r="E31" t="s">
        <v>373</v>
      </c>
    </row>
    <row r="32" spans="1:5" x14ac:dyDescent="0.2">
      <c r="A32" t="s">
        <v>330</v>
      </c>
      <c r="B32" t="s">
        <v>399</v>
      </c>
      <c r="C32" t="s">
        <v>399</v>
      </c>
      <c r="D32" t="s">
        <v>470</v>
      </c>
      <c r="E32" t="s">
        <v>394</v>
      </c>
    </row>
    <row r="33" spans="1:5" x14ac:dyDescent="0.2">
      <c r="A33" t="s">
        <v>327</v>
      </c>
      <c r="B33" t="s">
        <v>423</v>
      </c>
      <c r="C33" t="s">
        <v>423</v>
      </c>
      <c r="D33" t="s">
        <v>474</v>
      </c>
      <c r="E33" t="s">
        <v>394</v>
      </c>
    </row>
    <row r="34" spans="1:5" x14ac:dyDescent="0.2">
      <c r="A34" t="s">
        <v>349</v>
      </c>
      <c r="B34" t="s">
        <v>430</v>
      </c>
      <c r="C34" t="s">
        <v>430</v>
      </c>
      <c r="D34" t="s">
        <v>473</v>
      </c>
      <c r="E34" t="s">
        <v>408</v>
      </c>
    </row>
    <row r="35" spans="1:5" x14ac:dyDescent="0.2">
      <c r="A35" t="s">
        <v>338</v>
      </c>
      <c r="B35" t="s">
        <v>412</v>
      </c>
      <c r="C35" t="s">
        <v>412</v>
      </c>
      <c r="D35" t="s">
        <v>473</v>
      </c>
      <c r="E35" t="s">
        <v>408</v>
      </c>
    </row>
    <row r="36" spans="1:5" x14ac:dyDescent="0.2">
      <c r="A36" t="s">
        <v>365</v>
      </c>
      <c r="B36" t="s">
        <v>432</v>
      </c>
      <c r="C36" t="s">
        <v>432</v>
      </c>
      <c r="D36" t="s">
        <v>473</v>
      </c>
      <c r="E36" t="s">
        <v>408</v>
      </c>
    </row>
    <row r="37" spans="1:5" x14ac:dyDescent="0.2">
      <c r="A37" t="s">
        <v>481</v>
      </c>
      <c r="B37" t="s">
        <v>428</v>
      </c>
      <c r="C37" t="s">
        <v>428</v>
      </c>
      <c r="D37" t="s">
        <v>473</v>
      </c>
      <c r="E37" t="s">
        <v>408</v>
      </c>
    </row>
    <row r="38" spans="1:5" x14ac:dyDescent="0.2">
      <c r="A38" t="s">
        <v>479</v>
      </c>
      <c r="B38" t="s">
        <v>480</v>
      </c>
      <c r="C38" t="s">
        <v>312</v>
      </c>
      <c r="D38" t="s">
        <v>458</v>
      </c>
      <c r="E38" t="s">
        <v>8</v>
      </c>
    </row>
    <row r="39" spans="1:5" x14ac:dyDescent="0.2">
      <c r="A39" t="s">
        <v>355</v>
      </c>
      <c r="B39" t="s">
        <v>413</v>
      </c>
      <c r="C39" t="s">
        <v>413</v>
      </c>
      <c r="D39" t="s">
        <v>473</v>
      </c>
      <c r="E39" t="s">
        <v>408</v>
      </c>
    </row>
    <row r="40" spans="1:5" x14ac:dyDescent="0.2">
      <c r="A40" t="s">
        <v>488</v>
      </c>
      <c r="B40" t="s">
        <v>489</v>
      </c>
      <c r="C40" t="s">
        <v>312</v>
      </c>
      <c r="D40" t="s">
        <v>458</v>
      </c>
      <c r="E40" t="s">
        <v>8</v>
      </c>
    </row>
    <row r="41" spans="1:5" x14ac:dyDescent="0.2">
      <c r="A41" t="s">
        <v>475</v>
      </c>
      <c r="B41" t="s">
        <v>476</v>
      </c>
      <c r="C41" t="s">
        <v>312</v>
      </c>
      <c r="D41" t="s">
        <v>458</v>
      </c>
      <c r="E41" t="s">
        <v>8</v>
      </c>
    </row>
    <row r="42" spans="1:5" x14ac:dyDescent="0.2">
      <c r="A42" t="s">
        <v>364</v>
      </c>
      <c r="B42" t="s">
        <v>376</v>
      </c>
      <c r="C42" t="s">
        <v>376</v>
      </c>
      <c r="D42" t="s">
        <v>470</v>
      </c>
      <c r="E42" t="s">
        <v>373</v>
      </c>
    </row>
    <row r="43" spans="1:5" x14ac:dyDescent="0.2">
      <c r="A43" t="s">
        <v>325</v>
      </c>
      <c r="B43" t="s">
        <v>382</v>
      </c>
      <c r="C43" t="s">
        <v>382</v>
      </c>
      <c r="D43" t="s">
        <v>471</v>
      </c>
      <c r="E43" t="s">
        <v>373</v>
      </c>
    </row>
    <row r="44" spans="1:5" x14ac:dyDescent="0.2">
      <c r="A44" t="s">
        <v>328</v>
      </c>
      <c r="B44" t="s">
        <v>427</v>
      </c>
      <c r="C44" t="s">
        <v>427</v>
      </c>
      <c r="D44" t="s">
        <v>470</v>
      </c>
      <c r="E44" t="s">
        <v>373</v>
      </c>
    </row>
    <row r="45" spans="1:5" x14ac:dyDescent="0.2">
      <c r="A45" t="s">
        <v>358</v>
      </c>
      <c r="B45" t="s">
        <v>392</v>
      </c>
      <c r="C45" t="s">
        <v>392</v>
      </c>
      <c r="D45" t="s">
        <v>471</v>
      </c>
      <c r="E45" t="s">
        <v>384</v>
      </c>
    </row>
    <row r="46" spans="1:5" x14ac:dyDescent="0.2">
      <c r="A46" t="s">
        <v>340</v>
      </c>
      <c r="B46" t="s">
        <v>397</v>
      </c>
      <c r="C46" t="s">
        <v>397</v>
      </c>
      <c r="D46" t="s">
        <v>471</v>
      </c>
      <c r="E46" t="s">
        <v>384</v>
      </c>
    </row>
    <row r="47" spans="1:5" x14ac:dyDescent="0.2">
      <c r="A47" t="s">
        <v>367</v>
      </c>
      <c r="B47" t="s">
        <v>403</v>
      </c>
      <c r="C47" t="s">
        <v>403</v>
      </c>
      <c r="D47" t="s">
        <v>474</v>
      </c>
      <c r="E47" t="s">
        <v>394</v>
      </c>
    </row>
    <row r="48" spans="1:5" x14ac:dyDescent="0.2">
      <c r="A48" t="s">
        <v>342</v>
      </c>
      <c r="B48" t="s">
        <v>416</v>
      </c>
      <c r="C48" t="s">
        <v>416</v>
      </c>
      <c r="D48" t="s">
        <v>474</v>
      </c>
      <c r="E48" t="s">
        <v>389</v>
      </c>
    </row>
    <row r="49" spans="1:5" x14ac:dyDescent="0.2">
      <c r="A49" t="s">
        <v>331</v>
      </c>
      <c r="B49" t="s">
        <v>414</v>
      </c>
      <c r="C49" t="s">
        <v>414</v>
      </c>
      <c r="D49" t="s">
        <v>474</v>
      </c>
      <c r="E49" t="s">
        <v>389</v>
      </c>
    </row>
    <row r="50" spans="1:5" x14ac:dyDescent="0.2">
      <c r="A50" t="s">
        <v>336</v>
      </c>
      <c r="B50" t="s">
        <v>411</v>
      </c>
      <c r="C50" t="s">
        <v>411</v>
      </c>
      <c r="D50" t="s">
        <v>473</v>
      </c>
      <c r="E50" t="s">
        <v>408</v>
      </c>
    </row>
    <row r="51" spans="1:5" x14ac:dyDescent="0.2">
      <c r="A51" t="s">
        <v>324</v>
      </c>
      <c r="B51" t="s">
        <v>391</v>
      </c>
      <c r="C51" t="s">
        <v>391</v>
      </c>
      <c r="D51" t="s">
        <v>474</v>
      </c>
      <c r="E51" t="s">
        <v>389</v>
      </c>
    </row>
    <row r="52" spans="1:5" x14ac:dyDescent="0.2">
      <c r="A52" t="s">
        <v>477</v>
      </c>
      <c r="B52" t="s">
        <v>478</v>
      </c>
      <c r="C52" t="s">
        <v>312</v>
      </c>
      <c r="D52" t="s">
        <v>458</v>
      </c>
      <c r="E52" t="s">
        <v>8</v>
      </c>
    </row>
    <row r="53" spans="1:5" x14ac:dyDescent="0.2">
      <c r="A53" t="s">
        <v>486</v>
      </c>
      <c r="B53" t="s">
        <v>487</v>
      </c>
      <c r="C53" t="s">
        <v>312</v>
      </c>
      <c r="D53" t="s">
        <v>458</v>
      </c>
      <c r="E53" t="s">
        <v>8</v>
      </c>
    </row>
    <row r="54" spans="1:5" x14ac:dyDescent="0.2">
      <c r="A54" t="s">
        <v>351</v>
      </c>
      <c r="B54" t="s">
        <v>379</v>
      </c>
      <c r="C54" t="s">
        <v>379</v>
      </c>
      <c r="D54" t="s">
        <v>470</v>
      </c>
      <c r="E54" t="s">
        <v>373</v>
      </c>
    </row>
    <row r="55" spans="1:5" x14ac:dyDescent="0.2">
      <c r="A55" t="s">
        <v>366</v>
      </c>
      <c r="B55" t="s">
        <v>385</v>
      </c>
      <c r="C55" t="s">
        <v>385</v>
      </c>
      <c r="D55" t="s">
        <v>471</v>
      </c>
      <c r="E55" t="s">
        <v>384</v>
      </c>
    </row>
    <row r="56" spans="1:5" x14ac:dyDescent="0.2">
      <c r="A56" t="s">
        <v>321</v>
      </c>
      <c r="B56" t="s">
        <v>429</v>
      </c>
      <c r="C56" t="s">
        <v>429</v>
      </c>
      <c r="D56" t="s">
        <v>471</v>
      </c>
      <c r="E56" t="s">
        <v>384</v>
      </c>
    </row>
    <row r="57" spans="1:5" x14ac:dyDescent="0.2">
      <c r="A57" t="s">
        <v>320</v>
      </c>
      <c r="B57" t="s">
        <v>400</v>
      </c>
      <c r="C57" t="s">
        <v>400</v>
      </c>
      <c r="D57" t="s">
        <v>474</v>
      </c>
      <c r="E57" t="s">
        <v>394</v>
      </c>
    </row>
    <row r="58" spans="1:5" x14ac:dyDescent="0.2">
      <c r="A58" t="s">
        <v>326</v>
      </c>
      <c r="B58" t="s">
        <v>404</v>
      </c>
      <c r="C58" t="s">
        <v>404</v>
      </c>
      <c r="D58" t="s">
        <v>474</v>
      </c>
      <c r="E58" t="s">
        <v>394</v>
      </c>
    </row>
    <row r="59" spans="1:5" x14ac:dyDescent="0.2">
      <c r="A59" t="s">
        <v>332</v>
      </c>
      <c r="B59" t="s">
        <v>417</v>
      </c>
      <c r="C59" t="s">
        <v>417</v>
      </c>
      <c r="D59" t="s">
        <v>473</v>
      </c>
      <c r="E59" t="s">
        <v>408</v>
      </c>
    </row>
    <row r="60" spans="1:5" x14ac:dyDescent="0.2">
      <c r="A60" t="s">
        <v>319</v>
      </c>
      <c r="B60" t="s">
        <v>415</v>
      </c>
      <c r="C60" t="s">
        <v>415</v>
      </c>
      <c r="D60" t="s">
        <v>474</v>
      </c>
      <c r="E60" t="s">
        <v>389</v>
      </c>
    </row>
    <row r="61" spans="1:5" x14ac:dyDescent="0.2">
      <c r="A61" t="s">
        <v>333</v>
      </c>
      <c r="B61" t="s">
        <v>83</v>
      </c>
      <c r="C61" t="s">
        <v>83</v>
      </c>
      <c r="D61" t="s">
        <v>473</v>
      </c>
      <c r="E61" t="s">
        <v>408</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1039</v>
      </c>
      <c r="C2" t="s">
        <v>441</v>
      </c>
      <c r="D2" t="s">
        <v>442</v>
      </c>
      <c r="E2" t="s">
        <v>443</v>
      </c>
      <c r="F2" t="s">
        <v>444</v>
      </c>
      <c r="G2" t="s">
        <v>445</v>
      </c>
      <c r="H2" t="s">
        <v>446</v>
      </c>
      <c r="I2" t="s">
        <v>447</v>
      </c>
      <c r="J2" t="s">
        <v>448</v>
      </c>
      <c r="K2" t="s">
        <v>449</v>
      </c>
      <c r="L2" t="s">
        <v>450</v>
      </c>
      <c r="M2" t="s">
        <v>451</v>
      </c>
      <c r="N2" t="s">
        <v>452</v>
      </c>
      <c r="O2" t="s">
        <v>453</v>
      </c>
      <c r="P2" t="s">
        <v>454</v>
      </c>
      <c r="Q2" t="s">
        <v>456</v>
      </c>
    </row>
    <row r="3" spans="2:33" x14ac:dyDescent="0.2">
      <c r="B3" t="s">
        <v>389</v>
      </c>
      <c r="C3" t="s">
        <v>415</v>
      </c>
      <c r="D3" t="s">
        <v>407</v>
      </c>
      <c r="E3" t="s">
        <v>391</v>
      </c>
      <c r="F3" t="s">
        <v>393</v>
      </c>
      <c r="G3" t="s">
        <v>422</v>
      </c>
      <c r="H3" t="s">
        <v>416</v>
      </c>
      <c r="I3" t="s">
        <v>414</v>
      </c>
      <c r="J3" t="s">
        <v>410</v>
      </c>
      <c r="K3" t="s">
        <v>425</v>
      </c>
      <c r="L3" t="s">
        <v>455</v>
      </c>
      <c r="M3" t="s">
        <v>455</v>
      </c>
      <c r="N3" t="s">
        <v>455</v>
      </c>
      <c r="O3" t="s">
        <v>455</v>
      </c>
      <c r="P3" t="s">
        <v>455</v>
      </c>
      <c r="Q3" t="s">
        <v>455</v>
      </c>
      <c r="S3" s="14" t="s">
        <v>415</v>
      </c>
      <c r="T3" s="14" t="s">
        <v>407</v>
      </c>
      <c r="U3" s="14" t="s">
        <v>391</v>
      </c>
      <c r="V3" s="14" t="s">
        <v>393</v>
      </c>
      <c r="W3" s="14" t="s">
        <v>422</v>
      </c>
      <c r="X3" s="14" t="s">
        <v>416</v>
      </c>
      <c r="Y3" s="14" t="s">
        <v>414</v>
      </c>
      <c r="Z3" s="14" t="s">
        <v>410</v>
      </c>
      <c r="AA3" s="14" t="s">
        <v>425</v>
      </c>
      <c r="AB3" s="14"/>
      <c r="AC3" s="14"/>
      <c r="AD3" s="14"/>
      <c r="AE3" s="14"/>
      <c r="AF3" s="15"/>
      <c r="AG3" s="15"/>
    </row>
    <row r="4" spans="2:33" x14ac:dyDescent="0.2">
      <c r="B4" t="s">
        <v>394</v>
      </c>
      <c r="C4" t="s">
        <v>398</v>
      </c>
      <c r="D4" t="s">
        <v>396</v>
      </c>
      <c r="E4" t="s">
        <v>403</v>
      </c>
      <c r="F4" t="s">
        <v>426</v>
      </c>
      <c r="G4" t="s">
        <v>399</v>
      </c>
      <c r="H4" t="s">
        <v>405</v>
      </c>
      <c r="I4" t="s">
        <v>401</v>
      </c>
      <c r="J4" t="s">
        <v>404</v>
      </c>
      <c r="K4" t="s">
        <v>423</v>
      </c>
      <c r="L4" t="s">
        <v>395</v>
      </c>
      <c r="M4" t="s">
        <v>424</v>
      </c>
      <c r="N4" t="s">
        <v>400</v>
      </c>
      <c r="O4" t="s">
        <v>455</v>
      </c>
      <c r="P4" t="s">
        <v>455</v>
      </c>
      <c r="Q4" t="s">
        <v>455</v>
      </c>
      <c r="S4" s="14" t="s">
        <v>398</v>
      </c>
      <c r="T4" s="14" t="s">
        <v>396</v>
      </c>
      <c r="U4" s="14" t="s">
        <v>403</v>
      </c>
      <c r="V4" s="14" t="s">
        <v>426</v>
      </c>
      <c r="W4" s="14" t="s">
        <v>399</v>
      </c>
      <c r="X4" s="14" t="s">
        <v>405</v>
      </c>
      <c r="Y4" s="14" t="s">
        <v>401</v>
      </c>
      <c r="Z4" s="14" t="s">
        <v>404</v>
      </c>
      <c r="AA4" s="14" t="s">
        <v>423</v>
      </c>
      <c r="AB4" s="14" t="s">
        <v>395</v>
      </c>
      <c r="AC4" s="14" t="s">
        <v>424</v>
      </c>
      <c r="AD4" s="14" t="s">
        <v>400</v>
      </c>
      <c r="AE4" s="14"/>
      <c r="AF4" s="15"/>
      <c r="AG4" s="15"/>
    </row>
    <row r="5" spans="2:33" x14ac:dyDescent="0.2">
      <c r="B5" t="s">
        <v>373</v>
      </c>
      <c r="C5" t="s">
        <v>377</v>
      </c>
      <c r="D5" t="s">
        <v>427</v>
      </c>
      <c r="E5" t="s">
        <v>418</v>
      </c>
      <c r="F5" t="s">
        <v>420</v>
      </c>
      <c r="G5" t="s">
        <v>380</v>
      </c>
      <c r="H5" t="s">
        <v>375</v>
      </c>
      <c r="I5" t="s">
        <v>419</v>
      </c>
      <c r="J5" t="s">
        <v>378</v>
      </c>
      <c r="K5" t="s">
        <v>63</v>
      </c>
      <c r="L5" t="s">
        <v>386</v>
      </c>
      <c r="M5" t="s">
        <v>379</v>
      </c>
      <c r="N5" t="s">
        <v>376</v>
      </c>
      <c r="O5" t="s">
        <v>421</v>
      </c>
      <c r="P5" t="s">
        <v>382</v>
      </c>
      <c r="Q5" t="s">
        <v>383</v>
      </c>
      <c r="S5" s="14" t="s">
        <v>377</v>
      </c>
      <c r="T5" s="14" t="s">
        <v>427</v>
      </c>
      <c r="U5" s="14" t="s">
        <v>418</v>
      </c>
      <c r="V5" s="14" t="s">
        <v>420</v>
      </c>
      <c r="W5" s="14" t="s">
        <v>380</v>
      </c>
      <c r="X5" s="14" t="s">
        <v>375</v>
      </c>
      <c r="Y5" s="14" t="s">
        <v>419</v>
      </c>
      <c r="Z5" s="14" t="s">
        <v>378</v>
      </c>
      <c r="AA5" s="14" t="s">
        <v>63</v>
      </c>
      <c r="AB5" s="14" t="s">
        <v>386</v>
      </c>
      <c r="AC5" s="14" t="s">
        <v>379</v>
      </c>
      <c r="AD5" s="14" t="s">
        <v>376</v>
      </c>
      <c r="AE5" s="14" t="s">
        <v>421</v>
      </c>
      <c r="AF5" s="15" t="s">
        <v>382</v>
      </c>
      <c r="AG5" s="15" t="s">
        <v>383</v>
      </c>
    </row>
    <row r="6" spans="2:33" x14ac:dyDescent="0.2">
      <c r="B6" t="s">
        <v>408</v>
      </c>
      <c r="C6" t="s">
        <v>428</v>
      </c>
      <c r="D6" t="s">
        <v>430</v>
      </c>
      <c r="E6" t="s">
        <v>411</v>
      </c>
      <c r="F6" t="s">
        <v>432</v>
      </c>
      <c r="G6" t="s">
        <v>412</v>
      </c>
      <c r="H6" t="s">
        <v>417</v>
      </c>
      <c r="I6" t="s">
        <v>409</v>
      </c>
      <c r="J6" t="s">
        <v>413</v>
      </c>
      <c r="K6" t="s">
        <v>83</v>
      </c>
      <c r="L6" t="s">
        <v>455</v>
      </c>
      <c r="M6" t="s">
        <v>455</v>
      </c>
      <c r="N6" t="s">
        <v>455</v>
      </c>
      <c r="O6" t="s">
        <v>455</v>
      </c>
      <c r="P6" t="s">
        <v>455</v>
      </c>
      <c r="Q6" t="s">
        <v>455</v>
      </c>
      <c r="S6" s="14" t="s">
        <v>428</v>
      </c>
      <c r="T6" s="14" t="s">
        <v>430</v>
      </c>
      <c r="U6" s="14" t="s">
        <v>411</v>
      </c>
      <c r="V6" s="14" t="s">
        <v>432</v>
      </c>
      <c r="W6" s="14" t="s">
        <v>412</v>
      </c>
      <c r="X6" s="14" t="s">
        <v>417</v>
      </c>
      <c r="Y6" s="14" t="s">
        <v>409</v>
      </c>
      <c r="Z6" s="14" t="s">
        <v>413</v>
      </c>
      <c r="AA6" s="14" t="s">
        <v>83</v>
      </c>
      <c r="AB6" s="14"/>
      <c r="AC6" s="14"/>
      <c r="AD6" s="14"/>
      <c r="AE6" s="14"/>
      <c r="AF6" s="15"/>
      <c r="AG6" s="15"/>
    </row>
    <row r="7" spans="2:33" x14ac:dyDescent="0.2">
      <c r="B7" t="s">
        <v>384</v>
      </c>
      <c r="C7" t="s">
        <v>392</v>
      </c>
      <c r="D7" t="s">
        <v>429</v>
      </c>
      <c r="E7" t="s">
        <v>385</v>
      </c>
      <c r="F7" t="s">
        <v>397</v>
      </c>
      <c r="G7" t="s">
        <v>431</v>
      </c>
      <c r="H7" t="s">
        <v>387</v>
      </c>
      <c r="I7" t="s">
        <v>388</v>
      </c>
      <c r="J7" t="s">
        <v>455</v>
      </c>
      <c r="K7" t="s">
        <v>455</v>
      </c>
      <c r="L7" t="s">
        <v>455</v>
      </c>
      <c r="M7" t="s">
        <v>455</v>
      </c>
      <c r="N7" t="s">
        <v>455</v>
      </c>
      <c r="O7" t="s">
        <v>455</v>
      </c>
      <c r="P7" t="s">
        <v>455</v>
      </c>
      <c r="Q7" t="s">
        <v>455</v>
      </c>
      <c r="S7" s="14" t="s">
        <v>392</v>
      </c>
      <c r="T7" s="14" t="s">
        <v>429</v>
      </c>
      <c r="U7" s="14" t="s">
        <v>385</v>
      </c>
      <c r="V7" s="14" t="s">
        <v>397</v>
      </c>
      <c r="W7" s="14" t="s">
        <v>431</v>
      </c>
      <c r="X7" s="14" t="s">
        <v>387</v>
      </c>
      <c r="Y7" s="14" t="s">
        <v>388</v>
      </c>
      <c r="Z7" s="14"/>
      <c r="AA7" s="14"/>
      <c r="AB7" s="14"/>
      <c r="AC7" s="14"/>
      <c r="AD7" s="14"/>
      <c r="AE7" s="14"/>
      <c r="AF7" s="15"/>
      <c r="AG7" s="15"/>
    </row>
    <row r="8" spans="2:33" x14ac:dyDescent="0.2">
      <c r="B8" t="s">
        <v>8</v>
      </c>
      <c r="C8" t="s">
        <v>8</v>
      </c>
      <c r="D8" t="s">
        <v>455</v>
      </c>
      <c r="E8" t="s">
        <v>455</v>
      </c>
      <c r="F8" t="s">
        <v>455</v>
      </c>
      <c r="G8" t="s">
        <v>455</v>
      </c>
      <c r="H8" t="s">
        <v>455</v>
      </c>
      <c r="I8" t="s">
        <v>455</v>
      </c>
      <c r="J8" t="s">
        <v>455</v>
      </c>
      <c r="K8" t="s">
        <v>455</v>
      </c>
      <c r="L8" t="s">
        <v>455</v>
      </c>
      <c r="M8" t="s">
        <v>455</v>
      </c>
      <c r="N8" t="s">
        <v>455</v>
      </c>
      <c r="O8" t="s">
        <v>455</v>
      </c>
      <c r="P8" t="s">
        <v>455</v>
      </c>
      <c r="Q8" t="s">
        <v>455</v>
      </c>
      <c r="S8" s="16" t="s">
        <v>8</v>
      </c>
      <c r="T8" s="16"/>
      <c r="U8" s="16"/>
      <c r="V8" s="16"/>
      <c r="W8" s="16"/>
      <c r="X8" s="16"/>
      <c r="Y8" s="16"/>
      <c r="Z8" s="16"/>
      <c r="AA8" s="16"/>
      <c r="AB8" s="16"/>
      <c r="AC8" s="16"/>
      <c r="AD8" s="16"/>
      <c r="AE8" s="16"/>
      <c r="AF8" s="17"/>
      <c r="AG8" s="17"/>
    </row>
    <row r="10" spans="2:33" x14ac:dyDescent="0.2">
      <c r="B10" t="s">
        <v>440</v>
      </c>
      <c r="C10" t="s">
        <v>441</v>
      </c>
      <c r="D10" t="s">
        <v>442</v>
      </c>
      <c r="E10" t="s">
        <v>443</v>
      </c>
      <c r="F10" t="s">
        <v>444</v>
      </c>
      <c r="G10" t="s">
        <v>445</v>
      </c>
      <c r="H10" t="s">
        <v>446</v>
      </c>
      <c r="I10" t="s">
        <v>447</v>
      </c>
      <c r="J10" t="s">
        <v>448</v>
      </c>
      <c r="K10" t="s">
        <v>449</v>
      </c>
      <c r="L10" t="s">
        <v>450</v>
      </c>
      <c r="M10" t="s">
        <v>451</v>
      </c>
      <c r="N10" t="s">
        <v>452</v>
      </c>
      <c r="O10" t="s">
        <v>453</v>
      </c>
      <c r="P10" t="s">
        <v>454</v>
      </c>
      <c r="Q10" t="s">
        <v>456</v>
      </c>
      <c r="R10" t="s">
        <v>457</v>
      </c>
    </row>
    <row r="11" spans="2:33" x14ac:dyDescent="0.2">
      <c r="B11" t="s">
        <v>389</v>
      </c>
      <c r="C11" t="s">
        <v>641</v>
      </c>
      <c r="D11" t="s">
        <v>588</v>
      </c>
      <c r="E11" t="s">
        <v>635</v>
      </c>
      <c r="F11" t="s">
        <v>623</v>
      </c>
      <c r="G11" t="s">
        <v>559</v>
      </c>
      <c r="H11" t="s">
        <v>611</v>
      </c>
      <c r="I11" t="s">
        <v>613</v>
      </c>
      <c r="J11" t="s">
        <v>555</v>
      </c>
      <c r="K11" t="s">
        <v>592</v>
      </c>
      <c r="L11" t="s">
        <v>609</v>
      </c>
      <c r="M11" t="s">
        <v>455</v>
      </c>
      <c r="N11" t="s">
        <v>455</v>
      </c>
      <c r="O11" t="s">
        <v>455</v>
      </c>
      <c r="P11" t="s">
        <v>455</v>
      </c>
      <c r="Q11" t="s">
        <v>455</v>
      </c>
      <c r="R11" t="s">
        <v>455</v>
      </c>
    </row>
    <row r="12" spans="2:33" x14ac:dyDescent="0.2">
      <c r="B12" t="s">
        <v>394</v>
      </c>
      <c r="C12" t="s">
        <v>571</v>
      </c>
      <c r="D12" t="s">
        <v>563</v>
      </c>
      <c r="E12" t="s">
        <v>580</v>
      </c>
      <c r="F12" t="s">
        <v>573</v>
      </c>
      <c r="G12" t="s">
        <v>637</v>
      </c>
      <c r="H12" t="s">
        <v>565</v>
      </c>
      <c r="I12" t="s">
        <v>582</v>
      </c>
      <c r="J12" t="s">
        <v>575</v>
      </c>
      <c r="K12" t="s">
        <v>639</v>
      </c>
      <c r="L12" t="s">
        <v>578</v>
      </c>
      <c r="M12" t="s">
        <v>584</v>
      </c>
      <c r="N12" t="s">
        <v>643</v>
      </c>
      <c r="O12" t="s">
        <v>455</v>
      </c>
      <c r="P12" t="s">
        <v>455</v>
      </c>
      <c r="Q12" t="s">
        <v>455</v>
      </c>
      <c r="R12" t="s">
        <v>455</v>
      </c>
    </row>
    <row r="13" spans="2:33" x14ac:dyDescent="0.2">
      <c r="B13" t="s">
        <v>373</v>
      </c>
      <c r="C13" t="s">
        <v>537</v>
      </c>
      <c r="D13" t="s">
        <v>516</v>
      </c>
      <c r="E13" t="s">
        <v>524</v>
      </c>
      <c r="F13" t="s">
        <v>526</v>
      </c>
      <c r="G13" t="s">
        <v>541</v>
      </c>
      <c r="H13" t="s">
        <v>626</v>
      </c>
      <c r="I13" t="s">
        <v>522</v>
      </c>
      <c r="J13" t="s">
        <v>528</v>
      </c>
      <c r="K13" t="s">
        <v>530</v>
      </c>
      <c r="L13" t="s">
        <v>533</v>
      </c>
      <c r="M13" t="s">
        <v>518</v>
      </c>
      <c r="N13" t="s">
        <v>539</v>
      </c>
      <c r="O13" t="s">
        <v>631</v>
      </c>
      <c r="P13" t="s">
        <v>633</v>
      </c>
      <c r="Q13" t="s">
        <v>647</v>
      </c>
      <c r="R13" t="s">
        <v>547</v>
      </c>
    </row>
    <row r="14" spans="2:33" x14ac:dyDescent="0.2">
      <c r="B14" t="s">
        <v>408</v>
      </c>
      <c r="C14" t="s">
        <v>590</v>
      </c>
      <c r="D14" t="s">
        <v>649</v>
      </c>
      <c r="E14" t="s">
        <v>605</v>
      </c>
      <c r="F14" t="s">
        <v>645</v>
      </c>
      <c r="G14" t="s">
        <v>597</v>
      </c>
      <c r="H14" t="s">
        <v>619</v>
      </c>
      <c r="I14" t="s">
        <v>595</v>
      </c>
      <c r="J14" t="s">
        <v>599</v>
      </c>
      <c r="K14" t="s">
        <v>607</v>
      </c>
      <c r="L14" t="s">
        <v>615</v>
      </c>
      <c r="M14" t="s">
        <v>628</v>
      </c>
      <c r="N14" t="s">
        <v>601</v>
      </c>
      <c r="O14" t="s">
        <v>455</v>
      </c>
      <c r="P14" t="s">
        <v>455</v>
      </c>
      <c r="Q14" t="s">
        <v>455</v>
      </c>
      <c r="R14" t="s">
        <v>455</v>
      </c>
    </row>
    <row r="15" spans="2:33" x14ac:dyDescent="0.2">
      <c r="B15" t="s">
        <v>384</v>
      </c>
      <c r="C15" t="s">
        <v>543</v>
      </c>
      <c r="D15" t="s">
        <v>551</v>
      </c>
      <c r="E15" t="s">
        <v>567</v>
      </c>
      <c r="F15" t="s">
        <v>557</v>
      </c>
      <c r="G15" t="s">
        <v>553</v>
      </c>
      <c r="H15" t="s">
        <v>617</v>
      </c>
      <c r="I15" t="s">
        <v>545</v>
      </c>
      <c r="J15" t="s">
        <v>455</v>
      </c>
      <c r="K15" t="s">
        <v>455</v>
      </c>
      <c r="L15" t="s">
        <v>455</v>
      </c>
      <c r="M15" t="s">
        <v>455</v>
      </c>
      <c r="N15" t="s">
        <v>455</v>
      </c>
      <c r="O15" t="s">
        <v>455</v>
      </c>
      <c r="P15" t="s">
        <v>455</v>
      </c>
      <c r="Q15" t="s">
        <v>455</v>
      </c>
      <c r="R15" t="s">
        <v>455</v>
      </c>
    </row>
    <row r="16" spans="2:33" x14ac:dyDescent="0.2">
      <c r="B16" t="s">
        <v>8</v>
      </c>
      <c r="C16" t="s">
        <v>455</v>
      </c>
      <c r="D16" t="s">
        <v>455</v>
      </c>
      <c r="E16" t="s">
        <v>455</v>
      </c>
      <c r="F16" t="s">
        <v>455</v>
      </c>
      <c r="G16" t="s">
        <v>455</v>
      </c>
      <c r="H16" t="s">
        <v>455</v>
      </c>
      <c r="I16" t="s">
        <v>455</v>
      </c>
      <c r="J16" t="s">
        <v>455</v>
      </c>
      <c r="K16" t="s">
        <v>455</v>
      </c>
      <c r="L16" t="s">
        <v>455</v>
      </c>
      <c r="M16" t="s">
        <v>455</v>
      </c>
      <c r="N16" t="s">
        <v>455</v>
      </c>
      <c r="O16" t="s">
        <v>455</v>
      </c>
      <c r="P16" t="s">
        <v>455</v>
      </c>
      <c r="Q16" t="s">
        <v>455</v>
      </c>
      <c r="R16" t="s">
        <v>455</v>
      </c>
    </row>
    <row r="19" spans="2:4" x14ac:dyDescent="0.2">
      <c r="B19" t="s">
        <v>977</v>
      </c>
      <c r="C19" t="s">
        <v>978</v>
      </c>
      <c r="D19" t="s">
        <v>979</v>
      </c>
    </row>
    <row r="20" spans="2:4" x14ac:dyDescent="0.2">
      <c r="B20" s="151">
        <v>42399</v>
      </c>
      <c r="C20">
        <v>24136</v>
      </c>
      <c r="D20">
        <v>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352666</CP_Inventory>
    <Fiscal_Year xmlns="c9744be7-b815-40bc-84fa-afc9c406d9bc">2016</Fiscal_Year>
    <CP_Backlog xmlns="c9744be7-b815-40bc-84fa-afc9c406d9bc">77437</CP_Backlog>
    <Creation_date xmlns="c9744be7-b815-40bc-84fa-afc9c406d9bc">2016-02-01T00:00:00</Creation_date>
    <Data_date xmlns="c9744be7-b815-40bc-84fa-afc9c406d9bc">2016-01-30T00:00:00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dcmitype/"/>
    <ds:schemaRef ds:uri="http://purl.org/dc/elements/1.1/"/>
    <ds:schemaRef ds:uri="http://purl.org/dc/terms/"/>
    <ds:schemaRef ds:uri="http://www.w3.org/XML/1998/namespace"/>
    <ds:schemaRef ds:uri="http://schemas.microsoft.com/office/2006/documentManagement/types"/>
    <ds:schemaRef ds:uri="fef9c9dc-374b-4157-9e06-089f148416e5"/>
    <ds:schemaRef ds:uri="http://schemas.microsoft.com/office/2006/metadata/properties"/>
    <ds:schemaRef ds:uri="http://schemas.microsoft.com/office/infopath/2007/PartnerControls"/>
    <ds:schemaRef ds:uri="http://schemas.openxmlformats.org/package/2006/metadata/core-properties"/>
    <ds:schemaRef ds:uri="c9744be7-b815-40bc-84fa-afc9c406d9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30,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2016-02-01T15:26:32Z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